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0706milpfv02\184748$\SynchFolder\Desktop\UNDERTAKING\"/>
    </mc:Choice>
  </mc:AlternateContent>
  <bookViews>
    <workbookView xWindow="0" yWindow="0" windowWidth="23040" windowHeight="9192" activeTab="2"/>
  </bookViews>
  <sheets>
    <sheet name="ATTACHMENT 18" sheetId="5" r:id="rId1"/>
    <sheet name="RR SUMMARY" sheetId="1" r:id="rId2"/>
    <sheet name="Rate Base" sheetId="8" r:id="rId3"/>
    <sheet name="OMA_WC_CAPEX" sheetId="6" r:id="rId4"/>
    <sheet name="Taxes" sheetId="7" r:id="rId5"/>
    <sheet name="Cost of Capital" sheetId="4" r:id="rId6"/>
    <sheet name="Key Value Summary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localSheetId="0" hidden="1">'[1]Table A.1'!#REF!</definedName>
    <definedName name="__123Graph_A" localSheetId="5" hidden="1">'[1]Table A.1'!#REF!</definedName>
    <definedName name="__123Graph_A" localSheetId="6" hidden="1">'[1]Table A.1'!#REF!</definedName>
    <definedName name="__123Graph_A" localSheetId="3" hidden="1">'[1]Table A.1'!#REF!</definedName>
    <definedName name="__123Graph_A" localSheetId="2" hidden="1">'[1]Table A.1'!#REF!</definedName>
    <definedName name="__123Graph_A" localSheetId="1" hidden="1">'[1]Table A.1'!#REF!</definedName>
    <definedName name="__123Graph_A" localSheetId="4" hidden="1">'[1]Table A.1'!#REF!</definedName>
    <definedName name="__123Graph_A" hidden="1">'[2]DISTCO_Trial Balance'!$B$98:$B$101</definedName>
    <definedName name="__123Graph_C" localSheetId="0" hidden="1">'[1]Table A.1'!#REF!</definedName>
    <definedName name="__123Graph_C" localSheetId="5" hidden="1">'[1]Table A.1'!#REF!</definedName>
    <definedName name="__123Graph_C" localSheetId="6" hidden="1">'[1]Table A.1'!#REF!</definedName>
    <definedName name="__123Graph_C" localSheetId="3" hidden="1">'[1]Table A.1'!#REF!</definedName>
    <definedName name="__123Graph_C" localSheetId="2" hidden="1">'[1]Table A.1'!#REF!</definedName>
    <definedName name="__123Graph_C" localSheetId="1" hidden="1">'[1]Table A.1'!#REF!</definedName>
    <definedName name="__123Graph_C" localSheetId="4" hidden="1">'[1]Table A.1'!#REF!</definedName>
    <definedName name="__123Graph_C" hidden="1">'[2]DISTCO_Trial Balance'!$C$98:$C$101</definedName>
    <definedName name="__123Graph_D" localSheetId="0" hidden="1">'[1]Table A.1'!#REF!</definedName>
    <definedName name="__123Graph_D" localSheetId="5" hidden="1">'[1]Table A.1'!#REF!</definedName>
    <definedName name="__123Graph_D" localSheetId="6" hidden="1">'[1]Table A.1'!#REF!</definedName>
    <definedName name="__123Graph_D" localSheetId="3" hidden="1">'[1]Table A.1'!#REF!</definedName>
    <definedName name="__123Graph_D" localSheetId="2" hidden="1">'[1]Table A.1'!#REF!</definedName>
    <definedName name="__123Graph_D" localSheetId="1" hidden="1">'[1]Table A.1'!#REF!</definedName>
    <definedName name="__123Graph_D" localSheetId="4" hidden="1">'[1]Table A.1'!#REF!</definedName>
    <definedName name="__123Graph_D" hidden="1">'[2]DISTCO_Trial Balance'!$BZ$98:$BZ$101</definedName>
    <definedName name="_Fill" localSheetId="0" hidden="1">'[3]Old MEA Statistics'!$B$250</definedName>
    <definedName name="_Fill" localSheetId="5" hidden="1">'[3]Old MEA Statistics'!$B$250</definedName>
    <definedName name="_Fill" localSheetId="6" hidden="1">'[3]Old MEA Statistics'!$B$250</definedName>
    <definedName name="_Fill" localSheetId="3" hidden="1">'[3]Old MEA Statistics'!$B$250</definedName>
    <definedName name="_Fill" localSheetId="2" hidden="1">'[3]Old MEA Statistics'!$B$250</definedName>
    <definedName name="_Fill" localSheetId="1" hidden="1">'[3]Old MEA Statistics'!$B$250</definedName>
    <definedName name="_Fill" localSheetId="4" hidden="1">'[3]Old MEA Statistics'!$B$250</definedName>
    <definedName name="_Fill" hidden="1">'[3]Old MEA Statistics'!$B$250</definedName>
    <definedName name="_Key1" localSheetId="0" hidden="1">'[4]Future Capital'!#REF!</definedName>
    <definedName name="_Key1" localSheetId="5" hidden="1">'[4]Future Capital'!#REF!</definedName>
    <definedName name="_Key1" localSheetId="6" hidden="1">'[4]Future Capital'!#REF!</definedName>
    <definedName name="_Key1" localSheetId="3" hidden="1">'[4]Future Capital'!#REF!</definedName>
    <definedName name="_Key1" localSheetId="2" hidden="1">'[4]Future Capital'!#REF!</definedName>
    <definedName name="_Key1" localSheetId="1" hidden="1">'[4]Future Capital'!#REF!</definedName>
    <definedName name="_Key1" localSheetId="4" hidden="1">'[4]Future Capital'!#REF!</definedName>
    <definedName name="_Key1" hidden="1">'[4]Future Capital'!#REF!</definedName>
    <definedName name="_Order1" hidden="1">255</definedName>
    <definedName name="_Order2" hidden="1">255</definedName>
    <definedName name="_Sort" localSheetId="0" hidden="1">'[4]Future Capital'!#REF!</definedName>
    <definedName name="_Sort" localSheetId="5" hidden="1">'[4]Future Capital'!#REF!</definedName>
    <definedName name="_Sort" localSheetId="6" hidden="1">'[4]Future Capital'!#REF!</definedName>
    <definedName name="_Sort" localSheetId="3" hidden="1">'[4]Future Capital'!#REF!</definedName>
    <definedName name="_Sort" localSheetId="2" hidden="1">'[4]Future Capital'!#REF!</definedName>
    <definedName name="_Sort" localSheetId="1" hidden="1">'[4]Future Capital'!#REF!</definedName>
    <definedName name="_Sort" localSheetId="4" hidden="1">'[4]Future Capital'!#REF!</definedName>
    <definedName name="_Sort" hidden="1">'[4]Future Capital'!#REF!</definedName>
    <definedName name="alternativestable">[5]Assumptions!$A$48:$J$55</definedName>
    <definedName name="f" localSheetId="0" hidden="1">'[4]Future Capital'!#REF!</definedName>
    <definedName name="f" localSheetId="5" hidden="1">'[4]Future Capital'!#REF!</definedName>
    <definedName name="f" localSheetId="6" hidden="1">'[4]Future Capital'!#REF!</definedName>
    <definedName name="f" localSheetId="3" hidden="1">'[4]Future Capital'!#REF!</definedName>
    <definedName name="f" localSheetId="2" hidden="1">'[4]Future Capital'!#REF!</definedName>
    <definedName name="f" localSheetId="1" hidden="1">'[4]Future Capital'!#REF!</definedName>
    <definedName name="f" localSheetId="4" hidden="1">'[4]Future Capital'!#REF!</definedName>
    <definedName name="f" hidden="1">'[4]Future Capital'!#REF!</definedName>
    <definedName name="loanmonths">'[6]Debt Financing'!$I$102</definedName>
    <definedName name="month1">'[6]Debt Financing'!$V$99</definedName>
    <definedName name="month10">'[6]Debt Financing'!$AE$99</definedName>
    <definedName name="month11">'[6]Debt Financing'!$AF$99</definedName>
    <definedName name="month12">'[6]Debt Financing'!$AG$99</definedName>
    <definedName name="month2">'[6]Debt Financing'!$W$99</definedName>
    <definedName name="month3">'[6]Debt Financing'!$X$99</definedName>
    <definedName name="month4">'[6]Debt Financing'!$Y$99</definedName>
    <definedName name="month5">'[6]Debt Financing'!$Z$99</definedName>
    <definedName name="month6">'[6]Debt Financing'!$AA$99</definedName>
    <definedName name="month7">'[6]Debt Financing'!$AB$99</definedName>
    <definedName name="month8">'[6]Debt Financing'!$AC$99</definedName>
    <definedName name="month9">'[6]Debt Financing'!$AD$99</definedName>
    <definedName name="monthlyrate">'[6]Debt Financing'!$I$104</definedName>
    <definedName name="_xlnm.Print_Area" localSheetId="0">'ATTACHMENT 18'!#REF!</definedName>
    <definedName name="_xlnm.Print_Area" localSheetId="5">'Cost of Capital'!#REF!</definedName>
    <definedName name="_xlnm.Print_Area" localSheetId="6">'Key Value Summary'!#REF!</definedName>
    <definedName name="_xlnm.Print_Area" localSheetId="3">OMA_WC_CAPEX!#REF!</definedName>
    <definedName name="_xlnm.Print_Area" localSheetId="2">'Rate Base'!#REF!</definedName>
    <definedName name="_xlnm.Print_Area" localSheetId="1">OMA_WC_CAPEX!$A$31:$S$48</definedName>
    <definedName name="_xlnm.Print_Area" localSheetId="4">Taxes!#REF!</definedName>
    <definedName name="_xlnm.Print_Titles" localSheetId="0">'ATTACHMENT 18'!$A:$C,'ATTACHMENT 18'!#REF!</definedName>
    <definedName name="_xlnm.Print_Titles" localSheetId="5">'Cost of Capital'!$A:$C,'Cost of Capital'!#REF!</definedName>
    <definedName name="_xlnm.Print_Titles" localSheetId="6">'Key Value Summary'!$A:$B,'Key Value Summary'!#REF!</definedName>
    <definedName name="_xlnm.Print_Titles" localSheetId="3">OMA_WC_CAPEX!$A:$C,OMA_WC_CAPEX!#REF!</definedName>
    <definedName name="_xlnm.Print_Titles" localSheetId="2">'Rate Base'!$A:$C,'Rate Base'!#REF!</definedName>
    <definedName name="_xlnm.Print_Titles" localSheetId="1">'RR SUMMARY'!$A:$C,'RR SUMMARY'!#REF!</definedName>
    <definedName name="_xlnm.Print_Titles" localSheetId="4">Taxes!$A:$C,Taxes!#REF!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H35" i="3"/>
  <c r="I36" i="3"/>
  <c r="J35" i="3"/>
  <c r="H36" i="3"/>
  <c r="J36" i="3"/>
  <c r="F43" i="3" l="1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F31" i="3"/>
  <c r="H8" i="8" l="1"/>
  <c r="I8" i="8"/>
  <c r="J8" i="8"/>
  <c r="K8" i="8"/>
  <c r="L8" i="8"/>
  <c r="M8" i="8"/>
  <c r="N8" i="8"/>
  <c r="O8" i="8"/>
  <c r="P8" i="8"/>
  <c r="Q8" i="8"/>
  <c r="R8" i="8"/>
  <c r="S8" i="8"/>
  <c r="G8" i="8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F21" i="6"/>
  <c r="E20" i="8" l="1"/>
  <c r="E34" i="1" l="1"/>
  <c r="E6" i="1"/>
  <c r="G12" i="7"/>
  <c r="S22" i="7"/>
  <c r="N22" i="7"/>
  <c r="I22" i="7"/>
  <c r="G6" i="4"/>
  <c r="F6" i="4"/>
  <c r="F27" i="4" s="1"/>
  <c r="E14" i="8"/>
  <c r="E10" i="8"/>
  <c r="E21" i="8" s="1"/>
  <c r="S6" i="8"/>
  <c r="R6" i="8"/>
  <c r="Q6" i="8"/>
  <c r="P6" i="8"/>
  <c r="N6" i="8"/>
  <c r="M6" i="8"/>
  <c r="J6" i="8"/>
  <c r="E6" i="8"/>
  <c r="J22" i="1"/>
  <c r="K22" i="1"/>
  <c r="L22" i="1"/>
  <c r="M22" i="1"/>
  <c r="N22" i="1"/>
  <c r="O22" i="1"/>
  <c r="P22" i="1"/>
  <c r="Q22" i="1"/>
  <c r="R22" i="1"/>
  <c r="S22" i="1"/>
  <c r="S29" i="7"/>
  <c r="N26" i="7"/>
  <c r="I26" i="7"/>
  <c r="S26" i="7"/>
  <c r="E17" i="7"/>
  <c r="N29" i="7"/>
  <c r="I29" i="7"/>
  <c r="N12" i="7"/>
  <c r="S13" i="7"/>
  <c r="R13" i="7"/>
  <c r="Q13" i="7"/>
  <c r="P13" i="7"/>
  <c r="O13" i="7"/>
  <c r="N31" i="7"/>
  <c r="M13" i="7"/>
  <c r="L13" i="7"/>
  <c r="K13" i="7"/>
  <c r="J13" i="7"/>
  <c r="I13" i="7"/>
  <c r="H13" i="7"/>
  <c r="G13" i="7"/>
  <c r="F13" i="7"/>
  <c r="J11" i="6"/>
  <c r="P34" i="6"/>
  <c r="L34" i="6"/>
  <c r="E16" i="5"/>
  <c r="E7" i="5"/>
  <c r="B1" i="4"/>
  <c r="E28" i="4"/>
  <c r="F28" i="4" s="1"/>
  <c r="F23" i="4"/>
  <c r="G23" i="4" s="1"/>
  <c r="H23" i="4" s="1"/>
  <c r="F22" i="4"/>
  <c r="F24" i="4" s="1"/>
  <c r="E22" i="4"/>
  <c r="E24" i="4" s="1"/>
  <c r="F18" i="4"/>
  <c r="G18" i="4" s="1"/>
  <c r="H18" i="4" s="1"/>
  <c r="F17" i="4"/>
  <c r="F19" i="4" s="1"/>
  <c r="E17" i="4"/>
  <c r="E19" i="4" s="1"/>
  <c r="H12" i="4"/>
  <c r="I12" i="4" s="1"/>
  <c r="H11" i="4"/>
  <c r="I11" i="4" s="1"/>
  <c r="H10" i="4"/>
  <c r="I10" i="4" s="1"/>
  <c r="E6" i="4"/>
  <c r="E27" i="4" s="1"/>
  <c r="E29" i="4" s="1"/>
  <c r="G22" i="4"/>
  <c r="G17" i="4"/>
  <c r="J6" i="1" l="1"/>
  <c r="J20" i="6"/>
  <c r="J23" i="6" s="1"/>
  <c r="Q34" i="6"/>
  <c r="M34" i="6"/>
  <c r="N11" i="6"/>
  <c r="I48" i="6"/>
  <c r="K11" i="6"/>
  <c r="K13" i="6" s="1"/>
  <c r="P11" i="6"/>
  <c r="K48" i="6"/>
  <c r="R48" i="6"/>
  <c r="Q11" i="6"/>
  <c r="G48" i="6"/>
  <c r="I11" i="6"/>
  <c r="H11" i="6"/>
  <c r="H20" i="6" s="1"/>
  <c r="H23" i="6" s="1"/>
  <c r="F34" i="6"/>
  <c r="M11" i="6"/>
  <c r="M20" i="6" s="1"/>
  <c r="M23" i="6" s="1"/>
  <c r="O11" i="6"/>
  <c r="O20" i="6" s="1"/>
  <c r="O23" i="6" s="1"/>
  <c r="F12" i="7"/>
  <c r="H12" i="7"/>
  <c r="O12" i="7"/>
  <c r="O14" i="7" s="1"/>
  <c r="O15" i="7" s="1"/>
  <c r="R12" i="7"/>
  <c r="R14" i="7" s="1"/>
  <c r="R15" i="7" s="1"/>
  <c r="P12" i="7"/>
  <c r="P14" i="7" s="1"/>
  <c r="P15" i="7" s="1"/>
  <c r="Q12" i="7"/>
  <c r="Q14" i="7" s="1"/>
  <c r="Q15" i="7" s="1"/>
  <c r="N13" i="7"/>
  <c r="N14" i="7" s="1"/>
  <c r="N15" i="7" s="1"/>
  <c r="L12" i="7"/>
  <c r="L14" i="7" s="1"/>
  <c r="L15" i="7" s="1"/>
  <c r="S12" i="7"/>
  <c r="S14" i="7" s="1"/>
  <c r="S15" i="7" s="1"/>
  <c r="M12" i="7"/>
  <c r="M14" i="7" s="1"/>
  <c r="M15" i="7" s="1"/>
  <c r="F6" i="8"/>
  <c r="G6" i="8"/>
  <c r="H6" i="8"/>
  <c r="I6" i="8"/>
  <c r="K6" i="8"/>
  <c r="O6" i="8"/>
  <c r="L6" i="8"/>
  <c r="E15" i="8"/>
  <c r="E16" i="8" s="1"/>
  <c r="F14" i="7"/>
  <c r="F15" i="7" s="1"/>
  <c r="G14" i="7"/>
  <c r="G15" i="7" s="1"/>
  <c r="I12" i="7"/>
  <c r="I14" i="7" s="1"/>
  <c r="I15" i="7" s="1"/>
  <c r="J12" i="7"/>
  <c r="J14" i="7" s="1"/>
  <c r="J15" i="7" s="1"/>
  <c r="K12" i="7"/>
  <c r="K14" i="7" s="1"/>
  <c r="K15" i="7" s="1"/>
  <c r="H14" i="7"/>
  <c r="H15" i="7" s="1"/>
  <c r="I31" i="7"/>
  <c r="S31" i="7"/>
  <c r="L11" i="6"/>
  <c r="H48" i="6"/>
  <c r="J48" i="6"/>
  <c r="G34" i="6"/>
  <c r="J34" i="6"/>
  <c r="N48" i="6"/>
  <c r="N34" i="6"/>
  <c r="P48" i="6"/>
  <c r="I34" i="6"/>
  <c r="M48" i="6"/>
  <c r="O34" i="6"/>
  <c r="Q48" i="6"/>
  <c r="H34" i="6"/>
  <c r="S11" i="6"/>
  <c r="O48" i="6"/>
  <c r="F11" i="6"/>
  <c r="G11" i="6"/>
  <c r="K34" i="6"/>
  <c r="S48" i="6"/>
  <c r="R34" i="6"/>
  <c r="L48" i="6"/>
  <c r="S34" i="6"/>
  <c r="R11" i="6"/>
  <c r="F48" i="6"/>
  <c r="E31" i="4"/>
  <c r="G27" i="4"/>
  <c r="H5" i="4"/>
  <c r="G19" i="4"/>
  <c r="G24" i="4"/>
  <c r="J11" i="4"/>
  <c r="I23" i="4"/>
  <c r="I28" i="4"/>
  <c r="J12" i="4"/>
  <c r="F29" i="4"/>
  <c r="G28" i="4"/>
  <c r="I18" i="4"/>
  <c r="J10" i="4"/>
  <c r="H4" i="4"/>
  <c r="H6" i="4" s="1"/>
  <c r="H27" i="4" s="1"/>
  <c r="S71" i="3"/>
  <c r="R71" i="3"/>
  <c r="Q71" i="3"/>
  <c r="O71" i="3"/>
  <c r="N71" i="3"/>
  <c r="J71" i="3"/>
  <c r="I71" i="3"/>
  <c r="H71" i="3"/>
  <c r="G47" i="3"/>
  <c r="S35" i="3"/>
  <c r="P35" i="3"/>
  <c r="P23" i="3"/>
  <c r="O23" i="3"/>
  <c r="N23" i="3"/>
  <c r="L23" i="3"/>
  <c r="K23" i="3"/>
  <c r="I23" i="3"/>
  <c r="H23" i="3"/>
  <c r="P20" i="3"/>
  <c r="E7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14" i="1"/>
  <c r="S28" i="7"/>
  <c r="S30" i="7" s="1"/>
  <c r="N28" i="7"/>
  <c r="N30" i="7" s="1"/>
  <c r="N32" i="7" s="1"/>
  <c r="I28" i="7"/>
  <c r="I30" i="7" s="1"/>
  <c r="E5" i="1"/>
  <c r="E9" i="5" s="1"/>
  <c r="E4" i="7"/>
  <c r="E5" i="7" s="1"/>
  <c r="I22" i="1"/>
  <c r="H22" i="1"/>
  <c r="G22" i="1"/>
  <c r="F22" i="1"/>
  <c r="E21" i="1"/>
  <c r="E30" i="1" s="1"/>
  <c r="E32" i="1" s="1"/>
  <c r="I6" i="1" l="1"/>
  <c r="I20" i="6"/>
  <c r="I23" i="6" s="1"/>
  <c r="Q6" i="1"/>
  <c r="Q20" i="6"/>
  <c r="Q23" i="6" s="1"/>
  <c r="R6" i="1"/>
  <c r="R20" i="6"/>
  <c r="R23" i="6" s="1"/>
  <c r="P6" i="1"/>
  <c r="P5" i="5" s="1"/>
  <c r="P20" i="6"/>
  <c r="P23" i="6" s="1"/>
  <c r="K6" i="1"/>
  <c r="K20" i="6"/>
  <c r="K23" i="6" s="1"/>
  <c r="N6" i="1"/>
  <c r="N20" i="6"/>
  <c r="N23" i="6" s="1"/>
  <c r="G6" i="1"/>
  <c r="G20" i="6"/>
  <c r="G23" i="6" s="1"/>
  <c r="L6" i="1"/>
  <c r="L20" i="6"/>
  <c r="L23" i="6" s="1"/>
  <c r="S6" i="1"/>
  <c r="S20" i="6"/>
  <c r="S23" i="6" s="1"/>
  <c r="F6" i="1"/>
  <c r="F20" i="6"/>
  <c r="O13" i="6"/>
  <c r="O6" i="1"/>
  <c r="M13" i="6"/>
  <c r="M6" i="1"/>
  <c r="M5" i="5" s="1"/>
  <c r="H13" i="6"/>
  <c r="H6" i="1"/>
  <c r="E22" i="8"/>
  <c r="Q13" i="6"/>
  <c r="I13" i="6"/>
  <c r="J13" i="6"/>
  <c r="L13" i="6"/>
  <c r="N13" i="6"/>
  <c r="G13" i="6"/>
  <c r="P13" i="6"/>
  <c r="S13" i="6"/>
  <c r="F31" i="4"/>
  <c r="I32" i="7"/>
  <c r="S32" i="7"/>
  <c r="S7" i="5"/>
  <c r="R13" i="6"/>
  <c r="E5" i="5"/>
  <c r="F5" i="5"/>
  <c r="I5" i="5"/>
  <c r="J5" i="5"/>
  <c r="S5" i="5"/>
  <c r="O5" i="5"/>
  <c r="Q5" i="5"/>
  <c r="R5" i="5"/>
  <c r="O7" i="5"/>
  <c r="N7" i="5"/>
  <c r="P7" i="5"/>
  <c r="K7" i="5"/>
  <c r="Q7" i="5"/>
  <c r="R7" i="5"/>
  <c r="I7" i="5"/>
  <c r="J7" i="5"/>
  <c r="G7" i="5"/>
  <c r="H7" i="5"/>
  <c r="F7" i="5"/>
  <c r="L7" i="5"/>
  <c r="K5" i="5"/>
  <c r="M7" i="5"/>
  <c r="E55" i="3"/>
  <c r="E3" i="5"/>
  <c r="I5" i="4"/>
  <c r="H22" i="4"/>
  <c r="H24" i="4" s="1"/>
  <c r="J18" i="4"/>
  <c r="K10" i="4"/>
  <c r="H28" i="4"/>
  <c r="H29" i="4" s="1"/>
  <c r="G29" i="4"/>
  <c r="K12" i="4"/>
  <c r="J28" i="4"/>
  <c r="H17" i="4"/>
  <c r="H19" i="4" s="1"/>
  <c r="I4" i="4"/>
  <c r="I6" i="4" s="1"/>
  <c r="I27" i="4" s="1"/>
  <c r="I29" i="4" s="1"/>
  <c r="J23" i="4"/>
  <c r="K11" i="4"/>
  <c r="M44" i="3"/>
  <c r="M45" i="3" s="1"/>
  <c r="N47" i="3"/>
  <c r="N48" i="3" s="1"/>
  <c r="P47" i="3"/>
  <c r="P48" i="3" s="1"/>
  <c r="K25" i="6"/>
  <c r="K9" i="8" s="1"/>
  <c r="J26" i="3"/>
  <c r="J27" i="3" s="1"/>
  <c r="G32" i="3"/>
  <c r="G33" i="3" s="1"/>
  <c r="O38" i="3"/>
  <c r="O39" i="3" s="1"/>
  <c r="J50" i="3"/>
  <c r="J51" i="3" s="1"/>
  <c r="H24" i="3"/>
  <c r="L44" i="3"/>
  <c r="L45" i="3" s="1"/>
  <c r="E23" i="1"/>
  <c r="O25" i="6"/>
  <c r="O9" i="8" s="1"/>
  <c r="H25" i="6"/>
  <c r="H9" i="8" s="1"/>
  <c r="J25" i="6"/>
  <c r="J9" i="8" s="1"/>
  <c r="K74" i="3"/>
  <c r="K75" i="3" s="1"/>
  <c r="L74" i="3"/>
  <c r="L75" i="3" s="1"/>
  <c r="S36" i="3"/>
  <c r="M74" i="3"/>
  <c r="M75" i="3" s="1"/>
  <c r="N72" i="3"/>
  <c r="M26" i="3"/>
  <c r="M27" i="3" s="1"/>
  <c r="Q44" i="3"/>
  <c r="Q45" i="3" s="1"/>
  <c r="N24" i="3"/>
  <c r="P74" i="3"/>
  <c r="P75" i="3" s="1"/>
  <c r="Q72" i="3"/>
  <c r="H32" i="3"/>
  <c r="H33" i="3" s="1"/>
  <c r="R47" i="3"/>
  <c r="R48" i="3" s="1"/>
  <c r="R72" i="3"/>
  <c r="Q26" i="3"/>
  <c r="Q27" i="3" s="1"/>
  <c r="S38" i="3"/>
  <c r="S39" i="3" s="1"/>
  <c r="S50" i="3"/>
  <c r="S51" i="3" s="1"/>
  <c r="S72" i="3"/>
  <c r="R26" i="3"/>
  <c r="R27" i="3" s="1"/>
  <c r="F68" i="3"/>
  <c r="F69" i="3" s="1"/>
  <c r="P68" i="3"/>
  <c r="P69" i="3" s="1"/>
  <c r="Q23" i="3"/>
  <c r="Q24" i="3" s="1"/>
  <c r="G44" i="3"/>
  <c r="G45" i="3" s="1"/>
  <c r="G68" i="3"/>
  <c r="G69" i="3" s="1"/>
  <c r="L71" i="3"/>
  <c r="L72" i="3" s="1"/>
  <c r="K26" i="3"/>
  <c r="K27" i="3" s="1"/>
  <c r="N38" i="3"/>
  <c r="N39" i="3" s="1"/>
  <c r="H47" i="3"/>
  <c r="H48" i="3" s="1"/>
  <c r="N74" i="3"/>
  <c r="N75" i="3" s="1"/>
  <c r="P21" i="3"/>
  <c r="O24" i="3"/>
  <c r="P36" i="3"/>
  <c r="Q38" i="3"/>
  <c r="Q39" i="3" s="1"/>
  <c r="F44" i="3"/>
  <c r="F45" i="3" s="1"/>
  <c r="R38" i="3"/>
  <c r="R39" i="3" s="1"/>
  <c r="S26" i="3"/>
  <c r="S27" i="3" s="1"/>
  <c r="I47" i="3"/>
  <c r="I48" i="3" s="1"/>
  <c r="L47" i="3"/>
  <c r="L48" i="3" s="1"/>
  <c r="J47" i="3"/>
  <c r="J48" i="3" s="1"/>
  <c r="H72" i="3"/>
  <c r="M20" i="3"/>
  <c r="M21" i="3" s="1"/>
  <c r="F32" i="3"/>
  <c r="F33" i="3" s="1"/>
  <c r="K47" i="3"/>
  <c r="K48" i="3" s="1"/>
  <c r="I72" i="3"/>
  <c r="L68" i="3"/>
  <c r="L69" i="3" s="1"/>
  <c r="F20" i="3"/>
  <c r="F21" i="3" s="1"/>
  <c r="Q20" i="3"/>
  <c r="Q21" i="3" s="1"/>
  <c r="J72" i="3"/>
  <c r="G20" i="3"/>
  <c r="G21" i="3" s="1"/>
  <c r="P38" i="3"/>
  <c r="P39" i="3" s="1"/>
  <c r="M47" i="3"/>
  <c r="M48" i="3" s="1"/>
  <c r="M23" i="3"/>
  <c r="M24" i="3" s="1"/>
  <c r="I24" i="3"/>
  <c r="P24" i="3"/>
  <c r="J38" i="3"/>
  <c r="J39" i="3" s="1"/>
  <c r="P44" i="3"/>
  <c r="P45" i="3" s="1"/>
  <c r="O47" i="3"/>
  <c r="O48" i="3" s="1"/>
  <c r="K38" i="3"/>
  <c r="K39" i="3" s="1"/>
  <c r="P71" i="3"/>
  <c r="P72" i="3" s="1"/>
  <c r="K24" i="3"/>
  <c r="R23" i="3"/>
  <c r="R24" i="3" s="1"/>
  <c r="L38" i="3"/>
  <c r="L39" i="3" s="1"/>
  <c r="Q50" i="3"/>
  <c r="Q51" i="3" s="1"/>
  <c r="S68" i="3"/>
  <c r="S69" i="3" s="1"/>
  <c r="O72" i="3"/>
  <c r="J74" i="3"/>
  <c r="J75" i="3" s="1"/>
  <c r="L24" i="3"/>
  <c r="S23" i="3"/>
  <c r="S24" i="3" s="1"/>
  <c r="M38" i="3"/>
  <c r="M39" i="3" s="1"/>
  <c r="R20" i="3"/>
  <c r="R21" i="3" s="1"/>
  <c r="L26" i="3"/>
  <c r="L27" i="3" s="1"/>
  <c r="I32" i="3"/>
  <c r="I33" i="3" s="1"/>
  <c r="R44" i="3"/>
  <c r="R45" i="3" s="1"/>
  <c r="Q47" i="3"/>
  <c r="Q48" i="3" s="1"/>
  <c r="K50" i="3"/>
  <c r="K51" i="3" s="1"/>
  <c r="O74" i="3"/>
  <c r="O75" i="3" s="1"/>
  <c r="S20" i="3"/>
  <c r="S21" i="3" s="1"/>
  <c r="J32" i="3"/>
  <c r="J33" i="3" s="1"/>
  <c r="S44" i="3"/>
  <c r="S45" i="3" s="1"/>
  <c r="L50" i="3"/>
  <c r="L51" i="3" s="1"/>
  <c r="N26" i="3"/>
  <c r="N27" i="3" s="1"/>
  <c r="K32" i="3"/>
  <c r="K33" i="3" s="1"/>
  <c r="K35" i="3"/>
  <c r="K36" i="3" s="1"/>
  <c r="S47" i="3"/>
  <c r="S48" i="3" s="1"/>
  <c r="M50" i="3"/>
  <c r="M51" i="3" s="1"/>
  <c r="Q74" i="3"/>
  <c r="Q75" i="3" s="1"/>
  <c r="O26" i="3"/>
  <c r="O27" i="3" s="1"/>
  <c r="L32" i="3"/>
  <c r="L33" i="3" s="1"/>
  <c r="L35" i="3"/>
  <c r="L36" i="3" s="1"/>
  <c r="N50" i="3"/>
  <c r="N51" i="3" s="1"/>
  <c r="H68" i="3"/>
  <c r="H69" i="3" s="1"/>
  <c r="R74" i="3"/>
  <c r="R75" i="3" s="1"/>
  <c r="P26" i="3"/>
  <c r="P27" i="3" s="1"/>
  <c r="M32" i="3"/>
  <c r="M33" i="3" s="1"/>
  <c r="M35" i="3"/>
  <c r="M36" i="3" s="1"/>
  <c r="O50" i="3"/>
  <c r="O51" i="3" s="1"/>
  <c r="I68" i="3"/>
  <c r="I69" i="3" s="1"/>
  <c r="S74" i="3"/>
  <c r="S75" i="3" s="1"/>
  <c r="N32" i="3"/>
  <c r="N33" i="3" s="1"/>
  <c r="N35" i="3"/>
  <c r="N36" i="3" s="1"/>
  <c r="P50" i="3"/>
  <c r="P51" i="3" s="1"/>
  <c r="J68" i="3"/>
  <c r="J69" i="3" s="1"/>
  <c r="H20" i="3"/>
  <c r="H21" i="3" s="1"/>
  <c r="O32" i="3"/>
  <c r="O33" i="3" s="1"/>
  <c r="O35" i="3"/>
  <c r="O36" i="3" s="1"/>
  <c r="H44" i="3"/>
  <c r="H45" i="3" s="1"/>
  <c r="K68" i="3"/>
  <c r="K69" i="3" s="1"/>
  <c r="K71" i="3"/>
  <c r="K72" i="3" s="1"/>
  <c r="I20" i="3"/>
  <c r="I21" i="3" s="1"/>
  <c r="P32" i="3"/>
  <c r="P33" i="3" s="1"/>
  <c r="I44" i="3"/>
  <c r="I45" i="3" s="1"/>
  <c r="R50" i="3"/>
  <c r="R51" i="3" s="1"/>
  <c r="J20" i="3"/>
  <c r="J21" i="3" s="1"/>
  <c r="J23" i="3"/>
  <c r="J24" i="3" s="1"/>
  <c r="Q32" i="3"/>
  <c r="Q33" i="3" s="1"/>
  <c r="Q35" i="3"/>
  <c r="Q36" i="3" s="1"/>
  <c r="J44" i="3"/>
  <c r="J45" i="3" s="1"/>
  <c r="M68" i="3"/>
  <c r="M69" i="3" s="1"/>
  <c r="M71" i="3"/>
  <c r="M72" i="3" s="1"/>
  <c r="K20" i="3"/>
  <c r="K21" i="3" s="1"/>
  <c r="R32" i="3"/>
  <c r="R33" i="3" s="1"/>
  <c r="R35" i="3"/>
  <c r="R36" i="3" s="1"/>
  <c r="K44" i="3"/>
  <c r="K45" i="3" s="1"/>
  <c r="N68" i="3"/>
  <c r="N69" i="3" s="1"/>
  <c r="L20" i="3"/>
  <c r="L21" i="3" s="1"/>
  <c r="S32" i="3"/>
  <c r="S33" i="3" s="1"/>
  <c r="O68" i="3"/>
  <c r="O69" i="3" s="1"/>
  <c r="N20" i="3"/>
  <c r="N21" i="3" s="1"/>
  <c r="N44" i="3"/>
  <c r="N45" i="3" s="1"/>
  <c r="Q68" i="3"/>
  <c r="Q69" i="3" s="1"/>
  <c r="O20" i="3"/>
  <c r="O21" i="3" s="1"/>
  <c r="O44" i="3"/>
  <c r="O45" i="3" s="1"/>
  <c r="R68" i="3"/>
  <c r="R69" i="3" s="1"/>
  <c r="P25" i="6" l="1"/>
  <c r="P9" i="8" s="1"/>
  <c r="L5" i="5"/>
  <c r="O10" i="8"/>
  <c r="O21" i="8" s="1"/>
  <c r="O13" i="5" s="1"/>
  <c r="N5" i="5"/>
  <c r="L25" i="6"/>
  <c r="L9" i="8" s="1"/>
  <c r="H10" i="8"/>
  <c r="H15" i="8" s="1"/>
  <c r="G25" i="6"/>
  <c r="G9" i="8" s="1"/>
  <c r="G5" i="5"/>
  <c r="I25" i="6"/>
  <c r="I9" i="8" s="1"/>
  <c r="P10" i="8"/>
  <c r="J10" i="8"/>
  <c r="F23" i="6"/>
  <c r="F25" i="6" s="1"/>
  <c r="F9" i="8" s="1"/>
  <c r="K10" i="8"/>
  <c r="O15" i="8"/>
  <c r="R25" i="6"/>
  <c r="R9" i="8" s="1"/>
  <c r="Q25" i="6"/>
  <c r="Q9" i="8" s="1"/>
  <c r="S25" i="6"/>
  <c r="S9" i="8" s="1"/>
  <c r="H5" i="5"/>
  <c r="G31" i="4"/>
  <c r="F14" i="8"/>
  <c r="H31" i="4"/>
  <c r="I22" i="4"/>
  <c r="I24" i="4" s="1"/>
  <c r="J5" i="4"/>
  <c r="I17" i="4"/>
  <c r="I19" i="4" s="1"/>
  <c r="J4" i="4"/>
  <c r="L12" i="4"/>
  <c r="K28" i="4"/>
  <c r="L10" i="4"/>
  <c r="K18" i="4"/>
  <c r="K23" i="4"/>
  <c r="L11" i="4"/>
  <c r="N25" i="6"/>
  <c r="N9" i="8" s="1"/>
  <c r="M25" i="6"/>
  <c r="M9" i="8" s="1"/>
  <c r="H21" i="8" l="1"/>
  <c r="H13" i="5" s="1"/>
  <c r="G10" i="8"/>
  <c r="L10" i="8"/>
  <c r="K15" i="8"/>
  <c r="K21" i="8"/>
  <c r="K13" i="5" s="1"/>
  <c r="P15" i="8"/>
  <c r="P21" i="8"/>
  <c r="P13" i="5" s="1"/>
  <c r="I10" i="8"/>
  <c r="F10" i="8"/>
  <c r="J21" i="8"/>
  <c r="J13" i="5" s="1"/>
  <c r="J15" i="8"/>
  <c r="N10" i="8"/>
  <c r="Q10" i="8"/>
  <c r="S10" i="8"/>
  <c r="M10" i="8"/>
  <c r="R10" i="8"/>
  <c r="J6" i="4"/>
  <c r="J27" i="4" s="1"/>
  <c r="J29" i="4" s="1"/>
  <c r="I31" i="4"/>
  <c r="G14" i="8"/>
  <c r="I14" i="8"/>
  <c r="H14" i="8"/>
  <c r="H16" i="8" s="1"/>
  <c r="H22" i="8" s="1"/>
  <c r="H20" i="8" s="1"/>
  <c r="H12" i="5" s="1"/>
  <c r="N55" i="3"/>
  <c r="N56" i="3" s="1"/>
  <c r="N57" i="3" s="1"/>
  <c r="N3" i="5"/>
  <c r="K5" i="4"/>
  <c r="J22" i="4"/>
  <c r="J24" i="4" s="1"/>
  <c r="M10" i="4"/>
  <c r="L18" i="4"/>
  <c r="L23" i="4"/>
  <c r="M11" i="4"/>
  <c r="M12" i="4"/>
  <c r="L28" i="4"/>
  <c r="K4" i="4"/>
  <c r="J17" i="4"/>
  <c r="J19" i="4" s="1"/>
  <c r="E4" i="1"/>
  <c r="E14" i="5" s="1"/>
  <c r="H4" i="7"/>
  <c r="H6" i="7" s="1"/>
  <c r="H17" i="7" s="1"/>
  <c r="G4" i="7"/>
  <c r="G6" i="7" s="1"/>
  <c r="G17" i="7" s="1"/>
  <c r="J4" i="7"/>
  <c r="J6" i="7" s="1"/>
  <c r="J17" i="7" s="1"/>
  <c r="L21" i="8" l="1"/>
  <c r="L13" i="5" s="1"/>
  <c r="L15" i="8"/>
  <c r="G15" i="8"/>
  <c r="G16" i="8" s="1"/>
  <c r="G22" i="8" s="1"/>
  <c r="G21" i="8"/>
  <c r="G13" i="5" s="1"/>
  <c r="M15" i="8"/>
  <c r="M21" i="8"/>
  <c r="M13" i="5" s="1"/>
  <c r="F21" i="8"/>
  <c r="F13" i="5" s="1"/>
  <c r="F15" i="8"/>
  <c r="F16" i="8" s="1"/>
  <c r="F22" i="8" s="1"/>
  <c r="F20" i="8" s="1"/>
  <c r="F12" i="5" s="1"/>
  <c r="I21" i="8"/>
  <c r="I13" i="5" s="1"/>
  <c r="I15" i="8"/>
  <c r="I16" i="8" s="1"/>
  <c r="I22" i="8" s="1"/>
  <c r="I20" i="8" s="1"/>
  <c r="I12" i="5" s="1"/>
  <c r="Q15" i="8"/>
  <c r="Q21" i="8"/>
  <c r="Q13" i="5" s="1"/>
  <c r="R15" i="8"/>
  <c r="R21" i="8"/>
  <c r="R13" i="5" s="1"/>
  <c r="S21" i="8"/>
  <c r="S13" i="5" s="1"/>
  <c r="S15" i="8"/>
  <c r="N15" i="8"/>
  <c r="N21" i="8"/>
  <c r="N13" i="5" s="1"/>
  <c r="F4" i="7"/>
  <c r="F6" i="7" s="1"/>
  <c r="F17" i="7" s="1"/>
  <c r="J31" i="4"/>
  <c r="K6" i="4"/>
  <c r="K27" i="4" s="1"/>
  <c r="K29" i="4" s="1"/>
  <c r="J14" i="8"/>
  <c r="J16" i="8" s="1"/>
  <c r="J22" i="8" s="1"/>
  <c r="J20" i="8" s="1"/>
  <c r="J12" i="5" s="1"/>
  <c r="K4" i="7"/>
  <c r="K6" i="7" s="1"/>
  <c r="K17" i="7" s="1"/>
  <c r="I3" i="5"/>
  <c r="I4" i="7"/>
  <c r="K55" i="3"/>
  <c r="K56" i="3" s="1"/>
  <c r="K57" i="3" s="1"/>
  <c r="K3" i="5"/>
  <c r="O55" i="3"/>
  <c r="O56" i="3" s="1"/>
  <c r="O57" i="3" s="1"/>
  <c r="O3" i="5"/>
  <c r="J55" i="3"/>
  <c r="J56" i="3" s="1"/>
  <c r="J57" i="3" s="1"/>
  <c r="J3" i="5"/>
  <c r="G55" i="3"/>
  <c r="G56" i="3" s="1"/>
  <c r="G57" i="3" s="1"/>
  <c r="G3" i="5"/>
  <c r="P55" i="3"/>
  <c r="P56" i="3" s="1"/>
  <c r="P57" i="3" s="1"/>
  <c r="P3" i="5"/>
  <c r="Q55" i="3"/>
  <c r="Q56" i="3" s="1"/>
  <c r="Q57" i="3" s="1"/>
  <c r="Q3" i="5"/>
  <c r="M55" i="3"/>
  <c r="M56" i="3" s="1"/>
  <c r="M57" i="3" s="1"/>
  <c r="M3" i="5"/>
  <c r="R55" i="3"/>
  <c r="R56" i="3" s="1"/>
  <c r="R57" i="3" s="1"/>
  <c r="R3" i="5"/>
  <c r="F55" i="3"/>
  <c r="F56" i="3" s="1"/>
  <c r="F57" i="3" s="1"/>
  <c r="F3" i="5"/>
  <c r="L55" i="3"/>
  <c r="L56" i="3" s="1"/>
  <c r="L57" i="3" s="1"/>
  <c r="L3" i="5"/>
  <c r="S55" i="3"/>
  <c r="S56" i="3" s="1"/>
  <c r="S57" i="3" s="1"/>
  <c r="S3" i="5"/>
  <c r="H55" i="3"/>
  <c r="H59" i="3" s="1"/>
  <c r="H60" i="3" s="1"/>
  <c r="H3" i="5"/>
  <c r="L5" i="4"/>
  <c r="K22" i="4"/>
  <c r="K24" i="4" s="1"/>
  <c r="M28" i="4"/>
  <c r="N12" i="4"/>
  <c r="K17" i="4"/>
  <c r="K19" i="4" s="1"/>
  <c r="L4" i="4"/>
  <c r="L6" i="4" s="1"/>
  <c r="L27" i="4" s="1"/>
  <c r="L29" i="4" s="1"/>
  <c r="M23" i="4"/>
  <c r="N11" i="4"/>
  <c r="N10" i="4"/>
  <c r="M18" i="4"/>
  <c r="I55" i="3"/>
  <c r="G20" i="8" l="1"/>
  <c r="G12" i="5" s="1"/>
  <c r="L4" i="7"/>
  <c r="L6" i="7" s="1"/>
  <c r="L17" i="7" s="1"/>
  <c r="O59" i="3"/>
  <c r="O60" i="3" s="1"/>
  <c r="I6" i="7"/>
  <c r="I17" i="7" s="1"/>
  <c r="I24" i="7"/>
  <c r="I23" i="7" s="1"/>
  <c r="I21" i="7" s="1"/>
  <c r="R62" i="3"/>
  <c r="R63" i="3" s="1"/>
  <c r="S59" i="3"/>
  <c r="S60" i="3" s="1"/>
  <c r="P59" i="3"/>
  <c r="P60" i="3" s="1"/>
  <c r="K59" i="3"/>
  <c r="K60" i="3" s="1"/>
  <c r="H56" i="3"/>
  <c r="H57" i="3" s="1"/>
  <c r="M59" i="3"/>
  <c r="M60" i="3" s="1"/>
  <c r="R59" i="3"/>
  <c r="R60" i="3" s="1"/>
  <c r="Q59" i="3"/>
  <c r="Q60" i="3" s="1"/>
  <c r="N59" i="3"/>
  <c r="N60" i="3" s="1"/>
  <c r="L59" i="3"/>
  <c r="L60" i="3" s="1"/>
  <c r="J59" i="3"/>
  <c r="J60" i="3" s="1"/>
  <c r="K31" i="4"/>
  <c r="M5" i="4"/>
  <c r="L22" i="4"/>
  <c r="L24" i="4" s="1"/>
  <c r="N23" i="4"/>
  <c r="O11" i="4"/>
  <c r="M4" i="4"/>
  <c r="M6" i="4" s="1"/>
  <c r="L17" i="4"/>
  <c r="L19" i="4" s="1"/>
  <c r="M62" i="3"/>
  <c r="M63" i="3" s="1"/>
  <c r="S62" i="3"/>
  <c r="S63" i="3" s="1"/>
  <c r="M27" i="4"/>
  <c r="M29" i="4" s="1"/>
  <c r="O10" i="4"/>
  <c r="N18" i="4"/>
  <c r="N28" i="4"/>
  <c r="O12" i="4"/>
  <c r="K62" i="3"/>
  <c r="K63" i="3" s="1"/>
  <c r="I56" i="3"/>
  <c r="I57" i="3" s="1"/>
  <c r="I59" i="3"/>
  <c r="I60" i="3" s="1"/>
  <c r="P62" i="3"/>
  <c r="P63" i="3" s="1"/>
  <c r="N62" i="3"/>
  <c r="N63" i="3" s="1"/>
  <c r="O62" i="3"/>
  <c r="O63" i="3" s="1"/>
  <c r="L62" i="3"/>
  <c r="L63" i="3" s="1"/>
  <c r="Q62" i="3"/>
  <c r="Q63" i="3" s="1"/>
  <c r="J62" i="3"/>
  <c r="J63" i="3" s="1"/>
  <c r="K14" i="8" l="1"/>
  <c r="K16" i="8" s="1"/>
  <c r="K22" i="8" s="1"/>
  <c r="K20" i="8" s="1"/>
  <c r="K12" i="5" s="1"/>
  <c r="M4" i="7"/>
  <c r="M6" i="7" s="1"/>
  <c r="M17" i="7" s="1"/>
  <c r="L31" i="4"/>
  <c r="N5" i="4"/>
  <c r="M22" i="4"/>
  <c r="M24" i="4" s="1"/>
  <c r="O18" i="4"/>
  <c r="P10" i="4"/>
  <c r="O23" i="4"/>
  <c r="P11" i="4"/>
  <c r="O28" i="4"/>
  <c r="P12" i="4"/>
  <c r="M17" i="4"/>
  <c r="M19" i="4" s="1"/>
  <c r="N4" i="4"/>
  <c r="M31" i="4" l="1"/>
  <c r="N6" i="4"/>
  <c r="N27" i="4" s="1"/>
  <c r="N29" i="4" s="1"/>
  <c r="M14" i="8"/>
  <c r="M16" i="8" s="1"/>
  <c r="M22" i="8" s="1"/>
  <c r="M20" i="8" s="1"/>
  <c r="M12" i="5" s="1"/>
  <c r="N4" i="7"/>
  <c r="L14" i="8"/>
  <c r="L16" i="8" s="1"/>
  <c r="L22" i="8" s="1"/>
  <c r="L20" i="8" s="1"/>
  <c r="L12" i="5" s="1"/>
  <c r="O5" i="4"/>
  <c r="N22" i="4"/>
  <c r="N24" i="4" s="1"/>
  <c r="O4" i="4"/>
  <c r="O6" i="4" s="1"/>
  <c r="N17" i="4"/>
  <c r="N19" i="4" s="1"/>
  <c r="O27" i="4"/>
  <c r="O29" i="4" s="1"/>
  <c r="P28" i="4"/>
  <c r="Q12" i="4"/>
  <c r="Q11" i="4"/>
  <c r="P23" i="4"/>
  <c r="P18" i="4"/>
  <c r="Q10" i="4"/>
  <c r="N31" i="4" l="1"/>
  <c r="O4" i="7"/>
  <c r="O6" i="7" s="1"/>
  <c r="O17" i="7" s="1"/>
  <c r="N14" i="8"/>
  <c r="N16" i="8" s="1"/>
  <c r="N22" i="8" s="1"/>
  <c r="N20" i="8" s="1"/>
  <c r="N12" i="5" s="1"/>
  <c r="N6" i="7"/>
  <c r="N17" i="7" s="1"/>
  <c r="N24" i="7"/>
  <c r="N23" i="7" s="1"/>
  <c r="N21" i="7" s="1"/>
  <c r="O22" i="4"/>
  <c r="O24" i="4" s="1"/>
  <c r="P5" i="4"/>
  <c r="R10" i="4"/>
  <c r="Q18" i="4"/>
  <c r="R11" i="4"/>
  <c r="Q23" i="4"/>
  <c r="Q28" i="4"/>
  <c r="R12" i="4"/>
  <c r="O17" i="4"/>
  <c r="O19" i="4" s="1"/>
  <c r="P4" i="4"/>
  <c r="F5" i="1"/>
  <c r="F9" i="5" l="1"/>
  <c r="F16" i="5" s="1"/>
  <c r="P6" i="4"/>
  <c r="P27" i="4" s="1"/>
  <c r="P29" i="4" s="1"/>
  <c r="P4" i="7"/>
  <c r="P6" i="7" s="1"/>
  <c r="P17" i="7" s="1"/>
  <c r="O31" i="4"/>
  <c r="P22" i="4"/>
  <c r="P24" i="4" s="1"/>
  <c r="Q5" i="4"/>
  <c r="Q4" i="4"/>
  <c r="P17" i="4"/>
  <c r="P19" i="4" s="1"/>
  <c r="S12" i="4"/>
  <c r="S28" i="4" s="1"/>
  <c r="R28" i="4"/>
  <c r="S11" i="4"/>
  <c r="S23" i="4" s="1"/>
  <c r="R23" i="4"/>
  <c r="S10" i="4"/>
  <c r="S18" i="4" s="1"/>
  <c r="R18" i="4"/>
  <c r="H5" i="1"/>
  <c r="G5" i="1"/>
  <c r="F4" i="1"/>
  <c r="F14" i="5" l="1"/>
  <c r="F19" i="5" s="1"/>
  <c r="H9" i="5"/>
  <c r="H16" i="5" s="1"/>
  <c r="G9" i="5"/>
  <c r="G16" i="5" s="1"/>
  <c r="Q6" i="4"/>
  <c r="Q27" i="4" s="1"/>
  <c r="Q29" i="4" s="1"/>
  <c r="P31" i="4"/>
  <c r="Q4" i="7"/>
  <c r="Q6" i="7" s="1"/>
  <c r="Q17" i="7" s="1"/>
  <c r="P14" i="8"/>
  <c r="P16" i="8" s="1"/>
  <c r="P22" i="8" s="1"/>
  <c r="P20" i="8" s="1"/>
  <c r="P12" i="5" s="1"/>
  <c r="O14" i="8"/>
  <c r="O16" i="8" s="1"/>
  <c r="O22" i="8" s="1"/>
  <c r="O20" i="8" s="1"/>
  <c r="O12" i="5" s="1"/>
  <c r="R5" i="4"/>
  <c r="Q22" i="4"/>
  <c r="Q24" i="4" s="1"/>
  <c r="R4" i="4"/>
  <c r="R6" i="4" s="1"/>
  <c r="R27" i="4" s="1"/>
  <c r="R29" i="4" s="1"/>
  <c r="Q17" i="4"/>
  <c r="Q19" i="4" s="1"/>
  <c r="I5" i="1"/>
  <c r="I4" i="1"/>
  <c r="J5" i="1"/>
  <c r="F9" i="1"/>
  <c r="J9" i="5" l="1"/>
  <c r="J16" i="5" s="1"/>
  <c r="I14" i="5"/>
  <c r="I19" i="5" s="1"/>
  <c r="I9" i="5"/>
  <c r="I16" i="5" s="1"/>
  <c r="F7" i="3"/>
  <c r="F8" i="3" s="1"/>
  <c r="F9" i="3" s="1"/>
  <c r="Q31" i="4"/>
  <c r="Q14" i="8"/>
  <c r="Q16" i="8" s="1"/>
  <c r="Q22" i="8" s="1"/>
  <c r="Q20" i="8" s="1"/>
  <c r="Q12" i="5" s="1"/>
  <c r="R4" i="7"/>
  <c r="R6" i="7" s="1"/>
  <c r="R17" i="7" s="1"/>
  <c r="R22" i="4"/>
  <c r="R24" i="4" s="1"/>
  <c r="S5" i="4"/>
  <c r="S22" i="4" s="1"/>
  <c r="S24" i="4" s="1"/>
  <c r="S4" i="4"/>
  <c r="R17" i="4"/>
  <c r="R19" i="4" s="1"/>
  <c r="H4" i="1"/>
  <c r="I9" i="1"/>
  <c r="G4" i="1"/>
  <c r="K5" i="1"/>
  <c r="F14" i="1"/>
  <c r="F16" i="1" s="1"/>
  <c r="F21" i="1"/>
  <c r="F30" i="1" s="1"/>
  <c r="F32" i="1" s="1"/>
  <c r="F34" i="1" s="1"/>
  <c r="F23" i="1"/>
  <c r="F25" i="1" s="1"/>
  <c r="H14" i="5" l="1"/>
  <c r="H19" i="5" s="1"/>
  <c r="K9" i="5"/>
  <c r="K16" i="5" s="1"/>
  <c r="G14" i="5"/>
  <c r="G19" i="5" s="1"/>
  <c r="I7" i="3"/>
  <c r="I11" i="3" s="1"/>
  <c r="I12" i="3" s="1"/>
  <c r="S17" i="4"/>
  <c r="S19" i="4" s="1"/>
  <c r="S6" i="4"/>
  <c r="S27" i="4" s="1"/>
  <c r="S29" i="4" s="1"/>
  <c r="R31" i="4"/>
  <c r="R14" i="8"/>
  <c r="R16" i="8" s="1"/>
  <c r="R22" i="8" s="1"/>
  <c r="R20" i="8" s="1"/>
  <c r="R12" i="5" s="1"/>
  <c r="S31" i="4"/>
  <c r="J4" i="1"/>
  <c r="I14" i="1"/>
  <c r="I16" i="1" s="1"/>
  <c r="I23" i="1"/>
  <c r="I25" i="1" s="1"/>
  <c r="I21" i="1"/>
  <c r="I30" i="1" s="1"/>
  <c r="I32" i="1" s="1"/>
  <c r="I34" i="1" s="1"/>
  <c r="H9" i="1"/>
  <c r="G9" i="1"/>
  <c r="L5" i="1"/>
  <c r="I8" i="3" l="1"/>
  <c r="I9" i="3" s="1"/>
  <c r="J14" i="5"/>
  <c r="J19" i="5" s="1"/>
  <c r="L9" i="5"/>
  <c r="L16" i="5" s="1"/>
  <c r="G7" i="3"/>
  <c r="G8" i="3" s="1"/>
  <c r="G9" i="3" s="1"/>
  <c r="H7" i="3"/>
  <c r="H11" i="3" s="1"/>
  <c r="H12" i="3" s="1"/>
  <c r="S4" i="7"/>
  <c r="S14" i="8"/>
  <c r="S16" i="8" s="1"/>
  <c r="S22" i="8" s="1"/>
  <c r="S20" i="8" s="1"/>
  <c r="S12" i="5" s="1"/>
  <c r="K4" i="1"/>
  <c r="M5" i="1"/>
  <c r="H14" i="1"/>
  <c r="H16" i="1" s="1"/>
  <c r="H23" i="1"/>
  <c r="H25" i="1" s="1"/>
  <c r="H21" i="1"/>
  <c r="H30" i="1" s="1"/>
  <c r="H32" i="1" s="1"/>
  <c r="H34" i="1" s="1"/>
  <c r="L4" i="1"/>
  <c r="J9" i="1"/>
  <c r="G14" i="1"/>
  <c r="G16" i="1" s="1"/>
  <c r="G23" i="1"/>
  <c r="G25" i="1" s="1"/>
  <c r="G21" i="1"/>
  <c r="G30" i="1" s="1"/>
  <c r="G32" i="1" s="1"/>
  <c r="G34" i="1" s="1"/>
  <c r="L14" i="5" l="1"/>
  <c r="L19" i="5" s="1"/>
  <c r="K14" i="5"/>
  <c r="K19" i="5" s="1"/>
  <c r="M9" i="5"/>
  <c r="M16" i="5" s="1"/>
  <c r="H8" i="3"/>
  <c r="H9" i="3" s="1"/>
  <c r="J7" i="3"/>
  <c r="J8" i="3" s="1"/>
  <c r="J9" i="3" s="1"/>
  <c r="S6" i="7"/>
  <c r="S17" i="7" s="1"/>
  <c r="S24" i="7"/>
  <c r="S23" i="7" s="1"/>
  <c r="S21" i="7" s="1"/>
  <c r="K9" i="1"/>
  <c r="J14" i="1"/>
  <c r="J16" i="1" s="1"/>
  <c r="J23" i="1"/>
  <c r="J25" i="1" s="1"/>
  <c r="J21" i="1"/>
  <c r="J30" i="1" s="1"/>
  <c r="J32" i="1" s="1"/>
  <c r="J34" i="1" s="1"/>
  <c r="L9" i="1"/>
  <c r="J11" i="3" l="1"/>
  <c r="J12" i="3" s="1"/>
  <c r="J14" i="3"/>
  <c r="J15" i="3" s="1"/>
  <c r="K7" i="3"/>
  <c r="K8" i="3" s="1"/>
  <c r="K9" i="3" s="1"/>
  <c r="L7" i="3"/>
  <c r="L14" i="3" s="1"/>
  <c r="L15" i="3" s="1"/>
  <c r="N4" i="1"/>
  <c r="O5" i="1"/>
  <c r="L14" i="1"/>
  <c r="L16" i="1" s="1"/>
  <c r="L23" i="1"/>
  <c r="L25" i="1" s="1"/>
  <c r="L21" i="1"/>
  <c r="L30" i="1" s="1"/>
  <c r="L32" i="1" s="1"/>
  <c r="L34" i="1" s="1"/>
  <c r="M4" i="1"/>
  <c r="K14" i="1"/>
  <c r="K16" i="1" s="1"/>
  <c r="K23" i="1"/>
  <c r="K25" i="1" s="1"/>
  <c r="K21" i="1"/>
  <c r="K30" i="1" s="1"/>
  <c r="K32" i="1" s="1"/>
  <c r="K34" i="1" s="1"/>
  <c r="N5" i="1"/>
  <c r="K14" i="3" l="1"/>
  <c r="K15" i="3" s="1"/>
  <c r="K11" i="3"/>
  <c r="K12" i="3" s="1"/>
  <c r="N14" i="5"/>
  <c r="N19" i="5" s="1"/>
  <c r="N9" i="5"/>
  <c r="N16" i="5" s="1"/>
  <c r="M14" i="5"/>
  <c r="M19" i="5" s="1"/>
  <c r="O9" i="5"/>
  <c r="O16" i="5" s="1"/>
  <c r="L11" i="3"/>
  <c r="L12" i="3" s="1"/>
  <c r="L8" i="3"/>
  <c r="L9" i="3" s="1"/>
  <c r="M9" i="1"/>
  <c r="P5" i="1"/>
  <c r="N9" i="1"/>
  <c r="P9" i="5" l="1"/>
  <c r="P16" i="5" s="1"/>
  <c r="N7" i="3"/>
  <c r="M7" i="3"/>
  <c r="N14" i="3"/>
  <c r="N15" i="3" s="1"/>
  <c r="N11" i="3"/>
  <c r="N12" i="3" s="1"/>
  <c r="N8" i="3"/>
  <c r="N9" i="3" s="1"/>
  <c r="M8" i="3"/>
  <c r="M9" i="3" s="1"/>
  <c r="M11" i="3"/>
  <c r="M12" i="3" s="1"/>
  <c r="M14" i="3"/>
  <c r="M15" i="3" s="1"/>
  <c r="O4" i="1"/>
  <c r="M14" i="1"/>
  <c r="M16" i="1" s="1"/>
  <c r="M23" i="1"/>
  <c r="M25" i="1" s="1"/>
  <c r="M21" i="1"/>
  <c r="M30" i="1" s="1"/>
  <c r="M32" i="1" s="1"/>
  <c r="M34" i="1" s="1"/>
  <c r="N23" i="1"/>
  <c r="N25" i="1" s="1"/>
  <c r="N14" i="1"/>
  <c r="N16" i="1" s="1"/>
  <c r="N21" i="1"/>
  <c r="N30" i="1" s="1"/>
  <c r="N32" i="1" s="1"/>
  <c r="N34" i="1" s="1"/>
  <c r="Q5" i="1"/>
  <c r="P4" i="1"/>
  <c r="P14" i="5" l="1"/>
  <c r="P19" i="5" s="1"/>
  <c r="Q9" i="5"/>
  <c r="Q16" i="5" s="1"/>
  <c r="O14" i="5"/>
  <c r="O19" i="5" s="1"/>
  <c r="P9" i="1"/>
  <c r="R5" i="1"/>
  <c r="O9" i="1"/>
  <c r="R9" i="5" l="1"/>
  <c r="R16" i="5" s="1"/>
  <c r="O7" i="3"/>
  <c r="P7" i="3"/>
  <c r="P11" i="3" s="1"/>
  <c r="P12" i="3" s="1"/>
  <c r="O14" i="3"/>
  <c r="O15" i="3" s="1"/>
  <c r="O8" i="3"/>
  <c r="O9" i="3" s="1"/>
  <c r="O11" i="3"/>
  <c r="O12" i="3" s="1"/>
  <c r="P14" i="1"/>
  <c r="P16" i="1" s="1"/>
  <c r="P23" i="1"/>
  <c r="P25" i="1" s="1"/>
  <c r="P21" i="1"/>
  <c r="P30" i="1" s="1"/>
  <c r="P32" i="1" s="1"/>
  <c r="P34" i="1" s="1"/>
  <c r="O14" i="1"/>
  <c r="O16" i="1" s="1"/>
  <c r="O23" i="1"/>
  <c r="O25" i="1" s="1"/>
  <c r="O21" i="1"/>
  <c r="O30" i="1" s="1"/>
  <c r="O32" i="1" s="1"/>
  <c r="O34" i="1" s="1"/>
  <c r="Q4" i="1"/>
  <c r="R4" i="1"/>
  <c r="P14" i="3" l="1"/>
  <c r="P15" i="3" s="1"/>
  <c r="P8" i="3"/>
  <c r="P9" i="3" s="1"/>
  <c r="R14" i="5"/>
  <c r="R19" i="5" s="1"/>
  <c r="Q14" i="5"/>
  <c r="Q19" i="5" s="1"/>
  <c r="S5" i="1"/>
  <c r="Q9" i="1"/>
  <c r="S4" i="1"/>
  <c r="R9" i="1"/>
  <c r="S14" i="5" l="1"/>
  <c r="S19" i="5" s="1"/>
  <c r="S9" i="5"/>
  <c r="S16" i="5" s="1"/>
  <c r="Q7" i="3"/>
  <c r="Q11" i="3" s="1"/>
  <c r="Q12" i="3" s="1"/>
  <c r="R7" i="3"/>
  <c r="R8" i="3" s="1"/>
  <c r="R9" i="3" s="1"/>
  <c r="Q8" i="3"/>
  <c r="Q9" i="3" s="1"/>
  <c r="R14" i="1"/>
  <c r="R16" i="1" s="1"/>
  <c r="R23" i="1"/>
  <c r="R25" i="1" s="1"/>
  <c r="R21" i="1"/>
  <c r="R30" i="1" s="1"/>
  <c r="R32" i="1" s="1"/>
  <c r="R34" i="1" s="1"/>
  <c r="S9" i="1"/>
  <c r="Q14" i="1"/>
  <c r="Q16" i="1" s="1"/>
  <c r="Q23" i="1"/>
  <c r="Q25" i="1" s="1"/>
  <c r="Q21" i="1"/>
  <c r="Q30" i="1" s="1"/>
  <c r="Q32" i="1" s="1"/>
  <c r="Q34" i="1" s="1"/>
  <c r="R14" i="3" l="1"/>
  <c r="R15" i="3" s="1"/>
  <c r="Q14" i="3"/>
  <c r="Q15" i="3" s="1"/>
  <c r="R11" i="3"/>
  <c r="R12" i="3" s="1"/>
  <c r="S7" i="3"/>
  <c r="S14" i="3" s="1"/>
  <c r="S15" i="3" s="1"/>
  <c r="S14" i="1"/>
  <c r="S16" i="1" s="1"/>
  <c r="S21" i="1"/>
  <c r="S30" i="1" s="1"/>
  <c r="S32" i="1" s="1"/>
  <c r="S34" i="1" s="1"/>
  <c r="S23" i="1"/>
  <c r="S25" i="1" s="1"/>
  <c r="S11" i="3" l="1"/>
  <c r="S12" i="3" s="1"/>
  <c r="S8" i="3"/>
  <c r="S9" i="3" s="1"/>
</calcChain>
</file>

<file path=xl/comments1.xml><?xml version="1.0" encoding="utf-8"?>
<comments xmlns="http://schemas.openxmlformats.org/spreadsheetml/2006/main">
  <authors>
    <author>Microsoft Office User</author>
  </authors>
  <commentList>
    <comment ref="F9" authorId="0" shapeId="0">
      <text>
        <r>
          <rPr>
            <b/>
            <sz val="10"/>
            <color rgb="FF000000"/>
            <rFont val="Tahoma"/>
            <family val="2"/>
          </rPr>
          <t>Pat Hurley: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inadvertantly reported as 59,000 in attachment 18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there is no impact on 2030
</t>
        </r>
      </text>
    </comment>
    <comment ref="F16" authorId="0" shapeId="0">
      <text>
        <r>
          <rPr>
            <b/>
            <sz val="10"/>
            <color rgb="FF000000"/>
            <rFont val="Tahoma"/>
            <family val="2"/>
          </rPr>
          <t>Pat Hurley: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reported as 8,595,000 in attachment 18
</t>
        </r>
        <r>
          <rPr>
            <sz val="10"/>
            <color rgb="FF000000"/>
            <rFont val="Tahoma"/>
            <family val="2"/>
          </rPr>
          <t xml:space="preserve">difference is taxes reported as 59,000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again no impact on 2030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F5" authorId="0" shapeId="0">
      <text>
        <r>
          <rPr>
            <b/>
            <sz val="10"/>
            <color rgb="FF000000"/>
            <rFont val="Tahoma"/>
            <family val="2"/>
          </rPr>
          <t>Pat Hurley: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inadvertantly reported as 59,000 in attachment 18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there is no impact on 2030</t>
        </r>
      </text>
    </comment>
  </commentList>
</comments>
</file>

<file path=xl/sharedStrings.xml><?xml version="1.0" encoding="utf-8"?>
<sst xmlns="http://schemas.openxmlformats.org/spreadsheetml/2006/main" count="299" uniqueCount="164">
  <si>
    <t>2010 Actual</t>
  </si>
  <si>
    <t>2017 Actual</t>
  </si>
  <si>
    <t>2019 Plan</t>
  </si>
  <si>
    <t>2021 Plan</t>
  </si>
  <si>
    <t>2022 Plan</t>
  </si>
  <si>
    <t>2023 Plan</t>
  </si>
  <si>
    <t>2024 Proj'n</t>
  </si>
  <si>
    <t>2026 Proj'n</t>
  </si>
  <si>
    <t>2027 Proj'n</t>
  </si>
  <si>
    <t>2028 Proj'n</t>
  </si>
  <si>
    <t>2029 Proj'n</t>
  </si>
  <si>
    <t>2030 REBASE</t>
  </si>
  <si>
    <t>Potential revenue requirement that could be achieved from rebasing</t>
  </si>
  <si>
    <t>O</t>
  </si>
  <si>
    <t>Revenue requirement achieved previous cost of service</t>
  </si>
  <si>
    <t>Change in revenue requirement between rebasing years</t>
  </si>
  <si>
    <t>IMPACT ON EXISTING REVENUES FROM REBASING</t>
  </si>
  <si>
    <t>Existing revenues based on rates currently in effect</t>
  </si>
  <si>
    <t>Potential increase (decrease) in revenues after rebasing</t>
  </si>
  <si>
    <t>Potential percentage increase in revenues after rebasing</t>
  </si>
  <si>
    <t xml:space="preserve">Rate Base </t>
  </si>
  <si>
    <t>OM&amp;A</t>
  </si>
  <si>
    <t>Depreciaton</t>
  </si>
  <si>
    <t>Tax</t>
  </si>
  <si>
    <t>Cost of Capital</t>
  </si>
  <si>
    <t>Cost of Equity</t>
  </si>
  <si>
    <t>Total Cost of Capital</t>
  </si>
  <si>
    <t>REVENUE REQUIREMENT</t>
  </si>
  <si>
    <t>COST OF CAPITAL WEIGHTINGS PER OEB GUIDELINES</t>
  </si>
  <si>
    <t>Long term debt weighting</t>
  </si>
  <si>
    <t>Short term debt weighting</t>
  </si>
  <si>
    <t>Equity weighting</t>
  </si>
  <si>
    <t>COST OF CAPITAL RATES PER OEB GUIDELINES</t>
  </si>
  <si>
    <t>Long term debt deemed rate</t>
  </si>
  <si>
    <t>Short term debt deemed rate</t>
  </si>
  <si>
    <t>Equity deemed rate</t>
  </si>
  <si>
    <t>CALCULATION OF COST OF CAPITAL FOR OPDC</t>
  </si>
  <si>
    <t>Long term Debt Component - deemed percentage of debt in debt equity ratio</t>
  </si>
  <si>
    <t>A1</t>
  </si>
  <si>
    <t>Long term Debt Component - deemed debt rate</t>
  </si>
  <si>
    <t>B1</t>
  </si>
  <si>
    <t>Long term Debt Component - deemed debt equity ratio times deemed debt rate</t>
  </si>
  <si>
    <t>C1 = A1 x B1</t>
  </si>
  <si>
    <t>Short term Debt Component - deemed percentage of debt in debt equity ratio</t>
  </si>
  <si>
    <t>A2</t>
  </si>
  <si>
    <t>Short term Debt Component - deemed debt rate</t>
  </si>
  <si>
    <t>B2</t>
  </si>
  <si>
    <t>Short term Debt Component - deemed debt equity ratio times deemed debt rate</t>
  </si>
  <si>
    <t>C2 = A2 x B2</t>
  </si>
  <si>
    <t>Equity Component - deemed percentage of equity in debt equity ratio</t>
  </si>
  <si>
    <t>D = 100% - A1- A2</t>
  </si>
  <si>
    <t xml:space="preserve">Equity Component - deemed maximum allowed return on equity </t>
  </si>
  <si>
    <t>E</t>
  </si>
  <si>
    <t>Equity Component - deemed debt equity ratio times deemed debt rate</t>
  </si>
  <si>
    <t>F = D x E</t>
  </si>
  <si>
    <t>Deemed Cost of Capital</t>
  </si>
  <si>
    <t>G = C1 + C2 + F</t>
  </si>
  <si>
    <t>Net Book Value of Distribution PP&amp;E per FS</t>
  </si>
  <si>
    <t>Net Book Value of Deferred Revenue per FS (formerly netted against PP&amp;E as CC)</t>
  </si>
  <si>
    <t>Net Book Value end of year</t>
  </si>
  <si>
    <t>Average Net Book Value of Distribution PP&amp;E less deferred revenue  per FS</t>
  </si>
  <si>
    <t>H</t>
  </si>
  <si>
    <t xml:space="preserve">Working capital allowance % of power cost plus OM&amp;A </t>
  </si>
  <si>
    <t>I</t>
  </si>
  <si>
    <t>Ratebase</t>
  </si>
  <si>
    <t>J = H + I</t>
  </si>
  <si>
    <t>CALCULATION OF MAXIMUM ALLOWED RETURN ON RATE BASE (THEORETICAL)</t>
  </si>
  <si>
    <t>G</t>
  </si>
  <si>
    <t>J</t>
  </si>
  <si>
    <t>Return on Ratebase - Maximum Allowed after taxes</t>
  </si>
  <si>
    <t>K = G x J</t>
  </si>
  <si>
    <t>ALLOCATION OF RETURN ON RATE BASE TO DEBT &amp; EQUITY</t>
  </si>
  <si>
    <t>Return on EQUITY</t>
  </si>
  <si>
    <t>ALLOWANCE FOR PILS IN REVENUE REQUIREMENT</t>
  </si>
  <si>
    <t>Return on equity component allowed after taxes</t>
  </si>
  <si>
    <t>Rate allowed for taxes</t>
  </si>
  <si>
    <t>Pils required to allow deemed return to be earned before T2S(1) adjustment</t>
  </si>
  <si>
    <t>L</t>
  </si>
  <si>
    <t>T2S(1) adjustment</t>
  </si>
  <si>
    <t>Depreciation</t>
  </si>
  <si>
    <t>Amortization of deferred revenue</t>
  </si>
  <si>
    <t>Capital cost allowance for purposes of MAAD II</t>
  </si>
  <si>
    <t>Taxable income adjustment</t>
  </si>
  <si>
    <t>Taxes saved due to difference between CCA and Amortization</t>
  </si>
  <si>
    <t>Revenues not required due to taxes saved (Gross up)</t>
  </si>
  <si>
    <t>Pils required to allow deemed return to be earned AFTER T2S(1) adjustment</t>
  </si>
  <si>
    <t>MANUAL INPUT VERIFICATION OF PILS CALCULATION</t>
  </si>
  <si>
    <t>Grossed up taxable income in order to earn allowed return</t>
  </si>
  <si>
    <t>Taxes</t>
  </si>
  <si>
    <t xml:space="preserve">Depreciation </t>
  </si>
  <si>
    <t>Capital cost allowance</t>
  </si>
  <si>
    <t>Taxable income</t>
  </si>
  <si>
    <t>Taxes payable</t>
  </si>
  <si>
    <t>SUMMARY OF REVENUE REQUIREMENT</t>
  </si>
  <si>
    <t>Return on Ratebase - Maximum Allowed - after taxes</t>
  </si>
  <si>
    <t>K</t>
  </si>
  <si>
    <t>Pils required to allow deemed return to be earned</t>
  </si>
  <si>
    <t>Operations, maintenance and administrative expenses (excludes amortization)</t>
  </si>
  <si>
    <t>M</t>
  </si>
  <si>
    <t>Amortization of PP&amp;E</t>
  </si>
  <si>
    <t>N</t>
  </si>
  <si>
    <t>Amortization of Deferred Revenue</t>
  </si>
  <si>
    <t>POTENTIAL Revenue Requirement after rebasing</t>
  </si>
  <si>
    <t>O=K+L+M+N</t>
  </si>
  <si>
    <t>DISTRIBUTION REVENUES ONLY</t>
  </si>
  <si>
    <t>Total revenue requirement</t>
  </si>
  <si>
    <t>Other revenues</t>
  </si>
  <si>
    <t>Distribution revenues only</t>
  </si>
  <si>
    <t>CAPITAL EXPENDITURES NET OF CONTRIBUTED CAPITAL - STATUS QUO</t>
  </si>
  <si>
    <t>GROSS CAPITAL EXP. TOTAL - STATUS QUO (SEE ABOVE)</t>
  </si>
  <si>
    <t>DEFERRED REVENUE / CONTRIBUTED CAPITAL</t>
  </si>
  <si>
    <t>NET CAPITAL EXPENDITURES TOTAL - STATUS QUO</t>
  </si>
  <si>
    <t>Percentage increase (decrease)</t>
  </si>
  <si>
    <t>OPERATIONS, MAINTENANCE &amp; ADMINISTRATION EXPENDITURES BREAKDOWN - STATUS QUO</t>
  </si>
  <si>
    <t>Operations and maintenance</t>
  </si>
  <si>
    <t>Supervision &amp; engineering</t>
  </si>
  <si>
    <t>Control centre</t>
  </si>
  <si>
    <t>Service centre</t>
  </si>
  <si>
    <t>Billing and collections</t>
  </si>
  <si>
    <t>Regulatory</t>
  </si>
  <si>
    <t>Administration &amp; general</t>
  </si>
  <si>
    <t>OM&amp;A EXPENDITURES TOTAL - STATUS QUO</t>
  </si>
  <si>
    <t>CAPITAL EXPENDITURES BREAKDOWN - STATUS QUO</t>
  </si>
  <si>
    <t>Substations</t>
  </si>
  <si>
    <t>Poles &amp; wires</t>
  </si>
  <si>
    <t>Meters</t>
  </si>
  <si>
    <t>Heavy Vehicles (buckets, double buckets etc)</t>
  </si>
  <si>
    <t>Light vehicles</t>
  </si>
  <si>
    <t>GROSS CAPITAL EXPENDITURES TOTAL - STATUS QUO</t>
  </si>
  <si>
    <t>Rate Base</t>
  </si>
  <si>
    <t>Cost of power</t>
  </si>
  <si>
    <t>WORKING CAPITAL ALLOWANCE BREAKDOWN - STATUS QUO</t>
  </si>
  <si>
    <t>Controllable expenses excluding control centre and service centre inadvertantly left out of calculation</t>
  </si>
  <si>
    <t>Less control centre and service centre inadvertantly left out of calculation</t>
  </si>
  <si>
    <t>Working capital base</t>
  </si>
  <si>
    <t>Working capital percentage</t>
  </si>
  <si>
    <t>WORKING CAPITAL - CURRENT MODEL</t>
  </si>
  <si>
    <t>2010 TO 2030 KEY VALUES</t>
  </si>
  <si>
    <t>Years since 2010 rebasing</t>
  </si>
  <si>
    <t>-</t>
  </si>
  <si>
    <t>Revenue Requirement Calculation</t>
  </si>
  <si>
    <t>% increase from 2010</t>
  </si>
  <si>
    <t>Average increase since 2010</t>
  </si>
  <si>
    <t>% increase from 2018 (last year of actuals)</t>
  </si>
  <si>
    <t>Average increase since 2018 (last year of actuals)</t>
  </si>
  <si>
    <t>% increase from 2020</t>
  </si>
  <si>
    <t>Average increase since 2020</t>
  </si>
  <si>
    <t>Revenues WITHOUT rebasing</t>
  </si>
  <si>
    <t>Total customer count</t>
  </si>
  <si>
    <t>END OF WORKSHEET</t>
  </si>
  <si>
    <t>OPDC</t>
  </si>
  <si>
    <t>2018 YEE</t>
  </si>
  <si>
    <t>2020 Plan</t>
  </si>
  <si>
    <t>2025 Proj'n</t>
  </si>
  <si>
    <t>ATTACHMENT 18 - REVENUE REQUIREMENT ELEMENTS</t>
  </si>
  <si>
    <t>TAX CALCULATIONS</t>
  </si>
  <si>
    <t>RATE BASE CALCULATIONS</t>
  </si>
  <si>
    <t>SUMMARY OF REVENUE REQUIREMENT CACLUATION</t>
  </si>
  <si>
    <t>INCREASE IN REVENUE REQUIREMENT FROM PREVIOUS COST OF SERVICE IN 2010</t>
  </si>
  <si>
    <t>Potential percentage increase in revenue requirement over previous 2010 COS</t>
  </si>
  <si>
    <t>Cost of DEBT</t>
  </si>
  <si>
    <t>Cost of Debt</t>
  </si>
  <si>
    <t>OM&amp;A / CAPEX</t>
  </si>
  <si>
    <t>Other capital assets including WIP adjustments and to be allocated post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</si>
</sst>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\-#,##0\ "/>
    <numFmt numFmtId="165" formatCode="#,##0.00_ ;\-#,##0.00\ "/>
    <numFmt numFmtId="166" formatCode="0.0%"/>
    <numFmt numFmtId="167" formatCode="&quot;$&quot;#,##0;\-&quot;$&quot;#,##0"/>
    <numFmt numFmtId="168" formatCode="&quot;$&quot;#,##0"/>
    <numFmt numFmtId="169" formatCode="0.000%"/>
  </numFmts>
  <fonts count="31" x14ac:knownFonts="1">
    <font>
      <sz val="14"/>
      <name val="Arial"/>
      <family val="2"/>
    </font>
    <font>
      <sz val="14"/>
      <name val="Arial"/>
      <family val="2"/>
    </font>
    <font>
      <sz val="10"/>
      <color indexed="13"/>
      <name val="Arial"/>
      <family val="2"/>
    </font>
    <font>
      <sz val="10"/>
      <name val="Arial"/>
      <family val="2"/>
    </font>
    <font>
      <b/>
      <sz val="8"/>
      <color rgb="FF00B0F0"/>
      <name val="Arial Black"/>
      <family val="2"/>
    </font>
    <font>
      <sz val="10"/>
      <color rgb="FF00B0F0"/>
      <name val="Arial Black"/>
      <family val="2"/>
    </font>
    <font>
      <sz val="10"/>
      <color theme="0"/>
      <name val="Arial Black"/>
      <family val="2"/>
    </font>
    <font>
      <b/>
      <sz val="10"/>
      <color indexed="9"/>
      <name val="Arial"/>
      <family val="2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10"/>
      <color indexed="58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5"/>
      <name val="Arial Black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indexed="15"/>
      <name val="Arial Black"/>
      <family val="2"/>
    </font>
    <font>
      <sz val="10"/>
      <color rgb="FF002060"/>
      <name val="Arial"/>
      <family val="2"/>
    </font>
    <font>
      <b/>
      <sz val="8"/>
      <color rgb="FF0070C0"/>
      <name val="Arial Black"/>
      <family val="2"/>
    </font>
    <font>
      <sz val="10"/>
      <color rgb="FF0070C0"/>
      <name val="Arial Black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Arial Black"/>
      <family val="2"/>
    </font>
    <font>
      <b/>
      <sz val="10"/>
      <color rgb="FF07592C"/>
      <name val="Arial"/>
      <family val="2"/>
    </font>
    <font>
      <sz val="10"/>
      <color theme="1"/>
      <name val="Arial"/>
      <family val="2"/>
    </font>
    <font>
      <b/>
      <sz val="10"/>
      <color rgb="FFFFFF00"/>
      <name val="Arial"/>
      <family val="2"/>
    </font>
    <font>
      <sz val="8"/>
      <name val="Arial"/>
      <family val="2"/>
    </font>
    <font>
      <sz val="10"/>
      <color theme="7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56B2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</cellStyleXfs>
  <cellXfs count="127">
    <xf numFmtId="0" fontId="0" fillId="0" borderId="0" xfId="0"/>
    <xf numFmtId="37" fontId="4" fillId="3" borderId="1" xfId="0" applyNumberFormat="1" applyFont="1" applyFill="1" applyBorder="1" applyAlignment="1">
      <alignment horizontal="center" vertical="center"/>
    </xf>
    <xf numFmtId="37" fontId="5" fillId="3" borderId="2" xfId="0" applyNumberFormat="1" applyFont="1" applyFill="1" applyBorder="1" applyAlignment="1">
      <alignment horizontal="left" vertical="center"/>
    </xf>
    <xf numFmtId="37" fontId="6" fillId="3" borderId="2" xfId="0" applyNumberFormat="1" applyFont="1" applyFill="1" applyBorder="1" applyAlignment="1">
      <alignment horizontal="left" vertical="center"/>
    </xf>
    <xf numFmtId="17" fontId="7" fillId="4" borderId="2" xfId="2" applyNumberFormat="1" applyFont="1" applyFill="1" applyBorder="1" applyAlignment="1">
      <alignment horizontal="center" vertical="center"/>
    </xf>
    <xf numFmtId="17" fontId="7" fillId="3" borderId="2" xfId="2" applyNumberFormat="1" applyFont="1" applyFill="1" applyBorder="1" applyAlignment="1">
      <alignment horizontal="center" vertical="center"/>
    </xf>
    <xf numFmtId="37" fontId="9" fillId="0" borderId="0" xfId="2" applyNumberFormat="1" applyFont="1" applyAlignment="1">
      <alignment horizontal="center" vertical="center"/>
    </xf>
    <xf numFmtId="39" fontId="3" fillId="0" borderId="0" xfId="3" applyNumberFormat="1" applyAlignment="1">
      <alignment horizontal="center" vertical="center"/>
    </xf>
    <xf numFmtId="39" fontId="3" fillId="0" borderId="0" xfId="3" applyNumberForma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2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164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/>
    </xf>
    <xf numFmtId="164" fontId="11" fillId="4" borderId="0" xfId="0" applyNumberFormat="1" applyFont="1" applyFill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11" fillId="7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3" fillId="0" borderId="0" xfId="1" applyAlignment="1">
      <alignment horizontal="center" vertical="center"/>
    </xf>
    <xf numFmtId="166" fontId="11" fillId="4" borderId="0" xfId="1" applyNumberFormat="1" applyFont="1" applyFill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6" fontId="11" fillId="3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horizontal="center" vertical="center"/>
    </xf>
    <xf numFmtId="167" fontId="9" fillId="0" borderId="0" xfId="0" applyNumberFormat="1" applyFont="1" applyAlignment="1" applyProtection="1">
      <alignment horizontal="center" vertical="center"/>
      <protection locked="0"/>
    </xf>
    <xf numFmtId="10" fontId="3" fillId="0" borderId="0" xfId="1" applyNumberFormat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39" fontId="9" fillId="0" borderId="0" xfId="3" applyNumberFormat="1" applyFont="1" applyAlignment="1">
      <alignment horizontal="center" vertical="center"/>
    </xf>
    <xf numFmtId="167" fontId="3" fillId="0" borderId="0" xfId="1" applyNumberFormat="1" applyAlignment="1">
      <alignment horizontal="center" vertical="center"/>
    </xf>
    <xf numFmtId="0" fontId="3" fillId="0" borderId="0" xfId="0" applyFont="1" applyAlignment="1">
      <alignment horizontal="right" vertical="center"/>
    </xf>
    <xf numFmtId="10" fontId="11" fillId="4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horizontal="center" vertical="center"/>
    </xf>
    <xf numFmtId="10" fontId="3" fillId="0" borderId="4" xfId="1" applyNumberFormat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10" fontId="3" fillId="0" borderId="5" xfId="1" applyNumberFormat="1" applyBorder="1" applyAlignment="1">
      <alignment horizontal="center" vertical="center"/>
    </xf>
    <xf numFmtId="10" fontId="9" fillId="0" borderId="3" xfId="1" applyNumberFormat="1" applyFont="1" applyBorder="1" applyAlignment="1">
      <alignment horizontal="center" vertical="center"/>
    </xf>
    <xf numFmtId="10" fontId="11" fillId="4" borderId="3" xfId="1" applyNumberFormat="1" applyFont="1" applyFill="1" applyBorder="1" applyAlignment="1">
      <alignment horizontal="center" vertical="center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9" fontId="15" fillId="0" borderId="0" xfId="1" applyFont="1" applyAlignment="1" applyProtection="1">
      <alignment horizontal="center" vertical="center"/>
      <protection locked="0"/>
    </xf>
    <xf numFmtId="164" fontId="11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right" vertical="center"/>
    </xf>
    <xf numFmtId="166" fontId="3" fillId="0" borderId="0" xfId="1" applyNumberFormat="1" applyAlignment="1">
      <alignment horizontal="center" vertical="center"/>
    </xf>
    <xf numFmtId="164" fontId="3" fillId="8" borderId="0" xfId="0" applyNumberFormat="1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9" fillId="10" borderId="0" xfId="0" applyNumberFormat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9" fillId="8" borderId="0" xfId="0" applyFont="1" applyFill="1" applyAlignment="1">
      <alignment horizontal="left" vertical="center" indent="1"/>
    </xf>
    <xf numFmtId="39" fontId="3" fillId="8" borderId="0" xfId="3" applyNumberFormat="1" applyFill="1" applyAlignment="1">
      <alignment horizontal="center" vertical="center"/>
    </xf>
    <xf numFmtId="165" fontId="3" fillId="8" borderId="0" xfId="0" applyNumberFormat="1" applyFont="1" applyFill="1" applyAlignment="1">
      <alignment horizontal="center" vertical="center"/>
    </xf>
    <xf numFmtId="168" fontId="11" fillId="4" borderId="4" xfId="0" applyNumberFormat="1" applyFont="1" applyFill="1" applyBorder="1" applyAlignment="1">
      <alignment horizontal="center" vertical="center"/>
    </xf>
    <xf numFmtId="37" fontId="9" fillId="0" borderId="0" xfId="2" applyNumberFormat="1" applyFont="1" applyAlignment="1">
      <alignment horizontal="left" vertical="center" indent="1"/>
    </xf>
    <xf numFmtId="37" fontId="3" fillId="0" borderId="0" xfId="2" applyNumberFormat="1" applyFont="1" applyAlignment="1">
      <alignment horizontal="left" vertical="center" indent="2"/>
    </xf>
    <xf numFmtId="37" fontId="11" fillId="3" borderId="0" xfId="2" applyNumberFormat="1" applyFont="1" applyFill="1" applyAlignment="1">
      <alignment horizontal="left" vertical="center" indent="1"/>
    </xf>
    <xf numFmtId="37" fontId="11" fillId="3" borderId="0" xfId="2" applyNumberFormat="1" applyFont="1" applyFill="1" applyAlignment="1">
      <alignment horizontal="center" vertical="center"/>
    </xf>
    <xf numFmtId="37" fontId="3" fillId="0" borderId="0" xfId="2" applyNumberFormat="1" applyFont="1" applyAlignment="1">
      <alignment horizontal="center" vertical="center"/>
    </xf>
    <xf numFmtId="17" fontId="11" fillId="12" borderId="0" xfId="2" applyNumberFormat="1" applyFont="1" applyFill="1" applyAlignment="1">
      <alignment horizontal="center" vertical="center"/>
    </xf>
    <xf numFmtId="17" fontId="7" fillId="5" borderId="0" xfId="2" applyNumberFormat="1" applyFont="1" applyFill="1" applyAlignment="1">
      <alignment horizontal="center" vertical="center"/>
    </xf>
    <xf numFmtId="37" fontId="20" fillId="0" borderId="0" xfId="2" applyNumberFormat="1" applyFont="1" applyAlignment="1">
      <alignment horizontal="center" vertical="center"/>
    </xf>
    <xf numFmtId="37" fontId="8" fillId="0" borderId="0" xfId="2" applyNumberFormat="1" applyFont="1" applyAlignment="1">
      <alignment horizontal="center" vertical="center"/>
    </xf>
    <xf numFmtId="37" fontId="17" fillId="0" borderId="0" xfId="2" applyNumberFormat="1" applyFont="1" applyAlignment="1">
      <alignment horizontal="center" vertical="center"/>
    </xf>
    <xf numFmtId="0" fontId="22" fillId="0" borderId="0" xfId="4" applyFont="1" applyAlignment="1">
      <alignment horizontal="left" vertical="center" indent="1"/>
    </xf>
    <xf numFmtId="0" fontId="3" fillId="0" borderId="0" xfId="4" applyFont="1" applyAlignment="1">
      <alignment horizontal="left" vertical="center" indent="2"/>
    </xf>
    <xf numFmtId="166" fontId="3" fillId="0" borderId="0" xfId="5" applyNumberFormat="1" applyAlignment="1">
      <alignment horizontal="center" vertical="center"/>
    </xf>
    <xf numFmtId="37" fontId="11" fillId="9" borderId="0" xfId="2" applyNumberFormat="1" applyFont="1" applyFill="1" applyAlignment="1">
      <alignment horizontal="center" vertical="center"/>
    </xf>
    <xf numFmtId="0" fontId="21" fillId="6" borderId="0" xfId="4" applyFont="1" applyFill="1" applyAlignment="1">
      <alignment vertical="center"/>
    </xf>
    <xf numFmtId="0" fontId="21" fillId="6" borderId="0" xfId="4" applyFont="1" applyFill="1" applyAlignment="1">
      <alignment horizontal="right" vertical="center"/>
    </xf>
    <xf numFmtId="0" fontId="9" fillId="0" borderId="0" xfId="4" applyFont="1" applyAlignment="1">
      <alignment horizontal="left" vertical="center" indent="2"/>
    </xf>
    <xf numFmtId="39" fontId="21" fillId="0" borderId="0" xfId="3" applyNumberFormat="1" applyFont="1" applyAlignment="1">
      <alignment horizontal="center" vertical="center"/>
    </xf>
    <xf numFmtId="39" fontId="21" fillId="0" borderId="0" xfId="3" applyNumberFormat="1" applyFont="1" applyAlignment="1">
      <alignment horizontal="left" vertical="center"/>
    </xf>
    <xf numFmtId="39" fontId="20" fillId="0" borderId="0" xfId="3" applyNumberFormat="1" applyFont="1" applyAlignment="1">
      <alignment horizontal="left" vertical="center"/>
    </xf>
    <xf numFmtId="39" fontId="20" fillId="0" borderId="0" xfId="3" applyNumberFormat="1" applyFont="1" applyAlignment="1">
      <alignment horizontal="center" vertical="center"/>
    </xf>
    <xf numFmtId="0" fontId="3" fillId="2" borderId="0" xfId="4" applyFont="1" applyFill="1" applyAlignment="1">
      <alignment horizontal="left" vertical="center" indent="2"/>
    </xf>
    <xf numFmtId="39" fontId="3" fillId="2" borderId="0" xfId="3" applyNumberFormat="1" applyFill="1" applyAlignment="1">
      <alignment horizontal="left" vertical="center"/>
    </xf>
    <xf numFmtId="39" fontId="3" fillId="2" borderId="0" xfId="3" applyNumberFormat="1" applyFill="1" applyAlignment="1">
      <alignment horizontal="center" vertical="center"/>
    </xf>
    <xf numFmtId="37" fontId="3" fillId="2" borderId="0" xfId="2" applyNumberFormat="1" applyFont="1" applyFill="1" applyAlignment="1">
      <alignment horizontal="center" vertical="center"/>
    </xf>
    <xf numFmtId="39" fontId="9" fillId="0" borderId="0" xfId="3" applyNumberFormat="1" applyFont="1" applyAlignment="1">
      <alignment horizontal="left" vertical="center"/>
    </xf>
    <xf numFmtId="37" fontId="18" fillId="3" borderId="0" xfId="4" applyNumberFormat="1" applyFont="1" applyFill="1" applyAlignment="1">
      <alignment horizontal="center" vertical="center"/>
    </xf>
    <xf numFmtId="37" fontId="6" fillId="3" borderId="0" xfId="4" applyNumberFormat="1" applyFont="1" applyFill="1" applyAlignment="1">
      <alignment horizontal="left" vertical="center"/>
    </xf>
    <xf numFmtId="37" fontId="19" fillId="3" borderId="0" xfId="4" applyNumberFormat="1" applyFont="1" applyFill="1" applyAlignment="1">
      <alignment horizontal="left" vertical="center"/>
    </xf>
    <xf numFmtId="17" fontId="20" fillId="4" borderId="0" xfId="2" applyNumberFormat="1" applyFont="1" applyFill="1" applyAlignment="1">
      <alignment horizontal="center" vertical="center"/>
    </xf>
    <xf numFmtId="1" fontId="11" fillId="9" borderId="0" xfId="2" applyNumberFormat="1" applyFont="1" applyFill="1" applyAlignment="1">
      <alignment horizontal="center" vertical="center"/>
    </xf>
    <xf numFmtId="1" fontId="11" fillId="4" borderId="0" xfId="2" applyNumberFormat="1" applyFont="1" applyFill="1" applyAlignment="1">
      <alignment horizontal="center" vertical="center"/>
    </xf>
    <xf numFmtId="37" fontId="23" fillId="0" borderId="0" xfId="2" applyNumberFormat="1" applyFont="1" applyAlignment="1">
      <alignment horizontal="center" vertical="center"/>
    </xf>
    <xf numFmtId="39" fontId="21" fillId="13" borderId="0" xfId="3" applyNumberFormat="1" applyFont="1" applyFill="1" applyAlignment="1">
      <alignment horizontal="center" vertical="center"/>
    </xf>
    <xf numFmtId="166" fontId="24" fillId="0" borderId="0" xfId="1" applyNumberFormat="1" applyFont="1" applyAlignment="1">
      <alignment horizontal="center" vertical="center"/>
    </xf>
    <xf numFmtId="166" fontId="24" fillId="13" borderId="0" xfId="1" applyNumberFormat="1" applyFont="1" applyFill="1" applyAlignment="1">
      <alignment horizontal="center" vertical="center"/>
    </xf>
    <xf numFmtId="37" fontId="23" fillId="11" borderId="0" xfId="2" applyNumberFormat="1" applyFont="1" applyFill="1" applyAlignment="1">
      <alignment horizontal="center" vertical="center"/>
    </xf>
    <xf numFmtId="17" fontId="7" fillId="9" borderId="2" xfId="2" applyNumberFormat="1" applyFont="1" applyFill="1" applyBorder="1" applyAlignment="1">
      <alignment horizontal="center" vertical="center"/>
    </xf>
    <xf numFmtId="0" fontId="25" fillId="6" borderId="0" xfId="0" applyFont="1" applyFill="1" applyAlignment="1">
      <alignment vertical="center"/>
    </xf>
    <xf numFmtId="0" fontId="25" fillId="6" borderId="0" xfId="4" applyFont="1" applyFill="1" applyAlignment="1">
      <alignment vertical="center"/>
    </xf>
    <xf numFmtId="0" fontId="2" fillId="6" borderId="0" xfId="0" applyFont="1" applyFill="1" applyAlignment="1">
      <alignment vertical="center"/>
    </xf>
    <xf numFmtId="37" fontId="13" fillId="6" borderId="0" xfId="0" applyNumberFormat="1" applyFont="1" applyFill="1" applyAlignment="1">
      <alignment horizontal="left" vertical="center"/>
    </xf>
    <xf numFmtId="37" fontId="16" fillId="6" borderId="0" xfId="0" applyNumberFormat="1" applyFont="1" applyFill="1" applyAlignment="1">
      <alignment horizontal="left" vertical="center"/>
    </xf>
    <xf numFmtId="39" fontId="3" fillId="6" borderId="0" xfId="3" applyNumberFormat="1" applyFill="1" applyAlignment="1">
      <alignment horizontal="center" vertical="center"/>
    </xf>
    <xf numFmtId="164" fontId="17" fillId="0" borderId="0" xfId="0" applyNumberFormat="1" applyFont="1" applyAlignment="1" applyProtection="1">
      <alignment horizontal="center" vertical="center"/>
      <protection locked="0"/>
    </xf>
    <xf numFmtId="1" fontId="8" fillId="8" borderId="0" xfId="0" applyNumberFormat="1" applyFont="1" applyFill="1" applyAlignment="1" applyProtection="1">
      <alignment horizontal="center" vertical="center"/>
      <protection locked="0"/>
    </xf>
    <xf numFmtId="10" fontId="17" fillId="0" borderId="0" xfId="1" applyNumberFormat="1" applyFont="1" applyAlignment="1">
      <alignment horizontal="center" vertical="center"/>
    </xf>
    <xf numFmtId="169" fontId="3" fillId="0" borderId="4" xfId="1" applyNumberFormat="1" applyBorder="1" applyAlignment="1">
      <alignment horizontal="center" vertical="center"/>
    </xf>
    <xf numFmtId="166" fontId="17" fillId="0" borderId="0" xfId="1" applyNumberFormat="1" applyFont="1" applyAlignment="1">
      <alignment horizontal="center" vertical="center"/>
    </xf>
    <xf numFmtId="164" fontId="17" fillId="8" borderId="0" xfId="0" applyNumberFormat="1" applyFont="1" applyFill="1" applyAlignment="1">
      <alignment horizontal="center" vertical="center"/>
    </xf>
    <xf numFmtId="39" fontId="3" fillId="6" borderId="0" xfId="3" applyNumberFormat="1" applyFill="1" applyAlignment="1">
      <alignment horizontal="left" vertical="center"/>
    </xf>
    <xf numFmtId="167" fontId="27" fillId="6" borderId="0" xfId="0" applyNumberFormat="1" applyFont="1" applyFill="1" applyAlignment="1">
      <alignment vertical="center"/>
    </xf>
    <xf numFmtId="167" fontId="11" fillId="7" borderId="0" xfId="0" applyNumberFormat="1" applyFont="1" applyFill="1" applyAlignment="1" applyProtection="1">
      <alignment horizontal="center" vertical="center"/>
      <protection locked="0"/>
    </xf>
    <xf numFmtId="9" fontId="12" fillId="7" borderId="0" xfId="1" applyFont="1" applyFill="1" applyAlignment="1">
      <alignment horizontal="center" vertical="center"/>
    </xf>
    <xf numFmtId="10" fontId="11" fillId="7" borderId="0" xfId="1" applyNumberFormat="1" applyFont="1" applyFill="1" applyAlignment="1">
      <alignment horizontal="center" vertical="center"/>
    </xf>
    <xf numFmtId="37" fontId="19" fillId="6" borderId="0" xfId="4" applyNumberFormat="1" applyFont="1" applyFill="1" applyAlignment="1">
      <alignment horizontal="left" vertical="center"/>
    </xf>
    <xf numFmtId="164" fontId="24" fillId="0" borderId="0" xfId="0" applyNumberFormat="1" applyFont="1" applyAlignment="1" applyProtection="1">
      <alignment horizontal="center" vertical="center"/>
      <protection locked="0"/>
    </xf>
    <xf numFmtId="37" fontId="30" fillId="0" borderId="0" xfId="2" applyNumberFormat="1" applyFont="1" applyAlignment="1">
      <alignment horizontal="center" vertical="center"/>
    </xf>
  </cellXfs>
  <cellStyles count="6">
    <cellStyle name="Normal" xfId="0" builtinId="0"/>
    <cellStyle name="Normal 11" xfId="4"/>
    <cellStyle name="Normal_1999 Annual Statistics Customer Data" xfId="3"/>
    <cellStyle name="Normal_98 Financial Statements and Statistics 3" xfId="2"/>
    <cellStyle name="Percent" xfId="1" builtinId="5"/>
    <cellStyle name="Percent 10" xfId="5"/>
  </cellStyles>
  <dxfs count="2">
    <dxf>
      <font>
        <color rgb="FFC00000"/>
      </font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DOCUME~1/Pat/MYDOCU~1/FILEBA~1/2000MO~1/001130/001117/RATESF~1/OPDC_Backup%20%20Schedules_001130%20OEB%20Rates%20Appli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FINANCE%20&amp;%20ACCOUNTING/Statistics/Employee%20Tracking/Financial%20Statements_Orillia%20Power%20Corpor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Documents/Richmond%20Hill/Year%20End/RHH96YE_%20MEA%20Statisti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Oril-dc01/filing/BUSINE~1/ACCOUN~1/PLANNI~1/2002BU~1/2002%20OPC%20Budget__First%20Draf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Users/phurley/AppData/Local/Microsoft/Windows/Temporary%20Internet%20Files/Content.Outlook/DVE5SB1S/Final%20Submission%20RFP/Copy%20of%20Trent%20Proform%20EQJune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rilliapower-my.sharepoint.com/MANAGEMENT%20&amp;%20POLICIES/Business%20Opportunities/Birch%20Creek%20Project_1M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dentification"/>
      <sheetName val="Annual Energy Statistics 1999"/>
      <sheetName val="GS Average Over 50kw 1999"/>
      <sheetName val="1999 TOU Customers"/>
      <sheetName val="Financial Filing"/>
      <sheetName val="MARR Calculation"/>
      <sheetName val="Table A.1"/>
      <sheetName val="Table A.2"/>
      <sheetName val="Table A.3"/>
      <sheetName val="Table A.4"/>
      <sheetName val="OWLP 1999 YE TB"/>
      <sheetName val="Listing GS Demand Meters 1999 "/>
      <sheetName val="Energy Statistics His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dentification"/>
      <sheetName val="HOLDCO_Financial Stmts"/>
      <sheetName val="DISTCO_Financial Stmts"/>
      <sheetName val="HOLDCO_Grouping Schedules"/>
      <sheetName val="DISTCO_Grouping Schedules"/>
      <sheetName val="HOLDCO_Trial Balance"/>
      <sheetName val="DISTCO_Trial Balance"/>
      <sheetName val="HOLDCO_CustEmp Count"/>
      <sheetName val="Dividend Payment"/>
    </sheetNames>
    <sheetDataSet>
      <sheetData sheetId="0"/>
      <sheetData sheetId="1"/>
      <sheetData sheetId="2"/>
      <sheetData sheetId="3"/>
      <sheetData sheetId="4"/>
      <sheetData sheetId="5"/>
      <sheetData sheetId="6">
        <row r="98">
          <cell r="B98">
            <v>350</v>
          </cell>
          <cell r="C98" t="str">
            <v>Customer Deposits _ Long Term</v>
          </cell>
          <cell r="BZ98">
            <v>-517046.05</v>
          </cell>
        </row>
        <row r="99">
          <cell r="B99">
            <v>351</v>
          </cell>
          <cell r="C99" t="str">
            <v>Customer Deposits _ Interest Accrual</v>
          </cell>
          <cell r="BZ99">
            <v>0</v>
          </cell>
        </row>
        <row r="100">
          <cell r="B100">
            <v>371</v>
          </cell>
          <cell r="C100" t="str">
            <v>Development Charges Reserve</v>
          </cell>
        </row>
        <row r="101">
          <cell r="B101">
            <v>360</v>
          </cell>
          <cell r="C101" t="str">
            <v>Vested Sick Leave Accrual</v>
          </cell>
          <cell r="BZ101">
            <v>0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 assets"/>
      <sheetName val="File Identification"/>
      <sheetName val="Title Page"/>
      <sheetName val="Audit Verification"/>
      <sheetName val="Consolidated Index"/>
      <sheetName val="CONSOLIDATED SUMMARY"/>
      <sheetName val="CONSOLIDATED STATEMENTS"/>
      <sheetName val="HOLDCO SUMMARY"/>
      <sheetName val="GENCO SUMMARY"/>
      <sheetName val="GENCO STATEMENTS"/>
      <sheetName val="DISTCO SUMMARY"/>
      <sheetName val="DISTCO STATEMENTS"/>
      <sheetName val="BROADBAND STATEMENTS"/>
      <sheetName val="Other Analysis"/>
      <sheetName val="Generation Index"/>
      <sheetName val="GENCO CapWOSum"/>
      <sheetName val="GENCO MntWOSum"/>
      <sheetName val="GENCO CapExp WO"/>
      <sheetName val="GENCO MntExp WO"/>
      <sheetName val="GENCO Recov WO"/>
      <sheetName val="GENCO Ovrhd WO"/>
      <sheetName val="GENCO ClosedWO"/>
      <sheetName val="Distribution Index"/>
      <sheetName val="DISTCO CapWOSum"/>
      <sheetName val="DISTCO MntWOSum"/>
      <sheetName val="DISTCO CapExp WO"/>
      <sheetName val="DISTCO MntExp WO "/>
      <sheetName val="DISTCO Recov WO"/>
      <sheetName val="DISTCO Ovrhd WO"/>
      <sheetName val="DISTCO ClosedWO"/>
      <sheetName val="ADMIN Ovrhd"/>
      <sheetName val="ADMIN ClosedWO"/>
      <sheetName val="GENCO Labour"/>
      <sheetName val="DISTCO Labour"/>
      <sheetName val="ADMINLabour"/>
      <sheetName val="Employee List of Salaries"/>
      <sheetName val="Salary Tables"/>
      <sheetName val="Future Capital"/>
      <sheetName val="Hours &amp; Dollars"/>
      <sheetName val="Delete RFH Payroll Detail"/>
      <sheetName val="Delete RFH Vehicle Rates"/>
      <sheetName val="Delete RFH Benefit Tables"/>
      <sheetName val="Delete RFH Salary Tables"/>
      <sheetName val="Exp Sorted by W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 refreshError="1"/>
      <sheetData sheetId="2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Pro Forma"/>
      <sheetName val="Debt Structure"/>
      <sheetName val="Summary Results"/>
      <sheetName val="Sheet5"/>
    </sheetNames>
    <sheetDataSet>
      <sheetData sheetId="0">
        <row r="48">
          <cell r="A48">
            <v>1</v>
          </cell>
          <cell r="B48">
            <v>8</v>
          </cell>
          <cell r="C48">
            <v>34000</v>
          </cell>
          <cell r="D48">
            <v>130</v>
          </cell>
          <cell r="E48">
            <v>0.48515981735159819</v>
          </cell>
          <cell r="F48" t="str">
            <v>8.0 MW plant, 34000MWh, 130 cms, 3.0 cms compensation flows</v>
          </cell>
          <cell r="J48">
            <v>30.1</v>
          </cell>
        </row>
        <row r="49">
          <cell r="A49">
            <v>2</v>
          </cell>
          <cell r="B49">
            <v>8</v>
          </cell>
          <cell r="C49">
            <v>32550</v>
          </cell>
          <cell r="D49">
            <v>127</v>
          </cell>
          <cell r="E49">
            <v>0.46446917808219179</v>
          </cell>
          <cell r="F49" t="str">
            <v>8.0 MW plant, 32550MWh, 127 cms, 6.0 cms compensation flows</v>
          </cell>
          <cell r="J49">
            <v>30.1</v>
          </cell>
        </row>
        <row r="50">
          <cell r="A50">
            <v>3</v>
          </cell>
          <cell r="B50">
            <v>8</v>
          </cell>
          <cell r="C50">
            <v>31610</v>
          </cell>
          <cell r="D50">
            <v>122</v>
          </cell>
          <cell r="E50">
            <v>0.45105593607305938</v>
          </cell>
          <cell r="F50" t="str">
            <v>8.0 MW plant, 31610MWh, 122 cms, 8.0 cms compensation flows</v>
          </cell>
          <cell r="J50">
            <v>30.1</v>
          </cell>
        </row>
        <row r="51">
          <cell r="A51">
            <v>4</v>
          </cell>
          <cell r="B51">
            <v>8</v>
          </cell>
          <cell r="C51">
            <v>30740</v>
          </cell>
          <cell r="D51">
            <v>120</v>
          </cell>
          <cell r="E51">
            <v>0.43864155251141551</v>
          </cell>
          <cell r="F51" t="str">
            <v>8.0 MW plant, 30740MWh, 120 cms, 10.0 cms compensation flows</v>
          </cell>
          <cell r="J51">
            <v>30.1</v>
          </cell>
        </row>
        <row r="52">
          <cell r="A52">
            <v>5</v>
          </cell>
          <cell r="B52">
            <v>8</v>
          </cell>
          <cell r="C52">
            <v>29950</v>
          </cell>
          <cell r="D52">
            <v>118</v>
          </cell>
          <cell r="E52">
            <v>0.42736872146118721</v>
          </cell>
          <cell r="F52" t="str">
            <v>8.0 MW plant, 29950MWh, 118 cms, 12.0 cms compensation flows</v>
          </cell>
          <cell r="J52">
            <v>30.1</v>
          </cell>
        </row>
        <row r="53">
          <cell r="A53">
            <v>6</v>
          </cell>
          <cell r="B53">
            <v>8</v>
          </cell>
          <cell r="C53">
            <v>28777</v>
          </cell>
          <cell r="D53">
            <v>115</v>
          </cell>
          <cell r="E53">
            <v>0.41063070776255706</v>
          </cell>
          <cell r="F53" t="str">
            <v>8.0 MW plant, 34000MWh, 115 cms, 15.0 cms compensation flows</v>
          </cell>
          <cell r="J53">
            <v>30.1</v>
          </cell>
        </row>
        <row r="54">
          <cell r="A54">
            <v>7</v>
          </cell>
        </row>
        <row r="55">
          <cell r="A55">
            <v>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ID"/>
      <sheetName val="Sensitivity"/>
      <sheetName val="Assumptions"/>
      <sheetName val="Project Returns"/>
      <sheetName val="Financial Statements"/>
      <sheetName val="Revenue"/>
      <sheetName val="OpsMaintAdmin"/>
      <sheetName val="Amortization"/>
      <sheetName val="Income Taxes"/>
      <sheetName val="PropPlantEquip"/>
      <sheetName val="Debt Financing"/>
      <sheetName val="Share Equity"/>
    </sheetNames>
    <sheetDataSet>
      <sheetData sheetId="0"/>
      <sheetData sheetId="1"/>
      <sheetData sheetId="2">
        <row r="18">
          <cell r="M18">
            <v>0.15</v>
          </cell>
        </row>
      </sheetData>
      <sheetData sheetId="3"/>
      <sheetData sheetId="4">
        <row r="54">
          <cell r="J54">
            <v>0</v>
          </cell>
        </row>
      </sheetData>
      <sheetData sheetId="5"/>
      <sheetData sheetId="6"/>
      <sheetData sheetId="7"/>
      <sheetData sheetId="8"/>
      <sheetData sheetId="9"/>
      <sheetData sheetId="10">
        <row r="99">
          <cell r="V99">
            <v>1</v>
          </cell>
          <cell r="W99">
            <v>2</v>
          </cell>
          <cell r="X99">
            <v>3</v>
          </cell>
          <cell r="Y99">
            <v>4</v>
          </cell>
          <cell r="Z99">
            <v>5</v>
          </cell>
          <cell r="AA99">
            <v>6</v>
          </cell>
          <cell r="AB99">
            <v>7</v>
          </cell>
          <cell r="AC99">
            <v>8</v>
          </cell>
          <cell r="AD99">
            <v>9</v>
          </cell>
          <cell r="AE99">
            <v>10</v>
          </cell>
          <cell r="AF99">
            <v>11</v>
          </cell>
          <cell r="AG99">
            <v>12</v>
          </cell>
        </row>
        <row r="102">
          <cell r="I102">
            <v>360</v>
          </cell>
        </row>
        <row r="104">
          <cell r="I104">
            <v>4.0741237836483535E-3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T19"/>
  <sheetViews>
    <sheetView showGridLines="0" showZeros="0" zoomScale="150" zoomScaleNormal="150" workbookViewId="0">
      <pane xSplit="3" ySplit="1" topLeftCell="Q17" activePane="bottomRight" state="frozen"/>
      <selection activeCell="B84" sqref="B84"/>
      <selection pane="topRight" activeCell="B84" sqref="B84"/>
      <selection pane="bottomLeft" activeCell="B84" sqref="B84"/>
      <selection pane="bottomRight" activeCell="R19" sqref="R19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3" width="10.61328125" style="7" customWidth="1"/>
    <col min="4" max="4" width="5.61328125" style="7" customWidth="1"/>
    <col min="5" max="19" width="9.61328125" style="7" customWidth="1"/>
    <col min="20" max="20" width="1.84375" style="7" customWidth="1"/>
    <col min="21" max="16384" width="8.765625" style="7"/>
  </cols>
  <sheetData>
    <row r="1" spans="1:20" s="6" customFormat="1" ht="19.2" customHeight="1" thickBot="1" x14ac:dyDescent="0.35">
      <c r="A1" s="1" t="s">
        <v>150</v>
      </c>
      <c r="B1" s="2" t="s">
        <v>154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09"/>
    </row>
    <row r="2" spans="1:20" ht="19.2" customHeight="1" x14ac:dyDescent="0.3">
      <c r="T2" s="109"/>
    </row>
    <row r="3" spans="1:20" ht="19.2" customHeight="1" x14ac:dyDescent="0.3">
      <c r="A3" s="9" t="s">
        <v>20</v>
      </c>
      <c r="B3" s="7"/>
      <c r="E3" s="121">
        <f>'Rate Base'!E10</f>
        <v>20806000</v>
      </c>
      <c r="F3" s="32">
        <f>'Rate Base'!F10</f>
        <v>33683000</v>
      </c>
      <c r="G3" s="32">
        <f>'Rate Base'!G10</f>
        <v>35241000</v>
      </c>
      <c r="H3" s="32">
        <f>'Rate Base'!H10</f>
        <v>37742000</v>
      </c>
      <c r="I3" s="32">
        <f>'Rate Base'!I10</f>
        <v>37424000</v>
      </c>
      <c r="J3" s="32">
        <f>'Rate Base'!J10</f>
        <v>39625000</v>
      </c>
      <c r="K3" s="32">
        <f>'Rate Base'!K10</f>
        <v>41269000</v>
      </c>
      <c r="L3" s="32">
        <f>'Rate Base'!L10</f>
        <v>41115000</v>
      </c>
      <c r="M3" s="32">
        <f>'Rate Base'!M10</f>
        <v>41537000</v>
      </c>
      <c r="N3" s="32">
        <f>'Rate Base'!N10</f>
        <v>42411000</v>
      </c>
      <c r="O3" s="32">
        <f>'Rate Base'!O10</f>
        <v>43272000</v>
      </c>
      <c r="P3" s="32">
        <f>'Rate Base'!P10</f>
        <v>44117000</v>
      </c>
      <c r="Q3" s="32">
        <f>'Rate Base'!Q10</f>
        <v>48712000</v>
      </c>
      <c r="R3" s="32">
        <f>'Rate Base'!R10</f>
        <v>53156000</v>
      </c>
      <c r="S3" s="32">
        <f>'Rate Base'!S10</f>
        <v>53678000</v>
      </c>
      <c r="T3" s="109"/>
    </row>
    <row r="4" spans="1:20" ht="19.2" customHeight="1" x14ac:dyDescent="0.3">
      <c r="A4" s="19"/>
      <c r="B4" s="7"/>
      <c r="E4" s="122"/>
      <c r="F4" s="27"/>
      <c r="G4" s="27"/>
      <c r="H4" s="27"/>
      <c r="I4" s="27"/>
      <c r="J4" s="27"/>
      <c r="T4" s="109"/>
    </row>
    <row r="5" spans="1:20" ht="19.2" customHeight="1" x14ac:dyDescent="0.3">
      <c r="A5" s="9" t="s">
        <v>21</v>
      </c>
      <c r="B5" s="7"/>
      <c r="E5" s="121">
        <f>'RR SUMMARY'!E6</f>
        <v>4346000</v>
      </c>
      <c r="F5" s="32">
        <f>'RR SUMMARY'!F6</f>
        <v>4870000</v>
      </c>
      <c r="G5" s="32">
        <f>'RR SUMMARY'!G6</f>
        <v>5134000</v>
      </c>
      <c r="H5" s="32">
        <f>'RR SUMMARY'!H6</f>
        <v>5431000</v>
      </c>
      <c r="I5" s="32">
        <f>'RR SUMMARY'!I6</f>
        <v>5542000</v>
      </c>
      <c r="J5" s="32">
        <f>'RR SUMMARY'!J6</f>
        <v>5654000</v>
      </c>
      <c r="K5" s="32">
        <f>'RR SUMMARY'!K6</f>
        <v>5768000</v>
      </c>
      <c r="L5" s="32">
        <f>'RR SUMMARY'!L6</f>
        <v>5883000</v>
      </c>
      <c r="M5" s="32">
        <f>'RR SUMMARY'!M6</f>
        <v>6000000</v>
      </c>
      <c r="N5" s="32">
        <f>'RR SUMMARY'!N6</f>
        <v>6120000</v>
      </c>
      <c r="O5" s="32">
        <f>'RR SUMMARY'!O6</f>
        <v>6243000</v>
      </c>
      <c r="P5" s="32">
        <f>'RR SUMMARY'!P6</f>
        <v>6367000</v>
      </c>
      <c r="Q5" s="32">
        <f>'RR SUMMARY'!Q6</f>
        <v>6493000</v>
      </c>
      <c r="R5" s="32">
        <f>'RR SUMMARY'!R6</f>
        <v>6621000</v>
      </c>
      <c r="S5" s="32">
        <f>'RR SUMMARY'!S6</f>
        <v>6754000</v>
      </c>
      <c r="T5" s="109"/>
    </row>
    <row r="6" spans="1:20" ht="19.2" customHeight="1" x14ac:dyDescent="0.3">
      <c r="A6" s="19"/>
      <c r="B6" s="7"/>
      <c r="E6" s="122"/>
      <c r="F6" s="27"/>
      <c r="G6" s="27"/>
      <c r="H6" s="27"/>
      <c r="I6" s="27"/>
      <c r="J6" s="27"/>
      <c r="T6" s="109"/>
    </row>
    <row r="7" spans="1:20" ht="19.2" customHeight="1" x14ac:dyDescent="0.3">
      <c r="A7" s="9" t="s">
        <v>22</v>
      </c>
      <c r="B7" s="7"/>
      <c r="E7" s="121">
        <f>'RR SUMMARY'!E7+'RR SUMMARY'!E8</f>
        <v>1408000</v>
      </c>
      <c r="F7" s="32">
        <f>'RR SUMMARY'!F7+'RR SUMMARY'!F8</f>
        <v>1142000</v>
      </c>
      <c r="G7" s="32">
        <f>'RR SUMMARY'!G7+'RR SUMMARY'!G8</f>
        <v>1275000</v>
      </c>
      <c r="H7" s="32">
        <f>'RR SUMMARY'!H7+'RR SUMMARY'!H8</f>
        <v>1420000</v>
      </c>
      <c r="I7" s="32">
        <f>'RR SUMMARY'!I7+'RR SUMMARY'!I8</f>
        <v>1571000</v>
      </c>
      <c r="J7" s="32">
        <f>'RR SUMMARY'!J7+'RR SUMMARY'!J8</f>
        <v>1711000</v>
      </c>
      <c r="K7" s="32">
        <f>'RR SUMMARY'!K7+'RR SUMMARY'!K8</f>
        <v>1817000</v>
      </c>
      <c r="L7" s="32">
        <f>'RR SUMMARY'!L7+'RR SUMMARY'!L8</f>
        <v>1875000</v>
      </c>
      <c r="M7" s="32">
        <f>'RR SUMMARY'!M7+'RR SUMMARY'!M8</f>
        <v>1958000</v>
      </c>
      <c r="N7" s="32">
        <f>'RR SUMMARY'!N7+'RR SUMMARY'!N8</f>
        <v>2061000</v>
      </c>
      <c r="O7" s="32">
        <f>'RR SUMMARY'!O7+'RR SUMMARY'!O8</f>
        <v>2167000</v>
      </c>
      <c r="P7" s="32">
        <f>'RR SUMMARY'!P7+'RR SUMMARY'!P8</f>
        <v>2277000</v>
      </c>
      <c r="Q7" s="32">
        <f>'RR SUMMARY'!Q7+'RR SUMMARY'!Q8</f>
        <v>2517000</v>
      </c>
      <c r="R7" s="32">
        <f>'RR SUMMARY'!R7+'RR SUMMARY'!R8</f>
        <v>2762000</v>
      </c>
      <c r="S7" s="32">
        <f>'RR SUMMARY'!S7+'RR SUMMARY'!S8</f>
        <v>2882000</v>
      </c>
      <c r="T7" s="109"/>
    </row>
    <row r="8" spans="1:20" ht="19.2" customHeight="1" x14ac:dyDescent="0.3">
      <c r="A8" s="19"/>
      <c r="B8" s="7"/>
      <c r="E8" s="122"/>
      <c r="F8" s="27"/>
      <c r="G8" s="27"/>
      <c r="H8" s="27"/>
      <c r="I8" s="27"/>
      <c r="J8" s="27"/>
      <c r="T8" s="109"/>
    </row>
    <row r="9" spans="1:20" ht="19.2" customHeight="1" x14ac:dyDescent="0.3">
      <c r="A9" s="9" t="s">
        <v>23</v>
      </c>
      <c r="B9" s="7"/>
      <c r="E9" s="121">
        <f>'RR SUMMARY'!E5</f>
        <v>343000</v>
      </c>
      <c r="F9" s="32">
        <f>+'RR SUMMARY'!F5</f>
        <v>149000</v>
      </c>
      <c r="G9" s="32">
        <f>+'RR SUMMARY'!G5</f>
        <v>193000</v>
      </c>
      <c r="H9" s="32">
        <f>+'RR SUMMARY'!H5</f>
        <v>201000</v>
      </c>
      <c r="I9" s="32">
        <f>+'RR SUMMARY'!I5</f>
        <v>102000</v>
      </c>
      <c r="J9" s="32">
        <f>+'RR SUMMARY'!J5</f>
        <v>130000</v>
      </c>
      <c r="K9" s="32">
        <f>+'RR SUMMARY'!K5</f>
        <v>203000</v>
      </c>
      <c r="L9" s="32">
        <f>+'RR SUMMARY'!L5</f>
        <v>263000</v>
      </c>
      <c r="M9" s="32">
        <f>+'RR SUMMARY'!M5</f>
        <v>309000</v>
      </c>
      <c r="N9" s="32">
        <f>+'RR SUMMARY'!N5</f>
        <v>344000</v>
      </c>
      <c r="O9" s="32">
        <f>+'RR SUMMARY'!O5</f>
        <v>380000</v>
      </c>
      <c r="P9" s="32">
        <f>+'RR SUMMARY'!P5</f>
        <v>415000</v>
      </c>
      <c r="Q9" s="32">
        <f>+'RR SUMMARY'!Q5</f>
        <v>474000</v>
      </c>
      <c r="R9" s="32">
        <f>+'RR SUMMARY'!R5</f>
        <v>535000</v>
      </c>
      <c r="S9" s="32">
        <f>+'RR SUMMARY'!S5</f>
        <v>575000</v>
      </c>
      <c r="T9" s="109"/>
    </row>
    <row r="10" spans="1:20" ht="19.2" customHeight="1" x14ac:dyDescent="0.3">
      <c r="A10" s="19"/>
      <c r="B10" s="7"/>
      <c r="E10" s="122"/>
      <c r="F10" s="27"/>
      <c r="G10" s="27"/>
      <c r="H10" s="27"/>
      <c r="I10" s="27"/>
      <c r="J10" s="27"/>
      <c r="T10" s="109"/>
    </row>
    <row r="11" spans="1:20" ht="19.2" customHeight="1" x14ac:dyDescent="0.3">
      <c r="A11" s="9" t="s">
        <v>24</v>
      </c>
      <c r="B11" s="35"/>
      <c r="C11" s="35"/>
      <c r="D11" s="35"/>
      <c r="E11" s="12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109"/>
    </row>
    <row r="12" spans="1:20" ht="19.2" customHeight="1" x14ac:dyDescent="0.3">
      <c r="A12" s="19" t="s">
        <v>161</v>
      </c>
      <c r="B12" s="16"/>
      <c r="C12" s="35"/>
      <c r="D12" s="35"/>
      <c r="E12" s="123"/>
      <c r="F12" s="32">
        <f>'Rate Base'!F20</f>
        <v>1197000</v>
      </c>
      <c r="G12" s="32">
        <f>'Rate Base'!G20</f>
        <v>1253000</v>
      </c>
      <c r="H12" s="32">
        <f>'Rate Base'!H20</f>
        <v>1341000</v>
      </c>
      <c r="I12" s="32">
        <f>'Rate Base'!I20</f>
        <v>906000</v>
      </c>
      <c r="J12" s="32">
        <f>'Rate Base'!J20</f>
        <v>959000</v>
      </c>
      <c r="K12" s="32">
        <f>'Rate Base'!K20</f>
        <v>999000</v>
      </c>
      <c r="L12" s="32">
        <f>'Rate Base'!L20</f>
        <v>996000</v>
      </c>
      <c r="M12" s="32">
        <f>'Rate Base'!M20</f>
        <v>1006000</v>
      </c>
      <c r="N12" s="32">
        <f>'Rate Base'!N20</f>
        <v>1027000</v>
      </c>
      <c r="O12" s="32">
        <f>'Rate Base'!O20</f>
        <v>1047000</v>
      </c>
      <c r="P12" s="32">
        <f>'Rate Base'!P20</f>
        <v>1068000</v>
      </c>
      <c r="Q12" s="32">
        <f>'Rate Base'!Q20</f>
        <v>1179000</v>
      </c>
      <c r="R12" s="32">
        <f>'Rate Base'!R20</f>
        <v>1287000</v>
      </c>
      <c r="S12" s="32">
        <f>'Rate Base'!S20</f>
        <v>1300000</v>
      </c>
      <c r="T12" s="109"/>
    </row>
    <row r="13" spans="1:20" ht="19.2" customHeight="1" x14ac:dyDescent="0.3">
      <c r="A13" s="19" t="s">
        <v>25</v>
      </c>
      <c r="B13" s="35"/>
      <c r="C13" s="35"/>
      <c r="D13" s="35"/>
      <c r="E13" s="123"/>
      <c r="F13" s="32">
        <f>'Rate Base'!F21</f>
        <v>1327000</v>
      </c>
      <c r="G13" s="32">
        <f>'Rate Base'!G21</f>
        <v>1388000</v>
      </c>
      <c r="H13" s="32">
        <f>'Rate Base'!H21</f>
        <v>1487000</v>
      </c>
      <c r="I13" s="32">
        <f>'Rate Base'!I21</f>
        <v>1347000</v>
      </c>
      <c r="J13" s="32">
        <f>'Rate Base'!J21</f>
        <v>1427000</v>
      </c>
      <c r="K13" s="32">
        <f>'Rate Base'!K21</f>
        <v>1486000</v>
      </c>
      <c r="L13" s="32">
        <f>'Rate Base'!L21</f>
        <v>1480000</v>
      </c>
      <c r="M13" s="32">
        <f>'Rate Base'!M21</f>
        <v>1495000</v>
      </c>
      <c r="N13" s="32">
        <f>'Rate Base'!N21</f>
        <v>1527000</v>
      </c>
      <c r="O13" s="32">
        <f>'Rate Base'!O21</f>
        <v>1558000</v>
      </c>
      <c r="P13" s="32">
        <f>'Rate Base'!P21</f>
        <v>1588000</v>
      </c>
      <c r="Q13" s="32">
        <f>'Rate Base'!Q21</f>
        <v>1754000</v>
      </c>
      <c r="R13" s="32">
        <f>'Rate Base'!R21</f>
        <v>1914000</v>
      </c>
      <c r="S13" s="32">
        <f>'Rate Base'!S21</f>
        <v>1932000</v>
      </c>
      <c r="T13" s="109"/>
    </row>
    <row r="14" spans="1:20" ht="19.2" customHeight="1" x14ac:dyDescent="0.3">
      <c r="A14" s="16" t="s">
        <v>26</v>
      </c>
      <c r="B14" s="7"/>
      <c r="E14" s="121">
        <f>'RR SUMMARY'!E4</f>
        <v>1559000</v>
      </c>
      <c r="F14" s="32">
        <f>'RR SUMMARY'!F4</f>
        <v>2524000</v>
      </c>
      <c r="G14" s="32">
        <f>'RR SUMMARY'!G4</f>
        <v>2641000</v>
      </c>
      <c r="H14" s="32">
        <f>'RR SUMMARY'!H4</f>
        <v>2828000</v>
      </c>
      <c r="I14" s="32">
        <f>'RR SUMMARY'!I4</f>
        <v>2253000</v>
      </c>
      <c r="J14" s="32">
        <f>'RR SUMMARY'!J4</f>
        <v>2386000</v>
      </c>
      <c r="K14" s="32">
        <f>'RR SUMMARY'!K4</f>
        <v>2485000</v>
      </c>
      <c r="L14" s="32">
        <f>'RR SUMMARY'!L4</f>
        <v>2476000</v>
      </c>
      <c r="M14" s="32">
        <f>'RR SUMMARY'!M4</f>
        <v>2501000</v>
      </c>
      <c r="N14" s="32">
        <f>'RR SUMMARY'!N4</f>
        <v>2554000</v>
      </c>
      <c r="O14" s="32">
        <f>'RR SUMMARY'!O4</f>
        <v>2605000</v>
      </c>
      <c r="P14" s="32">
        <f>'RR SUMMARY'!P4</f>
        <v>2656000</v>
      </c>
      <c r="Q14" s="32">
        <f>'RR SUMMARY'!Q4</f>
        <v>2933000</v>
      </c>
      <c r="R14" s="32">
        <f>'RR SUMMARY'!R4</f>
        <v>3201000</v>
      </c>
      <c r="S14" s="32">
        <f>'RR SUMMARY'!S4</f>
        <v>3232000</v>
      </c>
      <c r="T14" s="109"/>
    </row>
    <row r="15" spans="1:20" ht="19.2" customHeight="1" x14ac:dyDescent="0.3">
      <c r="B15" s="7"/>
      <c r="E15" s="122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09"/>
    </row>
    <row r="16" spans="1:20" ht="19.2" customHeight="1" x14ac:dyDescent="0.3">
      <c r="A16" s="9" t="s">
        <v>27</v>
      </c>
      <c r="B16" s="7"/>
      <c r="E16" s="121">
        <f>'RR SUMMARY'!E9</f>
        <v>7656000</v>
      </c>
      <c r="F16" s="32">
        <f t="shared" ref="F16:S16" si="0">+F5+F7+F9+F12+F13</f>
        <v>8685000</v>
      </c>
      <c r="G16" s="32">
        <f t="shared" si="0"/>
        <v>9243000</v>
      </c>
      <c r="H16" s="32">
        <f t="shared" si="0"/>
        <v>9880000</v>
      </c>
      <c r="I16" s="32">
        <f t="shared" si="0"/>
        <v>9468000</v>
      </c>
      <c r="J16" s="32">
        <f t="shared" si="0"/>
        <v>9881000</v>
      </c>
      <c r="K16" s="32">
        <f t="shared" si="0"/>
        <v>10273000</v>
      </c>
      <c r="L16" s="32">
        <f t="shared" si="0"/>
        <v>10497000</v>
      </c>
      <c r="M16" s="32">
        <f t="shared" si="0"/>
        <v>10768000</v>
      </c>
      <c r="N16" s="32">
        <f t="shared" si="0"/>
        <v>11079000</v>
      </c>
      <c r="O16" s="32">
        <f t="shared" si="0"/>
        <v>11395000</v>
      </c>
      <c r="P16" s="32">
        <f t="shared" si="0"/>
        <v>11715000</v>
      </c>
      <c r="Q16" s="32">
        <f t="shared" si="0"/>
        <v>12417000</v>
      </c>
      <c r="R16" s="32">
        <f t="shared" si="0"/>
        <v>13119000</v>
      </c>
      <c r="S16" s="32">
        <f t="shared" si="0"/>
        <v>13443000</v>
      </c>
      <c r="T16" s="109"/>
    </row>
    <row r="17" spans="1:20" ht="19.2" customHeight="1" x14ac:dyDescent="0.3">
      <c r="B17" s="7"/>
      <c r="E17" s="36"/>
      <c r="F17" s="27"/>
      <c r="G17" s="27"/>
      <c r="H17" s="27"/>
      <c r="I17" s="27"/>
      <c r="J17" s="27"/>
      <c r="T17" s="109"/>
    </row>
    <row r="18" spans="1:20" ht="19.2" customHeight="1" x14ac:dyDescent="0.3">
      <c r="T18" s="109"/>
    </row>
    <row r="19" spans="1:20" ht="19.2" customHeight="1" x14ac:dyDescent="0.3">
      <c r="A19" s="107" t="s">
        <v>149</v>
      </c>
      <c r="B19" s="109"/>
      <c r="C19" s="109"/>
      <c r="D19" s="109"/>
      <c r="E19" s="109"/>
      <c r="F19" s="120">
        <f>F14-F12-F13</f>
        <v>0</v>
      </c>
      <c r="G19" s="120">
        <f t="shared" ref="G19:S19" si="1">G14-G12-G13</f>
        <v>0</v>
      </c>
      <c r="H19" s="120">
        <f t="shared" si="1"/>
        <v>0</v>
      </c>
      <c r="I19" s="120">
        <f t="shared" si="1"/>
        <v>0</v>
      </c>
      <c r="J19" s="120">
        <f t="shared" si="1"/>
        <v>0</v>
      </c>
      <c r="K19" s="120">
        <f t="shared" si="1"/>
        <v>0</v>
      </c>
      <c r="L19" s="120">
        <f t="shared" si="1"/>
        <v>0</v>
      </c>
      <c r="M19" s="120">
        <f t="shared" si="1"/>
        <v>0</v>
      </c>
      <c r="N19" s="120">
        <f t="shared" si="1"/>
        <v>0</v>
      </c>
      <c r="O19" s="120">
        <f t="shared" si="1"/>
        <v>0</v>
      </c>
      <c r="P19" s="120">
        <f t="shared" si="1"/>
        <v>0</v>
      </c>
      <c r="Q19" s="120">
        <f t="shared" si="1"/>
        <v>0</v>
      </c>
      <c r="R19" s="120">
        <f t="shared" si="1"/>
        <v>0</v>
      </c>
      <c r="S19" s="120">
        <f t="shared" si="1"/>
        <v>0</v>
      </c>
      <c r="T19" s="109"/>
    </row>
  </sheetData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T39"/>
  <sheetViews>
    <sheetView showGridLines="0" showZeros="0" zoomScale="150" zoomScaleNormal="150" workbookViewId="0">
      <pane xSplit="3" ySplit="1" topLeftCell="D13" activePane="bottomRight" state="frozen"/>
      <selection activeCell="B84" sqref="B84"/>
      <selection pane="topRight" activeCell="B84" sqref="B84"/>
      <selection pane="bottomLeft" activeCell="B84" sqref="B84"/>
      <selection pane="bottomRight" activeCell="B39" sqref="B39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3" width="10.61328125" style="7" customWidth="1"/>
    <col min="4" max="4" width="8.3828125" style="7" bestFit="1" customWidth="1"/>
    <col min="5" max="19" width="9.61328125" style="7" customWidth="1"/>
    <col min="20" max="20" width="1.84375" style="7" customWidth="1"/>
    <col min="21" max="16384" width="8.765625" style="7"/>
  </cols>
  <sheetData>
    <row r="1" spans="1:20" s="6" customFormat="1" ht="19.2" customHeight="1" thickBot="1" x14ac:dyDescent="0.35">
      <c r="A1" s="1" t="s">
        <v>150</v>
      </c>
      <c r="B1" s="2" t="s">
        <v>157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1"/>
    </row>
    <row r="2" spans="1:20" s="6" customFormat="1" ht="19.2" customHeight="1" x14ac:dyDescent="0.3">
      <c r="A2" s="7"/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1"/>
    </row>
    <row r="3" spans="1:20" s="6" customFormat="1" ht="19.2" customHeight="1" x14ac:dyDescent="0.3">
      <c r="A3" s="9" t="s">
        <v>93</v>
      </c>
      <c r="B3" s="9"/>
      <c r="C3" s="7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11"/>
    </row>
    <row r="4" spans="1:20" s="6" customFormat="1" ht="19.2" customHeight="1" x14ac:dyDescent="0.3">
      <c r="A4" s="18" t="s">
        <v>94</v>
      </c>
      <c r="B4" s="18"/>
      <c r="C4" s="35"/>
      <c r="D4" s="42" t="s">
        <v>95</v>
      </c>
      <c r="E4" s="14">
        <f>'Rate Base'!E16</f>
        <v>1559000</v>
      </c>
      <c r="F4" s="14">
        <f>'Rate Base'!F16</f>
        <v>2524000</v>
      </c>
      <c r="G4" s="14">
        <f>'Rate Base'!G16</f>
        <v>2641000</v>
      </c>
      <c r="H4" s="14">
        <f>'Rate Base'!H16</f>
        <v>2828000</v>
      </c>
      <c r="I4" s="14">
        <f>'Rate Base'!I16</f>
        <v>2253000</v>
      </c>
      <c r="J4" s="14">
        <f>'Rate Base'!J16</f>
        <v>2386000</v>
      </c>
      <c r="K4" s="14">
        <f>'Rate Base'!K16</f>
        <v>2485000</v>
      </c>
      <c r="L4" s="14">
        <f>'Rate Base'!L16</f>
        <v>2476000</v>
      </c>
      <c r="M4" s="14">
        <f>'Rate Base'!M16</f>
        <v>2501000</v>
      </c>
      <c r="N4" s="14">
        <f>'Rate Base'!N16</f>
        <v>2554000</v>
      </c>
      <c r="O4" s="14">
        <f>'Rate Base'!O16</f>
        <v>2605000</v>
      </c>
      <c r="P4" s="14">
        <f>'Rate Base'!P16</f>
        <v>2656000</v>
      </c>
      <c r="Q4" s="14">
        <f>'Rate Base'!Q16</f>
        <v>2933000</v>
      </c>
      <c r="R4" s="14">
        <f>'Rate Base'!R16</f>
        <v>3201000</v>
      </c>
      <c r="S4" s="14">
        <f>'Rate Base'!S16</f>
        <v>3232000</v>
      </c>
      <c r="T4" s="11"/>
    </row>
    <row r="5" spans="1:20" s="6" customFormat="1" ht="19.2" customHeight="1" x14ac:dyDescent="0.3">
      <c r="A5" s="18" t="s">
        <v>96</v>
      </c>
      <c r="B5" s="18"/>
      <c r="C5" s="35"/>
      <c r="D5" s="42" t="s">
        <v>77</v>
      </c>
      <c r="E5" s="14">
        <f>Taxes!E17</f>
        <v>343000</v>
      </c>
      <c r="F5" s="14">
        <f>Taxes!F17</f>
        <v>149000</v>
      </c>
      <c r="G5" s="14">
        <f>Taxes!G17</f>
        <v>193000</v>
      </c>
      <c r="H5" s="14">
        <f>Taxes!H17</f>
        <v>201000</v>
      </c>
      <c r="I5" s="14">
        <f>Taxes!I17</f>
        <v>102000</v>
      </c>
      <c r="J5" s="14">
        <f>Taxes!J17</f>
        <v>130000</v>
      </c>
      <c r="K5" s="14">
        <f>Taxes!K17</f>
        <v>203000</v>
      </c>
      <c r="L5" s="14">
        <f>Taxes!L17</f>
        <v>263000</v>
      </c>
      <c r="M5" s="14">
        <f>Taxes!M17</f>
        <v>309000</v>
      </c>
      <c r="N5" s="14">
        <f>Taxes!N17</f>
        <v>344000</v>
      </c>
      <c r="O5" s="14">
        <f>Taxes!O17</f>
        <v>380000</v>
      </c>
      <c r="P5" s="14">
        <f>Taxes!P17</f>
        <v>415000</v>
      </c>
      <c r="Q5" s="14">
        <f>Taxes!Q17</f>
        <v>474000</v>
      </c>
      <c r="R5" s="14">
        <f>Taxes!R17</f>
        <v>535000</v>
      </c>
      <c r="S5" s="14">
        <f>Taxes!S17</f>
        <v>575000</v>
      </c>
      <c r="T5" s="11"/>
    </row>
    <row r="6" spans="1:20" s="6" customFormat="1" ht="19.2" customHeight="1" x14ac:dyDescent="0.3">
      <c r="A6" s="18" t="s">
        <v>97</v>
      </c>
      <c r="B6" s="18"/>
      <c r="C6" s="7"/>
      <c r="D6" s="42" t="s">
        <v>98</v>
      </c>
      <c r="E6" s="14">
        <f>OMA_WC_CAPEX!E11</f>
        <v>4346000</v>
      </c>
      <c r="F6" s="14">
        <f>OMA_WC_CAPEX!F11</f>
        <v>4870000</v>
      </c>
      <c r="G6" s="14">
        <f>OMA_WC_CAPEX!G11</f>
        <v>5134000</v>
      </c>
      <c r="H6" s="14">
        <f>OMA_WC_CAPEX!H11</f>
        <v>5431000</v>
      </c>
      <c r="I6" s="14">
        <f>OMA_WC_CAPEX!I11</f>
        <v>5542000</v>
      </c>
      <c r="J6" s="14">
        <f>OMA_WC_CAPEX!J11</f>
        <v>5654000</v>
      </c>
      <c r="K6" s="14">
        <f>OMA_WC_CAPEX!K11</f>
        <v>5768000</v>
      </c>
      <c r="L6" s="14">
        <f>OMA_WC_CAPEX!L11</f>
        <v>5883000</v>
      </c>
      <c r="M6" s="14">
        <f>OMA_WC_CAPEX!M11</f>
        <v>6000000</v>
      </c>
      <c r="N6" s="14">
        <f>OMA_WC_CAPEX!N11</f>
        <v>6120000</v>
      </c>
      <c r="O6" s="14">
        <f>OMA_WC_CAPEX!O11</f>
        <v>6243000</v>
      </c>
      <c r="P6" s="14">
        <f>OMA_WC_CAPEX!P11</f>
        <v>6367000</v>
      </c>
      <c r="Q6" s="14">
        <f>OMA_WC_CAPEX!Q11</f>
        <v>6493000</v>
      </c>
      <c r="R6" s="14">
        <f>OMA_WC_CAPEX!R11</f>
        <v>6621000</v>
      </c>
      <c r="S6" s="14">
        <f>OMA_WC_CAPEX!S11</f>
        <v>6754000</v>
      </c>
      <c r="T6" s="11"/>
    </row>
    <row r="7" spans="1:20" s="6" customFormat="1" ht="19.2" customHeight="1" x14ac:dyDescent="0.3">
      <c r="A7" s="18" t="s">
        <v>99</v>
      </c>
      <c r="B7" s="18"/>
      <c r="C7" s="7"/>
      <c r="D7" s="42" t="s">
        <v>100</v>
      </c>
      <c r="E7" s="64">
        <v>1408000</v>
      </c>
      <c r="F7" s="64">
        <v>1187000</v>
      </c>
      <c r="G7" s="64">
        <v>1330000</v>
      </c>
      <c r="H7" s="64">
        <v>1481000</v>
      </c>
      <c r="I7" s="64">
        <v>1641000</v>
      </c>
      <c r="J7" s="64">
        <v>1786000</v>
      </c>
      <c r="K7" s="64">
        <v>1898000</v>
      </c>
      <c r="L7" s="64">
        <v>1963000</v>
      </c>
      <c r="M7" s="64">
        <v>2052000</v>
      </c>
      <c r="N7" s="64">
        <v>2161000</v>
      </c>
      <c r="O7" s="64">
        <v>2274000</v>
      </c>
      <c r="P7" s="64">
        <v>2391000</v>
      </c>
      <c r="Q7" s="64">
        <v>2639000</v>
      </c>
      <c r="R7" s="64">
        <v>2892000</v>
      </c>
      <c r="S7" s="64">
        <v>3020000</v>
      </c>
      <c r="T7" s="11"/>
    </row>
    <row r="8" spans="1:20" s="6" customFormat="1" ht="19.2" customHeight="1" x14ac:dyDescent="0.3">
      <c r="A8" s="18" t="s">
        <v>101</v>
      </c>
      <c r="B8" s="18"/>
      <c r="C8" s="7"/>
      <c r="D8" s="42"/>
      <c r="E8" s="118"/>
      <c r="F8" s="64">
        <v>-45000</v>
      </c>
      <c r="G8" s="64">
        <v>-55000</v>
      </c>
      <c r="H8" s="64">
        <v>-61000</v>
      </c>
      <c r="I8" s="64">
        <v>-70000</v>
      </c>
      <c r="J8" s="64">
        <v>-75000</v>
      </c>
      <c r="K8" s="64">
        <v>-81000</v>
      </c>
      <c r="L8" s="64">
        <v>-88000</v>
      </c>
      <c r="M8" s="64">
        <v>-94000</v>
      </c>
      <c r="N8" s="64">
        <v>-100000</v>
      </c>
      <c r="O8" s="64">
        <v>-107000</v>
      </c>
      <c r="P8" s="64">
        <v>-114000</v>
      </c>
      <c r="Q8" s="64">
        <v>-122000</v>
      </c>
      <c r="R8" s="64">
        <v>-130000</v>
      </c>
      <c r="S8" s="64">
        <v>-138000</v>
      </c>
      <c r="T8" s="11"/>
    </row>
    <row r="9" spans="1:20" s="6" customFormat="1" ht="19.2" customHeight="1" thickBot="1" x14ac:dyDescent="0.35">
      <c r="A9" s="65" t="s">
        <v>102</v>
      </c>
      <c r="B9" s="65"/>
      <c r="C9" s="66"/>
      <c r="D9" s="67" t="s">
        <v>103</v>
      </c>
      <c r="E9" s="54">
        <v>7656000</v>
      </c>
      <c r="F9" s="24">
        <f t="shared" ref="F9:S9" si="0">SUM(F4:F8)</f>
        <v>8685000</v>
      </c>
      <c r="G9" s="24">
        <f t="shared" si="0"/>
        <v>9243000</v>
      </c>
      <c r="H9" s="24">
        <f t="shared" si="0"/>
        <v>9880000</v>
      </c>
      <c r="I9" s="25">
        <f t="shared" si="0"/>
        <v>9468000</v>
      </c>
      <c r="J9" s="24">
        <f t="shared" si="0"/>
        <v>9881000</v>
      </c>
      <c r="K9" s="24">
        <f t="shared" si="0"/>
        <v>10273000</v>
      </c>
      <c r="L9" s="24">
        <f t="shared" si="0"/>
        <v>10497000</v>
      </c>
      <c r="M9" s="24">
        <f t="shared" si="0"/>
        <v>10768000</v>
      </c>
      <c r="N9" s="25">
        <f t="shared" si="0"/>
        <v>11079000</v>
      </c>
      <c r="O9" s="24">
        <f t="shared" si="0"/>
        <v>11395000</v>
      </c>
      <c r="P9" s="24">
        <f t="shared" si="0"/>
        <v>11715000</v>
      </c>
      <c r="Q9" s="24">
        <f t="shared" si="0"/>
        <v>12417000</v>
      </c>
      <c r="R9" s="24">
        <f t="shared" si="0"/>
        <v>13119000</v>
      </c>
      <c r="S9" s="25">
        <f t="shared" si="0"/>
        <v>13443000</v>
      </c>
      <c r="T9" s="11"/>
    </row>
    <row r="10" spans="1:20" s="6" customFormat="1" ht="19.2" customHeight="1" x14ac:dyDescent="0.3">
      <c r="A10" s="12"/>
      <c r="B10" s="19"/>
      <c r="C10" s="7"/>
      <c r="D10" s="7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1"/>
    </row>
    <row r="11" spans="1:20" s="6" customFormat="1" ht="4.95" customHeight="1" x14ac:dyDescent="0.3">
      <c r="A11" s="10"/>
      <c r="B11" s="10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6" customFormat="1" ht="19.2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1"/>
    </row>
    <row r="13" spans="1:20" s="6" customFormat="1" ht="19.2" customHeight="1" x14ac:dyDescent="0.3">
      <c r="A13" s="9" t="s">
        <v>104</v>
      </c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1"/>
    </row>
    <row r="14" spans="1:20" s="6" customFormat="1" ht="19.2" customHeight="1" x14ac:dyDescent="0.3">
      <c r="A14" s="18" t="s">
        <v>105</v>
      </c>
      <c r="B14" s="19"/>
      <c r="C14" s="7"/>
      <c r="D14" s="7"/>
      <c r="E14" s="14">
        <f t="shared" ref="E14:S14" si="1">E9</f>
        <v>7656000</v>
      </c>
      <c r="F14" s="14">
        <f t="shared" si="1"/>
        <v>8685000</v>
      </c>
      <c r="G14" s="14">
        <f t="shared" si="1"/>
        <v>9243000</v>
      </c>
      <c r="H14" s="14">
        <f t="shared" si="1"/>
        <v>9880000</v>
      </c>
      <c r="I14" s="14">
        <f t="shared" si="1"/>
        <v>9468000</v>
      </c>
      <c r="J14" s="14">
        <f t="shared" si="1"/>
        <v>9881000</v>
      </c>
      <c r="K14" s="14">
        <f t="shared" si="1"/>
        <v>10273000</v>
      </c>
      <c r="L14" s="14">
        <f t="shared" si="1"/>
        <v>10497000</v>
      </c>
      <c r="M14" s="14">
        <f t="shared" si="1"/>
        <v>10768000</v>
      </c>
      <c r="N14" s="14">
        <f t="shared" si="1"/>
        <v>11079000</v>
      </c>
      <c r="O14" s="14">
        <f t="shared" si="1"/>
        <v>11395000</v>
      </c>
      <c r="P14" s="14">
        <f t="shared" si="1"/>
        <v>11715000</v>
      </c>
      <c r="Q14" s="14">
        <f t="shared" si="1"/>
        <v>12417000</v>
      </c>
      <c r="R14" s="14">
        <f t="shared" si="1"/>
        <v>13119000</v>
      </c>
      <c r="S14" s="14">
        <f t="shared" si="1"/>
        <v>13443000</v>
      </c>
      <c r="T14" s="11"/>
    </row>
    <row r="15" spans="1:20" s="6" customFormat="1" ht="19.2" customHeight="1" x14ac:dyDescent="0.3">
      <c r="A15" s="18" t="s">
        <v>106</v>
      </c>
      <c r="B15" s="19"/>
      <c r="C15" s="7"/>
      <c r="D15" s="7"/>
      <c r="E15" s="21">
        <v>-541000</v>
      </c>
      <c r="F15" s="14">
        <v>-532000</v>
      </c>
      <c r="G15" s="14">
        <v>-541000</v>
      </c>
      <c r="H15" s="14">
        <v>-493000</v>
      </c>
      <c r="I15" s="14">
        <v>-502000</v>
      </c>
      <c r="J15" s="14">
        <v>-507000</v>
      </c>
      <c r="K15" s="14">
        <v>-513000</v>
      </c>
      <c r="L15" s="14">
        <v>-520000</v>
      </c>
      <c r="M15" s="14">
        <v>-526000</v>
      </c>
      <c r="N15" s="14">
        <v>-532000</v>
      </c>
      <c r="O15" s="14">
        <v>-539000</v>
      </c>
      <c r="P15" s="14">
        <v>-546000</v>
      </c>
      <c r="Q15" s="14">
        <v>-554000</v>
      </c>
      <c r="R15" s="14">
        <v>-562000</v>
      </c>
      <c r="S15" s="14">
        <v>-570000</v>
      </c>
      <c r="T15" s="11"/>
    </row>
    <row r="16" spans="1:20" s="6" customFormat="1" ht="19.2" customHeight="1" thickBot="1" x14ac:dyDescent="0.35">
      <c r="A16" s="18" t="s">
        <v>107</v>
      </c>
      <c r="B16" s="19"/>
      <c r="C16" s="7"/>
      <c r="D16" s="7"/>
      <c r="E16" s="68">
        <v>7115000</v>
      </c>
      <c r="F16" s="22">
        <f t="shared" ref="F16:S16" si="2">SUM(F14:F15)</f>
        <v>8153000</v>
      </c>
      <c r="G16" s="22">
        <f t="shared" si="2"/>
        <v>8702000</v>
      </c>
      <c r="H16" s="22">
        <f t="shared" si="2"/>
        <v>9387000</v>
      </c>
      <c r="I16" s="25">
        <f t="shared" si="2"/>
        <v>8966000</v>
      </c>
      <c r="J16" s="22">
        <f t="shared" si="2"/>
        <v>9374000</v>
      </c>
      <c r="K16" s="22">
        <f t="shared" si="2"/>
        <v>9760000</v>
      </c>
      <c r="L16" s="22">
        <f t="shared" si="2"/>
        <v>9977000</v>
      </c>
      <c r="M16" s="22">
        <f t="shared" si="2"/>
        <v>10242000</v>
      </c>
      <c r="N16" s="25">
        <f t="shared" si="2"/>
        <v>10547000</v>
      </c>
      <c r="O16" s="22">
        <f t="shared" si="2"/>
        <v>10856000</v>
      </c>
      <c r="P16" s="22">
        <f t="shared" si="2"/>
        <v>11169000</v>
      </c>
      <c r="Q16" s="22">
        <f t="shared" si="2"/>
        <v>11863000</v>
      </c>
      <c r="R16" s="22">
        <f t="shared" si="2"/>
        <v>12557000</v>
      </c>
      <c r="S16" s="25">
        <f t="shared" si="2"/>
        <v>12873000</v>
      </c>
      <c r="T16" s="11"/>
    </row>
    <row r="17" spans="1:20" s="6" customFormat="1" ht="19.2" customHeight="1" x14ac:dyDescent="0.3">
      <c r="T17" s="11"/>
    </row>
    <row r="18" spans="1:20" s="6" customFormat="1" ht="4.95" customHeigh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6" customFormat="1" ht="19.2" customHeight="1" x14ac:dyDescent="0.3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1"/>
    </row>
    <row r="20" spans="1:20" s="6" customFormat="1" ht="19.2" customHeight="1" x14ac:dyDescent="0.3">
      <c r="A20" s="9" t="s">
        <v>158</v>
      </c>
      <c r="B20" s="1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11"/>
    </row>
    <row r="21" spans="1:20" s="6" customFormat="1" ht="19.2" customHeight="1" x14ac:dyDescent="0.3">
      <c r="A21" s="15" t="s">
        <v>12</v>
      </c>
      <c r="B21" s="16"/>
      <c r="C21" s="7"/>
      <c r="D21" s="7" t="s">
        <v>13</v>
      </c>
      <c r="E21" s="17">
        <f t="shared" ref="E21:S21" si="3">E9</f>
        <v>7656000</v>
      </c>
      <c r="F21" s="17">
        <f t="shared" si="3"/>
        <v>8685000</v>
      </c>
      <c r="G21" s="17">
        <f t="shared" si="3"/>
        <v>9243000</v>
      </c>
      <c r="H21" s="17">
        <f t="shared" si="3"/>
        <v>9880000</v>
      </c>
      <c r="I21" s="17">
        <f t="shared" si="3"/>
        <v>9468000</v>
      </c>
      <c r="J21" s="17">
        <f t="shared" si="3"/>
        <v>9881000</v>
      </c>
      <c r="K21" s="17">
        <f t="shared" si="3"/>
        <v>10273000</v>
      </c>
      <c r="L21" s="17">
        <f t="shared" si="3"/>
        <v>10497000</v>
      </c>
      <c r="M21" s="17">
        <f t="shared" si="3"/>
        <v>10768000</v>
      </c>
      <c r="N21" s="17">
        <f t="shared" si="3"/>
        <v>11079000</v>
      </c>
      <c r="O21" s="17">
        <f t="shared" si="3"/>
        <v>11395000</v>
      </c>
      <c r="P21" s="17">
        <f t="shared" si="3"/>
        <v>11715000</v>
      </c>
      <c r="Q21" s="17">
        <f t="shared" si="3"/>
        <v>12417000</v>
      </c>
      <c r="R21" s="17">
        <f t="shared" si="3"/>
        <v>13119000</v>
      </c>
      <c r="S21" s="17">
        <f t="shared" si="3"/>
        <v>13443000</v>
      </c>
      <c r="T21" s="11"/>
    </row>
    <row r="22" spans="1:20" s="6" customFormat="1" ht="19.2" customHeight="1" x14ac:dyDescent="0.3">
      <c r="A22" s="18" t="s">
        <v>14</v>
      </c>
      <c r="B22" s="19"/>
      <c r="C22" s="7"/>
      <c r="D22" s="7"/>
      <c r="E22" s="21">
        <v>6595000</v>
      </c>
      <c r="F22" s="14">
        <f t="shared" ref="F22:S22" si="4">$E$9</f>
        <v>7656000</v>
      </c>
      <c r="G22" s="14">
        <f t="shared" si="4"/>
        <v>7656000</v>
      </c>
      <c r="H22" s="14">
        <f t="shared" si="4"/>
        <v>7656000</v>
      </c>
      <c r="I22" s="14">
        <f t="shared" si="4"/>
        <v>7656000</v>
      </c>
      <c r="J22" s="14">
        <f t="shared" si="4"/>
        <v>7656000</v>
      </c>
      <c r="K22" s="14">
        <f t="shared" si="4"/>
        <v>7656000</v>
      </c>
      <c r="L22" s="14">
        <f t="shared" si="4"/>
        <v>7656000</v>
      </c>
      <c r="M22" s="14">
        <f t="shared" si="4"/>
        <v>7656000</v>
      </c>
      <c r="N22" s="14">
        <f t="shared" si="4"/>
        <v>7656000</v>
      </c>
      <c r="O22" s="14">
        <f t="shared" si="4"/>
        <v>7656000</v>
      </c>
      <c r="P22" s="14">
        <f t="shared" si="4"/>
        <v>7656000</v>
      </c>
      <c r="Q22" s="14">
        <f t="shared" si="4"/>
        <v>7656000</v>
      </c>
      <c r="R22" s="14">
        <f t="shared" si="4"/>
        <v>7656000</v>
      </c>
      <c r="S22" s="14">
        <f t="shared" si="4"/>
        <v>7656000</v>
      </c>
      <c r="T22" s="11"/>
    </row>
    <row r="23" spans="1:20" s="6" customFormat="1" ht="19.2" customHeight="1" thickBot="1" x14ac:dyDescent="0.35">
      <c r="A23" s="15" t="s">
        <v>15</v>
      </c>
      <c r="B23" s="16"/>
      <c r="C23" s="7"/>
      <c r="D23" s="7"/>
      <c r="E23" s="23">
        <f>E21-E22</f>
        <v>1061000</v>
      </c>
      <c r="F23" s="24">
        <f t="shared" ref="F23:S23" si="5">F9-F22</f>
        <v>1029000</v>
      </c>
      <c r="G23" s="24">
        <f t="shared" si="5"/>
        <v>1587000</v>
      </c>
      <c r="H23" s="24">
        <f t="shared" si="5"/>
        <v>2224000</v>
      </c>
      <c r="I23" s="24">
        <f t="shared" si="5"/>
        <v>1812000</v>
      </c>
      <c r="J23" s="24">
        <f t="shared" si="5"/>
        <v>2225000</v>
      </c>
      <c r="K23" s="24">
        <f t="shared" si="5"/>
        <v>2617000</v>
      </c>
      <c r="L23" s="24">
        <f t="shared" si="5"/>
        <v>2841000</v>
      </c>
      <c r="M23" s="24">
        <f t="shared" si="5"/>
        <v>3112000</v>
      </c>
      <c r="N23" s="25">
        <f t="shared" si="5"/>
        <v>3423000</v>
      </c>
      <c r="O23" s="24">
        <f t="shared" si="5"/>
        <v>3739000</v>
      </c>
      <c r="P23" s="24">
        <f t="shared" si="5"/>
        <v>4059000</v>
      </c>
      <c r="Q23" s="24">
        <f t="shared" si="5"/>
        <v>4761000</v>
      </c>
      <c r="R23" s="24">
        <f t="shared" si="5"/>
        <v>5463000</v>
      </c>
      <c r="S23" s="25">
        <f t="shared" si="5"/>
        <v>5787000</v>
      </c>
      <c r="T23" s="11"/>
    </row>
    <row r="24" spans="1:20" s="6" customFormat="1" ht="19.2" customHeight="1" x14ac:dyDescent="0.3">
      <c r="A24" s="26"/>
      <c r="B24" s="2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1"/>
    </row>
    <row r="25" spans="1:20" s="6" customFormat="1" ht="19.2" customHeight="1" x14ac:dyDescent="0.3">
      <c r="A25" s="15" t="s">
        <v>159</v>
      </c>
      <c r="B25" s="16"/>
      <c r="C25" s="7"/>
      <c r="D25" s="7"/>
      <c r="E25" s="27"/>
      <c r="F25" s="27">
        <f t="shared" ref="F25:S25" si="6">F23/F22</f>
        <v>0.13440438871473354</v>
      </c>
      <c r="G25" s="27">
        <f t="shared" si="6"/>
        <v>0.20728840125391851</v>
      </c>
      <c r="H25" s="27">
        <f t="shared" si="6"/>
        <v>0.29049111807732497</v>
      </c>
      <c r="I25" s="28">
        <f t="shared" si="6"/>
        <v>0.23667711598746083</v>
      </c>
      <c r="J25" s="27">
        <f t="shared" si="6"/>
        <v>0.29062173458725182</v>
      </c>
      <c r="K25" s="27">
        <f t="shared" si="6"/>
        <v>0.3418234064785789</v>
      </c>
      <c r="L25" s="27">
        <f t="shared" si="6"/>
        <v>0.37108150470219436</v>
      </c>
      <c r="M25" s="27">
        <f t="shared" si="6"/>
        <v>0.40647857889237199</v>
      </c>
      <c r="N25" s="28">
        <f t="shared" si="6"/>
        <v>0.44710031347962381</v>
      </c>
      <c r="O25" s="27">
        <f t="shared" si="6"/>
        <v>0.48837513061650994</v>
      </c>
      <c r="P25" s="27">
        <f t="shared" si="6"/>
        <v>0.53017241379310343</v>
      </c>
      <c r="Q25" s="27">
        <f t="shared" si="6"/>
        <v>0.62186520376175547</v>
      </c>
      <c r="R25" s="27">
        <f t="shared" si="6"/>
        <v>0.71355799373040751</v>
      </c>
      <c r="S25" s="28">
        <f t="shared" si="6"/>
        <v>0.75587774294670851</v>
      </c>
      <c r="T25" s="11"/>
    </row>
    <row r="26" spans="1:20" s="6" customFormat="1" ht="19.2" customHeight="1" x14ac:dyDescent="0.3">
      <c r="A26" s="7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1"/>
    </row>
    <row r="27" spans="1:20" s="6" customFormat="1" ht="4.95" customHeight="1" x14ac:dyDescent="0.3">
      <c r="A27" s="10"/>
      <c r="B27" s="10"/>
      <c r="C27" s="1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6" customFormat="1" ht="19.2" customHeight="1" x14ac:dyDescent="0.3">
      <c r="A28" s="7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1"/>
    </row>
    <row r="29" spans="1:20" s="6" customFormat="1" ht="19.2" customHeight="1" x14ac:dyDescent="0.3">
      <c r="A29" s="9" t="s">
        <v>16</v>
      </c>
      <c r="B29" s="1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1"/>
    </row>
    <row r="30" spans="1:20" s="6" customFormat="1" ht="19.2" customHeight="1" x14ac:dyDescent="0.3">
      <c r="A30" s="15" t="s">
        <v>12</v>
      </c>
      <c r="B30" s="16"/>
      <c r="C30" s="7"/>
      <c r="D30" s="7" t="s">
        <v>13</v>
      </c>
      <c r="E30" s="17">
        <f t="shared" ref="E30:S30" si="7">E21</f>
        <v>7656000</v>
      </c>
      <c r="F30" s="17">
        <f t="shared" si="7"/>
        <v>8685000</v>
      </c>
      <c r="G30" s="17">
        <f t="shared" si="7"/>
        <v>9243000</v>
      </c>
      <c r="H30" s="17">
        <f t="shared" si="7"/>
        <v>9880000</v>
      </c>
      <c r="I30" s="29">
        <f t="shared" si="7"/>
        <v>9468000</v>
      </c>
      <c r="J30" s="17">
        <f t="shared" si="7"/>
        <v>9881000</v>
      </c>
      <c r="K30" s="17">
        <f t="shared" si="7"/>
        <v>10273000</v>
      </c>
      <c r="L30" s="17">
        <f t="shared" si="7"/>
        <v>10497000</v>
      </c>
      <c r="M30" s="17">
        <f t="shared" si="7"/>
        <v>10768000</v>
      </c>
      <c r="N30" s="29">
        <f t="shared" si="7"/>
        <v>11079000</v>
      </c>
      <c r="O30" s="17">
        <f t="shared" si="7"/>
        <v>11395000</v>
      </c>
      <c r="P30" s="17">
        <f t="shared" si="7"/>
        <v>11715000</v>
      </c>
      <c r="Q30" s="17">
        <f t="shared" si="7"/>
        <v>12417000</v>
      </c>
      <c r="R30" s="17">
        <f t="shared" si="7"/>
        <v>13119000</v>
      </c>
      <c r="S30" s="29">
        <f t="shared" si="7"/>
        <v>13443000</v>
      </c>
      <c r="T30" s="11"/>
    </row>
    <row r="31" spans="1:20" s="6" customFormat="1" ht="19.2" customHeight="1" x14ac:dyDescent="0.3">
      <c r="A31" s="18" t="s">
        <v>17</v>
      </c>
      <c r="B31" s="19"/>
      <c r="C31" s="7"/>
      <c r="D31" s="7"/>
      <c r="E31" s="21">
        <v>6744000</v>
      </c>
      <c r="F31" s="14">
        <v>8748000</v>
      </c>
      <c r="G31" s="14">
        <v>8906000</v>
      </c>
      <c r="H31" s="14">
        <v>8941000</v>
      </c>
      <c r="I31" s="14">
        <v>8497000</v>
      </c>
      <c r="J31" s="14">
        <v>8559000</v>
      </c>
      <c r="K31" s="14">
        <v>8623000</v>
      </c>
      <c r="L31" s="14">
        <v>8692000</v>
      </c>
      <c r="M31" s="14">
        <v>8762000</v>
      </c>
      <c r="N31" s="14">
        <v>8828000</v>
      </c>
      <c r="O31" s="14">
        <v>8897000</v>
      </c>
      <c r="P31" s="14">
        <v>8964000</v>
      </c>
      <c r="Q31" s="14">
        <v>9034000</v>
      </c>
      <c r="R31" s="14">
        <v>9106000</v>
      </c>
      <c r="S31" s="14">
        <v>9173000</v>
      </c>
      <c r="T31" s="11"/>
    </row>
    <row r="32" spans="1:20" s="6" customFormat="1" ht="19.2" customHeight="1" thickBot="1" x14ac:dyDescent="0.35">
      <c r="A32" s="15" t="s">
        <v>18</v>
      </c>
      <c r="B32" s="16"/>
      <c r="C32" s="7"/>
      <c r="D32" s="7"/>
      <c r="E32" s="23">
        <f t="shared" ref="E32:S32" si="8">E30-E31</f>
        <v>912000</v>
      </c>
      <c r="F32" s="24">
        <f t="shared" si="8"/>
        <v>-63000</v>
      </c>
      <c r="G32" s="24">
        <f t="shared" si="8"/>
        <v>337000</v>
      </c>
      <c r="H32" s="24">
        <f t="shared" si="8"/>
        <v>939000</v>
      </c>
      <c r="I32" s="25">
        <f t="shared" si="8"/>
        <v>971000</v>
      </c>
      <c r="J32" s="24">
        <f t="shared" si="8"/>
        <v>1322000</v>
      </c>
      <c r="K32" s="24">
        <f t="shared" si="8"/>
        <v>1650000</v>
      </c>
      <c r="L32" s="24">
        <f t="shared" si="8"/>
        <v>1805000</v>
      </c>
      <c r="M32" s="24">
        <f t="shared" si="8"/>
        <v>2006000</v>
      </c>
      <c r="N32" s="25">
        <f t="shared" si="8"/>
        <v>2251000</v>
      </c>
      <c r="O32" s="24">
        <f t="shared" si="8"/>
        <v>2498000</v>
      </c>
      <c r="P32" s="24">
        <f t="shared" si="8"/>
        <v>2751000</v>
      </c>
      <c r="Q32" s="24">
        <f t="shared" si="8"/>
        <v>3383000</v>
      </c>
      <c r="R32" s="24">
        <f t="shared" si="8"/>
        <v>4013000</v>
      </c>
      <c r="S32" s="25">
        <f t="shared" si="8"/>
        <v>4270000</v>
      </c>
      <c r="T32" s="11"/>
    </row>
    <row r="33" spans="1:20" s="6" customFormat="1" ht="19.2" customHeight="1" x14ac:dyDescent="0.3">
      <c r="A33" s="26"/>
      <c r="B33" s="2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11"/>
    </row>
    <row r="34" spans="1:20" s="6" customFormat="1" ht="19.2" customHeight="1" x14ac:dyDescent="0.3">
      <c r="A34" s="15" t="s">
        <v>19</v>
      </c>
      <c r="B34" s="16"/>
      <c r="C34" s="7"/>
      <c r="D34" s="7"/>
      <c r="E34" s="30">
        <f t="shared" ref="E34:S34" si="9">E32/E31</f>
        <v>0.13523131672597866</v>
      </c>
      <c r="F34" s="27">
        <f t="shared" si="9"/>
        <v>-7.2016460905349796E-3</v>
      </c>
      <c r="G34" s="27">
        <f t="shared" si="9"/>
        <v>3.7839658657085114E-2</v>
      </c>
      <c r="H34" s="27">
        <f t="shared" si="9"/>
        <v>0.10502180964097976</v>
      </c>
      <c r="I34" s="31">
        <f t="shared" si="9"/>
        <v>0.11427562669177356</v>
      </c>
      <c r="J34" s="27">
        <f t="shared" si="9"/>
        <v>0.15445729641313238</v>
      </c>
      <c r="K34" s="27">
        <f t="shared" si="9"/>
        <v>0.19134871854343036</v>
      </c>
      <c r="L34" s="27">
        <f t="shared" si="9"/>
        <v>0.20766221813161528</v>
      </c>
      <c r="M34" s="27">
        <f t="shared" si="9"/>
        <v>0.22894316366126455</v>
      </c>
      <c r="N34" s="31">
        <f t="shared" si="9"/>
        <v>0.25498414136837338</v>
      </c>
      <c r="O34" s="27">
        <f t="shared" si="9"/>
        <v>0.28076879847139485</v>
      </c>
      <c r="P34" s="27">
        <f t="shared" si="9"/>
        <v>0.30689424364123158</v>
      </c>
      <c r="Q34" s="27">
        <f t="shared" si="9"/>
        <v>0.37447420854549479</v>
      </c>
      <c r="R34" s="27">
        <f t="shared" si="9"/>
        <v>0.4406984405886229</v>
      </c>
      <c r="S34" s="31">
        <f t="shared" si="9"/>
        <v>0.46549656600893929</v>
      </c>
      <c r="T34" s="11"/>
    </row>
    <row r="35" spans="1:20" s="6" customFormat="1" ht="19.2" customHeight="1" x14ac:dyDescent="0.3">
      <c r="A35" s="7"/>
      <c r="B35" s="7"/>
      <c r="C35" s="7"/>
      <c r="D35" s="7"/>
      <c r="E35" s="27"/>
      <c r="F35" s="27"/>
      <c r="G35" s="27"/>
      <c r="H35" s="27"/>
      <c r="I35" s="27"/>
      <c r="J35" s="27"/>
      <c r="K35" s="7"/>
      <c r="L35" s="7"/>
      <c r="M35" s="7"/>
      <c r="N35" s="7"/>
      <c r="O35" s="7"/>
      <c r="P35" s="7"/>
      <c r="Q35" s="7"/>
      <c r="R35" s="7"/>
      <c r="S35" s="7"/>
      <c r="T35" s="11"/>
    </row>
    <row r="36" spans="1:20" s="6" customFormat="1" ht="19.2" customHeight="1" x14ac:dyDescent="0.3">
      <c r="A36" s="7"/>
      <c r="B36" s="7"/>
      <c r="C36" s="7"/>
      <c r="D36" s="7"/>
      <c r="E36" s="27"/>
      <c r="F36" s="27"/>
      <c r="G36" s="27"/>
      <c r="H36" s="27"/>
      <c r="I36" s="27"/>
      <c r="J36" s="27"/>
      <c r="K36" s="7"/>
      <c r="L36" s="7"/>
      <c r="M36" s="7"/>
      <c r="N36" s="7"/>
      <c r="O36" s="7"/>
      <c r="P36" s="7"/>
      <c r="Q36" s="7"/>
      <c r="R36" s="7"/>
      <c r="S36" s="7"/>
      <c r="T36" s="11"/>
    </row>
    <row r="37" spans="1:20" s="6" customFormat="1" ht="19.2" customHeight="1" x14ac:dyDescent="0.3">
      <c r="A37" s="107" t="s">
        <v>149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</row>
    <row r="39" spans="1:20" ht="19.2" customHeight="1" x14ac:dyDescent="0.3">
      <c r="S39" s="33"/>
    </row>
  </sheetData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5"/>
  <sheetViews>
    <sheetView showGridLines="0" showZeros="0" tabSelected="1" zoomScale="160" zoomScaleNormal="160" workbookViewId="0">
      <pane xSplit="3" ySplit="1" topLeftCell="D2" activePane="bottomRight" state="frozen"/>
      <selection activeCell="B84" sqref="B84"/>
      <selection pane="topRight" activeCell="B84" sqref="B84"/>
      <selection pane="bottomLeft" activeCell="B84" sqref="B84"/>
      <selection pane="bottomRight" activeCell="E9" sqref="E9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4" width="5.61328125" style="7" customWidth="1"/>
    <col min="5" max="19" width="9.61328125" style="7" customWidth="1"/>
    <col min="20" max="20" width="1.84375" style="7" customWidth="1"/>
    <col min="21" max="16384" width="8.765625" style="7"/>
  </cols>
  <sheetData>
    <row r="1" spans="1:20" s="6" customFormat="1" ht="19.2" customHeight="1" thickBot="1" x14ac:dyDescent="0.35">
      <c r="A1" s="1" t="s">
        <v>150</v>
      </c>
      <c r="B1" s="2" t="s">
        <v>156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09"/>
    </row>
    <row r="2" spans="1:20" ht="19.2" customHeight="1" x14ac:dyDescent="0.3">
      <c r="A2" s="12"/>
      <c r="B2" s="44"/>
      <c r="E2" s="44"/>
      <c r="F2" s="44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10"/>
    </row>
    <row r="3" spans="1:20" ht="19.2" customHeight="1" x14ac:dyDescent="0.3">
      <c r="A3" s="9" t="s">
        <v>156</v>
      </c>
      <c r="B3" s="44"/>
      <c r="E3" s="44"/>
      <c r="F3" s="44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10"/>
    </row>
    <row r="4" spans="1:20" ht="19.2" customHeight="1" x14ac:dyDescent="0.3">
      <c r="A4" s="18" t="s">
        <v>57</v>
      </c>
      <c r="B4" s="9"/>
      <c r="E4" s="113">
        <v>15390000</v>
      </c>
      <c r="F4" s="113">
        <v>30291000</v>
      </c>
      <c r="G4" s="113">
        <v>31909000</v>
      </c>
      <c r="H4" s="113">
        <v>35628000</v>
      </c>
      <c r="I4" s="113">
        <v>37418000</v>
      </c>
      <c r="J4" s="113">
        <v>40071000</v>
      </c>
      <c r="K4" s="113">
        <v>39773000</v>
      </c>
      <c r="L4" s="113">
        <v>39730000</v>
      </c>
      <c r="M4" s="113">
        <v>40578000</v>
      </c>
      <c r="N4" s="113">
        <v>41417000</v>
      </c>
      <c r="O4" s="113">
        <v>42243000</v>
      </c>
      <c r="P4" s="113">
        <v>43052000</v>
      </c>
      <c r="Q4" s="113">
        <v>51379000</v>
      </c>
      <c r="R4" s="113">
        <v>51887000</v>
      </c>
      <c r="S4" s="113">
        <v>52367000</v>
      </c>
      <c r="T4" s="110"/>
    </row>
    <row r="5" spans="1:20" ht="19.2" customHeight="1" x14ac:dyDescent="0.3">
      <c r="A5" s="18" t="s">
        <v>58</v>
      </c>
      <c r="B5" s="9"/>
      <c r="E5" s="114"/>
      <c r="F5" s="113">
        <v>-1830000</v>
      </c>
      <c r="G5" s="113">
        <v>-2025000</v>
      </c>
      <c r="H5" s="113">
        <v>-2126000</v>
      </c>
      <c r="I5" s="113">
        <v>-2274000</v>
      </c>
      <c r="J5" s="113">
        <v>-2329000</v>
      </c>
      <c r="K5" s="113">
        <v>-2387000</v>
      </c>
      <c r="L5" s="113">
        <v>-2464000</v>
      </c>
      <c r="M5" s="113">
        <v>-2520000</v>
      </c>
      <c r="N5" s="113">
        <v>-2580000</v>
      </c>
      <c r="O5" s="113">
        <v>-2643000</v>
      </c>
      <c r="P5" s="113">
        <v>-2709000</v>
      </c>
      <c r="Q5" s="113">
        <v>-2777000</v>
      </c>
      <c r="R5" s="113">
        <v>-2847000</v>
      </c>
      <c r="S5" s="113">
        <v>-2919000</v>
      </c>
      <c r="T5" s="110"/>
    </row>
    <row r="6" spans="1:20" ht="19.2" customHeight="1" thickBot="1" x14ac:dyDescent="0.35">
      <c r="A6" s="15" t="s">
        <v>59</v>
      </c>
      <c r="B6" s="9"/>
      <c r="C6" s="35"/>
      <c r="D6" s="35"/>
      <c r="E6" s="51">
        <f t="shared" ref="E6:S6" si="0">E4+E5</f>
        <v>15390000</v>
      </c>
      <c r="F6" s="51">
        <f t="shared" si="0"/>
        <v>28461000</v>
      </c>
      <c r="G6" s="51">
        <f t="shared" si="0"/>
        <v>29884000</v>
      </c>
      <c r="H6" s="51">
        <f t="shared" si="0"/>
        <v>33502000</v>
      </c>
      <c r="I6" s="51">
        <f t="shared" si="0"/>
        <v>35144000</v>
      </c>
      <c r="J6" s="51">
        <f t="shared" si="0"/>
        <v>37742000</v>
      </c>
      <c r="K6" s="51">
        <f t="shared" si="0"/>
        <v>37386000</v>
      </c>
      <c r="L6" s="51">
        <f t="shared" si="0"/>
        <v>37266000</v>
      </c>
      <c r="M6" s="51">
        <f t="shared" si="0"/>
        <v>38058000</v>
      </c>
      <c r="N6" s="51">
        <f t="shared" si="0"/>
        <v>38837000</v>
      </c>
      <c r="O6" s="51">
        <f t="shared" si="0"/>
        <v>39600000</v>
      </c>
      <c r="P6" s="51">
        <f t="shared" si="0"/>
        <v>40343000</v>
      </c>
      <c r="Q6" s="51">
        <f t="shared" si="0"/>
        <v>48602000</v>
      </c>
      <c r="R6" s="51">
        <f t="shared" si="0"/>
        <v>49040000</v>
      </c>
      <c r="S6" s="51">
        <f t="shared" si="0"/>
        <v>49448000</v>
      </c>
      <c r="T6" s="110"/>
    </row>
    <row r="7" spans="1:20" ht="19.2" customHeight="1" x14ac:dyDescent="0.3">
      <c r="A7" s="15"/>
      <c r="B7" s="9"/>
      <c r="C7" s="35"/>
      <c r="D7" s="35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111"/>
    </row>
    <row r="8" spans="1:20" ht="19.2" customHeight="1" x14ac:dyDescent="0.3">
      <c r="A8" s="18" t="s">
        <v>60</v>
      </c>
      <c r="B8" s="18"/>
      <c r="D8" s="42" t="s">
        <v>61</v>
      </c>
      <c r="E8" s="21">
        <v>16552000</v>
      </c>
      <c r="F8" s="113">
        <v>27495000</v>
      </c>
      <c r="G8" s="50">
        <f>ROUND(AVERAGE(F6:G6),-3)</f>
        <v>29173000</v>
      </c>
      <c r="H8" s="50">
        <f t="shared" ref="H8:S8" si="1">ROUND(AVERAGE(G6:H6),-3)</f>
        <v>31693000</v>
      </c>
      <c r="I8" s="50">
        <f t="shared" si="1"/>
        <v>34323000</v>
      </c>
      <c r="J8" s="50">
        <f t="shared" si="1"/>
        <v>36443000</v>
      </c>
      <c r="K8" s="50">
        <f t="shared" si="1"/>
        <v>37564000</v>
      </c>
      <c r="L8" s="50">
        <f t="shared" si="1"/>
        <v>37326000</v>
      </c>
      <c r="M8" s="50">
        <f t="shared" si="1"/>
        <v>37662000</v>
      </c>
      <c r="N8" s="50">
        <f t="shared" si="1"/>
        <v>38448000</v>
      </c>
      <c r="O8" s="50">
        <f t="shared" si="1"/>
        <v>39219000</v>
      </c>
      <c r="P8" s="50">
        <f t="shared" si="1"/>
        <v>39972000</v>
      </c>
      <c r="Q8" s="50">
        <f t="shared" si="1"/>
        <v>44473000</v>
      </c>
      <c r="R8" s="50">
        <f t="shared" si="1"/>
        <v>48821000</v>
      </c>
      <c r="S8" s="50">
        <f t="shared" si="1"/>
        <v>49244000</v>
      </c>
      <c r="T8" s="110"/>
    </row>
    <row r="9" spans="1:20" ht="19.2" customHeight="1" x14ac:dyDescent="0.3">
      <c r="A9" s="18" t="s">
        <v>62</v>
      </c>
      <c r="B9" s="18"/>
      <c r="D9" s="42" t="s">
        <v>63</v>
      </c>
      <c r="E9" s="21">
        <v>4254000</v>
      </c>
      <c r="F9" s="125">
        <f>OMA_WC_CAPEX!F25</f>
        <v>6188000</v>
      </c>
      <c r="G9" s="125">
        <f>OMA_WC_CAPEX!G25</f>
        <v>6068000</v>
      </c>
      <c r="H9" s="125">
        <f>OMA_WC_CAPEX!H25</f>
        <v>6049000</v>
      </c>
      <c r="I9" s="125">
        <f>OMA_WC_CAPEX!I25</f>
        <v>3101000</v>
      </c>
      <c r="J9" s="125">
        <f>OMA_WC_CAPEX!J25</f>
        <v>3182000</v>
      </c>
      <c r="K9" s="125">
        <f>OMA_WC_CAPEX!K25</f>
        <v>3705000</v>
      </c>
      <c r="L9" s="125">
        <f>OMA_WC_CAPEX!L25</f>
        <v>3789000</v>
      </c>
      <c r="M9" s="125">
        <f>OMA_WC_CAPEX!M25</f>
        <v>3875000</v>
      </c>
      <c r="N9" s="125">
        <f>OMA_WC_CAPEX!N25</f>
        <v>3963000</v>
      </c>
      <c r="O9" s="125">
        <f>OMA_WC_CAPEX!O25</f>
        <v>4053000</v>
      </c>
      <c r="P9" s="125">
        <f>OMA_WC_CAPEX!P25</f>
        <v>4145000</v>
      </c>
      <c r="Q9" s="125">
        <f>OMA_WC_CAPEX!Q25</f>
        <v>4239000</v>
      </c>
      <c r="R9" s="125">
        <f>OMA_WC_CAPEX!R25</f>
        <v>4335000</v>
      </c>
      <c r="S9" s="125">
        <f>OMA_WC_CAPEX!S25</f>
        <v>4434000</v>
      </c>
      <c r="T9" s="110"/>
    </row>
    <row r="10" spans="1:20" ht="19.2" customHeight="1" thickBot="1" x14ac:dyDescent="0.35">
      <c r="A10" s="15" t="s">
        <v>64</v>
      </c>
      <c r="B10" s="15"/>
      <c r="D10" s="42" t="s">
        <v>65</v>
      </c>
      <c r="E10" s="22">
        <f t="shared" ref="E10:S10" si="2">SUM(E8:E9)</f>
        <v>20806000</v>
      </c>
      <c r="F10" s="22">
        <f t="shared" si="2"/>
        <v>33683000</v>
      </c>
      <c r="G10" s="22">
        <f t="shared" si="2"/>
        <v>35241000</v>
      </c>
      <c r="H10" s="22">
        <f t="shared" si="2"/>
        <v>37742000</v>
      </c>
      <c r="I10" s="22">
        <f t="shared" si="2"/>
        <v>37424000</v>
      </c>
      <c r="J10" s="22">
        <f t="shared" si="2"/>
        <v>39625000</v>
      </c>
      <c r="K10" s="22">
        <f t="shared" si="2"/>
        <v>41269000</v>
      </c>
      <c r="L10" s="22">
        <f t="shared" si="2"/>
        <v>41115000</v>
      </c>
      <c r="M10" s="22">
        <f t="shared" si="2"/>
        <v>41537000</v>
      </c>
      <c r="N10" s="22">
        <f t="shared" si="2"/>
        <v>42411000</v>
      </c>
      <c r="O10" s="22">
        <f t="shared" si="2"/>
        <v>43272000</v>
      </c>
      <c r="P10" s="22">
        <f t="shared" si="2"/>
        <v>44117000</v>
      </c>
      <c r="Q10" s="22">
        <f t="shared" si="2"/>
        <v>48712000</v>
      </c>
      <c r="R10" s="22">
        <f t="shared" si="2"/>
        <v>53156000</v>
      </c>
      <c r="S10" s="22">
        <f t="shared" si="2"/>
        <v>53678000</v>
      </c>
      <c r="T10" s="110"/>
    </row>
    <row r="11" spans="1:20" ht="19.2" customHeight="1" x14ac:dyDescent="0.3">
      <c r="A11" s="40"/>
      <c r="B11" s="40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110"/>
    </row>
    <row r="12" spans="1:20" ht="19.2" customHeight="1" x14ac:dyDescent="0.3">
      <c r="A12" s="40"/>
      <c r="B12" s="40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  <c r="T12" s="110"/>
    </row>
    <row r="13" spans="1:20" ht="19.2" customHeight="1" x14ac:dyDescent="0.3">
      <c r="A13" s="9" t="s">
        <v>66</v>
      </c>
      <c r="B13" s="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110"/>
    </row>
    <row r="14" spans="1:20" ht="19.2" customHeight="1" x14ac:dyDescent="0.3">
      <c r="A14" s="18" t="s">
        <v>24</v>
      </c>
      <c r="B14" s="18"/>
      <c r="D14" s="42" t="s">
        <v>67</v>
      </c>
      <c r="E14" s="33">
        <f>'Cost of Capital'!E31</f>
        <v>7.4931999999999999E-2</v>
      </c>
      <c r="F14" s="33">
        <f>'Cost of Capital'!F31</f>
        <v>7.4931999999999999E-2</v>
      </c>
      <c r="G14" s="33">
        <f>'Cost of Capital'!G31</f>
        <v>7.4931999999999999E-2</v>
      </c>
      <c r="H14" s="33">
        <f>'Cost of Capital'!H31</f>
        <v>7.4931999999999999E-2</v>
      </c>
      <c r="I14" s="33">
        <f>'Cost of Capital'!I31</f>
        <v>6.0212000000000002E-2</v>
      </c>
      <c r="J14" s="33">
        <f>'Cost of Capital'!J31</f>
        <v>6.0212000000000002E-2</v>
      </c>
      <c r="K14" s="33">
        <f>'Cost of Capital'!K31</f>
        <v>6.0212000000000002E-2</v>
      </c>
      <c r="L14" s="33">
        <f>'Cost of Capital'!L31</f>
        <v>6.0212000000000002E-2</v>
      </c>
      <c r="M14" s="33">
        <f>'Cost of Capital'!M31</f>
        <v>6.0212000000000002E-2</v>
      </c>
      <c r="N14" s="33">
        <f>'Cost of Capital'!N31</f>
        <v>6.0212000000000002E-2</v>
      </c>
      <c r="O14" s="33">
        <f>'Cost of Capital'!O31</f>
        <v>6.0212000000000002E-2</v>
      </c>
      <c r="P14" s="33">
        <f>'Cost of Capital'!P31</f>
        <v>6.0212000000000002E-2</v>
      </c>
      <c r="Q14" s="33">
        <f>'Cost of Capital'!Q31</f>
        <v>6.0212000000000002E-2</v>
      </c>
      <c r="R14" s="33">
        <f>'Cost of Capital'!R31</f>
        <v>6.0212000000000002E-2</v>
      </c>
      <c r="S14" s="33">
        <f>'Cost of Capital'!S31</f>
        <v>6.0212000000000002E-2</v>
      </c>
      <c r="T14" s="110"/>
    </row>
    <row r="15" spans="1:20" ht="19.2" customHeight="1" x14ac:dyDescent="0.3">
      <c r="A15" s="18" t="s">
        <v>64</v>
      </c>
      <c r="B15" s="18"/>
      <c r="D15" s="42" t="s">
        <v>68</v>
      </c>
      <c r="E15" s="14">
        <f t="shared" ref="E15:S15" si="3">E10</f>
        <v>20806000</v>
      </c>
      <c r="F15" s="14">
        <f t="shared" si="3"/>
        <v>33683000</v>
      </c>
      <c r="G15" s="14">
        <f t="shared" si="3"/>
        <v>35241000</v>
      </c>
      <c r="H15" s="14">
        <f t="shared" si="3"/>
        <v>37742000</v>
      </c>
      <c r="I15" s="14">
        <f t="shared" si="3"/>
        <v>37424000</v>
      </c>
      <c r="J15" s="14">
        <f t="shared" si="3"/>
        <v>39625000</v>
      </c>
      <c r="K15" s="14">
        <f t="shared" si="3"/>
        <v>41269000</v>
      </c>
      <c r="L15" s="14">
        <f t="shared" si="3"/>
        <v>41115000</v>
      </c>
      <c r="M15" s="14">
        <f t="shared" si="3"/>
        <v>41537000</v>
      </c>
      <c r="N15" s="14">
        <f t="shared" si="3"/>
        <v>42411000</v>
      </c>
      <c r="O15" s="14">
        <f t="shared" si="3"/>
        <v>43272000</v>
      </c>
      <c r="P15" s="14">
        <f t="shared" si="3"/>
        <v>44117000</v>
      </c>
      <c r="Q15" s="14">
        <f t="shared" si="3"/>
        <v>48712000</v>
      </c>
      <c r="R15" s="14">
        <f t="shared" si="3"/>
        <v>53156000</v>
      </c>
      <c r="S15" s="14">
        <f t="shared" si="3"/>
        <v>53678000</v>
      </c>
      <c r="T15" s="110"/>
    </row>
    <row r="16" spans="1:20" ht="19.2" customHeight="1" thickBot="1" x14ac:dyDescent="0.35">
      <c r="A16" s="15" t="s">
        <v>69</v>
      </c>
      <c r="B16" s="15"/>
      <c r="D16" s="42" t="s">
        <v>70</v>
      </c>
      <c r="E16" s="54">
        <f t="shared" ref="E16:S16" si="4">ROUND(E14*E15,-3)</f>
        <v>1559000</v>
      </c>
      <c r="F16" s="22">
        <f t="shared" si="4"/>
        <v>2524000</v>
      </c>
      <c r="G16" s="22">
        <f t="shared" si="4"/>
        <v>2641000</v>
      </c>
      <c r="H16" s="22">
        <f t="shared" si="4"/>
        <v>2828000</v>
      </c>
      <c r="I16" s="22">
        <f t="shared" si="4"/>
        <v>2253000</v>
      </c>
      <c r="J16" s="22">
        <f t="shared" si="4"/>
        <v>2386000</v>
      </c>
      <c r="K16" s="22">
        <f t="shared" si="4"/>
        <v>2485000</v>
      </c>
      <c r="L16" s="22">
        <f t="shared" si="4"/>
        <v>2476000</v>
      </c>
      <c r="M16" s="22">
        <f t="shared" si="4"/>
        <v>2501000</v>
      </c>
      <c r="N16" s="22">
        <f t="shared" si="4"/>
        <v>2554000</v>
      </c>
      <c r="O16" s="22">
        <f t="shared" si="4"/>
        <v>2605000</v>
      </c>
      <c r="P16" s="22">
        <f t="shared" si="4"/>
        <v>2656000</v>
      </c>
      <c r="Q16" s="22">
        <f t="shared" si="4"/>
        <v>2933000</v>
      </c>
      <c r="R16" s="22">
        <f t="shared" si="4"/>
        <v>3201000</v>
      </c>
      <c r="S16" s="22">
        <f t="shared" si="4"/>
        <v>3232000</v>
      </c>
      <c r="T16" s="110"/>
    </row>
    <row r="17" spans="1:20" ht="19.2" customHeight="1" x14ac:dyDescent="0.3">
      <c r="A17" s="40"/>
      <c r="B17" s="40"/>
      <c r="D17" s="20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110"/>
    </row>
    <row r="18" spans="1:20" ht="19.2" customHeight="1" x14ac:dyDescent="0.3">
      <c r="A18" s="40"/>
      <c r="B18" s="40"/>
      <c r="D18" s="20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110"/>
    </row>
    <row r="19" spans="1:20" ht="19.2" customHeight="1" x14ac:dyDescent="0.3">
      <c r="A19" s="9" t="s">
        <v>71</v>
      </c>
      <c r="B19" s="9"/>
      <c r="D19" s="20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110"/>
    </row>
    <row r="20" spans="1:20" ht="19.2" customHeight="1" x14ac:dyDescent="0.3">
      <c r="A20" s="15" t="s">
        <v>160</v>
      </c>
      <c r="B20" s="15"/>
      <c r="D20" s="42"/>
      <c r="E20" s="50">
        <f>E22-E21</f>
        <v>739000</v>
      </c>
      <c r="F20" s="50">
        <f t="shared" ref="F20:S20" si="5">F22-F21</f>
        <v>1197000</v>
      </c>
      <c r="G20" s="50">
        <f t="shared" si="5"/>
        <v>1253000</v>
      </c>
      <c r="H20" s="50">
        <f t="shared" si="5"/>
        <v>1341000</v>
      </c>
      <c r="I20" s="50">
        <f t="shared" si="5"/>
        <v>906000</v>
      </c>
      <c r="J20" s="50">
        <f t="shared" si="5"/>
        <v>959000</v>
      </c>
      <c r="K20" s="50">
        <f t="shared" si="5"/>
        <v>999000</v>
      </c>
      <c r="L20" s="50">
        <f t="shared" si="5"/>
        <v>996000</v>
      </c>
      <c r="M20" s="50">
        <f t="shared" si="5"/>
        <v>1006000</v>
      </c>
      <c r="N20" s="50">
        <f t="shared" si="5"/>
        <v>1027000</v>
      </c>
      <c r="O20" s="50">
        <f t="shared" si="5"/>
        <v>1047000</v>
      </c>
      <c r="P20" s="50">
        <f t="shared" si="5"/>
        <v>1068000</v>
      </c>
      <c r="Q20" s="50">
        <f t="shared" si="5"/>
        <v>1179000</v>
      </c>
      <c r="R20" s="50">
        <f t="shared" si="5"/>
        <v>1287000</v>
      </c>
      <c r="S20" s="50">
        <f t="shared" si="5"/>
        <v>1300000</v>
      </c>
      <c r="T20" s="110"/>
    </row>
    <row r="21" spans="1:20" ht="19.2" customHeight="1" x14ac:dyDescent="0.3">
      <c r="A21" s="15" t="s">
        <v>72</v>
      </c>
      <c r="B21" s="15"/>
      <c r="D21" s="42"/>
      <c r="E21" s="50">
        <f>ROUND('Cost of Capital'!E29*E10,-3)</f>
        <v>820000</v>
      </c>
      <c r="F21" s="50">
        <f>ROUND('Cost of Capital'!F29*F10,-3)</f>
        <v>1327000</v>
      </c>
      <c r="G21" s="50">
        <f>ROUND('Cost of Capital'!G29*G10,-3)</f>
        <v>1388000</v>
      </c>
      <c r="H21" s="50">
        <f>ROUND('Cost of Capital'!H29*H10,-3)</f>
        <v>1487000</v>
      </c>
      <c r="I21" s="50">
        <f>ROUND('Cost of Capital'!I29*I10,-3)</f>
        <v>1347000</v>
      </c>
      <c r="J21" s="50">
        <f>ROUND('Cost of Capital'!J29*J10,-3)</f>
        <v>1427000</v>
      </c>
      <c r="K21" s="50">
        <f>ROUND('Cost of Capital'!K29*K10,-3)</f>
        <v>1486000</v>
      </c>
      <c r="L21" s="50">
        <f>ROUND('Cost of Capital'!L29*L10,-3)</f>
        <v>1480000</v>
      </c>
      <c r="M21" s="50">
        <f>ROUND('Cost of Capital'!M29*M10,-3)</f>
        <v>1495000</v>
      </c>
      <c r="N21" s="50">
        <f>ROUND('Cost of Capital'!N29*N10,-3)</f>
        <v>1527000</v>
      </c>
      <c r="O21" s="50">
        <f>ROUND('Cost of Capital'!O29*O10,-3)</f>
        <v>1558000</v>
      </c>
      <c r="P21" s="50">
        <f>ROUND('Cost of Capital'!P29*P10,-3)</f>
        <v>1588000</v>
      </c>
      <c r="Q21" s="50">
        <f>ROUND('Cost of Capital'!Q29*Q10,-3)</f>
        <v>1754000</v>
      </c>
      <c r="R21" s="50">
        <f>ROUND('Cost of Capital'!R29*R10,-3)</f>
        <v>1914000</v>
      </c>
      <c r="S21" s="50">
        <f>ROUND('Cost of Capital'!S29*S10,-3)</f>
        <v>1932000</v>
      </c>
      <c r="T21" s="110"/>
    </row>
    <row r="22" spans="1:20" ht="19.2" customHeight="1" thickBot="1" x14ac:dyDescent="0.35">
      <c r="A22" s="15" t="s">
        <v>69</v>
      </c>
      <c r="B22" s="15"/>
      <c r="D22" s="42" t="s">
        <v>70</v>
      </c>
      <c r="E22" s="22">
        <f>E16</f>
        <v>1559000</v>
      </c>
      <c r="F22" s="22">
        <f t="shared" ref="F22:S22" si="6">F16</f>
        <v>2524000</v>
      </c>
      <c r="G22" s="22">
        <f t="shared" si="6"/>
        <v>2641000</v>
      </c>
      <c r="H22" s="22">
        <f t="shared" si="6"/>
        <v>2828000</v>
      </c>
      <c r="I22" s="22">
        <f t="shared" si="6"/>
        <v>2253000</v>
      </c>
      <c r="J22" s="22">
        <f t="shared" si="6"/>
        <v>2386000</v>
      </c>
      <c r="K22" s="22">
        <f t="shared" si="6"/>
        <v>2485000</v>
      </c>
      <c r="L22" s="22">
        <f t="shared" si="6"/>
        <v>2476000</v>
      </c>
      <c r="M22" s="22">
        <f t="shared" si="6"/>
        <v>2501000</v>
      </c>
      <c r="N22" s="22">
        <f t="shared" si="6"/>
        <v>2554000</v>
      </c>
      <c r="O22" s="22">
        <f t="shared" si="6"/>
        <v>2605000</v>
      </c>
      <c r="P22" s="22">
        <f t="shared" si="6"/>
        <v>2656000</v>
      </c>
      <c r="Q22" s="22">
        <f t="shared" si="6"/>
        <v>2933000</v>
      </c>
      <c r="R22" s="22">
        <f t="shared" si="6"/>
        <v>3201000</v>
      </c>
      <c r="S22" s="22">
        <f t="shared" si="6"/>
        <v>3232000</v>
      </c>
      <c r="T22" s="110"/>
    </row>
    <row r="23" spans="1:20" ht="19.2" customHeight="1" x14ac:dyDescent="0.3">
      <c r="A23" s="40"/>
      <c r="B23" s="40"/>
      <c r="D23" s="20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110"/>
    </row>
    <row r="24" spans="1:20" ht="19.2" customHeight="1" x14ac:dyDescent="0.3">
      <c r="T24" s="112"/>
    </row>
    <row r="25" spans="1:20" ht="19.2" customHeight="1" x14ac:dyDescent="0.3">
      <c r="A25" s="107" t="s">
        <v>149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</row>
  </sheetData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51"/>
  <sheetViews>
    <sheetView showGridLines="0" showZeros="0" zoomScale="160" zoomScaleNormal="160" workbookViewId="0">
      <pane xSplit="3" ySplit="1" topLeftCell="E30" activePane="bottomRight" state="frozen"/>
      <selection activeCell="B84" sqref="B84"/>
      <selection pane="topRight" activeCell="B84" sqref="B84"/>
      <selection pane="bottomLeft" activeCell="B84" sqref="B84"/>
      <selection pane="bottomRight" activeCell="E49" sqref="E49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3" width="10.61328125" style="7" customWidth="1"/>
    <col min="4" max="4" width="5.61328125" style="7" customWidth="1"/>
    <col min="5" max="19" width="9.61328125" style="7" customWidth="1"/>
    <col min="20" max="20" width="1.84375" style="7" customWidth="1"/>
    <col min="21" max="16384" width="8.765625" style="7"/>
  </cols>
  <sheetData>
    <row r="1" spans="1:20" s="6" customFormat="1" ht="19.2" customHeight="1" thickBot="1" x14ac:dyDescent="0.35">
      <c r="A1" s="1" t="s">
        <v>150</v>
      </c>
      <c r="B1" s="2" t="s">
        <v>162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09"/>
    </row>
    <row r="2" spans="1:20" ht="19.2" customHeight="1" x14ac:dyDescent="0.3">
      <c r="T2" s="109"/>
    </row>
    <row r="3" spans="1:20" ht="19.2" customHeight="1" x14ac:dyDescent="0.3">
      <c r="A3" s="9" t="s">
        <v>113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09"/>
    </row>
    <row r="4" spans="1:20" ht="19.2" customHeight="1" x14ac:dyDescent="0.3">
      <c r="A4" s="19" t="s">
        <v>114</v>
      </c>
      <c r="B4" s="6"/>
      <c r="C4" s="6"/>
      <c r="D4" s="6" t="s">
        <v>98</v>
      </c>
      <c r="E4" s="77"/>
      <c r="F4" s="78">
        <v>1378000</v>
      </c>
      <c r="G4" s="78">
        <v>1345000</v>
      </c>
      <c r="H4" s="78">
        <v>1372000</v>
      </c>
      <c r="I4" s="78">
        <v>1400000</v>
      </c>
      <c r="J4" s="78">
        <v>1429000</v>
      </c>
      <c r="K4" s="78">
        <v>1457000</v>
      </c>
      <c r="L4" s="78">
        <v>1486000</v>
      </c>
      <c r="M4" s="78">
        <v>1516000</v>
      </c>
      <c r="N4" s="78">
        <v>1547000</v>
      </c>
      <c r="O4" s="78">
        <v>1579000</v>
      </c>
      <c r="P4" s="78">
        <v>1610000</v>
      </c>
      <c r="Q4" s="78">
        <v>1642000</v>
      </c>
      <c r="R4" s="78">
        <v>1675000</v>
      </c>
      <c r="S4" s="78">
        <v>1708000</v>
      </c>
      <c r="T4" s="109"/>
    </row>
    <row r="5" spans="1:20" ht="19.2" customHeight="1" x14ac:dyDescent="0.3">
      <c r="A5" s="19" t="s">
        <v>115</v>
      </c>
      <c r="B5" s="6"/>
      <c r="C5" s="6"/>
      <c r="D5" s="6"/>
      <c r="E5" s="77"/>
      <c r="F5" s="78">
        <v>526000</v>
      </c>
      <c r="G5" s="78">
        <v>543000</v>
      </c>
      <c r="H5" s="78">
        <v>554000</v>
      </c>
      <c r="I5" s="78">
        <v>565000</v>
      </c>
      <c r="J5" s="78">
        <v>576000</v>
      </c>
      <c r="K5" s="78">
        <v>588000</v>
      </c>
      <c r="L5" s="78">
        <v>600000</v>
      </c>
      <c r="M5" s="78">
        <v>612000</v>
      </c>
      <c r="N5" s="78">
        <v>624000</v>
      </c>
      <c r="O5" s="78">
        <v>636000</v>
      </c>
      <c r="P5" s="78">
        <v>649000</v>
      </c>
      <c r="Q5" s="78">
        <v>662000</v>
      </c>
      <c r="R5" s="78">
        <v>675000</v>
      </c>
      <c r="S5" s="78">
        <v>689000</v>
      </c>
      <c r="T5" s="109"/>
    </row>
    <row r="6" spans="1:20" ht="19.2" customHeight="1" x14ac:dyDescent="0.3">
      <c r="A6" s="19" t="s">
        <v>116</v>
      </c>
      <c r="B6" s="6"/>
      <c r="C6" s="6"/>
      <c r="D6" s="6"/>
      <c r="E6" s="77">
        <v>0</v>
      </c>
      <c r="F6" s="78">
        <v>219000</v>
      </c>
      <c r="G6" s="78">
        <v>384000</v>
      </c>
      <c r="H6" s="78">
        <v>392000</v>
      </c>
      <c r="I6" s="78">
        <v>400000</v>
      </c>
      <c r="J6" s="78">
        <v>408000</v>
      </c>
      <c r="K6" s="78">
        <v>416000</v>
      </c>
      <c r="L6" s="78">
        <v>424000</v>
      </c>
      <c r="M6" s="78">
        <v>432000</v>
      </c>
      <c r="N6" s="78">
        <v>441000</v>
      </c>
      <c r="O6" s="78">
        <v>450000</v>
      </c>
      <c r="P6" s="78">
        <v>459000</v>
      </c>
      <c r="Q6" s="78">
        <v>468000</v>
      </c>
      <c r="R6" s="78">
        <v>477000</v>
      </c>
      <c r="S6" s="78">
        <v>487000</v>
      </c>
      <c r="T6" s="109"/>
    </row>
    <row r="7" spans="1:20" ht="19.2" customHeight="1" x14ac:dyDescent="0.3">
      <c r="A7" s="19" t="s">
        <v>117</v>
      </c>
      <c r="B7" s="6"/>
      <c r="C7" s="6"/>
      <c r="D7" s="6"/>
      <c r="E7" s="77"/>
      <c r="F7" s="78">
        <v>275000</v>
      </c>
      <c r="G7" s="78">
        <v>300000</v>
      </c>
      <c r="H7" s="78">
        <v>306000</v>
      </c>
      <c r="I7" s="78">
        <v>312000</v>
      </c>
      <c r="J7" s="78">
        <v>318000</v>
      </c>
      <c r="K7" s="78">
        <v>324000</v>
      </c>
      <c r="L7" s="78">
        <v>330000</v>
      </c>
      <c r="M7" s="78">
        <v>337000</v>
      </c>
      <c r="N7" s="78">
        <v>344000</v>
      </c>
      <c r="O7" s="78">
        <v>351000</v>
      </c>
      <c r="P7" s="78">
        <v>358000</v>
      </c>
      <c r="Q7" s="78">
        <v>365000</v>
      </c>
      <c r="R7" s="78">
        <v>372000</v>
      </c>
      <c r="S7" s="78">
        <v>379000</v>
      </c>
      <c r="T7" s="109"/>
    </row>
    <row r="8" spans="1:20" ht="19.2" customHeight="1" x14ac:dyDescent="0.3">
      <c r="A8" s="19" t="s">
        <v>118</v>
      </c>
      <c r="B8" s="6"/>
      <c r="C8" s="6"/>
      <c r="D8" s="6"/>
      <c r="E8" s="77"/>
      <c r="F8" s="78">
        <v>1183000</v>
      </c>
      <c r="G8" s="78">
        <v>1225000</v>
      </c>
      <c r="H8" s="78">
        <v>1250000</v>
      </c>
      <c r="I8" s="78">
        <v>1275000</v>
      </c>
      <c r="J8" s="78">
        <v>1301000</v>
      </c>
      <c r="K8" s="78">
        <v>1328000</v>
      </c>
      <c r="L8" s="78">
        <v>1355000</v>
      </c>
      <c r="M8" s="78">
        <v>1382000</v>
      </c>
      <c r="N8" s="78">
        <v>1409000</v>
      </c>
      <c r="O8" s="78">
        <v>1437000</v>
      </c>
      <c r="P8" s="78">
        <v>1466000</v>
      </c>
      <c r="Q8" s="78">
        <v>1495000</v>
      </c>
      <c r="R8" s="78">
        <v>1524000</v>
      </c>
      <c r="S8" s="78">
        <v>1554000</v>
      </c>
      <c r="T8" s="109"/>
    </row>
    <row r="9" spans="1:20" ht="19.2" customHeight="1" x14ac:dyDescent="0.3">
      <c r="A9" s="19" t="s">
        <v>119</v>
      </c>
      <c r="B9" s="6"/>
      <c r="C9" s="73"/>
      <c r="D9" s="73">
        <v>0</v>
      </c>
      <c r="E9" s="78"/>
      <c r="F9" s="78">
        <v>282000</v>
      </c>
      <c r="G9" s="78">
        <v>289000</v>
      </c>
      <c r="H9" s="78">
        <v>420000</v>
      </c>
      <c r="I9" s="78">
        <v>429000</v>
      </c>
      <c r="J9" s="78">
        <v>438000</v>
      </c>
      <c r="K9" s="78">
        <v>447000</v>
      </c>
      <c r="L9" s="78">
        <v>456000</v>
      </c>
      <c r="M9" s="78">
        <v>465000</v>
      </c>
      <c r="N9" s="78">
        <v>474000</v>
      </c>
      <c r="O9" s="78">
        <v>483000</v>
      </c>
      <c r="P9" s="78">
        <v>492000</v>
      </c>
      <c r="Q9" s="78">
        <v>501000</v>
      </c>
      <c r="R9" s="78">
        <v>511000</v>
      </c>
      <c r="S9" s="78">
        <v>522000</v>
      </c>
      <c r="T9" s="109"/>
    </row>
    <row r="10" spans="1:20" ht="19.2" customHeight="1" x14ac:dyDescent="0.3">
      <c r="A10" s="19" t="s">
        <v>120</v>
      </c>
      <c r="B10" s="6"/>
      <c r="C10" s="6"/>
      <c r="D10" s="6"/>
      <c r="E10" s="77"/>
      <c r="F10" s="78">
        <v>1007000</v>
      </c>
      <c r="G10" s="78">
        <v>1048000</v>
      </c>
      <c r="H10" s="78">
        <v>1137000</v>
      </c>
      <c r="I10" s="78">
        <v>1161000</v>
      </c>
      <c r="J10" s="78">
        <v>1184000</v>
      </c>
      <c r="K10" s="78">
        <v>1208000</v>
      </c>
      <c r="L10" s="78">
        <v>1232000</v>
      </c>
      <c r="M10" s="78">
        <v>1256000</v>
      </c>
      <c r="N10" s="78">
        <v>1281000</v>
      </c>
      <c r="O10" s="78">
        <v>1307000</v>
      </c>
      <c r="P10" s="78">
        <v>1333000</v>
      </c>
      <c r="Q10" s="78">
        <v>1360000</v>
      </c>
      <c r="R10" s="78">
        <v>1387000</v>
      </c>
      <c r="S10" s="78">
        <v>1415000</v>
      </c>
      <c r="T10" s="109"/>
    </row>
    <row r="11" spans="1:20" ht="19.2" customHeight="1" x14ac:dyDescent="0.3">
      <c r="A11" s="71" t="s">
        <v>121</v>
      </c>
      <c r="B11" s="72"/>
      <c r="C11" s="72"/>
      <c r="D11" s="72"/>
      <c r="E11" s="72">
        <v>4346000</v>
      </c>
      <c r="F11" s="72">
        <f t="shared" ref="F11:S11" si="0">SUM(F4:F10)</f>
        <v>4870000</v>
      </c>
      <c r="G11" s="72">
        <f t="shared" si="0"/>
        <v>5134000</v>
      </c>
      <c r="H11" s="72">
        <f t="shared" si="0"/>
        <v>5431000</v>
      </c>
      <c r="I11" s="72">
        <f t="shared" si="0"/>
        <v>5542000</v>
      </c>
      <c r="J11" s="72">
        <f t="shared" si="0"/>
        <v>5654000</v>
      </c>
      <c r="K11" s="72">
        <f t="shared" si="0"/>
        <v>5768000</v>
      </c>
      <c r="L11" s="72">
        <f t="shared" si="0"/>
        <v>5883000</v>
      </c>
      <c r="M11" s="72">
        <f t="shared" si="0"/>
        <v>6000000</v>
      </c>
      <c r="N11" s="72">
        <f t="shared" si="0"/>
        <v>6120000</v>
      </c>
      <c r="O11" s="72">
        <f t="shared" si="0"/>
        <v>6243000</v>
      </c>
      <c r="P11" s="72">
        <f t="shared" si="0"/>
        <v>6367000</v>
      </c>
      <c r="Q11" s="72">
        <f t="shared" si="0"/>
        <v>6493000</v>
      </c>
      <c r="R11" s="72">
        <f t="shared" si="0"/>
        <v>6621000</v>
      </c>
      <c r="S11" s="72">
        <f t="shared" si="0"/>
        <v>6754000</v>
      </c>
      <c r="T11" s="124"/>
    </row>
    <row r="12" spans="1:20" ht="19.2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24"/>
    </row>
    <row r="13" spans="1:20" ht="19.2" customHeight="1" x14ac:dyDescent="0.3">
      <c r="A13" s="19" t="s">
        <v>112</v>
      </c>
      <c r="B13" s="6"/>
      <c r="C13" s="6"/>
      <c r="D13" s="6"/>
      <c r="E13" s="6"/>
      <c r="F13" s="56"/>
      <c r="G13" s="56">
        <f t="shared" ref="G13:S13" si="1">(G11-F11)/F11</f>
        <v>5.4209445585215607E-2</v>
      </c>
      <c r="H13" s="56">
        <f t="shared" si="1"/>
        <v>5.7849629918192445E-2</v>
      </c>
      <c r="I13" s="56">
        <f t="shared" si="1"/>
        <v>2.0438225004603204E-2</v>
      </c>
      <c r="J13" s="56">
        <f t="shared" si="1"/>
        <v>2.0209310718152292E-2</v>
      </c>
      <c r="K13" s="56">
        <f t="shared" si="1"/>
        <v>2.0162716660771136E-2</v>
      </c>
      <c r="L13" s="56">
        <f t="shared" si="1"/>
        <v>1.9937586685159502E-2</v>
      </c>
      <c r="M13" s="56">
        <f t="shared" si="1"/>
        <v>1.9887812340642529E-2</v>
      </c>
      <c r="N13" s="56">
        <f t="shared" si="1"/>
        <v>0.02</v>
      </c>
      <c r="O13" s="56">
        <f t="shared" si="1"/>
        <v>2.0098039215686276E-2</v>
      </c>
      <c r="P13" s="56">
        <f t="shared" si="1"/>
        <v>1.9862245715201024E-2</v>
      </c>
      <c r="Q13" s="56">
        <f t="shared" si="1"/>
        <v>1.9789539814669389E-2</v>
      </c>
      <c r="R13" s="56">
        <f t="shared" si="1"/>
        <v>1.9713537655937162E-2</v>
      </c>
      <c r="S13" s="56">
        <f t="shared" si="1"/>
        <v>2.0087600060413834E-2</v>
      </c>
      <c r="T13" s="124"/>
    </row>
    <row r="14" spans="1:20" ht="19.2" customHeight="1" x14ac:dyDescent="0.3">
      <c r="A14" s="19"/>
      <c r="B14" s="6"/>
      <c r="C14" s="6"/>
      <c r="D14" s="6"/>
      <c r="E14" s="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124"/>
    </row>
    <row r="15" spans="1:20" ht="19.2" customHeight="1" x14ac:dyDescent="0.3">
      <c r="T15" s="124"/>
    </row>
    <row r="16" spans="1:20" ht="4.95" customHeight="1" x14ac:dyDescent="0.3">
      <c r="A16" s="112"/>
      <c r="B16" s="119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24"/>
    </row>
    <row r="17" spans="1:23" ht="19.2" customHeight="1" x14ac:dyDescent="0.3">
      <c r="T17" s="124"/>
    </row>
    <row r="18" spans="1:23" ht="19.2" customHeight="1" x14ac:dyDescent="0.3">
      <c r="T18" s="124"/>
    </row>
    <row r="19" spans="1:23" ht="19.2" customHeight="1" x14ac:dyDescent="0.3">
      <c r="A19" s="79" t="s">
        <v>131</v>
      </c>
      <c r="B19" s="87"/>
      <c r="C19" s="86"/>
      <c r="D19" s="86"/>
      <c r="E19" s="86"/>
      <c r="F19" s="78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124"/>
      <c r="U19" s="86"/>
      <c r="V19" s="86"/>
      <c r="W19" s="86"/>
    </row>
    <row r="20" spans="1:23" ht="19.2" customHeight="1" x14ac:dyDescent="0.3">
      <c r="A20" s="80" t="s">
        <v>132</v>
      </c>
      <c r="F20" s="73">
        <f>F11</f>
        <v>4870000</v>
      </c>
      <c r="G20" s="73">
        <f t="shared" ref="G20:S20" si="2">G11</f>
        <v>5134000</v>
      </c>
      <c r="H20" s="73">
        <f t="shared" si="2"/>
        <v>5431000</v>
      </c>
      <c r="I20" s="73">
        <f t="shared" si="2"/>
        <v>5542000</v>
      </c>
      <c r="J20" s="73">
        <f t="shared" si="2"/>
        <v>5654000</v>
      </c>
      <c r="K20" s="73">
        <f t="shared" si="2"/>
        <v>5768000</v>
      </c>
      <c r="L20" s="73">
        <f t="shared" si="2"/>
        <v>5883000</v>
      </c>
      <c r="M20" s="73">
        <f t="shared" si="2"/>
        <v>6000000</v>
      </c>
      <c r="N20" s="73">
        <f t="shared" si="2"/>
        <v>6120000</v>
      </c>
      <c r="O20" s="73">
        <f t="shared" si="2"/>
        <v>6243000</v>
      </c>
      <c r="P20" s="73">
        <f t="shared" si="2"/>
        <v>6367000</v>
      </c>
      <c r="Q20" s="73">
        <f t="shared" si="2"/>
        <v>6493000</v>
      </c>
      <c r="R20" s="73">
        <f t="shared" si="2"/>
        <v>6621000</v>
      </c>
      <c r="S20" s="73">
        <f t="shared" si="2"/>
        <v>6754000</v>
      </c>
      <c r="T20" s="124"/>
      <c r="U20" s="86"/>
      <c r="V20" s="86"/>
      <c r="W20" s="86"/>
    </row>
    <row r="21" spans="1:23" ht="19.2" customHeight="1" x14ac:dyDescent="0.3">
      <c r="A21" s="90" t="s">
        <v>133</v>
      </c>
      <c r="B21" s="91"/>
      <c r="C21" s="92"/>
      <c r="D21" s="93"/>
      <c r="E21" s="93"/>
      <c r="F21" s="93">
        <f t="shared" ref="F21:S21" si="3">-F6-F7</f>
        <v>-494000</v>
      </c>
      <c r="G21" s="93">
        <f t="shared" si="3"/>
        <v>-684000</v>
      </c>
      <c r="H21" s="93">
        <f t="shared" si="3"/>
        <v>-698000</v>
      </c>
      <c r="I21" s="93">
        <f t="shared" si="3"/>
        <v>-712000</v>
      </c>
      <c r="J21" s="93">
        <f t="shared" si="3"/>
        <v>-726000</v>
      </c>
      <c r="K21" s="93">
        <f t="shared" si="3"/>
        <v>-740000</v>
      </c>
      <c r="L21" s="93">
        <f t="shared" si="3"/>
        <v>-754000</v>
      </c>
      <c r="M21" s="93">
        <f t="shared" si="3"/>
        <v>-769000</v>
      </c>
      <c r="N21" s="93">
        <f t="shared" si="3"/>
        <v>-785000</v>
      </c>
      <c r="O21" s="93">
        <f t="shared" si="3"/>
        <v>-801000</v>
      </c>
      <c r="P21" s="93">
        <f t="shared" si="3"/>
        <v>-817000</v>
      </c>
      <c r="Q21" s="93">
        <f t="shared" si="3"/>
        <v>-833000</v>
      </c>
      <c r="R21" s="93">
        <f t="shared" si="3"/>
        <v>-849000</v>
      </c>
      <c r="S21" s="93">
        <f t="shared" si="3"/>
        <v>-866000</v>
      </c>
      <c r="T21" s="124"/>
      <c r="U21" s="86"/>
      <c r="V21" s="86"/>
      <c r="W21" s="86"/>
    </row>
    <row r="22" spans="1:23" ht="19.2" customHeight="1" x14ac:dyDescent="0.3">
      <c r="A22" s="80" t="s">
        <v>130</v>
      </c>
      <c r="F22" s="78">
        <v>36877000</v>
      </c>
      <c r="G22" s="78">
        <v>36004000</v>
      </c>
      <c r="H22" s="78">
        <v>35593000</v>
      </c>
      <c r="I22" s="78">
        <v>36510000</v>
      </c>
      <c r="J22" s="78">
        <v>37494000</v>
      </c>
      <c r="K22" s="78">
        <v>44371000</v>
      </c>
      <c r="L22" s="78">
        <v>45390000</v>
      </c>
      <c r="M22" s="78">
        <v>46435000</v>
      </c>
      <c r="N22" s="78">
        <v>47500000</v>
      </c>
      <c r="O22" s="78">
        <v>48592000</v>
      </c>
      <c r="P22" s="78">
        <v>49712000</v>
      </c>
      <c r="Q22" s="78">
        <v>50856000</v>
      </c>
      <c r="R22" s="78">
        <v>52028000</v>
      </c>
      <c r="S22" s="78">
        <v>53229000</v>
      </c>
      <c r="T22" s="124"/>
      <c r="U22" s="86"/>
      <c r="V22" s="86"/>
      <c r="W22" s="86"/>
    </row>
    <row r="23" spans="1:23" ht="19.2" customHeight="1" x14ac:dyDescent="0.3">
      <c r="A23" s="85" t="s">
        <v>134</v>
      </c>
      <c r="B23" s="94"/>
      <c r="C23" s="35"/>
      <c r="D23" s="35"/>
      <c r="E23" s="35"/>
      <c r="F23" s="6">
        <f>SUM(F20:F22)</f>
        <v>41253000</v>
      </c>
      <c r="G23" s="6">
        <f t="shared" ref="G23:S23" si="4">SUM(G20:G22)</f>
        <v>40454000</v>
      </c>
      <c r="H23" s="6">
        <f t="shared" si="4"/>
        <v>40326000</v>
      </c>
      <c r="I23" s="6">
        <f t="shared" si="4"/>
        <v>41340000</v>
      </c>
      <c r="J23" s="6">
        <f t="shared" si="4"/>
        <v>42422000</v>
      </c>
      <c r="K23" s="6">
        <f t="shared" si="4"/>
        <v>49399000</v>
      </c>
      <c r="L23" s="6">
        <f t="shared" si="4"/>
        <v>50519000</v>
      </c>
      <c r="M23" s="6">
        <f t="shared" si="4"/>
        <v>51666000</v>
      </c>
      <c r="N23" s="6">
        <f t="shared" si="4"/>
        <v>52835000</v>
      </c>
      <c r="O23" s="6">
        <f t="shared" si="4"/>
        <v>54034000</v>
      </c>
      <c r="P23" s="6">
        <f t="shared" si="4"/>
        <v>55262000</v>
      </c>
      <c r="Q23" s="6">
        <f t="shared" si="4"/>
        <v>56516000</v>
      </c>
      <c r="R23" s="6">
        <f t="shared" si="4"/>
        <v>57800000</v>
      </c>
      <c r="S23" s="6">
        <f t="shared" si="4"/>
        <v>59117000</v>
      </c>
      <c r="T23" s="124"/>
      <c r="U23" s="86"/>
      <c r="V23" s="86"/>
      <c r="W23" s="86"/>
    </row>
    <row r="24" spans="1:23" ht="19.2" customHeight="1" x14ac:dyDescent="0.3">
      <c r="A24" s="80" t="s">
        <v>135</v>
      </c>
      <c r="F24" s="81">
        <v>0.15</v>
      </c>
      <c r="G24" s="81">
        <v>0.15</v>
      </c>
      <c r="H24" s="81">
        <v>0.15</v>
      </c>
      <c r="I24" s="81">
        <v>7.4999999999999997E-2</v>
      </c>
      <c r="J24" s="81">
        <v>7.4999999999999997E-2</v>
      </c>
      <c r="K24" s="81">
        <v>7.4999999999999997E-2</v>
      </c>
      <c r="L24" s="81">
        <v>7.4999999999999997E-2</v>
      </c>
      <c r="M24" s="81">
        <v>7.4999999999999997E-2</v>
      </c>
      <c r="N24" s="81">
        <v>7.4999999999999997E-2</v>
      </c>
      <c r="O24" s="81">
        <v>7.4999999999999997E-2</v>
      </c>
      <c r="P24" s="81">
        <v>7.4999999999999997E-2</v>
      </c>
      <c r="Q24" s="81">
        <v>7.4999999999999997E-2</v>
      </c>
      <c r="R24" s="81">
        <v>7.4999999999999997E-2</v>
      </c>
      <c r="S24" s="81">
        <v>7.4999999999999997E-2</v>
      </c>
      <c r="T24" s="124"/>
      <c r="U24" s="86"/>
      <c r="V24" s="86"/>
      <c r="W24" s="86"/>
    </row>
    <row r="25" spans="1:23" ht="19.2" customHeight="1" x14ac:dyDescent="0.3">
      <c r="A25" s="71" t="s">
        <v>136</v>
      </c>
      <c r="B25" s="72"/>
      <c r="C25" s="72"/>
      <c r="D25" s="72"/>
      <c r="E25" s="72"/>
      <c r="F25" s="72">
        <f t="shared" ref="F25:S25" si="5">ROUND(F23*F24,-3)</f>
        <v>6188000</v>
      </c>
      <c r="G25" s="72">
        <f t="shared" si="5"/>
        <v>6068000</v>
      </c>
      <c r="H25" s="72">
        <f t="shared" si="5"/>
        <v>6049000</v>
      </c>
      <c r="I25" s="72">
        <f t="shared" si="5"/>
        <v>3101000</v>
      </c>
      <c r="J25" s="72">
        <f t="shared" si="5"/>
        <v>3182000</v>
      </c>
      <c r="K25" s="72">
        <f t="shared" si="5"/>
        <v>3705000</v>
      </c>
      <c r="L25" s="72">
        <f t="shared" si="5"/>
        <v>3789000</v>
      </c>
      <c r="M25" s="72">
        <f t="shared" si="5"/>
        <v>3875000</v>
      </c>
      <c r="N25" s="72">
        <f t="shared" si="5"/>
        <v>3963000</v>
      </c>
      <c r="O25" s="72">
        <f t="shared" si="5"/>
        <v>4053000</v>
      </c>
      <c r="P25" s="72">
        <f t="shared" si="5"/>
        <v>4145000</v>
      </c>
      <c r="Q25" s="72">
        <f t="shared" si="5"/>
        <v>4239000</v>
      </c>
      <c r="R25" s="72">
        <f t="shared" si="5"/>
        <v>4335000</v>
      </c>
      <c r="S25" s="72">
        <f t="shared" si="5"/>
        <v>4434000</v>
      </c>
      <c r="T25" s="124"/>
      <c r="U25" s="86"/>
      <c r="V25" s="86"/>
      <c r="W25" s="86"/>
    </row>
    <row r="26" spans="1:23" ht="19.2" customHeight="1" x14ac:dyDescent="0.3">
      <c r="A26" s="86"/>
      <c r="B26" s="87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124"/>
      <c r="U26" s="86"/>
      <c r="V26" s="86"/>
      <c r="W26" s="86"/>
    </row>
    <row r="27" spans="1:23" ht="19.2" customHeight="1" x14ac:dyDescent="0.3">
      <c r="T27" s="124"/>
    </row>
    <row r="28" spans="1:23" ht="4.95" customHeight="1" x14ac:dyDescent="0.3">
      <c r="A28" s="112"/>
      <c r="B28" s="119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09"/>
    </row>
    <row r="29" spans="1:23" ht="19.2" customHeight="1" x14ac:dyDescent="0.3">
      <c r="T29" s="109"/>
    </row>
    <row r="30" spans="1:23" ht="19.2" customHeight="1" x14ac:dyDescent="0.3">
      <c r="T30" s="109"/>
    </row>
    <row r="31" spans="1:23" ht="19.2" customHeight="1" x14ac:dyDescent="0.3">
      <c r="A31" s="9" t="s">
        <v>108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109"/>
      <c r="U31" s="6"/>
    </row>
    <row r="32" spans="1:23" ht="19.2" customHeight="1" x14ac:dyDescent="0.3">
      <c r="A32" s="70" t="s">
        <v>109</v>
      </c>
      <c r="B32" s="6"/>
      <c r="C32" s="6"/>
      <c r="D32" s="6"/>
      <c r="E32" s="6"/>
      <c r="F32" s="78">
        <v>3549000</v>
      </c>
      <c r="G32" s="78">
        <v>2948000</v>
      </c>
      <c r="H32" s="78">
        <v>5200000</v>
      </c>
      <c r="I32" s="78">
        <v>3431000</v>
      </c>
      <c r="J32" s="78">
        <v>4439000</v>
      </c>
      <c r="K32" s="78">
        <v>1600000</v>
      </c>
      <c r="L32" s="78">
        <v>1920000</v>
      </c>
      <c r="M32" s="78">
        <v>2900000</v>
      </c>
      <c r="N32" s="78">
        <v>3000000</v>
      </c>
      <c r="O32" s="78">
        <v>3100000</v>
      </c>
      <c r="P32" s="78">
        <v>3200000</v>
      </c>
      <c r="Q32" s="78">
        <v>11300000</v>
      </c>
      <c r="R32" s="78">
        <v>3400000</v>
      </c>
      <c r="S32" s="78">
        <v>3500000</v>
      </c>
      <c r="T32" s="109"/>
      <c r="U32" s="6"/>
    </row>
    <row r="33" spans="1:21" ht="19.2" customHeight="1" x14ac:dyDescent="0.3">
      <c r="A33" s="70" t="s">
        <v>110</v>
      </c>
      <c r="B33" s="6"/>
      <c r="C33" s="6"/>
      <c r="D33" s="6"/>
      <c r="E33" s="6"/>
      <c r="F33" s="78">
        <v>349000</v>
      </c>
      <c r="G33" s="78">
        <v>250000</v>
      </c>
      <c r="H33" s="78">
        <v>162000</v>
      </c>
      <c r="I33" s="78">
        <v>218000</v>
      </c>
      <c r="J33" s="78">
        <v>130000</v>
      </c>
      <c r="K33" s="78">
        <v>139000</v>
      </c>
      <c r="L33" s="78">
        <v>165000</v>
      </c>
      <c r="M33" s="78">
        <v>150000</v>
      </c>
      <c r="N33" s="78">
        <v>160000</v>
      </c>
      <c r="O33" s="78">
        <v>170000</v>
      </c>
      <c r="P33" s="78">
        <v>180000</v>
      </c>
      <c r="Q33" s="78">
        <v>190000</v>
      </c>
      <c r="R33" s="78">
        <v>200000</v>
      </c>
      <c r="S33" s="78">
        <v>210000</v>
      </c>
      <c r="T33" s="109"/>
      <c r="U33" s="6"/>
    </row>
    <row r="34" spans="1:21" ht="19.2" customHeight="1" x14ac:dyDescent="0.3">
      <c r="A34" s="71" t="s">
        <v>111</v>
      </c>
      <c r="B34" s="72"/>
      <c r="C34" s="72"/>
      <c r="D34" s="72"/>
      <c r="E34" s="72"/>
      <c r="F34" s="72">
        <f t="shared" ref="F34:S34" si="6">F32-F33</f>
        <v>3200000</v>
      </c>
      <c r="G34" s="72">
        <f t="shared" si="6"/>
        <v>2698000</v>
      </c>
      <c r="H34" s="72">
        <f t="shared" si="6"/>
        <v>5038000</v>
      </c>
      <c r="I34" s="72">
        <f t="shared" si="6"/>
        <v>3213000</v>
      </c>
      <c r="J34" s="72">
        <f t="shared" si="6"/>
        <v>4309000</v>
      </c>
      <c r="K34" s="72">
        <f t="shared" si="6"/>
        <v>1461000</v>
      </c>
      <c r="L34" s="72">
        <f t="shared" si="6"/>
        <v>1755000</v>
      </c>
      <c r="M34" s="72">
        <f t="shared" si="6"/>
        <v>2750000</v>
      </c>
      <c r="N34" s="72">
        <f t="shared" si="6"/>
        <v>2840000</v>
      </c>
      <c r="O34" s="72">
        <f t="shared" si="6"/>
        <v>2930000</v>
      </c>
      <c r="P34" s="72">
        <f t="shared" si="6"/>
        <v>3020000</v>
      </c>
      <c r="Q34" s="72">
        <f t="shared" si="6"/>
        <v>11110000</v>
      </c>
      <c r="R34" s="72">
        <f t="shared" si="6"/>
        <v>3200000</v>
      </c>
      <c r="S34" s="72">
        <f t="shared" si="6"/>
        <v>3290000</v>
      </c>
      <c r="T34" s="109"/>
      <c r="U34" s="6"/>
    </row>
    <row r="35" spans="1:21" ht="19.2" customHeight="1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09"/>
      <c r="U35" s="6"/>
    </row>
    <row r="36" spans="1:21" ht="19.2" customHeight="1" x14ac:dyDescent="0.3">
      <c r="T36" s="109"/>
      <c r="U36" s="6"/>
    </row>
    <row r="37" spans="1:21" ht="4.95" customHeight="1" x14ac:dyDescent="0.3">
      <c r="A37" s="112"/>
      <c r="B37" s="119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09"/>
    </row>
    <row r="38" spans="1:21" ht="19.2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109"/>
      <c r="U38" s="6"/>
    </row>
    <row r="39" spans="1:21" ht="19.2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109"/>
      <c r="U39" s="6"/>
    </row>
    <row r="40" spans="1:21" ht="19.2" customHeight="1" x14ac:dyDescent="0.3">
      <c r="A40" s="9" t="s">
        <v>122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109"/>
      <c r="U40" s="6"/>
    </row>
    <row r="41" spans="1:21" ht="19.2" customHeight="1" x14ac:dyDescent="0.3">
      <c r="A41" s="70" t="s">
        <v>117</v>
      </c>
      <c r="B41" s="69"/>
      <c r="C41" s="6"/>
      <c r="D41" s="6" t="s">
        <v>98</v>
      </c>
      <c r="E41" s="77"/>
      <c r="F41" s="78">
        <v>6000</v>
      </c>
      <c r="G41" s="78">
        <v>10000</v>
      </c>
      <c r="H41" s="78">
        <v>10000</v>
      </c>
      <c r="I41" s="78">
        <v>10000</v>
      </c>
      <c r="J41" s="78">
        <v>10000</v>
      </c>
      <c r="K41" s="78">
        <v>10000</v>
      </c>
      <c r="L41" s="78">
        <v>10000</v>
      </c>
      <c r="M41" s="78">
        <v>0</v>
      </c>
      <c r="N41" s="78">
        <v>0</v>
      </c>
      <c r="O41" s="78">
        <v>0</v>
      </c>
      <c r="P41" s="78">
        <v>0</v>
      </c>
      <c r="Q41" s="78">
        <v>8000000</v>
      </c>
      <c r="R41" s="78">
        <v>0</v>
      </c>
      <c r="S41" s="78">
        <v>0</v>
      </c>
      <c r="T41" s="109"/>
      <c r="U41" s="6"/>
    </row>
    <row r="42" spans="1:21" ht="19.2" customHeight="1" x14ac:dyDescent="0.3">
      <c r="A42" s="70" t="s">
        <v>123</v>
      </c>
      <c r="B42" s="69"/>
      <c r="C42" s="6"/>
      <c r="D42" s="6"/>
      <c r="E42" s="77"/>
      <c r="F42" s="78">
        <v>644000</v>
      </c>
      <c r="G42" s="78">
        <v>211000</v>
      </c>
      <c r="H42" s="78">
        <v>2700000</v>
      </c>
      <c r="I42" s="78">
        <v>0</v>
      </c>
      <c r="J42" s="78">
        <v>2800000</v>
      </c>
      <c r="K42" s="78">
        <v>0</v>
      </c>
      <c r="L42" s="78">
        <v>100000</v>
      </c>
      <c r="M42" s="78"/>
      <c r="N42" s="78"/>
      <c r="O42" s="78"/>
      <c r="P42" s="78"/>
      <c r="Q42" s="78"/>
      <c r="R42" s="78"/>
      <c r="S42" s="78"/>
      <c r="T42" s="109"/>
      <c r="U42" s="6"/>
    </row>
    <row r="43" spans="1:21" ht="19.2" customHeight="1" x14ac:dyDescent="0.3">
      <c r="A43" s="70" t="s">
        <v>124</v>
      </c>
      <c r="B43" s="69"/>
      <c r="C43" s="6"/>
      <c r="D43" s="6"/>
      <c r="E43" s="77"/>
      <c r="F43" s="78">
        <v>2766000</v>
      </c>
      <c r="G43" s="78">
        <v>2502000</v>
      </c>
      <c r="H43" s="78">
        <v>1616000</v>
      </c>
      <c r="I43" s="78">
        <v>2177000</v>
      </c>
      <c r="J43" s="78">
        <v>1295000</v>
      </c>
      <c r="K43" s="78">
        <v>1391000</v>
      </c>
      <c r="L43" s="78">
        <v>1646000</v>
      </c>
      <c r="M43" s="78"/>
      <c r="N43" s="78"/>
      <c r="O43" s="78"/>
      <c r="P43" s="78"/>
      <c r="Q43" s="78"/>
      <c r="R43" s="78"/>
      <c r="S43" s="78"/>
      <c r="T43" s="109"/>
      <c r="U43" s="6"/>
    </row>
    <row r="44" spans="1:21" ht="19.2" customHeight="1" x14ac:dyDescent="0.3">
      <c r="A44" s="70" t="s">
        <v>125</v>
      </c>
      <c r="B44" s="69"/>
      <c r="C44" s="6"/>
      <c r="D44" s="6"/>
      <c r="E44" s="77"/>
      <c r="F44" s="78">
        <v>80000</v>
      </c>
      <c r="G44" s="78">
        <v>134000</v>
      </c>
      <c r="H44" s="78">
        <v>44000</v>
      </c>
      <c r="I44" s="78">
        <v>383000</v>
      </c>
      <c r="J44" s="78">
        <v>163000</v>
      </c>
      <c r="K44" s="78">
        <v>33000</v>
      </c>
      <c r="L44" s="78">
        <v>33000</v>
      </c>
      <c r="M44" s="78"/>
      <c r="N44" s="78"/>
      <c r="O44" s="78"/>
      <c r="P44" s="78"/>
      <c r="Q44" s="78"/>
      <c r="R44" s="78"/>
      <c r="S44" s="78"/>
      <c r="T44" s="109"/>
      <c r="U44" s="6"/>
    </row>
    <row r="45" spans="1:21" ht="19.2" customHeight="1" x14ac:dyDescent="0.3">
      <c r="A45" s="70" t="s">
        <v>126</v>
      </c>
      <c r="B45" s="69"/>
      <c r="C45" s="6"/>
      <c r="D45" s="6"/>
      <c r="E45" s="77"/>
      <c r="F45" s="78">
        <v>0</v>
      </c>
      <c r="G45" s="78">
        <v>0</v>
      </c>
      <c r="H45" s="78">
        <v>459000</v>
      </c>
      <c r="I45" s="78">
        <v>690000</v>
      </c>
      <c r="J45" s="78">
        <v>0</v>
      </c>
      <c r="K45" s="78">
        <v>0</v>
      </c>
      <c r="L45" s="78">
        <v>0</v>
      </c>
      <c r="M45" s="78"/>
      <c r="N45" s="78"/>
      <c r="O45" s="78"/>
      <c r="P45" s="78"/>
      <c r="Q45" s="78"/>
      <c r="R45" s="78"/>
      <c r="S45" s="78"/>
      <c r="T45" s="109"/>
      <c r="U45" s="6"/>
    </row>
    <row r="46" spans="1:21" ht="19.2" customHeight="1" x14ac:dyDescent="0.3">
      <c r="A46" s="70" t="s">
        <v>127</v>
      </c>
      <c r="B46" s="69"/>
      <c r="C46" s="6"/>
      <c r="D46" s="6"/>
      <c r="E46" s="77"/>
      <c r="F46" s="78">
        <v>10000</v>
      </c>
      <c r="G46" s="78">
        <v>0</v>
      </c>
      <c r="H46" s="78">
        <v>40000</v>
      </c>
      <c r="I46" s="78">
        <v>80000</v>
      </c>
      <c r="J46" s="78">
        <v>80000</v>
      </c>
      <c r="K46" s="78">
        <v>75000</v>
      </c>
      <c r="L46" s="78">
        <v>40000</v>
      </c>
      <c r="M46" s="78"/>
      <c r="N46" s="78"/>
      <c r="O46" s="78"/>
      <c r="P46" s="78"/>
      <c r="Q46" s="78"/>
      <c r="R46" s="78"/>
      <c r="S46" s="78"/>
      <c r="T46" s="109"/>
      <c r="U46" s="6"/>
    </row>
    <row r="47" spans="1:21" ht="19.2" customHeight="1" x14ac:dyDescent="0.3">
      <c r="A47" s="70" t="s">
        <v>163</v>
      </c>
      <c r="B47" s="69"/>
      <c r="C47" s="6"/>
      <c r="D47" s="6"/>
      <c r="E47" s="77"/>
      <c r="F47" s="78">
        <v>43000</v>
      </c>
      <c r="G47" s="78">
        <v>91000</v>
      </c>
      <c r="H47" s="78">
        <v>331000</v>
      </c>
      <c r="I47" s="78">
        <v>91000</v>
      </c>
      <c r="J47" s="78">
        <v>91000</v>
      </c>
      <c r="K47" s="78">
        <v>91000</v>
      </c>
      <c r="L47" s="78">
        <v>91000</v>
      </c>
      <c r="M47" s="78">
        <v>2900000</v>
      </c>
      <c r="N47" s="78">
        <v>3000000</v>
      </c>
      <c r="O47" s="78">
        <v>3100000</v>
      </c>
      <c r="P47" s="78">
        <v>3200000</v>
      </c>
      <c r="Q47" s="78">
        <v>3300000</v>
      </c>
      <c r="R47" s="78">
        <v>3400000</v>
      </c>
      <c r="S47" s="78">
        <v>3500000</v>
      </c>
      <c r="T47" s="109"/>
      <c r="U47" s="6"/>
    </row>
    <row r="48" spans="1:21" ht="19.2" customHeight="1" x14ac:dyDescent="0.3">
      <c r="A48" s="71" t="s">
        <v>128</v>
      </c>
      <c r="B48" s="72"/>
      <c r="C48" s="72"/>
      <c r="D48" s="72"/>
      <c r="E48" s="72"/>
      <c r="F48" s="72">
        <f t="shared" ref="F48:S48" si="7">SUM(F41:F47)</f>
        <v>3549000</v>
      </c>
      <c r="G48" s="72">
        <f t="shared" si="7"/>
        <v>2948000</v>
      </c>
      <c r="H48" s="72">
        <f t="shared" si="7"/>
        <v>5200000</v>
      </c>
      <c r="I48" s="72">
        <f t="shared" si="7"/>
        <v>3431000</v>
      </c>
      <c r="J48" s="72">
        <f t="shared" si="7"/>
        <v>4439000</v>
      </c>
      <c r="K48" s="72">
        <f t="shared" si="7"/>
        <v>1600000</v>
      </c>
      <c r="L48" s="72">
        <f t="shared" si="7"/>
        <v>1920000</v>
      </c>
      <c r="M48" s="72">
        <f t="shared" si="7"/>
        <v>2900000</v>
      </c>
      <c r="N48" s="72">
        <f t="shared" si="7"/>
        <v>3000000</v>
      </c>
      <c r="O48" s="72">
        <f t="shared" si="7"/>
        <v>3100000</v>
      </c>
      <c r="P48" s="72">
        <f t="shared" si="7"/>
        <v>3200000</v>
      </c>
      <c r="Q48" s="72">
        <f t="shared" si="7"/>
        <v>11300000</v>
      </c>
      <c r="R48" s="72">
        <f t="shared" si="7"/>
        <v>3400000</v>
      </c>
      <c r="S48" s="72">
        <f t="shared" si="7"/>
        <v>3500000</v>
      </c>
      <c r="T48" s="109"/>
      <c r="U48" s="6"/>
    </row>
    <row r="49" spans="1:21" ht="19.2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09"/>
      <c r="U49" s="6"/>
    </row>
    <row r="50" spans="1:21" ht="19.2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109"/>
      <c r="U50" s="6"/>
    </row>
    <row r="51" spans="1:21" ht="19.2" customHeight="1" x14ac:dyDescent="0.3">
      <c r="A51" s="107" t="s">
        <v>149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</row>
  </sheetData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36"/>
  <sheetViews>
    <sheetView showGridLines="0" showZeros="0" zoomScale="160" zoomScaleNormal="160" workbookViewId="0">
      <pane xSplit="3" ySplit="1" topLeftCell="D2" activePane="bottomRight" state="frozen"/>
      <selection activeCell="B84" sqref="B84"/>
      <selection pane="topRight" activeCell="B84" sqref="B84"/>
      <selection pane="bottomLeft" activeCell="B84" sqref="B84"/>
      <selection pane="bottomRight" activeCell="F15" sqref="F15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3" width="10.61328125" style="7" customWidth="1"/>
    <col min="4" max="4" width="5.61328125" style="7" customWidth="1"/>
    <col min="5" max="19" width="9.61328125" style="7" customWidth="1"/>
    <col min="20" max="20" width="1.84375" style="7" customWidth="1"/>
    <col min="21" max="16384" width="8.765625" style="7"/>
  </cols>
  <sheetData>
    <row r="1" spans="1:20" s="6" customFormat="1" ht="19.2" customHeight="1" thickBot="1" x14ac:dyDescent="0.35">
      <c r="A1" s="1" t="s">
        <v>150</v>
      </c>
      <c r="B1" s="2" t="s">
        <v>155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1"/>
    </row>
    <row r="2" spans="1:20" ht="19.2" customHeight="1" x14ac:dyDescent="0.3">
      <c r="T2" s="11"/>
    </row>
    <row r="3" spans="1:20" ht="19.2" customHeight="1" x14ac:dyDescent="0.3">
      <c r="A3" s="9" t="s">
        <v>73</v>
      </c>
      <c r="B3" s="9"/>
      <c r="D3" s="20"/>
      <c r="E3" s="55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1"/>
    </row>
    <row r="4" spans="1:20" ht="19.2" customHeight="1" x14ac:dyDescent="0.3">
      <c r="A4" s="18" t="s">
        <v>74</v>
      </c>
      <c r="B4" s="18"/>
      <c r="D4" s="44"/>
      <c r="E4" s="21">
        <f>ROUND('Cost of Capital'!E29*'Rate Base'!E10,-3)</f>
        <v>820000</v>
      </c>
      <c r="F4" s="14">
        <f>ROUND('Cost of Capital'!F29*'Rate Base'!F10,-3)</f>
        <v>1327000</v>
      </c>
      <c r="G4" s="14">
        <f>ROUND('Cost of Capital'!G29*'Rate Base'!G10,-3)</f>
        <v>1388000</v>
      </c>
      <c r="H4" s="14">
        <f>ROUND('Cost of Capital'!H29*'Rate Base'!H10,-3)</f>
        <v>1487000</v>
      </c>
      <c r="I4" s="14">
        <f>ROUND('Cost of Capital'!I29*'Rate Base'!I10,-3)</f>
        <v>1347000</v>
      </c>
      <c r="J4" s="14">
        <f>ROUND('Cost of Capital'!J29*'Rate Base'!J10,-3)</f>
        <v>1427000</v>
      </c>
      <c r="K4" s="14">
        <f>ROUND('Cost of Capital'!K29*'Rate Base'!K10,-3)</f>
        <v>1486000</v>
      </c>
      <c r="L4" s="14">
        <f>ROUND('Cost of Capital'!L29*'Rate Base'!L10,-3)</f>
        <v>1480000</v>
      </c>
      <c r="M4" s="14">
        <f>ROUND('Cost of Capital'!M29*'Rate Base'!M10,-3)</f>
        <v>1495000</v>
      </c>
      <c r="N4" s="14">
        <f>ROUND('Cost of Capital'!N29*'Rate Base'!N10,-3)</f>
        <v>1527000</v>
      </c>
      <c r="O4" s="14">
        <f>ROUND('Cost of Capital'!O29*'Rate Base'!O10,-3)</f>
        <v>1558000</v>
      </c>
      <c r="P4" s="14">
        <f>ROUND('Cost of Capital'!P29*'Rate Base'!P10,-3)</f>
        <v>1588000</v>
      </c>
      <c r="Q4" s="14">
        <f>ROUND('Cost of Capital'!Q29*'Rate Base'!Q10,-3)</f>
        <v>1754000</v>
      </c>
      <c r="R4" s="14">
        <f>ROUND('Cost of Capital'!R29*'Rate Base'!R10,-3)</f>
        <v>1914000</v>
      </c>
      <c r="S4" s="14">
        <f>ROUND('Cost of Capital'!S29*'Rate Base'!S10,-3)</f>
        <v>1932000</v>
      </c>
      <c r="T4" s="11"/>
    </row>
    <row r="5" spans="1:20" ht="19.2" customHeight="1" x14ac:dyDescent="0.3">
      <c r="A5" s="18" t="s">
        <v>75</v>
      </c>
      <c r="B5" s="18"/>
      <c r="D5" s="44"/>
      <c r="E5" s="28">
        <f>E6/(E6+E4)</f>
        <v>0.29492691315563196</v>
      </c>
      <c r="F5" s="117">
        <v>0.26500000000000001</v>
      </c>
      <c r="G5" s="117">
        <v>0.26500000000000001</v>
      </c>
      <c r="H5" s="117">
        <v>0.26500000000000001</v>
      </c>
      <c r="I5" s="117">
        <v>0.26500000000000001</v>
      </c>
      <c r="J5" s="117">
        <v>0.26500000000000001</v>
      </c>
      <c r="K5" s="117">
        <v>0.26500000000000001</v>
      </c>
      <c r="L5" s="117">
        <v>0.26500000000000001</v>
      </c>
      <c r="M5" s="117">
        <v>0.26500000000000001</v>
      </c>
      <c r="N5" s="117">
        <v>0.26500000000000001</v>
      </c>
      <c r="O5" s="117">
        <v>0.26500000000000001</v>
      </c>
      <c r="P5" s="117">
        <v>0.26500000000000001</v>
      </c>
      <c r="Q5" s="117">
        <v>0.26500000000000001</v>
      </c>
      <c r="R5" s="117">
        <v>0.26500000000000001</v>
      </c>
      <c r="S5" s="117">
        <v>0.26500000000000001</v>
      </c>
      <c r="T5" s="11"/>
    </row>
    <row r="6" spans="1:20" ht="19.2" customHeight="1" thickBot="1" x14ac:dyDescent="0.35">
      <c r="A6" s="15" t="s">
        <v>76</v>
      </c>
      <c r="B6" s="15"/>
      <c r="D6" s="42" t="s">
        <v>77</v>
      </c>
      <c r="E6" s="54">
        <v>343000</v>
      </c>
      <c r="F6" s="22">
        <f t="shared" ref="F6:S6" si="0">ROUND(F4/(1-F5)-F4,-3)</f>
        <v>478000</v>
      </c>
      <c r="G6" s="22">
        <f t="shared" si="0"/>
        <v>500000</v>
      </c>
      <c r="H6" s="22">
        <f t="shared" si="0"/>
        <v>536000</v>
      </c>
      <c r="I6" s="22">
        <f t="shared" si="0"/>
        <v>486000</v>
      </c>
      <c r="J6" s="22">
        <f t="shared" si="0"/>
        <v>514000</v>
      </c>
      <c r="K6" s="22">
        <f t="shared" si="0"/>
        <v>536000</v>
      </c>
      <c r="L6" s="22">
        <f t="shared" si="0"/>
        <v>534000</v>
      </c>
      <c r="M6" s="22">
        <f t="shared" si="0"/>
        <v>539000</v>
      </c>
      <c r="N6" s="22">
        <f t="shared" si="0"/>
        <v>551000</v>
      </c>
      <c r="O6" s="22">
        <f t="shared" si="0"/>
        <v>562000</v>
      </c>
      <c r="P6" s="22">
        <f t="shared" si="0"/>
        <v>573000</v>
      </c>
      <c r="Q6" s="22">
        <f t="shared" si="0"/>
        <v>632000</v>
      </c>
      <c r="R6" s="22">
        <f t="shared" si="0"/>
        <v>690000</v>
      </c>
      <c r="S6" s="22">
        <f t="shared" si="0"/>
        <v>697000</v>
      </c>
      <c r="T6" s="11"/>
    </row>
    <row r="7" spans="1:20" ht="19.2" customHeight="1" x14ac:dyDescent="0.3">
      <c r="A7" s="18"/>
      <c r="B7" s="18"/>
      <c r="D7" s="42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1"/>
    </row>
    <row r="8" spans="1:20" ht="19.2" customHeight="1" x14ac:dyDescent="0.3">
      <c r="A8" s="15" t="s">
        <v>78</v>
      </c>
      <c r="B8" s="18"/>
      <c r="D8" s="4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1"/>
    </row>
    <row r="9" spans="1:20" ht="19.2" customHeight="1" x14ac:dyDescent="0.3">
      <c r="A9" s="18" t="s">
        <v>79</v>
      </c>
      <c r="B9" s="18"/>
      <c r="D9" s="42"/>
      <c r="E9" s="118"/>
      <c r="F9" s="64">
        <v>1187000</v>
      </c>
      <c r="G9" s="64">
        <v>1330000</v>
      </c>
      <c r="H9" s="64">
        <v>1481000</v>
      </c>
      <c r="I9" s="64">
        <v>1641000</v>
      </c>
      <c r="J9" s="64">
        <v>1786000</v>
      </c>
      <c r="K9" s="64">
        <v>1898000</v>
      </c>
      <c r="L9" s="64">
        <v>1963000</v>
      </c>
      <c r="M9" s="64">
        <v>2052000</v>
      </c>
      <c r="N9" s="64">
        <v>2161000</v>
      </c>
      <c r="O9" s="64">
        <v>2274000</v>
      </c>
      <c r="P9" s="64">
        <v>2391000</v>
      </c>
      <c r="Q9" s="64">
        <v>2639000</v>
      </c>
      <c r="R9" s="64">
        <v>2892000</v>
      </c>
      <c r="S9" s="64">
        <v>3020000</v>
      </c>
      <c r="T9" s="11"/>
    </row>
    <row r="10" spans="1:20" ht="19.2" customHeight="1" x14ac:dyDescent="0.3">
      <c r="A10" s="18" t="s">
        <v>80</v>
      </c>
      <c r="B10" s="18"/>
      <c r="D10" s="42"/>
      <c r="E10" s="118"/>
      <c r="F10" s="64">
        <v>-45000</v>
      </c>
      <c r="G10" s="64">
        <v>-55000</v>
      </c>
      <c r="H10" s="64">
        <v>-61000</v>
      </c>
      <c r="I10" s="64">
        <v>-70000</v>
      </c>
      <c r="J10" s="64">
        <v>-75000</v>
      </c>
      <c r="K10" s="64">
        <v>-81000</v>
      </c>
      <c r="L10" s="64">
        <v>-88000</v>
      </c>
      <c r="M10" s="64">
        <v>-94000</v>
      </c>
      <c r="N10" s="64">
        <v>-100000</v>
      </c>
      <c r="O10" s="64">
        <v>-107000</v>
      </c>
      <c r="P10" s="64">
        <v>-114000</v>
      </c>
      <c r="Q10" s="64">
        <v>-122000</v>
      </c>
      <c r="R10" s="64">
        <v>-130000</v>
      </c>
      <c r="S10" s="64">
        <v>-138000</v>
      </c>
      <c r="T10" s="11"/>
    </row>
    <row r="11" spans="1:20" ht="19.2" customHeight="1" x14ac:dyDescent="0.3">
      <c r="A11" s="18" t="s">
        <v>81</v>
      </c>
      <c r="B11" s="18"/>
      <c r="D11" s="42"/>
      <c r="E11" s="118"/>
      <c r="F11" s="64">
        <v>-2054000</v>
      </c>
      <c r="G11" s="64">
        <v>-2127000</v>
      </c>
      <c r="H11" s="64">
        <v>-2347000</v>
      </c>
      <c r="I11" s="64">
        <v>-2635000</v>
      </c>
      <c r="J11" s="64">
        <v>-2774000</v>
      </c>
      <c r="K11" s="64">
        <v>-2743000</v>
      </c>
      <c r="L11" s="64">
        <v>-2626000</v>
      </c>
      <c r="M11" s="64">
        <v>-2596000</v>
      </c>
      <c r="N11" s="64">
        <v>-2633000</v>
      </c>
      <c r="O11" s="64">
        <v>-2673000</v>
      </c>
      <c r="P11" s="64">
        <v>-2713000</v>
      </c>
      <c r="Q11" s="64">
        <v>-2956000</v>
      </c>
      <c r="R11" s="64">
        <v>-3193000</v>
      </c>
      <c r="S11" s="64">
        <v>-3221000</v>
      </c>
      <c r="T11" s="11"/>
    </row>
    <row r="12" spans="1:20" ht="19.2" customHeight="1" x14ac:dyDescent="0.3">
      <c r="A12" s="18" t="s">
        <v>82</v>
      </c>
      <c r="B12" s="18"/>
      <c r="D12" s="42"/>
      <c r="E12" s="57"/>
      <c r="F12" s="58">
        <f t="shared" ref="F12:S12" si="1">SUM(F9:F11)</f>
        <v>-912000</v>
      </c>
      <c r="G12" s="58">
        <f t="shared" si="1"/>
        <v>-852000</v>
      </c>
      <c r="H12" s="58">
        <f t="shared" si="1"/>
        <v>-927000</v>
      </c>
      <c r="I12" s="58">
        <f t="shared" si="1"/>
        <v>-1064000</v>
      </c>
      <c r="J12" s="58">
        <f t="shared" si="1"/>
        <v>-1063000</v>
      </c>
      <c r="K12" s="58">
        <f t="shared" si="1"/>
        <v>-926000</v>
      </c>
      <c r="L12" s="58">
        <f t="shared" si="1"/>
        <v>-751000</v>
      </c>
      <c r="M12" s="58">
        <f t="shared" si="1"/>
        <v>-638000</v>
      </c>
      <c r="N12" s="58">
        <f t="shared" si="1"/>
        <v>-572000</v>
      </c>
      <c r="O12" s="58">
        <f t="shared" si="1"/>
        <v>-506000</v>
      </c>
      <c r="P12" s="58">
        <f t="shared" si="1"/>
        <v>-436000</v>
      </c>
      <c r="Q12" s="58">
        <f t="shared" si="1"/>
        <v>-439000</v>
      </c>
      <c r="R12" s="58">
        <f t="shared" si="1"/>
        <v>-431000</v>
      </c>
      <c r="S12" s="58">
        <f t="shared" si="1"/>
        <v>-339000</v>
      </c>
      <c r="T12" s="11"/>
    </row>
    <row r="13" spans="1:20" ht="19.2" customHeight="1" x14ac:dyDescent="0.3">
      <c r="A13" s="18" t="s">
        <v>75</v>
      </c>
      <c r="B13" s="18"/>
      <c r="D13" s="42"/>
      <c r="E13" s="57"/>
      <c r="F13" s="56">
        <f t="shared" ref="F13:S13" si="2">F5</f>
        <v>0.26500000000000001</v>
      </c>
      <c r="G13" s="56">
        <f t="shared" si="2"/>
        <v>0.26500000000000001</v>
      </c>
      <c r="H13" s="56">
        <f t="shared" si="2"/>
        <v>0.26500000000000001</v>
      </c>
      <c r="I13" s="56">
        <f t="shared" si="2"/>
        <v>0.26500000000000001</v>
      </c>
      <c r="J13" s="56">
        <f t="shared" si="2"/>
        <v>0.26500000000000001</v>
      </c>
      <c r="K13" s="56">
        <f t="shared" si="2"/>
        <v>0.26500000000000001</v>
      </c>
      <c r="L13" s="56">
        <f t="shared" si="2"/>
        <v>0.26500000000000001</v>
      </c>
      <c r="M13" s="56">
        <f t="shared" si="2"/>
        <v>0.26500000000000001</v>
      </c>
      <c r="N13" s="56">
        <f t="shared" si="2"/>
        <v>0.26500000000000001</v>
      </c>
      <c r="O13" s="56">
        <f t="shared" si="2"/>
        <v>0.26500000000000001</v>
      </c>
      <c r="P13" s="56">
        <f t="shared" si="2"/>
        <v>0.26500000000000001</v>
      </c>
      <c r="Q13" s="56">
        <f t="shared" si="2"/>
        <v>0.26500000000000001</v>
      </c>
      <c r="R13" s="56">
        <f t="shared" si="2"/>
        <v>0.26500000000000001</v>
      </c>
      <c r="S13" s="56">
        <f t="shared" si="2"/>
        <v>0.26500000000000001</v>
      </c>
      <c r="T13" s="11"/>
    </row>
    <row r="14" spans="1:20" ht="19.2" customHeight="1" x14ac:dyDescent="0.3">
      <c r="A14" s="18" t="s">
        <v>83</v>
      </c>
      <c r="B14" s="18"/>
      <c r="D14" s="42"/>
      <c r="E14" s="57"/>
      <c r="F14" s="59">
        <f t="shared" ref="F14:S14" si="3">ROUND(F12*F13,-3)</f>
        <v>-242000</v>
      </c>
      <c r="G14" s="59">
        <f t="shared" si="3"/>
        <v>-226000</v>
      </c>
      <c r="H14" s="59">
        <f t="shared" si="3"/>
        <v>-246000</v>
      </c>
      <c r="I14" s="59">
        <f t="shared" si="3"/>
        <v>-282000</v>
      </c>
      <c r="J14" s="59">
        <f t="shared" si="3"/>
        <v>-282000</v>
      </c>
      <c r="K14" s="59">
        <f t="shared" si="3"/>
        <v>-245000</v>
      </c>
      <c r="L14" s="59">
        <f t="shared" si="3"/>
        <v>-199000</v>
      </c>
      <c r="M14" s="59">
        <f t="shared" si="3"/>
        <v>-169000</v>
      </c>
      <c r="N14" s="59">
        <f t="shared" si="3"/>
        <v>-152000</v>
      </c>
      <c r="O14" s="59">
        <f t="shared" si="3"/>
        <v>-134000</v>
      </c>
      <c r="P14" s="59">
        <f t="shared" si="3"/>
        <v>-116000</v>
      </c>
      <c r="Q14" s="59">
        <f t="shared" si="3"/>
        <v>-116000</v>
      </c>
      <c r="R14" s="59">
        <f t="shared" si="3"/>
        <v>-114000</v>
      </c>
      <c r="S14" s="59">
        <f t="shared" si="3"/>
        <v>-90000</v>
      </c>
      <c r="T14" s="11"/>
    </row>
    <row r="15" spans="1:20" ht="19.2" customHeight="1" thickBot="1" x14ac:dyDescent="0.35">
      <c r="A15" s="15" t="s">
        <v>84</v>
      </c>
      <c r="B15" s="18"/>
      <c r="D15" s="42"/>
      <c r="E15" s="57"/>
      <c r="F15" s="22">
        <f t="shared" ref="F15:S15" si="4">ROUND(F14/(1-F5),-3)</f>
        <v>-329000</v>
      </c>
      <c r="G15" s="22">
        <f t="shared" si="4"/>
        <v>-307000</v>
      </c>
      <c r="H15" s="22">
        <f t="shared" si="4"/>
        <v>-335000</v>
      </c>
      <c r="I15" s="22">
        <f t="shared" si="4"/>
        <v>-384000</v>
      </c>
      <c r="J15" s="22">
        <f t="shared" si="4"/>
        <v>-384000</v>
      </c>
      <c r="K15" s="22">
        <f t="shared" si="4"/>
        <v>-333000</v>
      </c>
      <c r="L15" s="22">
        <f t="shared" si="4"/>
        <v>-271000</v>
      </c>
      <c r="M15" s="22">
        <f t="shared" si="4"/>
        <v>-230000</v>
      </c>
      <c r="N15" s="22">
        <f t="shared" si="4"/>
        <v>-207000</v>
      </c>
      <c r="O15" s="22">
        <f t="shared" si="4"/>
        <v>-182000</v>
      </c>
      <c r="P15" s="22">
        <f t="shared" si="4"/>
        <v>-158000</v>
      </c>
      <c r="Q15" s="22">
        <f t="shared" si="4"/>
        <v>-158000</v>
      </c>
      <c r="R15" s="22">
        <f t="shared" si="4"/>
        <v>-155000</v>
      </c>
      <c r="S15" s="22">
        <f t="shared" si="4"/>
        <v>-122000</v>
      </c>
      <c r="T15" s="11"/>
    </row>
    <row r="16" spans="1:20" ht="19.2" customHeight="1" x14ac:dyDescent="0.3">
      <c r="A16" s="18"/>
      <c r="B16" s="18"/>
      <c r="D16" s="42"/>
      <c r="E16" s="57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1"/>
    </row>
    <row r="17" spans="1:20" ht="19.2" customHeight="1" thickBot="1" x14ac:dyDescent="0.35">
      <c r="A17" s="15" t="s">
        <v>85</v>
      </c>
      <c r="B17" s="18"/>
      <c r="D17" s="42"/>
      <c r="E17" s="22">
        <f t="shared" ref="E17:S17" si="5">E6+E15</f>
        <v>343000</v>
      </c>
      <c r="F17" s="22">
        <f t="shared" si="5"/>
        <v>149000</v>
      </c>
      <c r="G17" s="22">
        <f t="shared" si="5"/>
        <v>193000</v>
      </c>
      <c r="H17" s="22">
        <f t="shared" si="5"/>
        <v>201000</v>
      </c>
      <c r="I17" s="22">
        <f t="shared" si="5"/>
        <v>102000</v>
      </c>
      <c r="J17" s="22">
        <f t="shared" si="5"/>
        <v>130000</v>
      </c>
      <c r="K17" s="22">
        <f t="shared" si="5"/>
        <v>203000</v>
      </c>
      <c r="L17" s="22">
        <f t="shared" si="5"/>
        <v>263000</v>
      </c>
      <c r="M17" s="22">
        <f t="shared" si="5"/>
        <v>309000</v>
      </c>
      <c r="N17" s="22">
        <f t="shared" si="5"/>
        <v>344000</v>
      </c>
      <c r="O17" s="22">
        <f t="shared" si="5"/>
        <v>380000</v>
      </c>
      <c r="P17" s="22">
        <f t="shared" si="5"/>
        <v>415000</v>
      </c>
      <c r="Q17" s="22">
        <f t="shared" si="5"/>
        <v>474000</v>
      </c>
      <c r="R17" s="22">
        <f t="shared" si="5"/>
        <v>535000</v>
      </c>
      <c r="S17" s="22">
        <f t="shared" si="5"/>
        <v>575000</v>
      </c>
      <c r="T17" s="11"/>
    </row>
    <row r="18" spans="1:20" ht="19.2" customHeight="1" x14ac:dyDescent="0.3">
      <c r="A18" s="18"/>
      <c r="B18" s="18"/>
      <c r="D18" s="4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1"/>
    </row>
    <row r="19" spans="1:20" ht="4.95" customHeight="1" x14ac:dyDescent="0.3">
      <c r="A19" s="107"/>
      <c r="B19" s="10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19.2" customHeight="1" x14ac:dyDescent="0.3">
      <c r="A20" s="18"/>
      <c r="B20" s="18"/>
      <c r="D20" s="4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1"/>
    </row>
    <row r="21" spans="1:20" ht="19.2" customHeight="1" x14ac:dyDescent="0.3">
      <c r="A21" s="9" t="s">
        <v>86</v>
      </c>
      <c r="B21" s="18"/>
      <c r="D21" s="42"/>
      <c r="E21" s="60"/>
      <c r="F21" s="60"/>
      <c r="G21" s="60"/>
      <c r="H21" s="60"/>
      <c r="I21" s="60">
        <f>I23-I32</f>
        <v>0</v>
      </c>
      <c r="J21" s="60"/>
      <c r="K21" s="60"/>
      <c r="L21" s="60"/>
      <c r="M21" s="60"/>
      <c r="N21" s="60">
        <f>N23-N32</f>
        <v>0</v>
      </c>
      <c r="O21" s="60"/>
      <c r="P21" s="60"/>
      <c r="Q21" s="60"/>
      <c r="R21" s="60"/>
      <c r="S21" s="60">
        <f>S23-S32</f>
        <v>0</v>
      </c>
      <c r="T21" s="11"/>
    </row>
    <row r="22" spans="1:20" ht="19.2" customHeight="1" x14ac:dyDescent="0.3">
      <c r="A22" s="18" t="s">
        <v>87</v>
      </c>
      <c r="B22" s="18"/>
      <c r="D22" s="42"/>
      <c r="E22" s="60"/>
      <c r="F22" s="60"/>
      <c r="G22" s="60"/>
      <c r="H22" s="60"/>
      <c r="I22" s="61">
        <f>1347000+102000</f>
        <v>1449000</v>
      </c>
      <c r="J22" s="60"/>
      <c r="K22" s="60"/>
      <c r="L22" s="60"/>
      <c r="M22" s="60"/>
      <c r="N22" s="61">
        <f>1527000+344000</f>
        <v>1871000</v>
      </c>
      <c r="O22" s="60"/>
      <c r="P22" s="60"/>
      <c r="Q22" s="60"/>
      <c r="R22" s="60"/>
      <c r="S22" s="61">
        <f>1932000+575000</f>
        <v>2507000</v>
      </c>
      <c r="T22" s="11"/>
    </row>
    <row r="23" spans="1:20" ht="19.2" customHeight="1" x14ac:dyDescent="0.3">
      <c r="A23" s="18" t="s">
        <v>88</v>
      </c>
      <c r="B23" s="18"/>
      <c r="D23" s="42"/>
      <c r="E23" s="60"/>
      <c r="F23" s="60"/>
      <c r="G23" s="60"/>
      <c r="H23" s="60"/>
      <c r="I23" s="14">
        <f>I22-I24</f>
        <v>102000</v>
      </c>
      <c r="J23" s="60"/>
      <c r="K23" s="60"/>
      <c r="L23" s="60"/>
      <c r="M23" s="60"/>
      <c r="N23" s="14">
        <f>N22-N24</f>
        <v>344000</v>
      </c>
      <c r="O23" s="60"/>
      <c r="P23" s="60"/>
      <c r="Q23" s="60"/>
      <c r="R23" s="60"/>
      <c r="S23" s="14">
        <f>S22-S24</f>
        <v>575000</v>
      </c>
      <c r="T23" s="11"/>
    </row>
    <row r="24" spans="1:20" ht="19.2" customHeight="1" thickBot="1" x14ac:dyDescent="0.35">
      <c r="A24" s="15" t="s">
        <v>74</v>
      </c>
      <c r="B24" s="15"/>
      <c r="C24" s="35"/>
      <c r="D24" s="62"/>
      <c r="E24" s="60"/>
      <c r="F24" s="60"/>
      <c r="G24" s="60"/>
      <c r="H24" s="60"/>
      <c r="I24" s="22">
        <f>I4</f>
        <v>1347000</v>
      </c>
      <c r="J24" s="60"/>
      <c r="K24" s="60"/>
      <c r="L24" s="60"/>
      <c r="M24" s="60"/>
      <c r="N24" s="22">
        <f>N4</f>
        <v>1527000</v>
      </c>
      <c r="O24" s="60"/>
      <c r="P24" s="60"/>
      <c r="Q24" s="60"/>
      <c r="R24" s="60"/>
      <c r="S24" s="22">
        <f>S4</f>
        <v>1932000</v>
      </c>
      <c r="T24" s="11"/>
    </row>
    <row r="25" spans="1:20" ht="19.2" customHeight="1" x14ac:dyDescent="0.3">
      <c r="A25" s="18"/>
      <c r="B25" s="18"/>
      <c r="D25" s="42"/>
      <c r="E25" s="60"/>
      <c r="F25" s="60"/>
      <c r="G25" s="60"/>
      <c r="H25" s="60"/>
      <c r="I25" s="6"/>
      <c r="J25" s="60"/>
      <c r="K25" s="60"/>
      <c r="L25" s="60"/>
      <c r="M25" s="60"/>
      <c r="N25" s="6"/>
      <c r="O25" s="60"/>
      <c r="P25" s="60"/>
      <c r="Q25" s="60"/>
      <c r="R25" s="60"/>
      <c r="S25" s="6"/>
      <c r="T25" s="11"/>
    </row>
    <row r="26" spans="1:20" ht="19.2" customHeight="1" x14ac:dyDescent="0.3">
      <c r="A26" s="18" t="s">
        <v>87</v>
      </c>
      <c r="B26" s="18"/>
      <c r="D26" s="42"/>
      <c r="E26" s="60"/>
      <c r="F26" s="60"/>
      <c r="G26" s="60"/>
      <c r="H26" s="60"/>
      <c r="I26" s="14">
        <f>I22</f>
        <v>1449000</v>
      </c>
      <c r="J26" s="60"/>
      <c r="K26" s="60"/>
      <c r="L26" s="60"/>
      <c r="M26" s="60"/>
      <c r="N26" s="14">
        <f>N22</f>
        <v>1871000</v>
      </c>
      <c r="O26" s="60"/>
      <c r="P26" s="60"/>
      <c r="Q26" s="60"/>
      <c r="R26" s="60"/>
      <c r="S26" s="14">
        <f>S22</f>
        <v>2507000</v>
      </c>
      <c r="T26" s="11"/>
    </row>
    <row r="27" spans="1:20" ht="19.2" customHeight="1" x14ac:dyDescent="0.3">
      <c r="A27" s="18" t="s">
        <v>89</v>
      </c>
      <c r="B27" s="18"/>
      <c r="D27" s="42"/>
      <c r="E27" s="60"/>
      <c r="F27" s="60"/>
      <c r="G27" s="60"/>
      <c r="H27" s="60"/>
      <c r="I27" s="14">
        <v>1641000</v>
      </c>
      <c r="J27" s="60"/>
      <c r="K27" s="60"/>
      <c r="L27" s="60"/>
      <c r="M27" s="60"/>
      <c r="N27" s="14">
        <v>2161000</v>
      </c>
      <c r="O27" s="60"/>
      <c r="P27" s="60"/>
      <c r="Q27" s="60"/>
      <c r="R27" s="60"/>
      <c r="S27" s="14">
        <v>3020000</v>
      </c>
      <c r="T27" s="11"/>
    </row>
    <row r="28" spans="1:20" ht="19.2" customHeight="1" x14ac:dyDescent="0.3">
      <c r="A28" s="18" t="s">
        <v>80</v>
      </c>
      <c r="B28" s="18"/>
      <c r="D28" s="42"/>
      <c r="E28" s="60"/>
      <c r="F28" s="60"/>
      <c r="G28" s="60"/>
      <c r="H28" s="60"/>
      <c r="I28" s="14">
        <f>'RR SUMMARY'!I8</f>
        <v>-70000</v>
      </c>
      <c r="J28" s="60"/>
      <c r="K28" s="60"/>
      <c r="L28" s="60"/>
      <c r="M28" s="60"/>
      <c r="N28" s="14">
        <f>'RR SUMMARY'!N8</f>
        <v>-100000</v>
      </c>
      <c r="O28" s="60"/>
      <c r="P28" s="60"/>
      <c r="Q28" s="60"/>
      <c r="R28" s="60"/>
      <c r="S28" s="14">
        <f>'RR SUMMARY'!S8</f>
        <v>-138000</v>
      </c>
      <c r="T28" s="11"/>
    </row>
    <row r="29" spans="1:20" ht="19.2" customHeight="1" x14ac:dyDescent="0.3">
      <c r="A29" s="18" t="s">
        <v>90</v>
      </c>
      <c r="B29" s="18"/>
      <c r="D29" s="42"/>
      <c r="E29" s="60"/>
      <c r="F29" s="60"/>
      <c r="G29" s="60"/>
      <c r="H29" s="60"/>
      <c r="I29" s="14">
        <f>I11</f>
        <v>-2635000</v>
      </c>
      <c r="J29" s="60"/>
      <c r="K29" s="60"/>
      <c r="L29" s="60"/>
      <c r="M29" s="60"/>
      <c r="N29" s="14">
        <f>N11</f>
        <v>-2633000</v>
      </c>
      <c r="O29" s="60"/>
      <c r="P29" s="60"/>
      <c r="Q29" s="60"/>
      <c r="R29" s="60"/>
      <c r="S29" s="14">
        <f>S11</f>
        <v>-3221000</v>
      </c>
      <c r="T29" s="11"/>
    </row>
    <row r="30" spans="1:20" ht="19.2" customHeight="1" x14ac:dyDescent="0.3">
      <c r="A30" s="18" t="s">
        <v>91</v>
      </c>
      <c r="B30" s="18"/>
      <c r="D30" s="42"/>
      <c r="E30" s="60"/>
      <c r="F30" s="60"/>
      <c r="G30" s="60"/>
      <c r="H30" s="60"/>
      <c r="I30" s="63">
        <f>SUM(I26:I29)</f>
        <v>385000</v>
      </c>
      <c r="J30" s="60"/>
      <c r="K30" s="60"/>
      <c r="L30" s="60"/>
      <c r="M30" s="60"/>
      <c r="N30" s="63">
        <f>SUM(N26:N29)</f>
        <v>1299000</v>
      </c>
      <c r="O30" s="60"/>
      <c r="P30" s="60"/>
      <c r="Q30" s="60"/>
      <c r="R30" s="60"/>
      <c r="S30" s="63">
        <f>SUM(S26:S29)</f>
        <v>2168000</v>
      </c>
      <c r="T30" s="11"/>
    </row>
    <row r="31" spans="1:20" ht="19.2" customHeight="1" x14ac:dyDescent="0.3">
      <c r="A31" s="18" t="s">
        <v>75</v>
      </c>
      <c r="B31" s="18"/>
      <c r="D31" s="42"/>
      <c r="E31" s="60"/>
      <c r="F31" s="60"/>
      <c r="G31" s="60"/>
      <c r="H31" s="60"/>
      <c r="I31" s="56">
        <f>I5</f>
        <v>0.26500000000000001</v>
      </c>
      <c r="J31" s="60"/>
      <c r="K31" s="60"/>
      <c r="L31" s="60"/>
      <c r="M31" s="60"/>
      <c r="N31" s="56">
        <f>N5</f>
        <v>0.26500000000000001</v>
      </c>
      <c r="O31" s="60"/>
      <c r="P31" s="60"/>
      <c r="Q31" s="60"/>
      <c r="R31" s="60"/>
      <c r="S31" s="56">
        <f>S5</f>
        <v>0.26500000000000001</v>
      </c>
      <c r="T31" s="11"/>
    </row>
    <row r="32" spans="1:20" ht="19.2" customHeight="1" thickBot="1" x14ac:dyDescent="0.35">
      <c r="A32" s="18" t="s">
        <v>92</v>
      </c>
      <c r="B32" s="18"/>
      <c r="D32" s="42"/>
      <c r="E32" s="60"/>
      <c r="F32" s="60"/>
      <c r="G32" s="60"/>
      <c r="H32" s="60"/>
      <c r="I32" s="22">
        <f>ROUND(I30*I31,-3)</f>
        <v>102000</v>
      </c>
      <c r="J32" s="60"/>
      <c r="K32" s="60"/>
      <c r="L32" s="60"/>
      <c r="M32" s="60"/>
      <c r="N32" s="22">
        <f>ROUND(N30*N31,-3)</f>
        <v>344000</v>
      </c>
      <c r="O32" s="60"/>
      <c r="P32" s="60"/>
      <c r="Q32" s="60"/>
      <c r="R32" s="60"/>
      <c r="S32" s="22">
        <f>ROUND(S30*S31,-3)</f>
        <v>575000</v>
      </c>
      <c r="T32" s="11"/>
    </row>
    <row r="33" spans="1:20" ht="19.2" customHeight="1" x14ac:dyDescent="0.3">
      <c r="A33" s="18"/>
      <c r="B33" s="18"/>
      <c r="D33" s="4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11"/>
    </row>
    <row r="34" spans="1:20" ht="19.2" customHeight="1" x14ac:dyDescent="0.3">
      <c r="A34" s="18"/>
      <c r="B34" s="18"/>
      <c r="D34" s="4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1"/>
    </row>
    <row r="35" spans="1:20" ht="19.2" customHeight="1" x14ac:dyDescent="0.3">
      <c r="A35" s="107" t="s">
        <v>149</v>
      </c>
      <c r="B35" s="10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ht="19.2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</sheetData>
  <conditionalFormatting sqref="I21 S21 N21 J21:M32 O21:R32 E21:H32">
    <cfRule type="cellIs" dxfId="1" priority="1" operator="notEqual">
      <formula>0</formula>
    </cfRule>
    <cfRule type="cellIs" dxfId="0" priority="2" operator="notEqual">
      <formula>0</formula>
    </cfRule>
    <cfRule type="cellIs" priority="3" operator="notEqual">
      <formula>0</formula>
    </cfRule>
  </conditionalFormatting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34"/>
  <sheetViews>
    <sheetView showGridLines="0" showZeros="0" zoomScale="160" zoomScaleNormal="160" workbookViewId="0">
      <pane xSplit="3" ySplit="1" topLeftCell="E2" activePane="bottomRight" state="frozen"/>
      <selection activeCell="B84" sqref="B84"/>
      <selection pane="topRight" activeCell="B84" sqref="B84"/>
      <selection pane="bottomLeft" activeCell="B84" sqref="B84"/>
      <selection pane="bottomRight" activeCell="B37" sqref="B37"/>
    </sheetView>
  </sheetViews>
  <sheetFormatPr defaultColWidth="8.765625" defaultRowHeight="19.2" customHeight="1" x14ac:dyDescent="0.3"/>
  <cols>
    <col min="1" max="1" width="5.765625" style="7" customWidth="1"/>
    <col min="2" max="2" width="31.4609375" style="8" customWidth="1"/>
    <col min="3" max="3" width="5.61328125" style="7" customWidth="1"/>
    <col min="4" max="4" width="10.23046875" style="7" customWidth="1"/>
    <col min="5" max="19" width="9.61328125" style="7" customWidth="1"/>
    <col min="20" max="20" width="1.84375" style="7" customWidth="1"/>
    <col min="21" max="16384" width="8.765625" style="7"/>
  </cols>
  <sheetData>
    <row r="1" spans="1:21" s="6" customFormat="1" ht="19.2" customHeight="1" thickBot="1" x14ac:dyDescent="0.35">
      <c r="A1" s="1" t="s">
        <v>150</v>
      </c>
      <c r="B1" s="2" t="str">
        <f>A3</f>
        <v>COST OF CAPITAL WEIGHTINGS PER OEB GUIDELINES</v>
      </c>
      <c r="C1" s="3"/>
      <c r="D1" s="4"/>
      <c r="E1" s="4" t="s">
        <v>0</v>
      </c>
      <c r="F1" s="4" t="s">
        <v>1</v>
      </c>
      <c r="G1" s="74" t="s">
        <v>151</v>
      </c>
      <c r="H1" s="75" t="s">
        <v>2</v>
      </c>
      <c r="I1" s="75" t="s">
        <v>152</v>
      </c>
      <c r="J1" s="75" t="s">
        <v>3</v>
      </c>
      <c r="K1" s="75" t="s">
        <v>4</v>
      </c>
      <c r="L1" s="75" t="s">
        <v>5</v>
      </c>
      <c r="M1" s="5" t="s">
        <v>6</v>
      </c>
      <c r="N1" s="5" t="s">
        <v>153</v>
      </c>
      <c r="O1" s="5" t="s">
        <v>7</v>
      </c>
      <c r="P1" s="5" t="s">
        <v>8</v>
      </c>
      <c r="Q1" s="5" t="s">
        <v>9</v>
      </c>
      <c r="R1" s="5" t="s">
        <v>10</v>
      </c>
      <c r="S1" s="106" t="s">
        <v>11</v>
      </c>
      <c r="T1" s="11"/>
    </row>
    <row r="2" spans="1:21" ht="19.2" customHeight="1" x14ac:dyDescent="0.3">
      <c r="T2" s="11"/>
    </row>
    <row r="3" spans="1:21" ht="19.2" customHeight="1" x14ac:dyDescent="0.3">
      <c r="A3" s="9" t="s">
        <v>28</v>
      </c>
      <c r="B3" s="26"/>
      <c r="C3" s="12"/>
      <c r="D3" s="1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1"/>
      <c r="U3" s="6"/>
    </row>
    <row r="4" spans="1:21" ht="19.2" customHeight="1" x14ac:dyDescent="0.3">
      <c r="A4" s="18" t="s">
        <v>29</v>
      </c>
      <c r="B4" s="19"/>
      <c r="C4" s="33"/>
      <c r="D4" s="33"/>
      <c r="E4" s="115">
        <v>0.56000000000000005</v>
      </c>
      <c r="F4" s="115">
        <v>0.56000000000000005</v>
      </c>
      <c r="G4" s="115">
        <v>0.56000000000000005</v>
      </c>
      <c r="H4" s="33">
        <f t="shared" ref="H4:S4" si="0">G4</f>
        <v>0.56000000000000005</v>
      </c>
      <c r="I4" s="33">
        <f t="shared" si="0"/>
        <v>0.56000000000000005</v>
      </c>
      <c r="J4" s="33">
        <f t="shared" si="0"/>
        <v>0.56000000000000005</v>
      </c>
      <c r="K4" s="33">
        <f t="shared" si="0"/>
        <v>0.56000000000000005</v>
      </c>
      <c r="L4" s="33">
        <f t="shared" si="0"/>
        <v>0.56000000000000005</v>
      </c>
      <c r="M4" s="33">
        <f t="shared" si="0"/>
        <v>0.56000000000000005</v>
      </c>
      <c r="N4" s="33">
        <f t="shared" si="0"/>
        <v>0.56000000000000005</v>
      </c>
      <c r="O4" s="33">
        <f t="shared" si="0"/>
        <v>0.56000000000000005</v>
      </c>
      <c r="P4" s="33">
        <f t="shared" si="0"/>
        <v>0.56000000000000005</v>
      </c>
      <c r="Q4" s="33">
        <f t="shared" si="0"/>
        <v>0.56000000000000005</v>
      </c>
      <c r="R4" s="33">
        <f t="shared" si="0"/>
        <v>0.56000000000000005</v>
      </c>
      <c r="S4" s="33">
        <f t="shared" si="0"/>
        <v>0.56000000000000005</v>
      </c>
      <c r="T4" s="11"/>
      <c r="U4" s="6"/>
    </row>
    <row r="5" spans="1:21" ht="19.2" customHeight="1" x14ac:dyDescent="0.3">
      <c r="A5" s="18" t="s">
        <v>30</v>
      </c>
      <c r="B5" s="19"/>
      <c r="C5" s="33"/>
      <c r="D5" s="33"/>
      <c r="E5" s="115">
        <v>0.04</v>
      </c>
      <c r="F5" s="115">
        <v>0.04</v>
      </c>
      <c r="G5" s="115">
        <v>0.04</v>
      </c>
      <c r="H5" s="33">
        <f t="shared" ref="H5:S5" si="1">G5</f>
        <v>0.04</v>
      </c>
      <c r="I5" s="33">
        <f t="shared" si="1"/>
        <v>0.04</v>
      </c>
      <c r="J5" s="33">
        <f t="shared" si="1"/>
        <v>0.04</v>
      </c>
      <c r="K5" s="33">
        <f t="shared" si="1"/>
        <v>0.04</v>
      </c>
      <c r="L5" s="33">
        <f t="shared" si="1"/>
        <v>0.04</v>
      </c>
      <c r="M5" s="33">
        <f t="shared" si="1"/>
        <v>0.04</v>
      </c>
      <c r="N5" s="33">
        <f t="shared" si="1"/>
        <v>0.04</v>
      </c>
      <c r="O5" s="33">
        <f t="shared" si="1"/>
        <v>0.04</v>
      </c>
      <c r="P5" s="33">
        <f t="shared" si="1"/>
        <v>0.04</v>
      </c>
      <c r="Q5" s="33">
        <f t="shared" si="1"/>
        <v>0.04</v>
      </c>
      <c r="R5" s="33">
        <f t="shared" si="1"/>
        <v>0.04</v>
      </c>
      <c r="S5" s="33">
        <f t="shared" si="1"/>
        <v>0.04</v>
      </c>
      <c r="T5" s="11"/>
      <c r="U5" s="6"/>
    </row>
    <row r="6" spans="1:21" ht="19.2" customHeight="1" x14ac:dyDescent="0.3">
      <c r="A6" s="18" t="s">
        <v>31</v>
      </c>
      <c r="B6" s="19"/>
      <c r="C6" s="33"/>
      <c r="D6" s="33"/>
      <c r="E6" s="33">
        <f>1-E4-E5</f>
        <v>0.39999999999999997</v>
      </c>
      <c r="F6" s="33">
        <f t="shared" ref="F6:S6" si="2">1-F4-F5</f>
        <v>0.39999999999999997</v>
      </c>
      <c r="G6" s="33">
        <f t="shared" si="2"/>
        <v>0.39999999999999997</v>
      </c>
      <c r="H6" s="33">
        <f t="shared" si="2"/>
        <v>0.39999999999999997</v>
      </c>
      <c r="I6" s="33">
        <f t="shared" si="2"/>
        <v>0.39999999999999997</v>
      </c>
      <c r="J6" s="33">
        <f t="shared" si="2"/>
        <v>0.39999999999999997</v>
      </c>
      <c r="K6" s="33">
        <f t="shared" si="2"/>
        <v>0.39999999999999997</v>
      </c>
      <c r="L6" s="33">
        <f t="shared" si="2"/>
        <v>0.39999999999999997</v>
      </c>
      <c r="M6" s="33">
        <f t="shared" si="2"/>
        <v>0.39999999999999997</v>
      </c>
      <c r="N6" s="33">
        <f t="shared" si="2"/>
        <v>0.39999999999999997</v>
      </c>
      <c r="O6" s="33">
        <f t="shared" si="2"/>
        <v>0.39999999999999997</v>
      </c>
      <c r="P6" s="33">
        <f t="shared" si="2"/>
        <v>0.39999999999999997</v>
      </c>
      <c r="Q6" s="33">
        <f t="shared" si="2"/>
        <v>0.39999999999999997</v>
      </c>
      <c r="R6" s="33">
        <f t="shared" si="2"/>
        <v>0.39999999999999997</v>
      </c>
      <c r="S6" s="33">
        <f t="shared" si="2"/>
        <v>0.39999999999999997</v>
      </c>
      <c r="T6" s="11"/>
      <c r="U6" s="6"/>
    </row>
    <row r="7" spans="1:21" ht="19.2" customHeight="1" x14ac:dyDescent="0.3">
      <c r="A7" s="26"/>
      <c r="B7" s="2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11"/>
      <c r="U7" s="6"/>
    </row>
    <row r="8" spans="1:21" ht="19.2" customHeight="1" x14ac:dyDescent="0.3">
      <c r="A8" s="26"/>
      <c r="B8" s="2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11"/>
      <c r="U8" s="6"/>
    </row>
    <row r="9" spans="1:21" ht="19.2" customHeight="1" x14ac:dyDescent="0.3">
      <c r="A9" s="9" t="s">
        <v>32</v>
      </c>
      <c r="B9" s="26"/>
      <c r="C9" s="39"/>
      <c r="D9" s="39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11"/>
      <c r="U9" s="6"/>
    </row>
    <row r="10" spans="1:21" ht="19.2" customHeight="1" x14ac:dyDescent="0.3">
      <c r="A10" s="18" t="s">
        <v>33</v>
      </c>
      <c r="B10" s="19"/>
      <c r="C10" s="33"/>
      <c r="D10" s="33"/>
      <c r="E10" s="115">
        <v>5.8700000000000002E-2</v>
      </c>
      <c r="F10" s="115">
        <v>3.7199999999999997E-2</v>
      </c>
      <c r="G10" s="115">
        <v>4.1599999999999998E-2</v>
      </c>
      <c r="H10" s="33">
        <f t="shared" ref="H10:S10" si="3">G10</f>
        <v>4.1599999999999998E-2</v>
      </c>
      <c r="I10" s="33">
        <f t="shared" si="3"/>
        <v>4.1599999999999998E-2</v>
      </c>
      <c r="J10" s="33">
        <f t="shared" si="3"/>
        <v>4.1599999999999998E-2</v>
      </c>
      <c r="K10" s="33">
        <f t="shared" si="3"/>
        <v>4.1599999999999998E-2</v>
      </c>
      <c r="L10" s="33">
        <f t="shared" si="3"/>
        <v>4.1599999999999998E-2</v>
      </c>
      <c r="M10" s="33">
        <f t="shared" si="3"/>
        <v>4.1599999999999998E-2</v>
      </c>
      <c r="N10" s="33">
        <f t="shared" si="3"/>
        <v>4.1599999999999998E-2</v>
      </c>
      <c r="O10" s="33">
        <f t="shared" si="3"/>
        <v>4.1599999999999998E-2</v>
      </c>
      <c r="P10" s="33">
        <f t="shared" si="3"/>
        <v>4.1599999999999998E-2</v>
      </c>
      <c r="Q10" s="33">
        <f t="shared" si="3"/>
        <v>4.1599999999999998E-2</v>
      </c>
      <c r="R10" s="33">
        <f t="shared" si="3"/>
        <v>4.1599999999999998E-2</v>
      </c>
      <c r="S10" s="33">
        <f t="shared" si="3"/>
        <v>4.1599999999999998E-2</v>
      </c>
      <c r="T10" s="11"/>
      <c r="U10" s="6"/>
    </row>
    <row r="11" spans="1:21" ht="19.2" customHeight="1" x14ac:dyDescent="0.3">
      <c r="A11" s="18" t="s">
        <v>34</v>
      </c>
      <c r="B11" s="19"/>
      <c r="C11" s="33"/>
      <c r="D11" s="33"/>
      <c r="E11" s="115">
        <v>2.07E-2</v>
      </c>
      <c r="F11" s="115">
        <v>1.7600000000000001E-2</v>
      </c>
      <c r="G11" s="115">
        <v>2.29E-2</v>
      </c>
      <c r="H11" s="33">
        <f t="shared" ref="H11:S11" si="4">G11</f>
        <v>2.29E-2</v>
      </c>
      <c r="I11" s="33">
        <f t="shared" si="4"/>
        <v>2.29E-2</v>
      </c>
      <c r="J11" s="33">
        <f t="shared" si="4"/>
        <v>2.29E-2</v>
      </c>
      <c r="K11" s="33">
        <f t="shared" si="4"/>
        <v>2.29E-2</v>
      </c>
      <c r="L11" s="33">
        <f t="shared" si="4"/>
        <v>2.29E-2</v>
      </c>
      <c r="M11" s="33">
        <f t="shared" si="4"/>
        <v>2.29E-2</v>
      </c>
      <c r="N11" s="33">
        <f t="shared" si="4"/>
        <v>2.29E-2</v>
      </c>
      <c r="O11" s="33">
        <f t="shared" si="4"/>
        <v>2.29E-2</v>
      </c>
      <c r="P11" s="33">
        <f t="shared" si="4"/>
        <v>2.29E-2</v>
      </c>
      <c r="Q11" s="33">
        <f t="shared" si="4"/>
        <v>2.29E-2</v>
      </c>
      <c r="R11" s="33">
        <f t="shared" si="4"/>
        <v>2.29E-2</v>
      </c>
      <c r="S11" s="33">
        <f t="shared" si="4"/>
        <v>2.29E-2</v>
      </c>
      <c r="T11" s="11"/>
      <c r="U11" s="6"/>
    </row>
    <row r="12" spans="1:21" ht="19.2" customHeight="1" x14ac:dyDescent="0.3">
      <c r="A12" s="18" t="s">
        <v>35</v>
      </c>
      <c r="B12" s="19"/>
      <c r="C12" s="33"/>
      <c r="D12" s="33"/>
      <c r="E12" s="115">
        <v>9.8500000000000004E-2</v>
      </c>
      <c r="F12" s="115">
        <v>8.7800000000000003E-2</v>
      </c>
      <c r="G12" s="115">
        <v>0.09</v>
      </c>
      <c r="H12" s="33">
        <f t="shared" ref="H12:S12" si="5">G12</f>
        <v>0.09</v>
      </c>
      <c r="I12" s="33">
        <f t="shared" si="5"/>
        <v>0.09</v>
      </c>
      <c r="J12" s="33">
        <f t="shared" si="5"/>
        <v>0.09</v>
      </c>
      <c r="K12" s="33">
        <f t="shared" si="5"/>
        <v>0.09</v>
      </c>
      <c r="L12" s="33">
        <f t="shared" si="5"/>
        <v>0.09</v>
      </c>
      <c r="M12" s="33">
        <f t="shared" si="5"/>
        <v>0.09</v>
      </c>
      <c r="N12" s="33">
        <f t="shared" si="5"/>
        <v>0.09</v>
      </c>
      <c r="O12" s="33">
        <f t="shared" si="5"/>
        <v>0.09</v>
      </c>
      <c r="P12" s="33">
        <f t="shared" si="5"/>
        <v>0.09</v>
      </c>
      <c r="Q12" s="33">
        <f t="shared" si="5"/>
        <v>0.09</v>
      </c>
      <c r="R12" s="33">
        <f t="shared" si="5"/>
        <v>0.09</v>
      </c>
      <c r="S12" s="33">
        <f t="shared" si="5"/>
        <v>0.09</v>
      </c>
      <c r="T12" s="11"/>
      <c r="U12" s="6"/>
    </row>
    <row r="13" spans="1:21" ht="19.2" customHeight="1" x14ac:dyDescent="0.3">
      <c r="A13" s="12"/>
      <c r="B13" s="12"/>
      <c r="C13" s="12"/>
      <c r="D13" s="1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11"/>
      <c r="U13" s="6"/>
    </row>
    <row r="14" spans="1:21" ht="4.95" customHeight="1" x14ac:dyDescent="0.3">
      <c r="A14" s="10"/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6"/>
    </row>
    <row r="15" spans="1:21" ht="19.2" customHeight="1" x14ac:dyDescent="0.3">
      <c r="A15" s="12"/>
      <c r="B15" s="12"/>
      <c r="C15" s="12"/>
      <c r="D15" s="1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11"/>
      <c r="U15" s="6"/>
    </row>
    <row r="16" spans="1:21" ht="19.2" customHeight="1" x14ac:dyDescent="0.3">
      <c r="A16" s="9" t="s">
        <v>36</v>
      </c>
      <c r="B16" s="26"/>
      <c r="C16" s="40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11"/>
      <c r="U16" s="6"/>
    </row>
    <row r="17" spans="1:21" ht="19.2" customHeight="1" x14ac:dyDescent="0.3">
      <c r="A17" s="18" t="s">
        <v>37</v>
      </c>
      <c r="B17" s="19"/>
      <c r="D17" s="42" t="s">
        <v>38</v>
      </c>
      <c r="E17" s="33">
        <f t="shared" ref="E17:S17" si="6">E4</f>
        <v>0.56000000000000005</v>
      </c>
      <c r="F17" s="33">
        <f t="shared" si="6"/>
        <v>0.56000000000000005</v>
      </c>
      <c r="G17" s="33">
        <f t="shared" si="6"/>
        <v>0.56000000000000005</v>
      </c>
      <c r="H17" s="33">
        <f t="shared" si="6"/>
        <v>0.56000000000000005</v>
      </c>
      <c r="I17" s="33">
        <f t="shared" si="6"/>
        <v>0.56000000000000005</v>
      </c>
      <c r="J17" s="33">
        <f t="shared" si="6"/>
        <v>0.56000000000000005</v>
      </c>
      <c r="K17" s="33">
        <f t="shared" si="6"/>
        <v>0.56000000000000005</v>
      </c>
      <c r="L17" s="33">
        <f t="shared" si="6"/>
        <v>0.56000000000000005</v>
      </c>
      <c r="M17" s="33">
        <f t="shared" si="6"/>
        <v>0.56000000000000005</v>
      </c>
      <c r="N17" s="33">
        <f t="shared" si="6"/>
        <v>0.56000000000000005</v>
      </c>
      <c r="O17" s="33">
        <f t="shared" si="6"/>
        <v>0.56000000000000005</v>
      </c>
      <c r="P17" s="33">
        <f t="shared" si="6"/>
        <v>0.56000000000000005</v>
      </c>
      <c r="Q17" s="33">
        <f t="shared" si="6"/>
        <v>0.56000000000000005</v>
      </c>
      <c r="R17" s="33">
        <f t="shared" si="6"/>
        <v>0.56000000000000005</v>
      </c>
      <c r="S17" s="33">
        <f t="shared" si="6"/>
        <v>0.56000000000000005</v>
      </c>
      <c r="T17" s="11"/>
      <c r="U17" s="6"/>
    </row>
    <row r="18" spans="1:21" ht="19.2" customHeight="1" x14ac:dyDescent="0.3">
      <c r="A18" s="18" t="s">
        <v>39</v>
      </c>
      <c r="B18" s="19"/>
      <c r="D18" s="42" t="s">
        <v>40</v>
      </c>
      <c r="E18" s="38">
        <v>6.25E-2</v>
      </c>
      <c r="F18" s="33">
        <f>E18</f>
        <v>6.25E-2</v>
      </c>
      <c r="G18" s="33">
        <f>F18</f>
        <v>6.25E-2</v>
      </c>
      <c r="H18" s="33">
        <f>G18</f>
        <v>6.25E-2</v>
      </c>
      <c r="I18" s="38">
        <f t="shared" ref="I18:S18" si="7">I10</f>
        <v>4.1599999999999998E-2</v>
      </c>
      <c r="J18" s="33">
        <f t="shared" si="7"/>
        <v>4.1599999999999998E-2</v>
      </c>
      <c r="K18" s="33">
        <f t="shared" si="7"/>
        <v>4.1599999999999998E-2</v>
      </c>
      <c r="L18" s="33">
        <f t="shared" si="7"/>
        <v>4.1599999999999998E-2</v>
      </c>
      <c r="M18" s="33">
        <f t="shared" si="7"/>
        <v>4.1599999999999998E-2</v>
      </c>
      <c r="N18" s="33">
        <f t="shared" si="7"/>
        <v>4.1599999999999998E-2</v>
      </c>
      <c r="O18" s="33">
        <f t="shared" si="7"/>
        <v>4.1599999999999998E-2</v>
      </c>
      <c r="P18" s="33">
        <f t="shared" si="7"/>
        <v>4.1599999999999998E-2</v>
      </c>
      <c r="Q18" s="33">
        <f t="shared" si="7"/>
        <v>4.1599999999999998E-2</v>
      </c>
      <c r="R18" s="33">
        <f t="shared" si="7"/>
        <v>4.1599999999999998E-2</v>
      </c>
      <c r="S18" s="33">
        <f t="shared" si="7"/>
        <v>4.1599999999999998E-2</v>
      </c>
      <c r="T18" s="11"/>
      <c r="U18" s="6"/>
    </row>
    <row r="19" spans="1:21" ht="19.2" customHeight="1" x14ac:dyDescent="0.3">
      <c r="A19" s="18" t="s">
        <v>41</v>
      </c>
      <c r="B19" s="19"/>
      <c r="D19" s="42" t="s">
        <v>42</v>
      </c>
      <c r="E19" s="43">
        <f t="shared" ref="E19:S19" si="8">E17*E18</f>
        <v>3.5000000000000003E-2</v>
      </c>
      <c r="F19" s="43">
        <f t="shared" si="8"/>
        <v>3.5000000000000003E-2</v>
      </c>
      <c r="G19" s="43">
        <f t="shared" si="8"/>
        <v>3.5000000000000003E-2</v>
      </c>
      <c r="H19" s="43">
        <f t="shared" si="8"/>
        <v>3.5000000000000003E-2</v>
      </c>
      <c r="I19" s="43">
        <f t="shared" si="8"/>
        <v>2.3296000000000001E-2</v>
      </c>
      <c r="J19" s="43">
        <f t="shared" si="8"/>
        <v>2.3296000000000001E-2</v>
      </c>
      <c r="K19" s="43">
        <f t="shared" si="8"/>
        <v>2.3296000000000001E-2</v>
      </c>
      <c r="L19" s="43">
        <f t="shared" si="8"/>
        <v>2.3296000000000001E-2</v>
      </c>
      <c r="M19" s="43">
        <f t="shared" si="8"/>
        <v>2.3296000000000001E-2</v>
      </c>
      <c r="N19" s="43">
        <f t="shared" si="8"/>
        <v>2.3296000000000001E-2</v>
      </c>
      <c r="O19" s="43">
        <f t="shared" si="8"/>
        <v>2.3296000000000001E-2</v>
      </c>
      <c r="P19" s="43">
        <f t="shared" si="8"/>
        <v>2.3296000000000001E-2</v>
      </c>
      <c r="Q19" s="43">
        <f t="shared" si="8"/>
        <v>2.3296000000000001E-2</v>
      </c>
      <c r="R19" s="43">
        <f t="shared" si="8"/>
        <v>2.3296000000000001E-2</v>
      </c>
      <c r="S19" s="43">
        <f t="shared" si="8"/>
        <v>2.3296000000000001E-2</v>
      </c>
      <c r="T19" s="11"/>
      <c r="U19" s="6"/>
    </row>
    <row r="20" spans="1:21" ht="19.2" customHeight="1" x14ac:dyDescent="0.3">
      <c r="A20" s="18"/>
      <c r="B20" s="19"/>
      <c r="D20" s="42"/>
      <c r="E20" s="6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11"/>
      <c r="U20" s="6"/>
    </row>
    <row r="21" spans="1:21" ht="19.2" customHeight="1" x14ac:dyDescent="0.3">
      <c r="A21" s="18"/>
      <c r="B21" s="19"/>
      <c r="D21" s="42"/>
      <c r="E21" s="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11"/>
      <c r="U21" s="6"/>
    </row>
    <row r="22" spans="1:21" ht="19.2" customHeight="1" x14ac:dyDescent="0.3">
      <c r="A22" s="18" t="s">
        <v>43</v>
      </c>
      <c r="B22" s="19"/>
      <c r="D22" s="42" t="s">
        <v>44</v>
      </c>
      <c r="E22" s="33">
        <f t="shared" ref="E22:S22" si="9">E5</f>
        <v>0.04</v>
      </c>
      <c r="F22" s="33">
        <f t="shared" si="9"/>
        <v>0.04</v>
      </c>
      <c r="G22" s="33">
        <f t="shared" si="9"/>
        <v>0.04</v>
      </c>
      <c r="H22" s="33">
        <f t="shared" si="9"/>
        <v>0.04</v>
      </c>
      <c r="I22" s="33">
        <f t="shared" si="9"/>
        <v>0.04</v>
      </c>
      <c r="J22" s="33">
        <f t="shared" si="9"/>
        <v>0.04</v>
      </c>
      <c r="K22" s="33">
        <f t="shared" si="9"/>
        <v>0.04</v>
      </c>
      <c r="L22" s="33">
        <f t="shared" si="9"/>
        <v>0.04</v>
      </c>
      <c r="M22" s="33">
        <f t="shared" si="9"/>
        <v>0.04</v>
      </c>
      <c r="N22" s="33">
        <f t="shared" si="9"/>
        <v>0.04</v>
      </c>
      <c r="O22" s="33">
        <f t="shared" si="9"/>
        <v>0.04</v>
      </c>
      <c r="P22" s="33">
        <f t="shared" si="9"/>
        <v>0.04</v>
      </c>
      <c r="Q22" s="33">
        <f t="shared" si="9"/>
        <v>0.04</v>
      </c>
      <c r="R22" s="33">
        <f t="shared" si="9"/>
        <v>0.04</v>
      </c>
      <c r="S22" s="33">
        <f t="shared" si="9"/>
        <v>0.04</v>
      </c>
      <c r="T22" s="11"/>
      <c r="U22" s="6"/>
    </row>
    <row r="23" spans="1:21" ht="19.2" customHeight="1" x14ac:dyDescent="0.3">
      <c r="A23" s="18" t="s">
        <v>45</v>
      </c>
      <c r="B23" s="19"/>
      <c r="D23" s="42" t="s">
        <v>46</v>
      </c>
      <c r="E23" s="38">
        <v>1.3299999999999999E-2</v>
      </c>
      <c r="F23" s="33">
        <f>E23</f>
        <v>1.3299999999999999E-2</v>
      </c>
      <c r="G23" s="33">
        <f>F23</f>
        <v>1.3299999999999999E-2</v>
      </c>
      <c r="H23" s="33">
        <f>G23</f>
        <v>1.3299999999999999E-2</v>
      </c>
      <c r="I23" s="38">
        <f t="shared" ref="I23:S23" si="10">I11</f>
        <v>2.29E-2</v>
      </c>
      <c r="J23" s="33">
        <f t="shared" si="10"/>
        <v>2.29E-2</v>
      </c>
      <c r="K23" s="33">
        <f t="shared" si="10"/>
        <v>2.29E-2</v>
      </c>
      <c r="L23" s="33">
        <f t="shared" si="10"/>
        <v>2.29E-2</v>
      </c>
      <c r="M23" s="33">
        <f t="shared" si="10"/>
        <v>2.29E-2</v>
      </c>
      <c r="N23" s="33">
        <f t="shared" si="10"/>
        <v>2.29E-2</v>
      </c>
      <c r="O23" s="33">
        <f t="shared" si="10"/>
        <v>2.29E-2</v>
      </c>
      <c r="P23" s="33">
        <f t="shared" si="10"/>
        <v>2.29E-2</v>
      </c>
      <c r="Q23" s="33">
        <f t="shared" si="10"/>
        <v>2.29E-2</v>
      </c>
      <c r="R23" s="33">
        <f t="shared" si="10"/>
        <v>2.29E-2</v>
      </c>
      <c r="S23" s="33">
        <f t="shared" si="10"/>
        <v>2.29E-2</v>
      </c>
      <c r="T23" s="11"/>
      <c r="U23" s="6"/>
    </row>
    <row r="24" spans="1:21" ht="19.2" customHeight="1" x14ac:dyDescent="0.3">
      <c r="A24" s="18" t="s">
        <v>47</v>
      </c>
      <c r="B24" s="19"/>
      <c r="D24" s="42" t="s">
        <v>48</v>
      </c>
      <c r="E24" s="116">
        <f t="shared" ref="E24:S24" si="11">E22*E23</f>
        <v>5.3200000000000003E-4</v>
      </c>
      <c r="F24" s="116">
        <f t="shared" si="11"/>
        <v>5.3200000000000003E-4</v>
      </c>
      <c r="G24" s="116">
        <f t="shared" si="11"/>
        <v>5.3200000000000003E-4</v>
      </c>
      <c r="H24" s="116">
        <f t="shared" si="11"/>
        <v>5.3200000000000003E-4</v>
      </c>
      <c r="I24" s="116">
        <f t="shared" si="11"/>
        <v>9.1600000000000004E-4</v>
      </c>
      <c r="J24" s="116">
        <f t="shared" si="11"/>
        <v>9.1600000000000004E-4</v>
      </c>
      <c r="K24" s="116">
        <f t="shared" si="11"/>
        <v>9.1600000000000004E-4</v>
      </c>
      <c r="L24" s="116">
        <f t="shared" si="11"/>
        <v>9.1600000000000004E-4</v>
      </c>
      <c r="M24" s="116">
        <f t="shared" si="11"/>
        <v>9.1600000000000004E-4</v>
      </c>
      <c r="N24" s="116">
        <f t="shared" si="11"/>
        <v>9.1600000000000004E-4</v>
      </c>
      <c r="O24" s="116">
        <f t="shared" si="11"/>
        <v>9.1600000000000004E-4</v>
      </c>
      <c r="P24" s="116">
        <f t="shared" si="11"/>
        <v>9.1600000000000004E-4</v>
      </c>
      <c r="Q24" s="116">
        <f t="shared" si="11"/>
        <v>9.1600000000000004E-4</v>
      </c>
      <c r="R24" s="116">
        <f t="shared" si="11"/>
        <v>9.1600000000000004E-4</v>
      </c>
      <c r="S24" s="116">
        <f t="shared" si="11"/>
        <v>9.1600000000000004E-4</v>
      </c>
      <c r="T24" s="11"/>
      <c r="U24" s="6"/>
    </row>
    <row r="25" spans="1:21" ht="19.2" customHeight="1" x14ac:dyDescent="0.3">
      <c r="A25" s="18"/>
      <c r="B25" s="19"/>
      <c r="D25" s="42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11"/>
      <c r="U25" s="6"/>
    </row>
    <row r="26" spans="1:21" ht="19.2" customHeight="1" x14ac:dyDescent="0.3">
      <c r="A26" s="18"/>
      <c r="B26" s="19"/>
      <c r="D26" s="42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11"/>
      <c r="U26" s="6"/>
    </row>
    <row r="27" spans="1:21" ht="19.2" customHeight="1" x14ac:dyDescent="0.3">
      <c r="A27" s="18" t="s">
        <v>49</v>
      </c>
      <c r="B27" s="19"/>
      <c r="D27" s="42" t="s">
        <v>50</v>
      </c>
      <c r="E27" s="33">
        <f t="shared" ref="E27:S27" si="12">E6</f>
        <v>0.39999999999999997</v>
      </c>
      <c r="F27" s="33">
        <f t="shared" si="12"/>
        <v>0.39999999999999997</v>
      </c>
      <c r="G27" s="33">
        <f t="shared" si="12"/>
        <v>0.39999999999999997</v>
      </c>
      <c r="H27" s="33">
        <f t="shared" si="12"/>
        <v>0.39999999999999997</v>
      </c>
      <c r="I27" s="33">
        <f t="shared" si="12"/>
        <v>0.39999999999999997</v>
      </c>
      <c r="J27" s="33">
        <f t="shared" si="12"/>
        <v>0.39999999999999997</v>
      </c>
      <c r="K27" s="33">
        <f t="shared" si="12"/>
        <v>0.39999999999999997</v>
      </c>
      <c r="L27" s="33">
        <f t="shared" si="12"/>
        <v>0.39999999999999997</v>
      </c>
      <c r="M27" s="33">
        <f t="shared" si="12"/>
        <v>0.39999999999999997</v>
      </c>
      <c r="N27" s="33">
        <f t="shared" si="12"/>
        <v>0.39999999999999997</v>
      </c>
      <c r="O27" s="33">
        <f t="shared" si="12"/>
        <v>0.39999999999999997</v>
      </c>
      <c r="P27" s="33">
        <f t="shared" si="12"/>
        <v>0.39999999999999997</v>
      </c>
      <c r="Q27" s="33">
        <f t="shared" si="12"/>
        <v>0.39999999999999997</v>
      </c>
      <c r="R27" s="33">
        <f t="shared" si="12"/>
        <v>0.39999999999999997</v>
      </c>
      <c r="S27" s="33">
        <f t="shared" si="12"/>
        <v>0.39999999999999997</v>
      </c>
      <c r="T27" s="11"/>
      <c r="U27" s="6"/>
    </row>
    <row r="28" spans="1:21" ht="19.2" customHeight="1" x14ac:dyDescent="0.3">
      <c r="A28" s="18" t="s">
        <v>51</v>
      </c>
      <c r="B28" s="19"/>
      <c r="D28" s="42" t="s">
        <v>52</v>
      </c>
      <c r="E28" s="33">
        <f>E12</f>
        <v>9.8500000000000004E-2</v>
      </c>
      <c r="F28" s="33">
        <f>E28</f>
        <v>9.8500000000000004E-2</v>
      </c>
      <c r="G28" s="33">
        <f>F28</f>
        <v>9.8500000000000004E-2</v>
      </c>
      <c r="H28" s="33">
        <f>G28</f>
        <v>9.8500000000000004E-2</v>
      </c>
      <c r="I28" s="38">
        <f t="shared" ref="I28:S28" si="13">I12</f>
        <v>0.09</v>
      </c>
      <c r="J28" s="33">
        <f t="shared" si="13"/>
        <v>0.09</v>
      </c>
      <c r="K28" s="33">
        <f t="shared" si="13"/>
        <v>0.09</v>
      </c>
      <c r="L28" s="33">
        <f t="shared" si="13"/>
        <v>0.09</v>
      </c>
      <c r="M28" s="33">
        <f t="shared" si="13"/>
        <v>0.09</v>
      </c>
      <c r="N28" s="33">
        <f t="shared" si="13"/>
        <v>0.09</v>
      </c>
      <c r="O28" s="33">
        <f t="shared" si="13"/>
        <v>0.09</v>
      </c>
      <c r="P28" s="33">
        <f t="shared" si="13"/>
        <v>0.09</v>
      </c>
      <c r="Q28" s="33">
        <f t="shared" si="13"/>
        <v>0.09</v>
      </c>
      <c r="R28" s="33">
        <f t="shared" si="13"/>
        <v>0.09</v>
      </c>
      <c r="S28" s="33">
        <f t="shared" si="13"/>
        <v>0.09</v>
      </c>
      <c r="T28" s="11"/>
      <c r="U28" s="6"/>
    </row>
    <row r="29" spans="1:21" ht="19.2" customHeight="1" x14ac:dyDescent="0.3">
      <c r="A29" s="18" t="s">
        <v>53</v>
      </c>
      <c r="B29" s="19"/>
      <c r="D29" s="42" t="s">
        <v>54</v>
      </c>
      <c r="E29" s="43">
        <f t="shared" ref="E29:S29" si="14">E27*E28</f>
        <v>3.9399999999999998E-2</v>
      </c>
      <c r="F29" s="43">
        <f t="shared" si="14"/>
        <v>3.9399999999999998E-2</v>
      </c>
      <c r="G29" s="43">
        <f t="shared" si="14"/>
        <v>3.9399999999999998E-2</v>
      </c>
      <c r="H29" s="43">
        <f t="shared" si="14"/>
        <v>3.9399999999999998E-2</v>
      </c>
      <c r="I29" s="43">
        <f t="shared" si="14"/>
        <v>3.5999999999999997E-2</v>
      </c>
      <c r="J29" s="43">
        <f t="shared" si="14"/>
        <v>3.5999999999999997E-2</v>
      </c>
      <c r="K29" s="43">
        <f t="shared" si="14"/>
        <v>3.5999999999999997E-2</v>
      </c>
      <c r="L29" s="43">
        <f t="shared" si="14"/>
        <v>3.5999999999999997E-2</v>
      </c>
      <c r="M29" s="43">
        <f t="shared" si="14"/>
        <v>3.5999999999999997E-2</v>
      </c>
      <c r="N29" s="43">
        <f t="shared" si="14"/>
        <v>3.5999999999999997E-2</v>
      </c>
      <c r="O29" s="43">
        <f t="shared" si="14"/>
        <v>3.5999999999999997E-2</v>
      </c>
      <c r="P29" s="43">
        <f t="shared" si="14"/>
        <v>3.5999999999999997E-2</v>
      </c>
      <c r="Q29" s="43">
        <f t="shared" si="14"/>
        <v>3.5999999999999997E-2</v>
      </c>
      <c r="R29" s="43">
        <f t="shared" si="14"/>
        <v>3.5999999999999997E-2</v>
      </c>
      <c r="S29" s="43">
        <f t="shared" si="14"/>
        <v>3.5999999999999997E-2</v>
      </c>
      <c r="T29" s="11"/>
      <c r="U29" s="6"/>
    </row>
    <row r="30" spans="1:21" ht="19.2" customHeight="1" x14ac:dyDescent="0.3">
      <c r="A30" s="45"/>
      <c r="B30" s="19"/>
      <c r="D30" s="42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11"/>
      <c r="U30" s="6"/>
    </row>
    <row r="31" spans="1:21" ht="19.2" customHeight="1" thickBot="1" x14ac:dyDescent="0.35">
      <c r="A31" s="15" t="s">
        <v>55</v>
      </c>
      <c r="B31" s="16"/>
      <c r="D31" s="42" t="s">
        <v>56</v>
      </c>
      <c r="E31" s="48">
        <f t="shared" ref="E31:S31" si="15">E19+E24+E29</f>
        <v>7.4931999999999999E-2</v>
      </c>
      <c r="F31" s="47">
        <f t="shared" si="15"/>
        <v>7.4931999999999999E-2</v>
      </c>
      <c r="G31" s="47">
        <f t="shared" si="15"/>
        <v>7.4931999999999999E-2</v>
      </c>
      <c r="H31" s="47">
        <f t="shared" si="15"/>
        <v>7.4931999999999999E-2</v>
      </c>
      <c r="I31" s="47">
        <f t="shared" si="15"/>
        <v>6.0212000000000002E-2</v>
      </c>
      <c r="J31" s="47">
        <f t="shared" si="15"/>
        <v>6.0212000000000002E-2</v>
      </c>
      <c r="K31" s="47">
        <f t="shared" si="15"/>
        <v>6.0212000000000002E-2</v>
      </c>
      <c r="L31" s="47">
        <f t="shared" si="15"/>
        <v>6.0212000000000002E-2</v>
      </c>
      <c r="M31" s="47">
        <f t="shared" si="15"/>
        <v>6.0212000000000002E-2</v>
      </c>
      <c r="N31" s="47">
        <f t="shared" si="15"/>
        <v>6.0212000000000002E-2</v>
      </c>
      <c r="O31" s="47">
        <f t="shared" si="15"/>
        <v>6.0212000000000002E-2</v>
      </c>
      <c r="P31" s="47">
        <f t="shared" si="15"/>
        <v>6.0212000000000002E-2</v>
      </c>
      <c r="Q31" s="47">
        <f t="shared" si="15"/>
        <v>6.0212000000000002E-2</v>
      </c>
      <c r="R31" s="47">
        <f t="shared" si="15"/>
        <v>6.0212000000000002E-2</v>
      </c>
      <c r="S31" s="47">
        <f t="shared" si="15"/>
        <v>6.0212000000000002E-2</v>
      </c>
      <c r="T31" s="11"/>
      <c r="U31" s="6"/>
    </row>
    <row r="32" spans="1:21" ht="19.2" customHeight="1" x14ac:dyDescent="0.3">
      <c r="A32" s="12"/>
      <c r="B32" s="44"/>
      <c r="E32" s="49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11"/>
      <c r="U32" s="6"/>
    </row>
    <row r="33" spans="1:21" ht="19.2" customHeight="1" x14ac:dyDescent="0.3">
      <c r="A33" s="9"/>
      <c r="B33" s="16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11"/>
      <c r="U33" s="6"/>
    </row>
    <row r="34" spans="1:21" ht="19.2" customHeight="1" x14ac:dyDescent="0.3">
      <c r="A34" s="107" t="s">
        <v>149</v>
      </c>
      <c r="B34" s="10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6"/>
    </row>
  </sheetData>
  <phoneticPr fontId="26" type="noConversion"/>
  <printOptions horizontalCentered="1"/>
  <pageMargins left="3.937007874015748E-2" right="3.937007874015748E-2" top="0.98425196850393704" bottom="0.78740157480314965" header="0.51181102362204722" footer="0.51181102362204722"/>
  <pageSetup scale="85" orientation="landscape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78"/>
  <sheetViews>
    <sheetView showGridLines="0" showZeros="0" zoomScale="160" zoomScaleNormal="160" workbookViewId="0">
      <pane xSplit="3" ySplit="1" topLeftCell="D49" activePane="bottomRight" state="frozen"/>
      <selection activeCell="B84" sqref="B84"/>
      <selection pane="topRight" activeCell="B84" sqref="B84"/>
      <selection pane="bottomLeft" activeCell="B84" sqref="B84"/>
      <selection pane="bottomRight" activeCell="I36" sqref="I36"/>
    </sheetView>
  </sheetViews>
  <sheetFormatPr defaultColWidth="8.765625" defaultRowHeight="19.2" customHeight="1" x14ac:dyDescent="0.3"/>
  <cols>
    <col min="1" max="1" width="5.765625" style="86" customWidth="1"/>
    <col min="2" max="2" width="22.61328125" style="87" customWidth="1"/>
    <col min="3" max="3" width="10.61328125" style="86" customWidth="1"/>
    <col min="4" max="4" width="5.61328125" style="86" customWidth="1"/>
    <col min="5" max="19" width="9.61328125" style="86" customWidth="1"/>
    <col min="20" max="20" width="1.84375" style="86" customWidth="1"/>
    <col min="21" max="16384" width="8.765625" style="86"/>
  </cols>
  <sheetData>
    <row r="1" spans="1:20" s="76" customFormat="1" ht="19.2" customHeight="1" x14ac:dyDescent="0.3">
      <c r="A1" s="95" t="s">
        <v>150</v>
      </c>
      <c r="B1" s="96" t="s">
        <v>137</v>
      </c>
      <c r="C1" s="97"/>
      <c r="D1" s="98"/>
      <c r="E1" s="99">
        <v>2010</v>
      </c>
      <c r="F1" s="100">
        <v>2017</v>
      </c>
      <c r="G1" s="100">
        <v>2018</v>
      </c>
      <c r="H1" s="100">
        <v>2019</v>
      </c>
      <c r="I1" s="99">
        <v>2020</v>
      </c>
      <c r="J1" s="100">
        <v>2021</v>
      </c>
      <c r="K1" s="100">
        <v>2022</v>
      </c>
      <c r="L1" s="100">
        <v>2023</v>
      </c>
      <c r="M1" s="100">
        <v>2024</v>
      </c>
      <c r="N1" s="99">
        <v>2025</v>
      </c>
      <c r="O1" s="100">
        <v>2026</v>
      </c>
      <c r="P1" s="100">
        <v>2027</v>
      </c>
      <c r="Q1" s="100">
        <v>2028</v>
      </c>
      <c r="R1" s="100">
        <v>2029</v>
      </c>
      <c r="S1" s="99">
        <v>2030</v>
      </c>
      <c r="T1" s="83"/>
    </row>
    <row r="2" spans="1:20" s="76" customFormat="1" ht="19.2" customHeight="1" x14ac:dyDescent="0.3">
      <c r="A2" s="86"/>
      <c r="B2" s="87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3"/>
    </row>
    <row r="3" spans="1:20" s="76" customFormat="1" ht="19.2" customHeight="1" x14ac:dyDescent="0.3">
      <c r="A3" s="85" t="s">
        <v>138</v>
      </c>
      <c r="B3" s="87"/>
      <c r="C3" s="86"/>
      <c r="D3" s="86"/>
      <c r="E3" s="82" t="s">
        <v>139</v>
      </c>
      <c r="F3" s="73">
        <f t="shared" ref="F3:S3" si="0">F1-$E$1</f>
        <v>7</v>
      </c>
      <c r="G3" s="73">
        <f t="shared" si="0"/>
        <v>8</v>
      </c>
      <c r="H3" s="73">
        <f t="shared" si="0"/>
        <v>9</v>
      </c>
      <c r="I3" s="82">
        <f t="shared" si="0"/>
        <v>10</v>
      </c>
      <c r="J3" s="73">
        <f t="shared" si="0"/>
        <v>11</v>
      </c>
      <c r="K3" s="73">
        <f t="shared" si="0"/>
        <v>12</v>
      </c>
      <c r="L3" s="73">
        <f t="shared" si="0"/>
        <v>13</v>
      </c>
      <c r="M3" s="73">
        <f t="shared" si="0"/>
        <v>14</v>
      </c>
      <c r="N3" s="82">
        <f t="shared" si="0"/>
        <v>15</v>
      </c>
      <c r="O3" s="73">
        <f t="shared" si="0"/>
        <v>16</v>
      </c>
      <c r="P3" s="73">
        <f t="shared" si="0"/>
        <v>17</v>
      </c>
      <c r="Q3" s="73">
        <f t="shared" si="0"/>
        <v>18</v>
      </c>
      <c r="R3" s="73">
        <f t="shared" si="0"/>
        <v>19</v>
      </c>
      <c r="S3" s="82">
        <f t="shared" si="0"/>
        <v>20</v>
      </c>
      <c r="T3" s="83"/>
    </row>
    <row r="4" spans="1:20" s="76" customFormat="1" ht="19.2" customHeight="1" x14ac:dyDescent="0.3">
      <c r="A4" s="80"/>
      <c r="B4" s="87"/>
      <c r="C4" s="86"/>
      <c r="D4" s="86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83"/>
    </row>
    <row r="5" spans="1:20" s="76" customFormat="1" ht="4.95" customHeight="1" x14ac:dyDescent="0.3">
      <c r="A5" s="83"/>
      <c r="B5" s="83"/>
      <c r="C5" s="83"/>
      <c r="D5" s="83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3"/>
    </row>
    <row r="6" spans="1:20" s="76" customFormat="1" ht="19.2" customHeight="1" x14ac:dyDescent="0.3">
      <c r="A6" s="80"/>
      <c r="B6" s="87"/>
      <c r="C6" s="86"/>
      <c r="D6" s="86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83"/>
    </row>
    <row r="7" spans="1:20" s="76" customFormat="1" ht="19.2" customHeight="1" x14ac:dyDescent="0.3">
      <c r="A7" s="85" t="s">
        <v>140</v>
      </c>
      <c r="B7" s="88"/>
      <c r="C7" s="89"/>
      <c r="D7" s="89"/>
      <c r="E7" s="126">
        <f>'RR SUMMARY'!E9/1000</f>
        <v>7656</v>
      </c>
      <c r="F7" s="126">
        <f>'RR SUMMARY'!F9/1000</f>
        <v>8685</v>
      </c>
      <c r="G7" s="126">
        <f>'RR SUMMARY'!G9/1000</f>
        <v>9243</v>
      </c>
      <c r="H7" s="126">
        <f>'RR SUMMARY'!H9/1000</f>
        <v>9880</v>
      </c>
      <c r="I7" s="82">
        <f>'RR SUMMARY'!I9/1000</f>
        <v>9468</v>
      </c>
      <c r="J7" s="126">
        <f>'RR SUMMARY'!J9/1000</f>
        <v>9881</v>
      </c>
      <c r="K7" s="126">
        <f>'RR SUMMARY'!K9/1000</f>
        <v>10273</v>
      </c>
      <c r="L7" s="126">
        <f>'RR SUMMARY'!L9/1000</f>
        <v>10497</v>
      </c>
      <c r="M7" s="126">
        <f>'RR SUMMARY'!M9/1000</f>
        <v>10768</v>
      </c>
      <c r="N7" s="82">
        <f>'RR SUMMARY'!N9/1000</f>
        <v>11079</v>
      </c>
      <c r="O7" s="126">
        <f>'RR SUMMARY'!O9/1000</f>
        <v>11395</v>
      </c>
      <c r="P7" s="126">
        <f>'RR SUMMARY'!P9/1000</f>
        <v>11715</v>
      </c>
      <c r="Q7" s="126">
        <f>'RR SUMMARY'!Q9/1000</f>
        <v>12417</v>
      </c>
      <c r="R7" s="126">
        <f>'RR SUMMARY'!R9/1000</f>
        <v>13119</v>
      </c>
      <c r="S7" s="82">
        <f>'RR SUMMARY'!S9/1000</f>
        <v>13443</v>
      </c>
      <c r="T7" s="83"/>
    </row>
    <row r="8" spans="1:20" s="76" customFormat="1" ht="19.2" customHeight="1" x14ac:dyDescent="0.3">
      <c r="A8" s="80" t="s">
        <v>141</v>
      </c>
      <c r="B8" s="87"/>
      <c r="C8" s="86"/>
      <c r="D8" s="86"/>
      <c r="E8" s="102"/>
      <c r="F8" s="103">
        <f t="shared" ref="F8:S8" si="1">(F7-$E7)/$E7</f>
        <v>0.13440438871473354</v>
      </c>
      <c r="G8" s="103">
        <f t="shared" si="1"/>
        <v>0.20728840125391851</v>
      </c>
      <c r="H8" s="103">
        <f t="shared" si="1"/>
        <v>0.29049111807732497</v>
      </c>
      <c r="I8" s="103">
        <f t="shared" si="1"/>
        <v>0.23667711598746083</v>
      </c>
      <c r="J8" s="103">
        <f t="shared" si="1"/>
        <v>0.29062173458725182</v>
      </c>
      <c r="K8" s="103">
        <f t="shared" si="1"/>
        <v>0.3418234064785789</v>
      </c>
      <c r="L8" s="103">
        <f t="shared" si="1"/>
        <v>0.37108150470219436</v>
      </c>
      <c r="M8" s="103">
        <f t="shared" si="1"/>
        <v>0.40647857889237199</v>
      </c>
      <c r="N8" s="103">
        <f t="shared" si="1"/>
        <v>0.44710031347962381</v>
      </c>
      <c r="O8" s="103">
        <f t="shared" si="1"/>
        <v>0.48837513061650994</v>
      </c>
      <c r="P8" s="103">
        <f t="shared" si="1"/>
        <v>0.53017241379310343</v>
      </c>
      <c r="Q8" s="103">
        <f t="shared" si="1"/>
        <v>0.62186520376175547</v>
      </c>
      <c r="R8" s="103">
        <f t="shared" si="1"/>
        <v>0.71355799373040751</v>
      </c>
      <c r="S8" s="103">
        <f t="shared" si="1"/>
        <v>0.75587774294670851</v>
      </c>
      <c r="T8" s="83"/>
    </row>
    <row r="9" spans="1:20" s="76" customFormat="1" ht="19.2" customHeight="1" x14ac:dyDescent="0.3">
      <c r="A9" s="80" t="s">
        <v>142</v>
      </c>
      <c r="B9" s="87"/>
      <c r="C9" s="86"/>
      <c r="D9" s="86"/>
      <c r="E9" s="102"/>
      <c r="F9" s="103">
        <f t="shared" ref="F9:S9" si="2">F8/F$3</f>
        <v>1.9200626959247648E-2</v>
      </c>
      <c r="G9" s="103">
        <f t="shared" si="2"/>
        <v>2.5911050156739814E-2</v>
      </c>
      <c r="H9" s="103">
        <f t="shared" si="2"/>
        <v>3.2276790897480555E-2</v>
      </c>
      <c r="I9" s="103">
        <f t="shared" si="2"/>
        <v>2.3667711598746081E-2</v>
      </c>
      <c r="J9" s="103">
        <f t="shared" si="2"/>
        <v>2.6420157689750166E-2</v>
      </c>
      <c r="K9" s="103">
        <f t="shared" si="2"/>
        <v>2.8485283873214907E-2</v>
      </c>
      <c r="L9" s="103">
        <f t="shared" si="2"/>
        <v>2.8544731130938028E-2</v>
      </c>
      <c r="M9" s="103">
        <f t="shared" si="2"/>
        <v>2.9034184206598E-2</v>
      </c>
      <c r="N9" s="103">
        <f t="shared" si="2"/>
        <v>2.9806687565308253E-2</v>
      </c>
      <c r="O9" s="103">
        <f t="shared" si="2"/>
        <v>3.0523445663531872E-2</v>
      </c>
      <c r="P9" s="103">
        <f t="shared" si="2"/>
        <v>3.1186612576064907E-2</v>
      </c>
      <c r="Q9" s="103">
        <f t="shared" si="2"/>
        <v>3.454806687565308E-2</v>
      </c>
      <c r="R9" s="103">
        <f t="shared" si="2"/>
        <v>3.7555683880547766E-2</v>
      </c>
      <c r="S9" s="103">
        <f t="shared" si="2"/>
        <v>3.7793887147335427E-2</v>
      </c>
      <c r="T9" s="83"/>
    </row>
    <row r="10" spans="1:20" s="76" customFormat="1" ht="19.2" customHeight="1" x14ac:dyDescent="0.3">
      <c r="A10" s="80"/>
      <c r="B10" s="87"/>
      <c r="C10" s="86"/>
      <c r="D10" s="86"/>
      <c r="E10" s="86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83"/>
    </row>
    <row r="11" spans="1:20" s="76" customFormat="1" ht="19.2" customHeight="1" x14ac:dyDescent="0.3">
      <c r="A11" s="80" t="s">
        <v>143</v>
      </c>
      <c r="B11" s="87"/>
      <c r="C11" s="86"/>
      <c r="D11" s="86"/>
      <c r="E11" s="102"/>
      <c r="F11" s="104"/>
      <c r="G11" s="105">
        <v>9016</v>
      </c>
      <c r="H11" s="103">
        <f t="shared" ref="H11:S11" si="3">(H7-$G11)/$G11</f>
        <v>9.5829636202307014E-2</v>
      </c>
      <c r="I11" s="103">
        <f t="shared" si="3"/>
        <v>5.0133096716947649E-2</v>
      </c>
      <c r="J11" s="103">
        <f t="shared" si="3"/>
        <v>9.5940550133096714E-2</v>
      </c>
      <c r="K11" s="103">
        <f t="shared" si="3"/>
        <v>0.13941881100266193</v>
      </c>
      <c r="L11" s="103">
        <f t="shared" si="3"/>
        <v>0.16426353149955633</v>
      </c>
      <c r="M11" s="103">
        <f t="shared" si="3"/>
        <v>0.19432120674356698</v>
      </c>
      <c r="N11" s="103">
        <f t="shared" si="3"/>
        <v>0.22881543921916592</v>
      </c>
      <c r="O11" s="103">
        <f t="shared" si="3"/>
        <v>0.26386424134871339</v>
      </c>
      <c r="P11" s="103">
        <f t="shared" si="3"/>
        <v>0.29935669920141972</v>
      </c>
      <c r="Q11" s="103">
        <f t="shared" si="3"/>
        <v>0.37721827861579416</v>
      </c>
      <c r="R11" s="103">
        <f t="shared" si="3"/>
        <v>0.45507985803016859</v>
      </c>
      <c r="S11" s="103">
        <f t="shared" si="3"/>
        <v>0.49101597160603372</v>
      </c>
      <c r="T11" s="83"/>
    </row>
    <row r="12" spans="1:20" s="76" customFormat="1" ht="19.2" customHeight="1" x14ac:dyDescent="0.3">
      <c r="A12" s="80" t="s">
        <v>144</v>
      </c>
      <c r="B12" s="87"/>
      <c r="C12" s="86"/>
      <c r="D12" s="86"/>
      <c r="E12" s="102"/>
      <c r="F12" s="102"/>
      <c r="G12" s="102"/>
      <c r="H12" s="103">
        <f t="shared" ref="H12:S12" si="4">H11/(H$3-$G$3)</f>
        <v>9.5829636202307014E-2</v>
      </c>
      <c r="I12" s="103">
        <f t="shared" si="4"/>
        <v>2.5066548358473825E-2</v>
      </c>
      <c r="J12" s="103">
        <f t="shared" si="4"/>
        <v>3.1980183377698902E-2</v>
      </c>
      <c r="K12" s="103">
        <f t="shared" si="4"/>
        <v>3.4854702750665482E-2</v>
      </c>
      <c r="L12" s="103">
        <f t="shared" si="4"/>
        <v>3.2852706299911265E-2</v>
      </c>
      <c r="M12" s="103">
        <f t="shared" si="4"/>
        <v>3.2386867790594499E-2</v>
      </c>
      <c r="N12" s="103">
        <f t="shared" si="4"/>
        <v>3.2687919888452273E-2</v>
      </c>
      <c r="O12" s="103">
        <f t="shared" si="4"/>
        <v>3.2983030168589174E-2</v>
      </c>
      <c r="P12" s="103">
        <f t="shared" si="4"/>
        <v>3.3261855466824412E-2</v>
      </c>
      <c r="Q12" s="103">
        <f t="shared" si="4"/>
        <v>3.7721827861579418E-2</v>
      </c>
      <c r="R12" s="103">
        <f t="shared" si="4"/>
        <v>4.1370896184560781E-2</v>
      </c>
      <c r="S12" s="103">
        <f t="shared" si="4"/>
        <v>4.0917997633836141E-2</v>
      </c>
      <c r="T12" s="83"/>
    </row>
    <row r="13" spans="1:20" s="76" customFormat="1" ht="19.2" customHeight="1" x14ac:dyDescent="0.3">
      <c r="A13" s="80"/>
      <c r="B13" s="87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3"/>
    </row>
    <row r="14" spans="1:20" s="76" customFormat="1" ht="19.2" customHeight="1" x14ac:dyDescent="0.3">
      <c r="A14" s="80" t="s">
        <v>145</v>
      </c>
      <c r="B14" s="87"/>
      <c r="C14" s="86"/>
      <c r="D14" s="86"/>
      <c r="E14" s="102"/>
      <c r="F14" s="104"/>
      <c r="G14" s="104"/>
      <c r="H14" s="104"/>
      <c r="I14" s="104"/>
      <c r="J14" s="103">
        <f t="shared" ref="J14:R14" si="5">(J7-$I7)/$I7</f>
        <v>4.3620616814533164E-2</v>
      </c>
      <c r="K14" s="103">
        <f t="shared" si="5"/>
        <v>8.5023236163920574E-2</v>
      </c>
      <c r="L14" s="103">
        <f t="shared" si="5"/>
        <v>0.10868187579214195</v>
      </c>
      <c r="M14" s="103">
        <f t="shared" si="5"/>
        <v>0.13730460498521335</v>
      </c>
      <c r="N14" s="103">
        <f t="shared" si="5"/>
        <v>0.17015209125475286</v>
      </c>
      <c r="O14" s="103">
        <f t="shared" si="5"/>
        <v>0.20352767215885087</v>
      </c>
      <c r="P14" s="103">
        <f t="shared" si="5"/>
        <v>0.23732572877059568</v>
      </c>
      <c r="Q14" s="103">
        <f t="shared" si="5"/>
        <v>0.31147021546261089</v>
      </c>
      <c r="R14" s="103">
        <f t="shared" si="5"/>
        <v>0.38561470215462612</v>
      </c>
      <c r="S14" s="103">
        <f>(S7-$I7)/$I7</f>
        <v>0.41983523447401777</v>
      </c>
      <c r="T14" s="83"/>
    </row>
    <row r="15" spans="1:20" s="76" customFormat="1" ht="19.2" customHeight="1" x14ac:dyDescent="0.3">
      <c r="A15" s="80" t="s">
        <v>146</v>
      </c>
      <c r="B15" s="87"/>
      <c r="C15" s="86"/>
      <c r="D15" s="86"/>
      <c r="E15" s="102"/>
      <c r="F15" s="102"/>
      <c r="G15" s="102"/>
      <c r="H15" s="102"/>
      <c r="I15" s="102"/>
      <c r="J15" s="103">
        <f t="shared" ref="J15:R15" si="6">J14/(J$3-$I$3)</f>
        <v>4.3620616814533164E-2</v>
      </c>
      <c r="K15" s="103">
        <f t="shared" si="6"/>
        <v>4.2511618081960287E-2</v>
      </c>
      <c r="L15" s="103">
        <f t="shared" si="6"/>
        <v>3.622729193071398E-2</v>
      </c>
      <c r="M15" s="103">
        <f t="shared" si="6"/>
        <v>3.4326151246303338E-2</v>
      </c>
      <c r="N15" s="103">
        <f t="shared" si="6"/>
        <v>3.4030418250950573E-2</v>
      </c>
      <c r="O15" s="103">
        <f t="shared" si="6"/>
        <v>3.3921278693141814E-2</v>
      </c>
      <c r="P15" s="103">
        <f t="shared" si="6"/>
        <v>3.3903675538656523E-2</v>
      </c>
      <c r="Q15" s="103">
        <f t="shared" si="6"/>
        <v>3.8933776932826361E-2</v>
      </c>
      <c r="R15" s="103">
        <f t="shared" si="6"/>
        <v>4.2846078017180683E-2</v>
      </c>
      <c r="S15" s="103">
        <f>S14/(S$3-$I$3)</f>
        <v>4.1983523447401777E-2</v>
      </c>
      <c r="T15" s="83"/>
    </row>
    <row r="16" spans="1:20" s="76" customFormat="1" ht="19.2" customHeight="1" x14ac:dyDescent="0.3">
      <c r="A16" s="80"/>
      <c r="B16" s="87"/>
      <c r="C16" s="86"/>
      <c r="D16" s="86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83"/>
    </row>
    <row r="17" spans="1:20" s="76" customFormat="1" ht="4.95" customHeight="1" x14ac:dyDescent="0.3">
      <c r="A17" s="83"/>
      <c r="B17" s="83"/>
      <c r="C17" s="83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3"/>
    </row>
    <row r="18" spans="1:20" s="76" customFormat="1" ht="19.2" customHeight="1" x14ac:dyDescent="0.3">
      <c r="A18" s="80"/>
      <c r="B18" s="87"/>
      <c r="C18" s="86"/>
      <c r="D18" s="86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83"/>
    </row>
    <row r="19" spans="1:20" s="76" customFormat="1" ht="19.2" customHeight="1" x14ac:dyDescent="0.3">
      <c r="A19" s="85" t="s">
        <v>147</v>
      </c>
      <c r="B19" s="88"/>
      <c r="C19" s="89"/>
      <c r="D19" s="89"/>
      <c r="E19" s="101">
        <v>7444</v>
      </c>
      <c r="F19" s="101">
        <v>8748</v>
      </c>
      <c r="G19" s="77">
        <v>8906</v>
      </c>
      <c r="H19" s="77">
        <v>8941</v>
      </c>
      <c r="I19" s="82">
        <v>8497</v>
      </c>
      <c r="J19" s="77">
        <v>8559</v>
      </c>
      <c r="K19" s="77">
        <v>8623</v>
      </c>
      <c r="L19" s="77">
        <v>8692</v>
      </c>
      <c r="M19" s="77">
        <v>8762</v>
      </c>
      <c r="N19" s="82">
        <v>8828</v>
      </c>
      <c r="O19" s="77">
        <v>8897</v>
      </c>
      <c r="P19" s="77">
        <v>8964</v>
      </c>
      <c r="Q19" s="77">
        <v>9034</v>
      </c>
      <c r="R19" s="77">
        <v>9106</v>
      </c>
      <c r="S19" s="82">
        <v>9173</v>
      </c>
      <c r="T19" s="83"/>
    </row>
    <row r="20" spans="1:20" s="76" customFormat="1" ht="19.2" customHeight="1" x14ac:dyDescent="0.3">
      <c r="A20" s="80" t="s">
        <v>141</v>
      </c>
      <c r="B20" s="87"/>
      <c r="C20" s="86"/>
      <c r="D20" s="86"/>
      <c r="E20" s="102"/>
      <c r="F20" s="103">
        <f t="shared" ref="F20:S20" si="7">(F19-$E19)/$E19</f>
        <v>0.17517463729177862</v>
      </c>
      <c r="G20" s="103">
        <f t="shared" si="7"/>
        <v>0.19639978506179473</v>
      </c>
      <c r="H20" s="103">
        <f t="shared" si="7"/>
        <v>0.20110155830198817</v>
      </c>
      <c r="I20" s="103">
        <f t="shared" si="7"/>
        <v>0.14145620634067704</v>
      </c>
      <c r="J20" s="103">
        <f t="shared" si="7"/>
        <v>0.14978506179473403</v>
      </c>
      <c r="K20" s="103">
        <f t="shared" si="7"/>
        <v>0.15838259000537344</v>
      </c>
      <c r="L20" s="103">
        <f t="shared" si="7"/>
        <v>0.16765180010746911</v>
      </c>
      <c r="M20" s="103">
        <f t="shared" si="7"/>
        <v>0.17705534658785599</v>
      </c>
      <c r="N20" s="103">
        <f t="shared" si="7"/>
        <v>0.18592154755507792</v>
      </c>
      <c r="O20" s="103">
        <f t="shared" si="7"/>
        <v>0.19519075765717356</v>
      </c>
      <c r="P20" s="103">
        <f t="shared" si="7"/>
        <v>0.20419129500268673</v>
      </c>
      <c r="Q20" s="103">
        <f t="shared" si="7"/>
        <v>0.21359484148307362</v>
      </c>
      <c r="R20" s="103">
        <f t="shared" si="7"/>
        <v>0.22326706072004299</v>
      </c>
      <c r="S20" s="103">
        <f t="shared" si="7"/>
        <v>0.23226759806555616</v>
      </c>
      <c r="T20" s="83"/>
    </row>
    <row r="21" spans="1:20" s="76" customFormat="1" ht="19.2" customHeight="1" x14ac:dyDescent="0.3">
      <c r="A21" s="80" t="s">
        <v>142</v>
      </c>
      <c r="B21" s="87"/>
      <c r="C21" s="86"/>
      <c r="D21" s="86"/>
      <c r="E21" s="102"/>
      <c r="F21" s="103">
        <f t="shared" ref="F21:S21" si="8">F20/F$3</f>
        <v>2.5024948184539802E-2</v>
      </c>
      <c r="G21" s="103">
        <f t="shared" si="8"/>
        <v>2.4549973132724341E-2</v>
      </c>
      <c r="H21" s="103">
        <f t="shared" si="8"/>
        <v>2.2344617589109796E-2</v>
      </c>
      <c r="I21" s="103">
        <f t="shared" si="8"/>
        <v>1.4145620634067704E-2</v>
      </c>
      <c r="J21" s="103">
        <f t="shared" si="8"/>
        <v>1.3616823799521276E-2</v>
      </c>
      <c r="K21" s="103">
        <f t="shared" si="8"/>
        <v>1.3198549167114453E-2</v>
      </c>
      <c r="L21" s="103">
        <f t="shared" si="8"/>
        <v>1.2896292315959162E-2</v>
      </c>
      <c r="M21" s="103">
        <f t="shared" si="8"/>
        <v>1.2646810470561142E-2</v>
      </c>
      <c r="N21" s="103">
        <f t="shared" si="8"/>
        <v>1.2394769837005194E-2</v>
      </c>
      <c r="O21" s="103">
        <f t="shared" si="8"/>
        <v>1.2199422353573347E-2</v>
      </c>
      <c r="P21" s="103">
        <f t="shared" si="8"/>
        <v>1.2011252647216867E-2</v>
      </c>
      <c r="Q21" s="103">
        <f t="shared" si="8"/>
        <v>1.1866380082392979E-2</v>
      </c>
      <c r="R21" s="103">
        <f t="shared" si="8"/>
        <v>1.1750897932633841E-2</v>
      </c>
      <c r="S21" s="103">
        <f t="shared" si="8"/>
        <v>1.1613379903277809E-2</v>
      </c>
      <c r="T21" s="83"/>
    </row>
    <row r="22" spans="1:20" s="76" customFormat="1" ht="19.2" customHeight="1" x14ac:dyDescent="0.3">
      <c r="A22" s="80"/>
      <c r="B22" s="87"/>
      <c r="C22" s="86"/>
      <c r="D22" s="86"/>
      <c r="E22" s="86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83"/>
    </row>
    <row r="23" spans="1:20" s="76" customFormat="1" ht="19.2" customHeight="1" x14ac:dyDescent="0.3">
      <c r="A23" s="80" t="s">
        <v>143</v>
      </c>
      <c r="B23" s="87"/>
      <c r="C23" s="86"/>
      <c r="D23" s="86"/>
      <c r="E23" s="102"/>
      <c r="F23" s="104"/>
      <c r="G23" s="105">
        <v>8909</v>
      </c>
      <c r="H23" s="103">
        <f t="shared" ref="H23:S23" si="9">(H19-$G23)/$G23</f>
        <v>3.5918733864631273E-3</v>
      </c>
      <c r="I23" s="103">
        <f t="shared" si="9"/>
        <v>-4.6245369850712766E-2</v>
      </c>
      <c r="J23" s="103">
        <f t="shared" si="9"/>
        <v>-3.9286115164440451E-2</v>
      </c>
      <c r="K23" s="103">
        <f t="shared" si="9"/>
        <v>-3.2102368391514202E-2</v>
      </c>
      <c r="L23" s="103">
        <f t="shared" si="9"/>
        <v>-2.4357391401953081E-2</v>
      </c>
      <c r="M23" s="103">
        <f t="shared" si="9"/>
        <v>-1.6500168369064989E-2</v>
      </c>
      <c r="N23" s="103">
        <f t="shared" si="9"/>
        <v>-9.0919295094847915E-3</v>
      </c>
      <c r="O23" s="103">
        <f t="shared" si="9"/>
        <v>-1.3469525199236727E-3</v>
      </c>
      <c r="P23" s="103">
        <f t="shared" si="9"/>
        <v>6.1735323829834998E-3</v>
      </c>
      <c r="Q23" s="103">
        <f t="shared" si="9"/>
        <v>1.4030755415871591E-2</v>
      </c>
      <c r="R23" s="103">
        <f t="shared" si="9"/>
        <v>2.2112470535413625E-2</v>
      </c>
      <c r="S23" s="103">
        <f t="shared" si="9"/>
        <v>2.9632955438320799E-2</v>
      </c>
      <c r="T23" s="83"/>
    </row>
    <row r="24" spans="1:20" s="76" customFormat="1" ht="19.2" customHeight="1" x14ac:dyDescent="0.3">
      <c r="A24" s="80" t="s">
        <v>144</v>
      </c>
      <c r="B24" s="87"/>
      <c r="C24" s="86"/>
      <c r="D24" s="86"/>
      <c r="E24" s="102"/>
      <c r="F24" s="102"/>
      <c r="G24" s="102"/>
      <c r="H24" s="103">
        <f t="shared" ref="H24:S24" si="10">H23/(H$3-$G$3)</f>
        <v>3.5918733864631273E-3</v>
      </c>
      <c r="I24" s="103">
        <f t="shared" si="10"/>
        <v>-2.3122684925356383E-2</v>
      </c>
      <c r="J24" s="103">
        <f t="shared" si="10"/>
        <v>-1.309537172148015E-2</v>
      </c>
      <c r="K24" s="103">
        <f t="shared" si="10"/>
        <v>-8.0255920978785505E-3</v>
      </c>
      <c r="L24" s="103">
        <f t="shared" si="10"/>
        <v>-4.8714782803906164E-3</v>
      </c>
      <c r="M24" s="103">
        <f t="shared" si="10"/>
        <v>-2.7500280615108314E-3</v>
      </c>
      <c r="N24" s="103">
        <f t="shared" si="10"/>
        <v>-1.2988470727835417E-3</v>
      </c>
      <c r="O24" s="103">
        <f t="shared" si="10"/>
        <v>-1.6836906499045909E-4</v>
      </c>
      <c r="P24" s="103">
        <f t="shared" si="10"/>
        <v>6.8594804255372218E-4</v>
      </c>
      <c r="Q24" s="103">
        <f t="shared" si="10"/>
        <v>1.4030755415871592E-3</v>
      </c>
      <c r="R24" s="103">
        <f t="shared" si="10"/>
        <v>2.0102245941285113E-3</v>
      </c>
      <c r="S24" s="103">
        <f t="shared" si="10"/>
        <v>2.4694129531933999E-3</v>
      </c>
      <c r="T24" s="83"/>
    </row>
    <row r="25" spans="1:20" s="76" customFormat="1" ht="19.2" customHeight="1" x14ac:dyDescent="0.3">
      <c r="A25" s="80"/>
      <c r="B25" s="87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3"/>
    </row>
    <row r="26" spans="1:20" s="76" customFormat="1" ht="19.2" customHeight="1" x14ac:dyDescent="0.3">
      <c r="A26" s="80" t="s">
        <v>145</v>
      </c>
      <c r="B26" s="87"/>
      <c r="C26" s="86"/>
      <c r="D26" s="86"/>
      <c r="E26" s="102"/>
      <c r="F26" s="104"/>
      <c r="G26" s="104"/>
      <c r="H26" s="104"/>
      <c r="I26" s="104"/>
      <c r="J26" s="103">
        <f t="shared" ref="J26:S26" si="11">(J19-$I19)/$I19</f>
        <v>7.2966929504531012E-3</v>
      </c>
      <c r="K26" s="103">
        <f t="shared" si="11"/>
        <v>1.4828763092856303E-2</v>
      </c>
      <c r="L26" s="103">
        <f t="shared" si="11"/>
        <v>2.2949276215134755E-2</v>
      </c>
      <c r="M26" s="103">
        <f t="shared" si="11"/>
        <v>3.1187477933388254E-2</v>
      </c>
      <c r="N26" s="103">
        <f t="shared" si="11"/>
        <v>3.8954925267741553E-2</v>
      </c>
      <c r="O26" s="103">
        <f t="shared" si="11"/>
        <v>4.7075438390020007E-2</v>
      </c>
      <c r="P26" s="103">
        <f t="shared" si="11"/>
        <v>5.4960574320348357E-2</v>
      </c>
      <c r="Q26" s="103">
        <f t="shared" si="11"/>
        <v>6.3198776038601856E-2</v>
      </c>
      <c r="R26" s="103">
        <f t="shared" si="11"/>
        <v>7.1672354948805458E-2</v>
      </c>
      <c r="S26" s="103">
        <f t="shared" si="11"/>
        <v>7.9557490879133816E-2</v>
      </c>
      <c r="T26" s="83"/>
    </row>
    <row r="27" spans="1:20" s="76" customFormat="1" ht="19.2" customHeight="1" x14ac:dyDescent="0.3">
      <c r="A27" s="80" t="s">
        <v>146</v>
      </c>
      <c r="B27" s="87"/>
      <c r="C27" s="86"/>
      <c r="D27" s="86"/>
      <c r="E27" s="102"/>
      <c r="F27" s="102"/>
      <c r="G27" s="102"/>
      <c r="H27" s="102"/>
      <c r="I27" s="102"/>
      <c r="J27" s="103">
        <f t="shared" ref="J27:S27" si="12">J26/(J$3-$I$3)</f>
        <v>7.2966929504531012E-3</v>
      </c>
      <c r="K27" s="103">
        <f t="shared" si="12"/>
        <v>7.4143815464281513E-3</v>
      </c>
      <c r="L27" s="103">
        <f t="shared" si="12"/>
        <v>7.6497587383782513E-3</v>
      </c>
      <c r="M27" s="103">
        <f t="shared" si="12"/>
        <v>7.7968694833470634E-3</v>
      </c>
      <c r="N27" s="103">
        <f t="shared" si="12"/>
        <v>7.7909850535483102E-3</v>
      </c>
      <c r="O27" s="103">
        <f t="shared" si="12"/>
        <v>7.8459063983366672E-3</v>
      </c>
      <c r="P27" s="103">
        <f t="shared" si="12"/>
        <v>7.8515106171926224E-3</v>
      </c>
      <c r="Q27" s="103">
        <f t="shared" si="12"/>
        <v>7.899847004825232E-3</v>
      </c>
      <c r="R27" s="103">
        <f t="shared" si="12"/>
        <v>7.9635949943117172E-3</v>
      </c>
      <c r="S27" s="103">
        <f t="shared" si="12"/>
        <v>7.9557490879133812E-3</v>
      </c>
      <c r="T27" s="83"/>
    </row>
    <row r="28" spans="1:20" s="76" customFormat="1" ht="19.2" customHeight="1" x14ac:dyDescent="0.3">
      <c r="A28" s="80"/>
      <c r="B28" s="87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3"/>
    </row>
    <row r="29" spans="1:20" s="76" customFormat="1" ht="4.95" customHeight="1" x14ac:dyDescent="0.3">
      <c r="A29" s="83"/>
      <c r="B29" s="83"/>
      <c r="C29" s="83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3"/>
    </row>
    <row r="30" spans="1:20" s="76" customFormat="1" ht="19.2" customHeight="1" x14ac:dyDescent="0.3">
      <c r="A30" s="80"/>
      <c r="B30" s="87"/>
      <c r="C30" s="86"/>
      <c r="D30" s="8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83"/>
    </row>
    <row r="31" spans="1:20" s="76" customFormat="1" ht="19.2" customHeight="1" x14ac:dyDescent="0.3">
      <c r="A31" s="85" t="s">
        <v>21</v>
      </c>
      <c r="B31" s="88"/>
      <c r="C31" s="89"/>
      <c r="D31" s="89"/>
      <c r="E31" s="101">
        <v>4216</v>
      </c>
      <c r="F31" s="6">
        <f>OMA_WC_CAPEX!F11/1000</f>
        <v>4870</v>
      </c>
      <c r="G31" s="6">
        <f>OMA_WC_CAPEX!G11/1000</f>
        <v>5134</v>
      </c>
      <c r="H31" s="6">
        <f>OMA_WC_CAPEX!H11/1000</f>
        <v>5431</v>
      </c>
      <c r="I31" s="6">
        <f>OMA_WC_CAPEX!I11/1000</f>
        <v>5542</v>
      </c>
      <c r="J31" s="6">
        <f>OMA_WC_CAPEX!J11/1000</f>
        <v>5654</v>
      </c>
      <c r="K31" s="6">
        <f>OMA_WC_CAPEX!K11/1000</f>
        <v>5768</v>
      </c>
      <c r="L31" s="6">
        <f>OMA_WC_CAPEX!L11/1000</f>
        <v>5883</v>
      </c>
      <c r="M31" s="6">
        <f>OMA_WC_CAPEX!M11/1000</f>
        <v>6000</v>
      </c>
      <c r="N31" s="6">
        <f>OMA_WC_CAPEX!N11/1000</f>
        <v>6120</v>
      </c>
      <c r="O31" s="6">
        <f>OMA_WC_CAPEX!O11/1000</f>
        <v>6243</v>
      </c>
      <c r="P31" s="6">
        <f>OMA_WC_CAPEX!P11/1000</f>
        <v>6367</v>
      </c>
      <c r="Q31" s="6">
        <f>OMA_WC_CAPEX!Q11/1000</f>
        <v>6493</v>
      </c>
      <c r="R31" s="6">
        <f>OMA_WC_CAPEX!R11/1000</f>
        <v>6621</v>
      </c>
      <c r="S31" s="6">
        <f>OMA_WC_CAPEX!S11/1000</f>
        <v>6754</v>
      </c>
      <c r="T31" s="83"/>
    </row>
    <row r="32" spans="1:20" s="76" customFormat="1" ht="19.2" customHeight="1" x14ac:dyDescent="0.3">
      <c r="A32" s="80" t="s">
        <v>141</v>
      </c>
      <c r="B32" s="87"/>
      <c r="C32" s="86"/>
      <c r="D32" s="86"/>
      <c r="E32" s="102"/>
      <c r="F32" s="103">
        <f t="shared" ref="F32:S32" si="13">(F31-$E31)/$E31</f>
        <v>0.15512333965844402</v>
      </c>
      <c r="G32" s="103">
        <f t="shared" si="13"/>
        <v>0.21774193548387097</v>
      </c>
      <c r="H32" s="103">
        <f t="shared" si="13"/>
        <v>0.2881878557874763</v>
      </c>
      <c r="I32" s="103">
        <f t="shared" si="13"/>
        <v>0.31451612903225806</v>
      </c>
      <c r="J32" s="103">
        <f t="shared" si="13"/>
        <v>0.34108159392789372</v>
      </c>
      <c r="K32" s="103">
        <f t="shared" si="13"/>
        <v>0.36812144212523717</v>
      </c>
      <c r="L32" s="103">
        <f t="shared" si="13"/>
        <v>0.39539848197343452</v>
      </c>
      <c r="M32" s="103">
        <f t="shared" si="13"/>
        <v>0.42314990512333966</v>
      </c>
      <c r="N32" s="103">
        <f t="shared" si="13"/>
        <v>0.45161290322580644</v>
      </c>
      <c r="O32" s="103">
        <f t="shared" si="13"/>
        <v>0.4807874762808349</v>
      </c>
      <c r="P32" s="103">
        <f t="shared" si="13"/>
        <v>0.51019924098671732</v>
      </c>
      <c r="Q32" s="103">
        <f t="shared" si="13"/>
        <v>0.54008538899430736</v>
      </c>
      <c r="R32" s="103">
        <f t="shared" si="13"/>
        <v>0.5704459203036053</v>
      </c>
      <c r="S32" s="103">
        <f t="shared" si="13"/>
        <v>0.60199240986717273</v>
      </c>
      <c r="T32" s="83"/>
    </row>
    <row r="33" spans="1:20" s="76" customFormat="1" ht="19.2" customHeight="1" x14ac:dyDescent="0.3">
      <c r="A33" s="80" t="s">
        <v>142</v>
      </c>
      <c r="B33" s="87"/>
      <c r="C33" s="86"/>
      <c r="D33" s="86"/>
      <c r="E33" s="102"/>
      <c r="F33" s="103">
        <f t="shared" ref="F33:S33" si="14">F32/F$3</f>
        <v>2.2160477094063432E-2</v>
      </c>
      <c r="G33" s="103">
        <f t="shared" si="14"/>
        <v>2.7217741935483871E-2</v>
      </c>
      <c r="H33" s="103">
        <f t="shared" si="14"/>
        <v>3.2020872865275142E-2</v>
      </c>
      <c r="I33" s="103">
        <f t="shared" si="14"/>
        <v>3.1451612903225803E-2</v>
      </c>
      <c r="J33" s="103">
        <f t="shared" si="14"/>
        <v>3.100741762980852E-2</v>
      </c>
      <c r="K33" s="103">
        <f t="shared" si="14"/>
        <v>3.0676786843769763E-2</v>
      </c>
      <c r="L33" s="103">
        <f t="shared" si="14"/>
        <v>3.0415267844110347E-2</v>
      </c>
      <c r="M33" s="103">
        <f t="shared" si="14"/>
        <v>3.022499322309569E-2</v>
      </c>
      <c r="N33" s="103">
        <f t="shared" si="14"/>
        <v>3.0107526881720428E-2</v>
      </c>
      <c r="O33" s="103">
        <f t="shared" si="14"/>
        <v>3.0049217267552181E-2</v>
      </c>
      <c r="P33" s="103">
        <f t="shared" si="14"/>
        <v>3.0011720058042195E-2</v>
      </c>
      <c r="Q33" s="103">
        <f t="shared" si="14"/>
        <v>3.0004743833017076E-2</v>
      </c>
      <c r="R33" s="103">
        <f t="shared" si="14"/>
        <v>3.0023469489663435E-2</v>
      </c>
      <c r="S33" s="103">
        <f t="shared" si="14"/>
        <v>3.0099620493358636E-2</v>
      </c>
      <c r="T33" s="83"/>
    </row>
    <row r="34" spans="1:20" s="76" customFormat="1" ht="19.2" customHeight="1" x14ac:dyDescent="0.3">
      <c r="A34" s="80"/>
      <c r="B34" s="87"/>
      <c r="C34" s="86"/>
      <c r="D34" s="86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83"/>
    </row>
    <row r="35" spans="1:20" s="76" customFormat="1" ht="19.2" customHeight="1" x14ac:dyDescent="0.3">
      <c r="A35" s="80" t="s">
        <v>143</v>
      </c>
      <c r="B35" s="87"/>
      <c r="C35" s="86"/>
      <c r="D35" s="86"/>
      <c r="E35" s="102"/>
      <c r="F35" s="104"/>
      <c r="G35" s="105">
        <v>5061</v>
      </c>
      <c r="H35" s="103">
        <f t="shared" ref="H35:J35" si="15">(H31-$G35)/$G35</f>
        <v>7.3108081406836598E-2</v>
      </c>
      <c r="I35" s="103">
        <f>(I31-$G35)/$G35</f>
        <v>9.5040505828887567E-2</v>
      </c>
      <c r="J35" s="103">
        <f t="shared" si="15"/>
        <v>0.11717051966014622</v>
      </c>
      <c r="K35" s="103">
        <f t="shared" ref="K35:S35" si="16">(K31-$G35)/$G35</f>
        <v>0.1396957123098202</v>
      </c>
      <c r="L35" s="103">
        <f t="shared" si="16"/>
        <v>0.16241849436870184</v>
      </c>
      <c r="M35" s="103">
        <f t="shared" si="16"/>
        <v>0.18553645524599882</v>
      </c>
      <c r="N35" s="103">
        <f t="shared" si="16"/>
        <v>0.2092471843509188</v>
      </c>
      <c r="O35" s="103">
        <f t="shared" si="16"/>
        <v>0.23355068168346177</v>
      </c>
      <c r="P35" s="103">
        <f t="shared" si="16"/>
        <v>0.25805176842521244</v>
      </c>
      <c r="Q35" s="103">
        <f t="shared" si="16"/>
        <v>0.28294803398537838</v>
      </c>
      <c r="R35" s="103">
        <f t="shared" si="16"/>
        <v>0.30823947836395971</v>
      </c>
      <c r="S35" s="103">
        <f t="shared" si="16"/>
        <v>0.33451886978857931</v>
      </c>
      <c r="T35" s="83"/>
    </row>
    <row r="36" spans="1:20" s="76" customFormat="1" ht="19.2" customHeight="1" x14ac:dyDescent="0.3">
      <c r="A36" s="80" t="s">
        <v>144</v>
      </c>
      <c r="B36" s="87"/>
      <c r="C36" s="86"/>
      <c r="D36" s="86"/>
      <c r="E36" s="102"/>
      <c r="F36" s="102"/>
      <c r="G36" s="102"/>
      <c r="H36" s="103">
        <f t="shared" ref="H36:J36" si="17">H35/(H$3-$G$3)</f>
        <v>7.3108081406836598E-2</v>
      </c>
      <c r="I36" s="103">
        <f t="shared" si="17"/>
        <v>4.7520252914443784E-2</v>
      </c>
      <c r="J36" s="103">
        <f t="shared" si="17"/>
        <v>3.9056839886715405E-2</v>
      </c>
      <c r="K36" s="103">
        <f t="shared" ref="K36:S36" si="18">K35/(K$3-$G$3)</f>
        <v>3.4923928077455049E-2</v>
      </c>
      <c r="L36" s="103">
        <f t="shared" si="18"/>
        <v>3.248369887374037E-2</v>
      </c>
      <c r="M36" s="103">
        <f t="shared" si="18"/>
        <v>3.0922742540999804E-2</v>
      </c>
      <c r="N36" s="103">
        <f t="shared" si="18"/>
        <v>2.9892454907274112E-2</v>
      </c>
      <c r="O36" s="103">
        <f t="shared" si="18"/>
        <v>2.9193835210432721E-2</v>
      </c>
      <c r="P36" s="103">
        <f t="shared" si="18"/>
        <v>2.8672418713912493E-2</v>
      </c>
      <c r="Q36" s="103">
        <f t="shared" si="18"/>
        <v>2.8294803398537838E-2</v>
      </c>
      <c r="R36" s="103">
        <f t="shared" si="18"/>
        <v>2.8021770760359974E-2</v>
      </c>
      <c r="S36" s="103">
        <f t="shared" si="18"/>
        <v>2.7876572482381609E-2</v>
      </c>
      <c r="T36" s="83"/>
    </row>
    <row r="37" spans="1:20" s="76" customFormat="1" ht="19.2" customHeight="1" x14ac:dyDescent="0.3">
      <c r="A37" s="80"/>
      <c r="B37" s="87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3"/>
    </row>
    <row r="38" spans="1:20" s="76" customFormat="1" ht="19.2" customHeight="1" x14ac:dyDescent="0.3">
      <c r="A38" s="80" t="s">
        <v>145</v>
      </c>
      <c r="B38" s="87"/>
      <c r="C38" s="86"/>
      <c r="D38" s="86"/>
      <c r="E38" s="102"/>
      <c r="F38" s="104"/>
      <c r="G38" s="104"/>
      <c r="H38" s="104"/>
      <c r="I38" s="104"/>
      <c r="J38" s="103">
        <f t="shared" ref="J38:S38" si="19">(J31-$I31)/$I31</f>
        <v>2.0209310718152292E-2</v>
      </c>
      <c r="K38" s="103">
        <f t="shared" si="19"/>
        <v>4.0779501984843015E-2</v>
      </c>
      <c r="L38" s="103">
        <f t="shared" si="19"/>
        <v>6.1530133525802957E-2</v>
      </c>
      <c r="M38" s="103">
        <f t="shared" si="19"/>
        <v>8.2641645615301337E-2</v>
      </c>
      <c r="N38" s="103">
        <f t="shared" si="19"/>
        <v>0.10429447852760736</v>
      </c>
      <c r="O38" s="103">
        <f t="shared" si="19"/>
        <v>0.12648863226272103</v>
      </c>
      <c r="P38" s="103">
        <f t="shared" si="19"/>
        <v>0.14886322627210394</v>
      </c>
      <c r="Q38" s="103">
        <f t="shared" si="19"/>
        <v>0.17159870083002526</v>
      </c>
      <c r="R38" s="103">
        <f t="shared" si="19"/>
        <v>0.19469505593648503</v>
      </c>
      <c r="S38" s="103">
        <f t="shared" si="19"/>
        <v>0.21869361241429086</v>
      </c>
      <c r="T38" s="83"/>
    </row>
    <row r="39" spans="1:20" s="76" customFormat="1" ht="19.2" customHeight="1" x14ac:dyDescent="0.3">
      <c r="A39" s="80" t="s">
        <v>146</v>
      </c>
      <c r="B39" s="87"/>
      <c r="C39" s="86"/>
      <c r="D39" s="86"/>
      <c r="E39" s="102"/>
      <c r="F39" s="102"/>
      <c r="G39" s="102"/>
      <c r="H39" s="102"/>
      <c r="I39" s="102"/>
      <c r="J39" s="103">
        <f t="shared" ref="J39:S39" si="20">J38/(J$3-$I$3)</f>
        <v>2.0209310718152292E-2</v>
      </c>
      <c r="K39" s="103">
        <f t="shared" si="20"/>
        <v>2.0389750992421508E-2</v>
      </c>
      <c r="L39" s="103">
        <f t="shared" si="20"/>
        <v>2.0510044508600986E-2</v>
      </c>
      <c r="M39" s="103">
        <f t="shared" si="20"/>
        <v>2.0660411403825334E-2</v>
      </c>
      <c r="N39" s="103">
        <f t="shared" si="20"/>
        <v>2.085889570552147E-2</v>
      </c>
      <c r="O39" s="103">
        <f t="shared" si="20"/>
        <v>2.1081438710453506E-2</v>
      </c>
      <c r="P39" s="103">
        <f t="shared" si="20"/>
        <v>2.1266175181729133E-2</v>
      </c>
      <c r="Q39" s="103">
        <f t="shared" si="20"/>
        <v>2.1449837603753158E-2</v>
      </c>
      <c r="R39" s="103">
        <f t="shared" si="20"/>
        <v>2.1632783992942783E-2</v>
      </c>
      <c r="S39" s="103">
        <f t="shared" si="20"/>
        <v>2.1869361241429085E-2</v>
      </c>
      <c r="T39" s="83"/>
    </row>
    <row r="40" spans="1:20" s="76" customFormat="1" ht="19.2" customHeight="1" x14ac:dyDescent="0.3">
      <c r="A40" s="80"/>
      <c r="B40" s="87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3"/>
    </row>
    <row r="41" spans="1:20" s="76" customFormat="1" ht="4.95" customHeight="1" x14ac:dyDescent="0.3">
      <c r="A41" s="83"/>
      <c r="B41" s="83"/>
      <c r="C41" s="83"/>
      <c r="D41" s="83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3"/>
    </row>
    <row r="42" spans="1:20" s="76" customFormat="1" ht="19.2" customHeight="1" x14ac:dyDescent="0.3">
      <c r="A42" s="80"/>
      <c r="B42" s="87"/>
      <c r="C42" s="86"/>
      <c r="D42" s="8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83"/>
    </row>
    <row r="43" spans="1:20" s="76" customFormat="1" ht="19.2" customHeight="1" x14ac:dyDescent="0.3">
      <c r="A43" s="85" t="s">
        <v>79</v>
      </c>
      <c r="B43" s="88"/>
      <c r="C43" s="89"/>
      <c r="D43" s="89"/>
      <c r="E43" s="101">
        <v>1400</v>
      </c>
      <c r="F43" s="6">
        <f>'RR SUMMARY'!F7/1000+'RR SUMMARY'!F8/1000</f>
        <v>1142</v>
      </c>
      <c r="G43" s="6">
        <f>'RR SUMMARY'!G7/1000+'RR SUMMARY'!G8/1000</f>
        <v>1275</v>
      </c>
      <c r="H43" s="6">
        <f>'RR SUMMARY'!H7/1000+'RR SUMMARY'!H8/1000</f>
        <v>1420</v>
      </c>
      <c r="I43" s="6">
        <f>'RR SUMMARY'!I7/1000+'RR SUMMARY'!I8/1000</f>
        <v>1571</v>
      </c>
      <c r="J43" s="6">
        <f>'RR SUMMARY'!J7/1000+'RR SUMMARY'!J8/1000</f>
        <v>1711</v>
      </c>
      <c r="K43" s="6">
        <f>'RR SUMMARY'!K7/1000+'RR SUMMARY'!K8/1000</f>
        <v>1817</v>
      </c>
      <c r="L43" s="6">
        <f>'RR SUMMARY'!L7/1000+'RR SUMMARY'!L8/1000</f>
        <v>1875</v>
      </c>
      <c r="M43" s="6">
        <f>'RR SUMMARY'!M7/1000+'RR SUMMARY'!M8/1000</f>
        <v>1958</v>
      </c>
      <c r="N43" s="6">
        <f>'RR SUMMARY'!N7/1000+'RR SUMMARY'!N8/1000</f>
        <v>2061</v>
      </c>
      <c r="O43" s="6">
        <f>'RR SUMMARY'!O7/1000+'RR SUMMARY'!O8/1000</f>
        <v>2167</v>
      </c>
      <c r="P43" s="6">
        <f>'RR SUMMARY'!P7/1000+'RR SUMMARY'!P8/1000</f>
        <v>2277</v>
      </c>
      <c r="Q43" s="6">
        <f>'RR SUMMARY'!Q7/1000+'RR SUMMARY'!Q8/1000</f>
        <v>2517</v>
      </c>
      <c r="R43" s="6">
        <f>'RR SUMMARY'!R7/1000+'RR SUMMARY'!R8/1000</f>
        <v>2762</v>
      </c>
      <c r="S43" s="6">
        <f>'RR SUMMARY'!S7/1000+'RR SUMMARY'!S8/1000</f>
        <v>2882</v>
      </c>
      <c r="T43" s="83"/>
    </row>
    <row r="44" spans="1:20" s="76" customFormat="1" ht="19.2" customHeight="1" x14ac:dyDescent="0.3">
      <c r="A44" s="80" t="s">
        <v>141</v>
      </c>
      <c r="B44" s="87"/>
      <c r="C44" s="86"/>
      <c r="D44" s="86"/>
      <c r="E44" s="102"/>
      <c r="F44" s="103">
        <f t="shared" ref="F44:S44" si="21">(F43-$E43)/$E43</f>
        <v>-0.18428571428571427</v>
      </c>
      <c r="G44" s="103">
        <f t="shared" si="21"/>
        <v>-8.9285714285714288E-2</v>
      </c>
      <c r="H44" s="103">
        <f t="shared" si="21"/>
        <v>1.4285714285714285E-2</v>
      </c>
      <c r="I44" s="103">
        <f t="shared" si="21"/>
        <v>0.12214285714285714</v>
      </c>
      <c r="J44" s="103">
        <f t="shared" si="21"/>
        <v>0.22214285714285714</v>
      </c>
      <c r="K44" s="103">
        <f t="shared" si="21"/>
        <v>0.29785714285714288</v>
      </c>
      <c r="L44" s="103">
        <f t="shared" si="21"/>
        <v>0.3392857142857143</v>
      </c>
      <c r="M44" s="103">
        <f t="shared" si="21"/>
        <v>0.39857142857142858</v>
      </c>
      <c r="N44" s="103">
        <f t="shared" si="21"/>
        <v>0.47214285714285714</v>
      </c>
      <c r="O44" s="103">
        <f t="shared" si="21"/>
        <v>0.54785714285714282</v>
      </c>
      <c r="P44" s="103">
        <f t="shared" si="21"/>
        <v>0.62642857142857145</v>
      </c>
      <c r="Q44" s="103">
        <f t="shared" si="21"/>
        <v>0.79785714285714282</v>
      </c>
      <c r="R44" s="103">
        <f t="shared" si="21"/>
        <v>0.97285714285714286</v>
      </c>
      <c r="S44" s="103">
        <f t="shared" si="21"/>
        <v>1.0585714285714285</v>
      </c>
      <c r="T44" s="83"/>
    </row>
    <row r="45" spans="1:20" s="76" customFormat="1" ht="19.2" customHeight="1" x14ac:dyDescent="0.3">
      <c r="A45" s="80" t="s">
        <v>142</v>
      </c>
      <c r="B45" s="87"/>
      <c r="C45" s="86"/>
      <c r="D45" s="86"/>
      <c r="E45" s="102"/>
      <c r="F45" s="103">
        <f t="shared" ref="F45:S45" si="22">F44/F$3</f>
        <v>-2.6326530612244898E-2</v>
      </c>
      <c r="G45" s="103">
        <f t="shared" si="22"/>
        <v>-1.1160714285714286E-2</v>
      </c>
      <c r="H45" s="103">
        <f t="shared" si="22"/>
        <v>1.5873015873015873E-3</v>
      </c>
      <c r="I45" s="103">
        <f t="shared" si="22"/>
        <v>1.2214285714285714E-2</v>
      </c>
      <c r="J45" s="103">
        <f t="shared" si="22"/>
        <v>2.0194805194805196E-2</v>
      </c>
      <c r="K45" s="103">
        <f t="shared" si="22"/>
        <v>2.4821428571428574E-2</v>
      </c>
      <c r="L45" s="103">
        <f t="shared" si="22"/>
        <v>2.60989010989011E-2</v>
      </c>
      <c r="M45" s="103">
        <f t="shared" si="22"/>
        <v>2.8469387755102042E-2</v>
      </c>
      <c r="N45" s="103">
        <f t="shared" si="22"/>
        <v>3.1476190476190477E-2</v>
      </c>
      <c r="O45" s="103">
        <f t="shared" si="22"/>
        <v>3.4241071428571426E-2</v>
      </c>
      <c r="P45" s="103">
        <f t="shared" si="22"/>
        <v>3.6848739495798317E-2</v>
      </c>
      <c r="Q45" s="103">
        <f t="shared" si="22"/>
        <v>4.4325396825396823E-2</v>
      </c>
      <c r="R45" s="103">
        <f t="shared" si="22"/>
        <v>5.1203007518796993E-2</v>
      </c>
      <c r="S45" s="103">
        <f t="shared" si="22"/>
        <v>5.2928571428571422E-2</v>
      </c>
      <c r="T45" s="83"/>
    </row>
    <row r="46" spans="1:20" s="76" customFormat="1" ht="19.2" customHeight="1" x14ac:dyDescent="0.3">
      <c r="A46" s="80"/>
      <c r="B46" s="87"/>
      <c r="C46" s="86"/>
      <c r="D46" s="86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83"/>
    </row>
    <row r="47" spans="1:20" s="76" customFormat="1" ht="19.2" customHeight="1" x14ac:dyDescent="0.3">
      <c r="A47" s="80" t="s">
        <v>143</v>
      </c>
      <c r="B47" s="87"/>
      <c r="C47" s="86"/>
      <c r="D47" s="86"/>
      <c r="E47" s="102"/>
      <c r="F47" s="104"/>
      <c r="G47" s="105">
        <f>1223-53</f>
        <v>1170</v>
      </c>
      <c r="H47" s="103">
        <f t="shared" ref="H47:S47" si="23">(H43-$G47)/$G47</f>
        <v>0.21367521367521367</v>
      </c>
      <c r="I47" s="103">
        <f t="shared" si="23"/>
        <v>0.34273504273504274</v>
      </c>
      <c r="J47" s="103">
        <f t="shared" si="23"/>
        <v>0.46239316239316242</v>
      </c>
      <c r="K47" s="103">
        <f t="shared" si="23"/>
        <v>0.55299145299145303</v>
      </c>
      <c r="L47" s="103">
        <f t="shared" si="23"/>
        <v>0.60256410256410253</v>
      </c>
      <c r="M47" s="103">
        <f t="shared" si="23"/>
        <v>0.67350427350427355</v>
      </c>
      <c r="N47" s="103">
        <f t="shared" si="23"/>
        <v>0.7615384615384615</v>
      </c>
      <c r="O47" s="103">
        <f t="shared" si="23"/>
        <v>0.85213675213675211</v>
      </c>
      <c r="P47" s="103">
        <f t="shared" si="23"/>
        <v>0.94615384615384612</v>
      </c>
      <c r="Q47" s="103">
        <f t="shared" si="23"/>
        <v>1.1512820512820512</v>
      </c>
      <c r="R47" s="103">
        <f t="shared" si="23"/>
        <v>1.3606837606837607</v>
      </c>
      <c r="S47" s="103">
        <f t="shared" si="23"/>
        <v>1.4632478632478632</v>
      </c>
      <c r="T47" s="83"/>
    </row>
    <row r="48" spans="1:20" s="76" customFormat="1" ht="19.2" customHeight="1" x14ac:dyDescent="0.3">
      <c r="A48" s="80" t="s">
        <v>144</v>
      </c>
      <c r="B48" s="87"/>
      <c r="C48" s="86"/>
      <c r="D48" s="86"/>
      <c r="E48" s="102"/>
      <c r="F48" s="102"/>
      <c r="G48" s="102"/>
      <c r="H48" s="103">
        <f t="shared" ref="H48:S48" si="24">H47/(H$3-$G$3)</f>
        <v>0.21367521367521367</v>
      </c>
      <c r="I48" s="103">
        <f t="shared" si="24"/>
        <v>0.17136752136752137</v>
      </c>
      <c r="J48" s="103">
        <f t="shared" si="24"/>
        <v>0.15413105413105413</v>
      </c>
      <c r="K48" s="103">
        <f t="shared" si="24"/>
        <v>0.13824786324786326</v>
      </c>
      <c r="L48" s="103">
        <f t="shared" si="24"/>
        <v>0.1205128205128205</v>
      </c>
      <c r="M48" s="103">
        <f t="shared" si="24"/>
        <v>0.11225071225071226</v>
      </c>
      <c r="N48" s="103">
        <f t="shared" si="24"/>
        <v>0.10879120879120878</v>
      </c>
      <c r="O48" s="103">
        <f t="shared" si="24"/>
        <v>0.10651709401709401</v>
      </c>
      <c r="P48" s="103">
        <f t="shared" si="24"/>
        <v>0.10512820512820513</v>
      </c>
      <c r="Q48" s="103">
        <f t="shared" si="24"/>
        <v>0.11512820512820512</v>
      </c>
      <c r="R48" s="103">
        <f t="shared" si="24"/>
        <v>0.1236985236985237</v>
      </c>
      <c r="S48" s="103">
        <f t="shared" si="24"/>
        <v>0.12193732193732193</v>
      </c>
      <c r="T48" s="83"/>
    </row>
    <row r="49" spans="1:20" s="76" customFormat="1" ht="19.2" customHeight="1" x14ac:dyDescent="0.3">
      <c r="A49" s="80"/>
      <c r="B49" s="87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3"/>
    </row>
    <row r="50" spans="1:20" s="76" customFormat="1" ht="19.2" customHeight="1" x14ac:dyDescent="0.3">
      <c r="A50" s="80" t="s">
        <v>145</v>
      </c>
      <c r="B50" s="87"/>
      <c r="C50" s="86"/>
      <c r="D50" s="86"/>
      <c r="E50" s="102"/>
      <c r="F50" s="104"/>
      <c r="G50" s="104"/>
      <c r="H50" s="104"/>
      <c r="I50" s="104"/>
      <c r="J50" s="103">
        <f t="shared" ref="J50:S50" si="25">(J43-$I43)/$I43</f>
        <v>8.9115213239974539E-2</v>
      </c>
      <c r="K50" s="103">
        <f t="shared" si="25"/>
        <v>0.15658816040738383</v>
      </c>
      <c r="L50" s="103">
        <f t="shared" si="25"/>
        <v>0.19350732017823041</v>
      </c>
      <c r="M50" s="103">
        <f t="shared" si="25"/>
        <v>0.24633991088478677</v>
      </c>
      <c r="N50" s="103">
        <f t="shared" si="25"/>
        <v>0.3119032463399109</v>
      </c>
      <c r="O50" s="103">
        <f t="shared" si="25"/>
        <v>0.37937619350732016</v>
      </c>
      <c r="P50" s="103">
        <f t="shared" si="25"/>
        <v>0.44939528962444303</v>
      </c>
      <c r="Q50" s="103">
        <f t="shared" si="25"/>
        <v>0.60216422660725655</v>
      </c>
      <c r="R50" s="103">
        <f t="shared" si="25"/>
        <v>0.75811584977721191</v>
      </c>
      <c r="S50" s="103">
        <f t="shared" si="25"/>
        <v>0.8345003182686187</v>
      </c>
      <c r="T50" s="83"/>
    </row>
    <row r="51" spans="1:20" s="76" customFormat="1" ht="19.2" customHeight="1" x14ac:dyDescent="0.3">
      <c r="A51" s="80" t="s">
        <v>146</v>
      </c>
      <c r="B51" s="87"/>
      <c r="C51" s="86"/>
      <c r="D51" s="86"/>
      <c r="E51" s="102"/>
      <c r="F51" s="102"/>
      <c r="G51" s="102"/>
      <c r="H51" s="102"/>
      <c r="I51" s="102"/>
      <c r="J51" s="103">
        <f t="shared" ref="J51:S51" si="26">J50/(J$3-$I$3)</f>
        <v>8.9115213239974539E-2</v>
      </c>
      <c r="K51" s="103">
        <f t="shared" si="26"/>
        <v>7.8294080203691913E-2</v>
      </c>
      <c r="L51" s="103">
        <f t="shared" si="26"/>
        <v>6.4502440059410138E-2</v>
      </c>
      <c r="M51" s="103">
        <f t="shared" si="26"/>
        <v>6.1584977721196692E-2</v>
      </c>
      <c r="N51" s="103">
        <f t="shared" si="26"/>
        <v>6.2380649267982181E-2</v>
      </c>
      <c r="O51" s="103">
        <f t="shared" si="26"/>
        <v>6.322936558455336E-2</v>
      </c>
      <c r="P51" s="103">
        <f t="shared" si="26"/>
        <v>6.4199327089206143E-2</v>
      </c>
      <c r="Q51" s="103">
        <f t="shared" si="26"/>
        <v>7.5270528325907068E-2</v>
      </c>
      <c r="R51" s="103">
        <f t="shared" si="26"/>
        <v>8.423509441969021E-2</v>
      </c>
      <c r="S51" s="103">
        <f t="shared" si="26"/>
        <v>8.3450031826861865E-2</v>
      </c>
      <c r="T51" s="83"/>
    </row>
    <row r="52" spans="1:20" s="76" customFormat="1" ht="19.2" customHeight="1" x14ac:dyDescent="0.3">
      <c r="A52" s="80"/>
      <c r="B52" s="87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3"/>
    </row>
    <row r="53" spans="1:20" s="76" customFormat="1" ht="4.95" customHeight="1" x14ac:dyDescent="0.3">
      <c r="A53" s="83"/>
      <c r="B53" s="83"/>
      <c r="C53" s="83"/>
      <c r="D53" s="83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3"/>
    </row>
    <row r="54" spans="1:20" s="76" customFormat="1" ht="19.2" customHeight="1" x14ac:dyDescent="0.3">
      <c r="A54" s="80"/>
      <c r="B54" s="87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3"/>
    </row>
    <row r="55" spans="1:20" s="76" customFormat="1" ht="19.2" customHeight="1" x14ac:dyDescent="0.3">
      <c r="A55" s="85" t="s">
        <v>129</v>
      </c>
      <c r="B55" s="88"/>
      <c r="C55" s="89"/>
      <c r="D55" s="89"/>
      <c r="E55" s="6">
        <f>'Rate Base'!E10/1000</f>
        <v>20806</v>
      </c>
      <c r="F55" s="6">
        <f>'Rate Base'!F10/1000</f>
        <v>33683</v>
      </c>
      <c r="G55" s="6">
        <f>'Rate Base'!G10/1000</f>
        <v>35241</v>
      </c>
      <c r="H55" s="6">
        <f>'Rate Base'!H10/1000</f>
        <v>37742</v>
      </c>
      <c r="I55" s="6">
        <f>'Rate Base'!I10/1000</f>
        <v>37424</v>
      </c>
      <c r="J55" s="6">
        <f>'Rate Base'!J10/1000</f>
        <v>39625</v>
      </c>
      <c r="K55" s="6">
        <f>'Rate Base'!K10/1000</f>
        <v>41269</v>
      </c>
      <c r="L55" s="6">
        <f>'Rate Base'!L10/1000</f>
        <v>41115</v>
      </c>
      <c r="M55" s="6">
        <f>'Rate Base'!M10/1000</f>
        <v>41537</v>
      </c>
      <c r="N55" s="6">
        <f>'Rate Base'!N10/1000</f>
        <v>42411</v>
      </c>
      <c r="O55" s="6">
        <f>'Rate Base'!O10/1000</f>
        <v>43272</v>
      </c>
      <c r="P55" s="6">
        <f>'Rate Base'!P10/1000</f>
        <v>44117</v>
      </c>
      <c r="Q55" s="6">
        <f>'Rate Base'!Q10/1000</f>
        <v>48712</v>
      </c>
      <c r="R55" s="6">
        <f>'Rate Base'!R10/1000</f>
        <v>53156</v>
      </c>
      <c r="S55" s="6">
        <f>'Rate Base'!S10/1000</f>
        <v>53678</v>
      </c>
      <c r="T55" s="83"/>
    </row>
    <row r="56" spans="1:20" s="76" customFormat="1" ht="19.2" customHeight="1" x14ac:dyDescent="0.3">
      <c r="A56" s="80" t="s">
        <v>141</v>
      </c>
      <c r="B56" s="87"/>
      <c r="C56" s="86"/>
      <c r="D56" s="86"/>
      <c r="E56" s="102"/>
      <c r="F56" s="103">
        <f t="shared" ref="F56:S56" si="27">(F55-$E55)/$E55</f>
        <v>0.61890800730558493</v>
      </c>
      <c r="G56" s="103">
        <f t="shared" si="27"/>
        <v>0.69379025281168893</v>
      </c>
      <c r="H56" s="103">
        <f t="shared" si="27"/>
        <v>0.8139959627030664</v>
      </c>
      <c r="I56" s="103">
        <f t="shared" si="27"/>
        <v>0.7987119100259541</v>
      </c>
      <c r="J56" s="103">
        <f t="shared" si="27"/>
        <v>0.90449870229741425</v>
      </c>
      <c r="K56" s="103">
        <f t="shared" si="27"/>
        <v>0.98351437085456117</v>
      </c>
      <c r="L56" s="103">
        <f t="shared" si="27"/>
        <v>0.97611265980967032</v>
      </c>
      <c r="M56" s="103">
        <f t="shared" si="27"/>
        <v>0.99639527059502064</v>
      </c>
      <c r="N56" s="103">
        <f t="shared" si="27"/>
        <v>1.0384023839277132</v>
      </c>
      <c r="O56" s="103">
        <f t="shared" si="27"/>
        <v>1.079784677496876</v>
      </c>
      <c r="P56" s="103">
        <f t="shared" si="27"/>
        <v>1.1203979621263098</v>
      </c>
      <c r="Q56" s="103">
        <f t="shared" si="27"/>
        <v>1.3412477170047101</v>
      </c>
      <c r="R56" s="103">
        <f t="shared" si="27"/>
        <v>1.554839950014419</v>
      </c>
      <c r="S56" s="103">
        <f t="shared" si="27"/>
        <v>1.5799288666730751</v>
      </c>
      <c r="T56" s="83"/>
    </row>
    <row r="57" spans="1:20" s="76" customFormat="1" ht="19.2" customHeight="1" x14ac:dyDescent="0.3">
      <c r="A57" s="80" t="s">
        <v>142</v>
      </c>
      <c r="B57" s="87"/>
      <c r="C57" s="86"/>
      <c r="D57" s="86"/>
      <c r="E57" s="102"/>
      <c r="F57" s="103">
        <f t="shared" ref="F57:S57" si="28">F56/F$3</f>
        <v>8.8415429615083557E-2</v>
      </c>
      <c r="G57" s="103">
        <f t="shared" si="28"/>
        <v>8.6723781601461117E-2</v>
      </c>
      <c r="H57" s="103">
        <f t="shared" si="28"/>
        <v>9.044399585589627E-2</v>
      </c>
      <c r="I57" s="103">
        <f t="shared" si="28"/>
        <v>7.9871191002595404E-2</v>
      </c>
      <c r="J57" s="103">
        <f t="shared" si="28"/>
        <v>8.2227154754310389E-2</v>
      </c>
      <c r="K57" s="103">
        <f t="shared" si="28"/>
        <v>8.195953090454676E-2</v>
      </c>
      <c r="L57" s="103">
        <f t="shared" si="28"/>
        <v>7.5085589216128484E-2</v>
      </c>
      <c r="M57" s="103">
        <f t="shared" si="28"/>
        <v>7.1171090756787195E-2</v>
      </c>
      <c r="N57" s="103">
        <f t="shared" si="28"/>
        <v>6.9226825595180883E-2</v>
      </c>
      <c r="O57" s="103">
        <f t="shared" si="28"/>
        <v>6.7486542343554751E-2</v>
      </c>
      <c r="P57" s="103">
        <f t="shared" si="28"/>
        <v>6.5905762478018229E-2</v>
      </c>
      <c r="Q57" s="103">
        <f t="shared" si="28"/>
        <v>7.4513762055817223E-2</v>
      </c>
      <c r="R57" s="103">
        <f t="shared" si="28"/>
        <v>8.1833681579706261E-2</v>
      </c>
      <c r="S57" s="103">
        <f t="shared" si="28"/>
        <v>7.8996443333653757E-2</v>
      </c>
      <c r="T57" s="83"/>
    </row>
    <row r="58" spans="1:20" s="76" customFormat="1" ht="19.2" customHeight="1" x14ac:dyDescent="0.3">
      <c r="A58" s="80"/>
      <c r="B58" s="87"/>
      <c r="C58" s="86"/>
      <c r="D58" s="86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83"/>
    </row>
    <row r="59" spans="1:20" s="76" customFormat="1" ht="19.2" customHeight="1" x14ac:dyDescent="0.3">
      <c r="A59" s="80" t="s">
        <v>143</v>
      </c>
      <c r="B59" s="87"/>
      <c r="C59" s="86"/>
      <c r="D59" s="86"/>
      <c r="E59" s="102"/>
      <c r="F59" s="104"/>
      <c r="G59" s="105">
        <v>35077</v>
      </c>
      <c r="H59" s="103">
        <f>(H55-$G59)/$G59</f>
        <v>7.5975710579582065E-2</v>
      </c>
      <c r="I59" s="103">
        <f t="shared" ref="I59:S59" si="29">(I55-$G55)/$G55</f>
        <v>6.1944893731732925E-2</v>
      </c>
      <c r="J59" s="103">
        <f t="shared" si="29"/>
        <v>0.12440055617036974</v>
      </c>
      <c r="K59" s="103">
        <f t="shared" si="29"/>
        <v>0.1710507647342584</v>
      </c>
      <c r="L59" s="103">
        <f t="shared" si="29"/>
        <v>0.16668085468630289</v>
      </c>
      <c r="M59" s="103">
        <f t="shared" si="29"/>
        <v>0.17865554325927188</v>
      </c>
      <c r="N59" s="103">
        <f t="shared" si="29"/>
        <v>0.20345620158338298</v>
      </c>
      <c r="O59" s="103">
        <f t="shared" si="29"/>
        <v>0.22788797139695241</v>
      </c>
      <c r="P59" s="103">
        <f t="shared" si="29"/>
        <v>0.25186572458216283</v>
      </c>
      <c r="Q59" s="103">
        <f t="shared" si="29"/>
        <v>0.38225362503901705</v>
      </c>
      <c r="R59" s="103">
        <f t="shared" si="29"/>
        <v>0.50835674356573313</v>
      </c>
      <c r="S59" s="103">
        <f t="shared" si="29"/>
        <v>0.52316903606594589</v>
      </c>
      <c r="T59" s="83"/>
    </row>
    <row r="60" spans="1:20" s="76" customFormat="1" ht="19.2" customHeight="1" x14ac:dyDescent="0.3">
      <c r="A60" s="80" t="s">
        <v>144</v>
      </c>
      <c r="B60" s="87"/>
      <c r="C60" s="86"/>
      <c r="D60" s="86"/>
      <c r="E60" s="102"/>
      <c r="F60" s="102"/>
      <c r="G60" s="102"/>
      <c r="H60" s="103">
        <f t="shared" ref="H60:S60" si="30">H59/(H$3-$G$3)</f>
        <v>7.5975710579582065E-2</v>
      </c>
      <c r="I60" s="103">
        <f t="shared" si="30"/>
        <v>3.0972446865866463E-2</v>
      </c>
      <c r="J60" s="103">
        <f t="shared" si="30"/>
        <v>4.1466852056789912E-2</v>
      </c>
      <c r="K60" s="103">
        <f t="shared" si="30"/>
        <v>4.27626911835646E-2</v>
      </c>
      <c r="L60" s="103">
        <f t="shared" si="30"/>
        <v>3.333617093726058E-2</v>
      </c>
      <c r="M60" s="103">
        <f t="shared" si="30"/>
        <v>2.9775923876545315E-2</v>
      </c>
      <c r="N60" s="103">
        <f t="shared" si="30"/>
        <v>2.9065171654768997E-2</v>
      </c>
      <c r="O60" s="103">
        <f t="shared" si="30"/>
        <v>2.8485996424619051E-2</v>
      </c>
      <c r="P60" s="103">
        <f t="shared" si="30"/>
        <v>2.7985080509129203E-2</v>
      </c>
      <c r="Q60" s="103">
        <f t="shared" si="30"/>
        <v>3.8225362503901704E-2</v>
      </c>
      <c r="R60" s="103">
        <f t="shared" si="30"/>
        <v>4.6214249415066647E-2</v>
      </c>
      <c r="S60" s="103">
        <f t="shared" si="30"/>
        <v>4.3597419672162158E-2</v>
      </c>
      <c r="T60" s="83"/>
    </row>
    <row r="61" spans="1:20" s="76" customFormat="1" ht="19.2" customHeight="1" x14ac:dyDescent="0.3">
      <c r="A61" s="80"/>
      <c r="B61" s="87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3"/>
    </row>
    <row r="62" spans="1:20" s="76" customFormat="1" ht="19.2" customHeight="1" x14ac:dyDescent="0.3">
      <c r="A62" s="80" t="s">
        <v>145</v>
      </c>
      <c r="B62" s="87"/>
      <c r="C62" s="86"/>
      <c r="D62" s="86"/>
      <c r="E62" s="102"/>
      <c r="F62" s="104"/>
      <c r="G62" s="104"/>
      <c r="H62" s="104"/>
      <c r="I62" s="104"/>
      <c r="J62" s="103">
        <f t="shared" ref="J62:S62" si="31">(J55-$I55)/$I55</f>
        <v>5.8812526720820865E-2</v>
      </c>
      <c r="K62" s="103">
        <f t="shared" si="31"/>
        <v>0.1027415562206071</v>
      </c>
      <c r="L62" s="103">
        <f t="shared" si="31"/>
        <v>9.8626549807610084E-2</v>
      </c>
      <c r="M62" s="103">
        <f t="shared" si="31"/>
        <v>0.10990273621205643</v>
      </c>
      <c r="N62" s="103">
        <f t="shared" si="31"/>
        <v>0.13325673364685764</v>
      </c>
      <c r="O62" s="103">
        <f t="shared" si="31"/>
        <v>0.15626336041043182</v>
      </c>
      <c r="P62" s="103">
        <f t="shared" si="31"/>
        <v>0.17884245404018811</v>
      </c>
      <c r="Q62" s="103">
        <f t="shared" si="31"/>
        <v>0.30162462590850792</v>
      </c>
      <c r="R62" s="103">
        <f t="shared" si="31"/>
        <v>0.42037195382642156</v>
      </c>
      <c r="S62" s="103">
        <f t="shared" si="31"/>
        <v>0.43432022231722961</v>
      </c>
      <c r="T62" s="83"/>
    </row>
    <row r="63" spans="1:20" s="76" customFormat="1" ht="19.2" customHeight="1" x14ac:dyDescent="0.3">
      <c r="A63" s="80" t="s">
        <v>146</v>
      </c>
      <c r="B63" s="87"/>
      <c r="C63" s="86"/>
      <c r="D63" s="86"/>
      <c r="E63" s="102"/>
      <c r="F63" s="102"/>
      <c r="G63" s="102"/>
      <c r="H63" s="102"/>
      <c r="I63" s="102"/>
      <c r="J63" s="103">
        <f t="shared" ref="J63:S63" si="32">J62/(J$3-$I$3)</f>
        <v>5.8812526720820865E-2</v>
      </c>
      <c r="K63" s="103">
        <f t="shared" si="32"/>
        <v>5.137077811030355E-2</v>
      </c>
      <c r="L63" s="103">
        <f t="shared" si="32"/>
        <v>3.2875516602536695E-2</v>
      </c>
      <c r="M63" s="103">
        <f t="shared" si="32"/>
        <v>2.7475684053014107E-2</v>
      </c>
      <c r="N63" s="103">
        <f t="shared" si="32"/>
        <v>2.6651346729371528E-2</v>
      </c>
      <c r="O63" s="103">
        <f t="shared" si="32"/>
        <v>2.6043893401738637E-2</v>
      </c>
      <c r="P63" s="103">
        <f t="shared" si="32"/>
        <v>2.5548922005741159E-2</v>
      </c>
      <c r="Q63" s="103">
        <f t="shared" si="32"/>
        <v>3.7703078238563489E-2</v>
      </c>
      <c r="R63" s="103">
        <f t="shared" si="32"/>
        <v>4.6707994869602393E-2</v>
      </c>
      <c r="S63" s="103">
        <f t="shared" si="32"/>
        <v>4.3432022231722961E-2</v>
      </c>
      <c r="T63" s="83"/>
    </row>
    <row r="64" spans="1:20" s="76" customFormat="1" ht="19.2" customHeight="1" x14ac:dyDescent="0.3">
      <c r="A64" s="86"/>
      <c r="B64" s="87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3"/>
    </row>
    <row r="65" spans="1:20" s="76" customFormat="1" ht="4.95" customHeight="1" x14ac:dyDescent="0.3">
      <c r="A65" s="83"/>
      <c r="B65" s="83"/>
      <c r="C65" s="83"/>
      <c r="D65" s="83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3"/>
    </row>
    <row r="66" spans="1:20" s="76" customFormat="1" ht="19.2" customHeight="1" x14ac:dyDescent="0.3">
      <c r="A66" s="86"/>
      <c r="B66" s="87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3"/>
    </row>
    <row r="67" spans="1:20" s="76" customFormat="1" ht="19.2" customHeight="1" x14ac:dyDescent="0.3">
      <c r="A67" s="85" t="s">
        <v>148</v>
      </c>
      <c r="B67" s="88"/>
      <c r="C67" s="89"/>
      <c r="D67" s="89"/>
      <c r="E67" s="77">
        <v>12916</v>
      </c>
      <c r="F67" s="77">
        <v>13875</v>
      </c>
      <c r="G67" s="77">
        <v>14061</v>
      </c>
      <c r="H67" s="77">
        <v>14199</v>
      </c>
      <c r="I67" s="77">
        <v>14337</v>
      </c>
      <c r="J67" s="77">
        <v>14475</v>
      </c>
      <c r="K67" s="77">
        <v>14613</v>
      </c>
      <c r="L67" s="77">
        <v>14761</v>
      </c>
      <c r="M67" s="77">
        <v>14909</v>
      </c>
      <c r="N67" s="77">
        <v>15057</v>
      </c>
      <c r="O67" s="77">
        <v>15205</v>
      </c>
      <c r="P67" s="77">
        <v>15353</v>
      </c>
      <c r="Q67" s="77">
        <v>15501</v>
      </c>
      <c r="R67" s="77">
        <v>15649</v>
      </c>
      <c r="S67" s="77">
        <v>15797</v>
      </c>
      <c r="T67" s="83"/>
    </row>
    <row r="68" spans="1:20" s="76" customFormat="1" ht="19.2" customHeight="1" x14ac:dyDescent="0.3">
      <c r="A68" s="80" t="s">
        <v>141</v>
      </c>
      <c r="B68" s="87"/>
      <c r="C68" s="86"/>
      <c r="D68" s="86"/>
      <c r="E68" s="102"/>
      <c r="F68" s="103">
        <f t="shared" ref="F68:S68" si="33">(F67-$E67)/$E67</f>
        <v>7.4248993496438528E-2</v>
      </c>
      <c r="G68" s="103">
        <f t="shared" si="33"/>
        <v>8.8649736760607001E-2</v>
      </c>
      <c r="H68" s="103">
        <f t="shared" si="33"/>
        <v>9.9334159182409412E-2</v>
      </c>
      <c r="I68" s="103">
        <f t="shared" si="33"/>
        <v>0.11001858160421182</v>
      </c>
      <c r="J68" s="103">
        <f t="shared" si="33"/>
        <v>0.12070300402601425</v>
      </c>
      <c r="K68" s="103">
        <f t="shared" si="33"/>
        <v>0.13138742644781667</v>
      </c>
      <c r="L68" s="103">
        <f t="shared" si="33"/>
        <v>0.14284608237844534</v>
      </c>
      <c r="M68" s="103">
        <f t="shared" si="33"/>
        <v>0.15430473830907401</v>
      </c>
      <c r="N68" s="103">
        <f t="shared" si="33"/>
        <v>0.16576339423970268</v>
      </c>
      <c r="O68" s="103">
        <f t="shared" si="33"/>
        <v>0.17722205017033138</v>
      </c>
      <c r="P68" s="103">
        <f t="shared" si="33"/>
        <v>0.18868070610096005</v>
      </c>
      <c r="Q68" s="103">
        <f t="shared" si="33"/>
        <v>0.20013936203158872</v>
      </c>
      <c r="R68" s="103">
        <f t="shared" si="33"/>
        <v>0.21159801796221742</v>
      </c>
      <c r="S68" s="103">
        <f t="shared" si="33"/>
        <v>0.22305667389284609</v>
      </c>
      <c r="T68" s="83"/>
    </row>
    <row r="69" spans="1:20" s="76" customFormat="1" ht="19.2" customHeight="1" x14ac:dyDescent="0.3">
      <c r="A69" s="80" t="s">
        <v>142</v>
      </c>
      <c r="B69" s="87"/>
      <c r="C69" s="86"/>
      <c r="D69" s="86"/>
      <c r="E69" s="102"/>
      <c r="F69" s="103">
        <f t="shared" ref="F69:S69" si="34">F68/F$3</f>
        <v>1.060699907091979E-2</v>
      </c>
      <c r="G69" s="103">
        <f t="shared" si="34"/>
        <v>1.1081217095075875E-2</v>
      </c>
      <c r="H69" s="103">
        <f t="shared" si="34"/>
        <v>1.1037128798045491E-2</v>
      </c>
      <c r="I69" s="103">
        <f t="shared" si="34"/>
        <v>1.1001858160421183E-2</v>
      </c>
      <c r="J69" s="103">
        <f t="shared" si="34"/>
        <v>1.0973000366001295E-2</v>
      </c>
      <c r="K69" s="103">
        <f t="shared" si="34"/>
        <v>1.0948952203984723E-2</v>
      </c>
      <c r="L69" s="103">
        <f t="shared" si="34"/>
        <v>1.0988160182957334E-2</v>
      </c>
      <c r="M69" s="103">
        <f t="shared" si="34"/>
        <v>1.1021767022076715E-2</v>
      </c>
      <c r="N69" s="103">
        <f t="shared" si="34"/>
        <v>1.1050892949313513E-2</v>
      </c>
      <c r="O69" s="103">
        <f t="shared" si="34"/>
        <v>1.1076378135645711E-2</v>
      </c>
      <c r="P69" s="103">
        <f t="shared" si="34"/>
        <v>1.1098865064762356E-2</v>
      </c>
      <c r="Q69" s="103">
        <f t="shared" si="34"/>
        <v>1.1118853446199374E-2</v>
      </c>
      <c r="R69" s="103">
        <f t="shared" si="34"/>
        <v>1.1136737787485126E-2</v>
      </c>
      <c r="S69" s="103">
        <f t="shared" si="34"/>
        <v>1.1152833694642305E-2</v>
      </c>
      <c r="T69" s="83"/>
    </row>
    <row r="70" spans="1:20" s="76" customFormat="1" ht="19.2" customHeight="1" x14ac:dyDescent="0.3">
      <c r="A70" s="80"/>
      <c r="B70" s="87"/>
      <c r="C70" s="86"/>
      <c r="D70" s="86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83"/>
    </row>
    <row r="71" spans="1:20" s="76" customFormat="1" ht="19.2" customHeight="1" x14ac:dyDescent="0.3">
      <c r="A71" s="80" t="s">
        <v>143</v>
      </c>
      <c r="B71" s="87"/>
      <c r="C71" s="86"/>
      <c r="D71" s="86"/>
      <c r="E71" s="102"/>
      <c r="F71" s="104"/>
      <c r="G71" s="105">
        <v>14133</v>
      </c>
      <c r="H71" s="103">
        <f t="shared" ref="H71:S71" si="35">(H67-$G71)/$G71</f>
        <v>4.6699214604118021E-3</v>
      </c>
      <c r="I71" s="103">
        <f t="shared" si="35"/>
        <v>1.4434302695818298E-2</v>
      </c>
      <c r="J71" s="103">
        <f t="shared" si="35"/>
        <v>2.4198683931224794E-2</v>
      </c>
      <c r="K71" s="103">
        <f t="shared" si="35"/>
        <v>3.3963065166631286E-2</v>
      </c>
      <c r="L71" s="103">
        <f t="shared" si="35"/>
        <v>4.4435010259675937E-2</v>
      </c>
      <c r="M71" s="103">
        <f t="shared" si="35"/>
        <v>5.4906955352720582E-2</v>
      </c>
      <c r="N71" s="103">
        <f t="shared" si="35"/>
        <v>6.5378900445765234E-2</v>
      </c>
      <c r="O71" s="103">
        <f t="shared" si="35"/>
        <v>7.5850845538809872E-2</v>
      </c>
      <c r="P71" s="103">
        <f t="shared" si="35"/>
        <v>8.6322790631854524E-2</v>
      </c>
      <c r="Q71" s="103">
        <f t="shared" si="35"/>
        <v>9.6794735724899175E-2</v>
      </c>
      <c r="R71" s="103">
        <f t="shared" si="35"/>
        <v>0.10726668081794381</v>
      </c>
      <c r="S71" s="103">
        <f t="shared" si="35"/>
        <v>0.11773862591098846</v>
      </c>
      <c r="T71" s="83"/>
    </row>
    <row r="72" spans="1:20" s="76" customFormat="1" ht="19.2" customHeight="1" x14ac:dyDescent="0.3">
      <c r="A72" s="80" t="s">
        <v>144</v>
      </c>
      <c r="B72" s="87"/>
      <c r="C72" s="86"/>
      <c r="D72" s="86"/>
      <c r="E72" s="102"/>
      <c r="F72" s="102"/>
      <c r="G72" s="102"/>
      <c r="H72" s="103">
        <f t="shared" ref="H72:S72" si="36">H71/(H$3-$G$3)</f>
        <v>4.6699214604118021E-3</v>
      </c>
      <c r="I72" s="103">
        <f t="shared" si="36"/>
        <v>7.2171513479091492E-3</v>
      </c>
      <c r="J72" s="103">
        <f t="shared" si="36"/>
        <v>8.0662279770749318E-3</v>
      </c>
      <c r="K72" s="103">
        <f t="shared" si="36"/>
        <v>8.4907662916578214E-3</v>
      </c>
      <c r="L72" s="103">
        <f t="shared" si="36"/>
        <v>8.8870020519351868E-3</v>
      </c>
      <c r="M72" s="103">
        <f t="shared" si="36"/>
        <v>9.151159225453431E-3</v>
      </c>
      <c r="N72" s="103">
        <f t="shared" si="36"/>
        <v>9.3398429208236041E-3</v>
      </c>
      <c r="O72" s="103">
        <f t="shared" si="36"/>
        <v>9.481355692351234E-3</v>
      </c>
      <c r="P72" s="103">
        <f t="shared" si="36"/>
        <v>9.5914211813171689E-3</v>
      </c>
      <c r="Q72" s="103">
        <f t="shared" si="36"/>
        <v>9.6794735724899175E-3</v>
      </c>
      <c r="R72" s="103">
        <f t="shared" si="36"/>
        <v>9.7515164379948921E-3</v>
      </c>
      <c r="S72" s="103">
        <f t="shared" si="36"/>
        <v>9.8115521592490387E-3</v>
      </c>
      <c r="T72" s="83"/>
    </row>
    <row r="73" spans="1:20" s="76" customFormat="1" ht="19.2" customHeight="1" x14ac:dyDescent="0.3">
      <c r="A73" s="80"/>
      <c r="B73" s="87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3"/>
    </row>
    <row r="74" spans="1:20" s="76" customFormat="1" ht="19.2" customHeight="1" x14ac:dyDescent="0.3">
      <c r="A74" s="80" t="s">
        <v>145</v>
      </c>
      <c r="B74" s="87"/>
      <c r="C74" s="86"/>
      <c r="D74" s="86"/>
      <c r="E74" s="102"/>
      <c r="F74" s="104"/>
      <c r="G74" s="104"/>
      <c r="H74" s="104"/>
      <c r="I74" s="104"/>
      <c r="J74" s="103">
        <f t="shared" ref="J74:S74" si="37">(J67-$I67)/$I67</f>
        <v>9.6254446536932405E-3</v>
      </c>
      <c r="K74" s="103">
        <f t="shared" si="37"/>
        <v>1.9250889307386481E-2</v>
      </c>
      <c r="L74" s="103">
        <f t="shared" si="37"/>
        <v>2.9573829950477786E-2</v>
      </c>
      <c r="M74" s="103">
        <f t="shared" si="37"/>
        <v>3.9896770593569088E-2</v>
      </c>
      <c r="N74" s="103">
        <f t="shared" si="37"/>
        <v>5.0219711236660386E-2</v>
      </c>
      <c r="O74" s="103">
        <f t="shared" si="37"/>
        <v>6.0542651879751691E-2</v>
      </c>
      <c r="P74" s="103">
        <f t="shared" si="37"/>
        <v>7.0865592522842996E-2</v>
      </c>
      <c r="Q74" s="103">
        <f t="shared" si="37"/>
        <v>8.1188533165934301E-2</v>
      </c>
      <c r="R74" s="103">
        <f t="shared" si="37"/>
        <v>9.1511473809025592E-2</v>
      </c>
      <c r="S74" s="103">
        <f t="shared" si="37"/>
        <v>0.1018344144521169</v>
      </c>
      <c r="T74" s="83"/>
    </row>
    <row r="75" spans="1:20" s="76" customFormat="1" ht="19.2" customHeight="1" x14ac:dyDescent="0.3">
      <c r="A75" s="80" t="s">
        <v>146</v>
      </c>
      <c r="B75" s="87"/>
      <c r="C75" s="86"/>
      <c r="D75" s="86"/>
      <c r="E75" s="102"/>
      <c r="F75" s="102"/>
      <c r="G75" s="102"/>
      <c r="H75" s="102"/>
      <c r="I75" s="102"/>
      <c r="J75" s="103">
        <f t="shared" ref="J75:S75" si="38">J74/(J$3-$I$3)</f>
        <v>9.6254446536932405E-3</v>
      </c>
      <c r="K75" s="103">
        <f t="shared" si="38"/>
        <v>9.6254446536932405E-3</v>
      </c>
      <c r="L75" s="103">
        <f t="shared" si="38"/>
        <v>9.8579433168259293E-3</v>
      </c>
      <c r="M75" s="103">
        <f t="shared" si="38"/>
        <v>9.9741926483922719E-3</v>
      </c>
      <c r="N75" s="103">
        <f t="shared" si="38"/>
        <v>1.0043942247332077E-2</v>
      </c>
      <c r="O75" s="103">
        <f t="shared" si="38"/>
        <v>1.0090441979958615E-2</v>
      </c>
      <c r="P75" s="103">
        <f t="shared" si="38"/>
        <v>1.0123656074691857E-2</v>
      </c>
      <c r="Q75" s="103">
        <f t="shared" si="38"/>
        <v>1.0148566645741788E-2</v>
      </c>
      <c r="R75" s="103">
        <f t="shared" si="38"/>
        <v>1.0167941534336178E-2</v>
      </c>
      <c r="S75" s="103">
        <f t="shared" si="38"/>
        <v>1.018344144521169E-2</v>
      </c>
      <c r="T75" s="83"/>
    </row>
    <row r="76" spans="1:20" s="76" customFormat="1" ht="19.2" customHeight="1" x14ac:dyDescent="0.3">
      <c r="T76" s="83"/>
    </row>
    <row r="77" spans="1:20" s="76" customFormat="1" ht="19.2" customHeight="1" x14ac:dyDescent="0.3">
      <c r="T77" s="83"/>
    </row>
    <row r="78" spans="1:20" ht="19.2" customHeight="1" x14ac:dyDescent="0.3">
      <c r="A78" s="108" t="s">
        <v>149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</row>
  </sheetData>
  <printOptions horizontalCentered="1"/>
  <pageMargins left="3.9370078740157501E-2" right="3.9370078740157501E-2" top="0.98425196850393704" bottom="0.78740157480314998" header="0.511811023622047" footer="0.511811023622047"/>
  <pageSetup scale="85" orientation="portrait" r:id="rId1"/>
  <headerFooter alignWithMargins="0">
    <oddHeader>&amp;L&amp;"Arial,Bold"&amp;12ORILLIA Power
Distribution Corporation&amp;R&amp;"Arial,Bold Italic"&amp;9Page &amp;P
of &amp;N</oddHeader>
    <oddFooter>&amp;L&amp;"Arial,Bold Italic"&amp;9Finance and Administration
P.J. Hurley&amp;C&amp;"Arial,Bold Italic"&amp;9&amp;F
&amp;A&amp;R&amp;"Arial,Bold Italic"&amp;9&amp;D
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3be11fb62918f1b8a2616de86b1e8e7b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1e32aabbae948a7e89c088a3fff19602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Kathleen Burke"/>
              <xsd:enumeration value="Uri Akselrud"/>
              <xsd:enumeration value="Oren Ben-Shlomo"/>
              <xsd:enumeration value="Stephen Vetsis"/>
              <xsd:enumeration value="Alex Zbarcea"/>
              <xsd:enumeration value="208166 - HA"/>
              <xsd:enumeration value="184748 - JR"/>
              <xsd:enumeration value="178404 - JS"/>
              <xsd:enumeration value="209042 - KB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EB-2018-0280</Case_x0020_Number_x002f_Docket_x0020_Number>
    <Issue_x0020_Date xmlns="f9175001-c430-4d57-adde-c1c10539e919">2019-10-18T04:00:00+00:00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false</Draft_Ready>
    <Document_x0020_Type xmlns="f9175001-c430-4d57-adde-c1c10539e919">Correspondence</Document_x0020_Type>
    <RA_x0020_Contact xmlns="31a38067-a042-4e0e-9037-517587b10700">184748 - JR</RA_x0020_Contact>
    <Hydro_x0020_One_x0020_Data_x0020_Classification xmlns="f0af1d65-dfd0-4b99-b523-def3a954563f">Internal Use</Hydro_x0020_One_x0020_Data_x0020_Classification>
    <RA_Approved xmlns="22557c5e-ecd2-4fce-aafc-6d8488508737">false</RA_Approved>
    <Fin_Approved xmlns="22557c5e-ecd2-4fce-aafc-6d8488508737">false</Fin_Approved>
    <Dir_Approved xmlns="22557c5e-ecd2-4fce-aafc-6d8488508737">false</Dir_Approved>
  </documentManagement>
</p:properties>
</file>

<file path=customXml/itemProps1.xml><?xml version="1.0" encoding="utf-8"?>
<ds:datastoreItem xmlns:ds="http://schemas.openxmlformats.org/officeDocument/2006/customXml" ds:itemID="{98DBE66E-8145-4E09-8EFB-B440B512F437}"/>
</file>

<file path=customXml/itemProps2.xml><?xml version="1.0" encoding="utf-8"?>
<ds:datastoreItem xmlns:ds="http://schemas.openxmlformats.org/officeDocument/2006/customXml" ds:itemID="{EFF0692E-F27C-49EF-A04A-C49FC70EC034}"/>
</file>

<file path=customXml/itemProps3.xml><?xml version="1.0" encoding="utf-8"?>
<ds:datastoreItem xmlns:ds="http://schemas.openxmlformats.org/officeDocument/2006/customXml" ds:itemID="{150D0E60-6E84-4BE1-A026-CB4E8920E8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ATTACHMENT 18</vt:lpstr>
      <vt:lpstr>RR SUMMARY</vt:lpstr>
      <vt:lpstr>Rate Base</vt:lpstr>
      <vt:lpstr>OMA_WC_CAPEX</vt:lpstr>
      <vt:lpstr>Taxes</vt:lpstr>
      <vt:lpstr>Cost of Capital</vt:lpstr>
      <vt:lpstr>Key Value Summary</vt:lpstr>
      <vt:lpstr>'RR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JT-1.06-01 - OPDC Rev Req_2017 to 2030</dc:title>
  <dc:creator>Microsoft Office User</dc:creator>
  <cp:lastModifiedBy>Joanne Richardson</cp:lastModifiedBy>
  <cp:lastPrinted>2019-10-09T19:17:54Z</cp:lastPrinted>
  <dcterms:created xsi:type="dcterms:W3CDTF">2019-10-09T13:15:25Z</dcterms:created>
  <dcterms:modified xsi:type="dcterms:W3CDTF">2019-10-09T19:24:51Z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</Properties>
</file>