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N:\Regulatory\OEB\Applications - OEB\MAAD\Midland MAAD\17. Cost Allocation\2- Cost Allocation Application\Final\Submission Nov 2019\"/>
    </mc:Choice>
  </mc:AlternateContent>
  <xr:revisionPtr revIDLastSave="0" documentId="13_ncr:1_{EB7EA3FC-353E-4C30-9C21-20BA8C0FDB80}" xr6:coauthVersionLast="45" xr6:coauthVersionMax="45" xr10:uidLastSave="{00000000-0000-0000-0000-000000000000}"/>
  <bookViews>
    <workbookView xWindow="1368" yWindow="1368" windowWidth="24768" windowHeight="9744" firstSheet="7" activeTab="9" xr2:uid="{951FF97C-B4AF-4863-BAC3-C87C5330FB08}"/>
  </bookViews>
  <sheets>
    <sheet name="Table 8" sheetId="15" r:id="rId1"/>
    <sheet name="Table 9" sheetId="6" r:id="rId2"/>
    <sheet name="Table 10" sheetId="13" r:id="rId3"/>
    <sheet name="Table 11" sheetId="14" r:id="rId4"/>
    <sheet name="Table 12" sheetId="7" r:id="rId5"/>
    <sheet name="Table 13" sheetId="8" r:id="rId6"/>
    <sheet name="Table 14" sheetId="18" r:id="rId7"/>
    <sheet name="2019 proposed tariff NTRZ" sheetId="9" r:id="rId8"/>
    <sheet name="2019 proposed tariff MRZ" sheetId="11" r:id="rId9"/>
    <sheet name="Bill impacts NTRZ" sheetId="10" r:id="rId10"/>
    <sheet name="Bill impacts MRZ" sheetId="12" r:id="rId11"/>
  </sheets>
  <externalReferences>
    <externalReference r:id="rId12"/>
    <externalReference r:id="rId13"/>
    <externalReference r:id="rId14"/>
    <externalReference r:id="rId15"/>
  </externalReferences>
  <definedNames>
    <definedName name="MidPeak">'[1]17. Regulatory Charges'!$D$24</definedName>
    <definedName name="OffPeak">'[1]17. Regulatory Charges'!$D$23</definedName>
    <definedName name="OnPeak">'[1]17. Regulatory Charges'!$D$25</definedName>
    <definedName name="_xlnm.Print_Area" localSheetId="10">'Bill impacts MRZ'!$B$1:$K$325</definedName>
    <definedName name="_xlnm.Print_Area" localSheetId="9">'Bill impacts NTRZ'!$B$1:$K$325</definedName>
    <definedName name="_xlnm.Print_Area" localSheetId="2">'Table 10'!$A$1:$O$21</definedName>
    <definedName name="_xlnm.Print_Area" localSheetId="3">'Table 11'!$A$1:$O$19</definedName>
    <definedName name="_xlnm.Print_Area" localSheetId="0">'Table 8'!$A$1:$J$20</definedName>
    <definedName name="_xlnm.Print_Area" localSheetId="1">'Table 9'!$A$1:$O$22</definedName>
    <definedName name="SME">'[1]17. Regulatory Charges'!$D$33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8" l="1"/>
  <c r="G18" i="18"/>
  <c r="G17" i="18"/>
  <c r="G16" i="18"/>
  <c r="G15" i="18"/>
  <c r="G13" i="18"/>
  <c r="G12" i="18"/>
  <c r="G11" i="18"/>
  <c r="G10" i="18"/>
  <c r="G9" i="18"/>
  <c r="G8" i="18"/>
  <c r="G7" i="18"/>
  <c r="B19" i="18"/>
  <c r="B18" i="18"/>
  <c r="B17" i="18"/>
  <c r="B16" i="18"/>
  <c r="B15" i="18"/>
  <c r="B13" i="18"/>
  <c r="B12" i="18"/>
  <c r="B11" i="18"/>
  <c r="B10" i="18"/>
  <c r="B9" i="18"/>
  <c r="B8" i="18"/>
  <c r="B7" i="18"/>
  <c r="C19" i="18"/>
  <c r="A1" i="18"/>
  <c r="D19" i="18" l="1"/>
  <c r="A1" i="7"/>
  <c r="A1" i="14"/>
  <c r="A1" i="13"/>
  <c r="A1" i="8"/>
  <c r="F7" i="14"/>
  <c r="C6" i="8" s="1"/>
  <c r="C18" i="8"/>
  <c r="E18" i="7"/>
  <c r="B12" i="14"/>
  <c r="B11" i="14"/>
  <c r="B10" i="14"/>
  <c r="B7" i="14"/>
  <c r="C7" i="14" s="1"/>
  <c r="H19" i="13"/>
  <c r="D19" i="13"/>
  <c r="B19" i="14" l="1"/>
  <c r="H319" i="12" l="1"/>
  <c r="I319" i="12" s="1"/>
  <c r="J319" i="12" s="1"/>
  <c r="K319" i="12" s="1"/>
  <c r="G319" i="12"/>
  <c r="E319" i="12"/>
  <c r="F319" i="12" s="1"/>
  <c r="H318" i="12"/>
  <c r="G318" i="12"/>
  <c r="F318" i="12"/>
  <c r="E318" i="12"/>
  <c r="H317" i="12"/>
  <c r="G317" i="12"/>
  <c r="I317" i="12" s="1"/>
  <c r="E317" i="12"/>
  <c r="D317" i="12"/>
  <c r="H316" i="12"/>
  <c r="G316" i="12"/>
  <c r="I316" i="12" s="1"/>
  <c r="E316" i="12"/>
  <c r="D316" i="12"/>
  <c r="H315" i="12"/>
  <c r="G315" i="12"/>
  <c r="I315" i="12" s="1"/>
  <c r="E315" i="12"/>
  <c r="D315" i="12"/>
  <c r="G313" i="12"/>
  <c r="I313" i="12" s="1"/>
  <c r="F313" i="12"/>
  <c r="H312" i="12"/>
  <c r="I312" i="12" s="1"/>
  <c r="J312" i="12" s="1"/>
  <c r="K312" i="12" s="1"/>
  <c r="G312" i="12"/>
  <c r="E312" i="12"/>
  <c r="F312" i="12" s="1"/>
  <c r="H311" i="12"/>
  <c r="I311" i="12" s="1"/>
  <c r="J311" i="12" s="1"/>
  <c r="K311" i="12" s="1"/>
  <c r="G311" i="12"/>
  <c r="G309" i="12"/>
  <c r="G308" i="12"/>
  <c r="E308" i="12"/>
  <c r="F308" i="12" s="1"/>
  <c r="H306" i="12"/>
  <c r="I306" i="12" s="1"/>
  <c r="J306" i="12" s="1"/>
  <c r="K306" i="12" s="1"/>
  <c r="F306" i="12"/>
  <c r="E306" i="12"/>
  <c r="J305" i="12"/>
  <c r="K305" i="12" s="1"/>
  <c r="I305" i="12"/>
  <c r="F305" i="12"/>
  <c r="G304" i="12"/>
  <c r="I304" i="12" s="1"/>
  <c r="D304" i="12"/>
  <c r="F304" i="12" s="1"/>
  <c r="H303" i="12"/>
  <c r="I303" i="12" s="1"/>
  <c r="J303" i="12" s="1"/>
  <c r="K303" i="12" s="1"/>
  <c r="F303" i="12"/>
  <c r="E303" i="12"/>
  <c r="H302" i="12"/>
  <c r="G302" i="12"/>
  <c r="I302" i="12" s="1"/>
  <c r="J302" i="12" s="1"/>
  <c r="K302" i="12" s="1"/>
  <c r="F302" i="12"/>
  <c r="E302" i="12"/>
  <c r="J301" i="12"/>
  <c r="K301" i="12" s="1"/>
  <c r="I301" i="12"/>
  <c r="H301" i="12"/>
  <c r="E301" i="12"/>
  <c r="F301" i="12" s="1"/>
  <c r="K300" i="12"/>
  <c r="H300" i="12"/>
  <c r="I300" i="12" s="1"/>
  <c r="J300" i="12" s="1"/>
  <c r="G300" i="12"/>
  <c r="F300" i="12"/>
  <c r="E300" i="12"/>
  <c r="I297" i="12"/>
  <c r="H297" i="12"/>
  <c r="E297" i="12"/>
  <c r="F297" i="12" s="1"/>
  <c r="J297" i="12" s="1"/>
  <c r="K297" i="12" s="1"/>
  <c r="I296" i="12"/>
  <c r="J296" i="12" s="1"/>
  <c r="K296" i="12" s="1"/>
  <c r="H296" i="12"/>
  <c r="F296" i="12"/>
  <c r="J295" i="12"/>
  <c r="K295" i="12" s="1"/>
  <c r="H295" i="12"/>
  <c r="E295" i="12"/>
  <c r="H294" i="12"/>
  <c r="E294" i="12"/>
  <c r="H293" i="12"/>
  <c r="I293" i="12" s="1"/>
  <c r="F293" i="12"/>
  <c r="E293" i="12"/>
  <c r="I292" i="12"/>
  <c r="H292" i="12"/>
  <c r="G292" i="12"/>
  <c r="F292" i="12"/>
  <c r="C287" i="12"/>
  <c r="C286" i="12"/>
  <c r="E311" i="12" s="1"/>
  <c r="F311" i="12" s="1"/>
  <c r="J267" i="12"/>
  <c r="G263" i="12"/>
  <c r="G262" i="12"/>
  <c r="F262" i="12"/>
  <c r="E262" i="12"/>
  <c r="G261" i="12"/>
  <c r="D261" i="12"/>
  <c r="G260" i="12"/>
  <c r="D260" i="12"/>
  <c r="G259" i="12"/>
  <c r="D259" i="12"/>
  <c r="G257" i="12"/>
  <c r="I257" i="12" s="1"/>
  <c r="J257" i="12" s="1"/>
  <c r="K257" i="12" s="1"/>
  <c r="F257" i="12"/>
  <c r="G256" i="12"/>
  <c r="H255" i="12"/>
  <c r="I255" i="12" s="1"/>
  <c r="G255" i="12"/>
  <c r="H253" i="12"/>
  <c r="G253" i="12"/>
  <c r="E253" i="12"/>
  <c r="F253" i="12" s="1"/>
  <c r="H252" i="12"/>
  <c r="I252" i="12" s="1"/>
  <c r="J252" i="12" s="1"/>
  <c r="K252" i="12" s="1"/>
  <c r="G252" i="12"/>
  <c r="F252" i="12"/>
  <c r="E252" i="12"/>
  <c r="I250" i="12"/>
  <c r="H250" i="12"/>
  <c r="E250" i="12"/>
  <c r="F250" i="12" s="1"/>
  <c r="J250" i="12" s="1"/>
  <c r="K250" i="12" s="1"/>
  <c r="I249" i="12"/>
  <c r="F249" i="12"/>
  <c r="G248" i="12"/>
  <c r="I248" i="12" s="1"/>
  <c r="D248" i="12"/>
  <c r="F248" i="12" s="1"/>
  <c r="I247" i="12"/>
  <c r="J247" i="12" s="1"/>
  <c r="K247" i="12" s="1"/>
  <c r="H247" i="12"/>
  <c r="E247" i="12"/>
  <c r="F247" i="12" s="1"/>
  <c r="H246" i="12"/>
  <c r="G246" i="12"/>
  <c r="F246" i="12"/>
  <c r="E246" i="12"/>
  <c r="I245" i="12"/>
  <c r="H245" i="12"/>
  <c r="E245" i="12"/>
  <c r="F245" i="12" s="1"/>
  <c r="J245" i="12" s="1"/>
  <c r="K245" i="12" s="1"/>
  <c r="I244" i="12"/>
  <c r="H244" i="12"/>
  <c r="G244" i="12"/>
  <c r="E244" i="12"/>
  <c r="F244" i="12" s="1"/>
  <c r="G243" i="12"/>
  <c r="H243" i="12" s="1"/>
  <c r="I243" i="12" s="1"/>
  <c r="D243" i="12"/>
  <c r="E243" i="12" s="1"/>
  <c r="F243" i="12" s="1"/>
  <c r="I242" i="12"/>
  <c r="I241" i="12"/>
  <c r="H241" i="12"/>
  <c r="E241" i="12"/>
  <c r="F241" i="12" s="1"/>
  <c r="J241" i="12" s="1"/>
  <c r="K241" i="12" s="1"/>
  <c r="K240" i="12"/>
  <c r="I240" i="12"/>
  <c r="F240" i="12"/>
  <c r="J240" i="12" s="1"/>
  <c r="K239" i="12"/>
  <c r="J239" i="12"/>
  <c r="H239" i="12"/>
  <c r="E239" i="12"/>
  <c r="H238" i="12"/>
  <c r="E238" i="12"/>
  <c r="I237" i="12"/>
  <c r="H237" i="12"/>
  <c r="G237" i="12"/>
  <c r="E237" i="12"/>
  <c r="F237" i="12" s="1"/>
  <c r="G236" i="12"/>
  <c r="I236" i="12" s="1"/>
  <c r="J236" i="12" s="1"/>
  <c r="K236" i="12" s="1"/>
  <c r="F236" i="12"/>
  <c r="C231" i="12"/>
  <c r="H263" i="12" s="1"/>
  <c r="I263" i="12" s="1"/>
  <c r="C230" i="12"/>
  <c r="J211" i="12"/>
  <c r="H207" i="12"/>
  <c r="I207" i="12" s="1"/>
  <c r="J207" i="12" s="1"/>
  <c r="K207" i="12" s="1"/>
  <c r="G207" i="12"/>
  <c r="E207" i="12"/>
  <c r="F207" i="12" s="1"/>
  <c r="H206" i="12"/>
  <c r="G206" i="12"/>
  <c r="F206" i="12"/>
  <c r="E206" i="12"/>
  <c r="H205" i="12"/>
  <c r="G205" i="12"/>
  <c r="I205" i="12" s="1"/>
  <c r="E205" i="12"/>
  <c r="D205" i="12"/>
  <c r="H204" i="12"/>
  <c r="G204" i="12"/>
  <c r="I204" i="12" s="1"/>
  <c r="E204" i="12"/>
  <c r="D204" i="12"/>
  <c r="H203" i="12"/>
  <c r="G203" i="12"/>
  <c r="I203" i="12" s="1"/>
  <c r="E203" i="12"/>
  <c r="D203" i="12"/>
  <c r="J201" i="12"/>
  <c r="K201" i="12" s="1"/>
  <c r="I201" i="12"/>
  <c r="G201" i="12"/>
  <c r="F201" i="12"/>
  <c r="H200" i="12"/>
  <c r="I200" i="12" s="1"/>
  <c r="J200" i="12" s="1"/>
  <c r="K200" i="12" s="1"/>
  <c r="G200" i="12"/>
  <c r="G199" i="12"/>
  <c r="F199" i="12"/>
  <c r="E199" i="12"/>
  <c r="G197" i="12"/>
  <c r="E197" i="12"/>
  <c r="F197" i="12" s="1"/>
  <c r="I196" i="12"/>
  <c r="H196" i="12"/>
  <c r="G196" i="12"/>
  <c r="E196" i="12"/>
  <c r="F196" i="12" s="1"/>
  <c r="H194" i="12"/>
  <c r="I194" i="12" s="1"/>
  <c r="F194" i="12"/>
  <c r="E194" i="12"/>
  <c r="J193" i="12"/>
  <c r="K193" i="12" s="1"/>
  <c r="I193" i="12"/>
  <c r="F193" i="12"/>
  <c r="G192" i="12"/>
  <c r="I192" i="12" s="1"/>
  <c r="D192" i="12"/>
  <c r="F192" i="12" s="1"/>
  <c r="H191" i="12"/>
  <c r="I191" i="12" s="1"/>
  <c r="F191" i="12"/>
  <c r="E191" i="12"/>
  <c r="I190" i="12"/>
  <c r="H190" i="12"/>
  <c r="E190" i="12"/>
  <c r="F190" i="12" s="1"/>
  <c r="H189" i="12"/>
  <c r="I189" i="12" s="1"/>
  <c r="F189" i="12"/>
  <c r="E189" i="12"/>
  <c r="I188" i="12"/>
  <c r="J188" i="12" s="1"/>
  <c r="K188" i="12" s="1"/>
  <c r="H188" i="12"/>
  <c r="G188" i="12"/>
  <c r="E188" i="12"/>
  <c r="F188" i="12" s="1"/>
  <c r="F186" i="12"/>
  <c r="H185" i="12"/>
  <c r="I185" i="12" s="1"/>
  <c r="J185" i="12" s="1"/>
  <c r="K185" i="12" s="1"/>
  <c r="F185" i="12"/>
  <c r="E185" i="12"/>
  <c r="J184" i="12"/>
  <c r="K184" i="12" s="1"/>
  <c r="I184" i="12"/>
  <c r="F184" i="12"/>
  <c r="J183" i="12"/>
  <c r="K183" i="12" s="1"/>
  <c r="H183" i="12"/>
  <c r="E183" i="12"/>
  <c r="H182" i="12"/>
  <c r="E182" i="12"/>
  <c r="H181" i="12"/>
  <c r="I181" i="12" s="1"/>
  <c r="G181" i="12"/>
  <c r="E181" i="12"/>
  <c r="F181" i="12" s="1"/>
  <c r="G180" i="12"/>
  <c r="I180" i="12" s="1"/>
  <c r="J180" i="12" s="1"/>
  <c r="K180" i="12" s="1"/>
  <c r="F180" i="12"/>
  <c r="C175" i="12"/>
  <c r="H199" i="12" s="1"/>
  <c r="C174" i="12"/>
  <c r="E200" i="12" s="1"/>
  <c r="F200" i="12" s="1"/>
  <c r="J155" i="12"/>
  <c r="G151" i="12"/>
  <c r="G150" i="12"/>
  <c r="G149" i="12"/>
  <c r="D149" i="12"/>
  <c r="G148" i="12"/>
  <c r="D148" i="12"/>
  <c r="G147" i="12"/>
  <c r="D147" i="12"/>
  <c r="I145" i="12"/>
  <c r="J145" i="12" s="1"/>
  <c r="K145" i="12" s="1"/>
  <c r="G145" i="12"/>
  <c r="F145" i="12"/>
  <c r="G144" i="12"/>
  <c r="G143" i="12"/>
  <c r="H141" i="12"/>
  <c r="I141" i="12" s="1"/>
  <c r="J141" i="12" s="1"/>
  <c r="K141" i="12" s="1"/>
  <c r="G141" i="12"/>
  <c r="E141" i="12"/>
  <c r="F141" i="12" s="1"/>
  <c r="H140" i="12"/>
  <c r="G140" i="12"/>
  <c r="F140" i="12"/>
  <c r="E140" i="12"/>
  <c r="I138" i="12"/>
  <c r="H138" i="12"/>
  <c r="E138" i="12"/>
  <c r="F138" i="12" s="1"/>
  <c r="J138" i="12" s="1"/>
  <c r="K138" i="12" s="1"/>
  <c r="I137" i="12"/>
  <c r="F137" i="12"/>
  <c r="G136" i="12"/>
  <c r="I136" i="12" s="1"/>
  <c r="D136" i="12"/>
  <c r="F136" i="12" s="1"/>
  <c r="I135" i="12"/>
  <c r="J135" i="12" s="1"/>
  <c r="K135" i="12" s="1"/>
  <c r="H135" i="12"/>
  <c r="E135" i="12"/>
  <c r="F135" i="12" s="1"/>
  <c r="I134" i="12"/>
  <c r="J134" i="12" s="1"/>
  <c r="K134" i="12" s="1"/>
  <c r="H134" i="12"/>
  <c r="G134" i="12"/>
  <c r="E134" i="12"/>
  <c r="F134" i="12" s="1"/>
  <c r="H133" i="12"/>
  <c r="I133" i="12" s="1"/>
  <c r="E133" i="12"/>
  <c r="F133" i="12" s="1"/>
  <c r="H132" i="12"/>
  <c r="G132" i="12"/>
  <c r="E132" i="12"/>
  <c r="F132" i="12" s="1"/>
  <c r="G131" i="12"/>
  <c r="H131" i="12" s="1"/>
  <c r="I131" i="12" s="1"/>
  <c r="D131" i="12"/>
  <c r="E131" i="12" s="1"/>
  <c r="F131" i="12" s="1"/>
  <c r="H129" i="12"/>
  <c r="I129" i="12" s="1"/>
  <c r="E129" i="12"/>
  <c r="F129" i="12" s="1"/>
  <c r="H128" i="12"/>
  <c r="I128" i="12" s="1"/>
  <c r="F128" i="12"/>
  <c r="K127" i="12"/>
  <c r="J127" i="12"/>
  <c r="H127" i="12"/>
  <c r="E127" i="12"/>
  <c r="H126" i="12"/>
  <c r="E126" i="12"/>
  <c r="I125" i="12"/>
  <c r="J125" i="12" s="1"/>
  <c r="K125" i="12" s="1"/>
  <c r="H125" i="12"/>
  <c r="G125" i="12"/>
  <c r="E125" i="12"/>
  <c r="F125" i="12" s="1"/>
  <c r="F130" i="12" s="1"/>
  <c r="H124" i="12"/>
  <c r="I124" i="12" s="1"/>
  <c r="J124" i="12" s="1"/>
  <c r="K124" i="12" s="1"/>
  <c r="G124" i="12"/>
  <c r="F124" i="12"/>
  <c r="C119" i="12"/>
  <c r="C118" i="12"/>
  <c r="H95" i="12"/>
  <c r="I95" i="12" s="1"/>
  <c r="J95" i="12" s="1"/>
  <c r="K95" i="12" s="1"/>
  <c r="G95" i="12"/>
  <c r="E95" i="12"/>
  <c r="F95" i="12" s="1"/>
  <c r="H94" i="12"/>
  <c r="I94" i="12" s="1"/>
  <c r="J94" i="12" s="1"/>
  <c r="K94" i="12" s="1"/>
  <c r="G94" i="12"/>
  <c r="E94" i="12"/>
  <c r="F94" i="12" s="1"/>
  <c r="H93" i="12"/>
  <c r="G93" i="12"/>
  <c r="I93" i="12" s="1"/>
  <c r="E93" i="12"/>
  <c r="D93" i="12"/>
  <c r="H92" i="12"/>
  <c r="I92" i="12" s="1"/>
  <c r="G92" i="12"/>
  <c r="E92" i="12"/>
  <c r="D92" i="12"/>
  <c r="H91" i="12"/>
  <c r="G91" i="12"/>
  <c r="E91" i="12"/>
  <c r="D91" i="12"/>
  <c r="G89" i="12"/>
  <c r="I89" i="12" s="1"/>
  <c r="F89" i="12"/>
  <c r="H88" i="12"/>
  <c r="I88" i="12" s="1"/>
  <c r="J88" i="12" s="1"/>
  <c r="K88" i="12" s="1"/>
  <c r="G88" i="12"/>
  <c r="E88" i="12"/>
  <c r="F88" i="12" s="1"/>
  <c r="H87" i="12"/>
  <c r="I87" i="12" s="1"/>
  <c r="J87" i="12" s="1"/>
  <c r="K87" i="12" s="1"/>
  <c r="G87" i="12"/>
  <c r="G85" i="12"/>
  <c r="G84" i="12"/>
  <c r="E84" i="12"/>
  <c r="F84" i="12" s="1"/>
  <c r="H82" i="12"/>
  <c r="I82" i="12" s="1"/>
  <c r="J82" i="12" s="1"/>
  <c r="K82" i="12" s="1"/>
  <c r="E82" i="12"/>
  <c r="F82" i="12" s="1"/>
  <c r="J81" i="12"/>
  <c r="K81" i="12" s="1"/>
  <c r="I81" i="12"/>
  <c r="F81" i="12"/>
  <c r="G80" i="12"/>
  <c r="I80" i="12" s="1"/>
  <c r="D80" i="12"/>
  <c r="F80" i="12" s="1"/>
  <c r="I79" i="12"/>
  <c r="J79" i="12" s="1"/>
  <c r="K79" i="12" s="1"/>
  <c r="H79" i="12"/>
  <c r="E79" i="12"/>
  <c r="F79" i="12" s="1"/>
  <c r="H78" i="12"/>
  <c r="I78" i="12" s="1"/>
  <c r="E78" i="12"/>
  <c r="F78" i="12" s="1"/>
  <c r="J78" i="12" s="1"/>
  <c r="K78" i="12" s="1"/>
  <c r="I77" i="12"/>
  <c r="J77" i="12" s="1"/>
  <c r="K77" i="12" s="1"/>
  <c r="H77" i="12"/>
  <c r="E77" i="12"/>
  <c r="F77" i="12" s="1"/>
  <c r="H76" i="12"/>
  <c r="G76" i="12"/>
  <c r="F76" i="12"/>
  <c r="E76" i="12"/>
  <c r="I73" i="12"/>
  <c r="H73" i="12"/>
  <c r="G73" i="12"/>
  <c r="E73" i="12"/>
  <c r="F73" i="12" s="1"/>
  <c r="H72" i="12"/>
  <c r="I72" i="12" s="1"/>
  <c r="J72" i="12" s="1"/>
  <c r="K72" i="12" s="1"/>
  <c r="F72" i="12"/>
  <c r="J71" i="12"/>
  <c r="K71" i="12" s="1"/>
  <c r="H71" i="12"/>
  <c r="E71" i="12"/>
  <c r="H70" i="12"/>
  <c r="E70" i="12"/>
  <c r="H69" i="12"/>
  <c r="G69" i="12"/>
  <c r="E69" i="12"/>
  <c r="F69" i="12" s="1"/>
  <c r="H68" i="12"/>
  <c r="G68" i="12"/>
  <c r="F68" i="12"/>
  <c r="C63" i="12"/>
  <c r="H85" i="12" s="1"/>
  <c r="C62" i="12"/>
  <c r="E87" i="12" s="1"/>
  <c r="F87" i="12" s="1"/>
  <c r="H39" i="12"/>
  <c r="G39" i="12"/>
  <c r="F39" i="12"/>
  <c r="E39" i="12"/>
  <c r="I38" i="12"/>
  <c r="J38" i="12" s="1"/>
  <c r="K38" i="12" s="1"/>
  <c r="H38" i="12"/>
  <c r="G38" i="12"/>
  <c r="E38" i="12"/>
  <c r="F38" i="12" s="1"/>
  <c r="H37" i="12"/>
  <c r="G37" i="12"/>
  <c r="I37" i="12" s="1"/>
  <c r="E37" i="12"/>
  <c r="D37" i="12"/>
  <c r="H36" i="12"/>
  <c r="G36" i="12"/>
  <c r="I36" i="12" s="1"/>
  <c r="E36" i="12"/>
  <c r="D36" i="12"/>
  <c r="H35" i="12"/>
  <c r="G35" i="12"/>
  <c r="I35" i="12" s="1"/>
  <c r="E35" i="12"/>
  <c r="D35" i="12"/>
  <c r="I33" i="12"/>
  <c r="J33" i="12" s="1"/>
  <c r="K33" i="12" s="1"/>
  <c r="G33" i="12"/>
  <c r="F33" i="12"/>
  <c r="I32" i="12"/>
  <c r="J32" i="12" s="1"/>
  <c r="K32" i="12" s="1"/>
  <c r="H32" i="12"/>
  <c r="G32" i="12"/>
  <c r="E32" i="12"/>
  <c r="F32" i="12" s="1"/>
  <c r="H31" i="12"/>
  <c r="I31" i="12" s="1"/>
  <c r="G31" i="12"/>
  <c r="E31" i="12"/>
  <c r="F31" i="12" s="1"/>
  <c r="H29" i="12"/>
  <c r="G29" i="12"/>
  <c r="E29" i="12"/>
  <c r="F29" i="12" s="1"/>
  <c r="H28" i="12"/>
  <c r="G28" i="12"/>
  <c r="F28" i="12"/>
  <c r="E28" i="12"/>
  <c r="I26" i="12"/>
  <c r="J26" i="12" s="1"/>
  <c r="K26" i="12" s="1"/>
  <c r="H26" i="12"/>
  <c r="E26" i="12"/>
  <c r="F26" i="12" s="1"/>
  <c r="I25" i="12"/>
  <c r="J25" i="12" s="1"/>
  <c r="K25" i="12" s="1"/>
  <c r="F25" i="12"/>
  <c r="G24" i="12"/>
  <c r="I24" i="12" s="1"/>
  <c r="D24" i="12"/>
  <c r="F24" i="12" s="1"/>
  <c r="J23" i="12"/>
  <c r="K23" i="12" s="1"/>
  <c r="I23" i="12"/>
  <c r="H23" i="12"/>
  <c r="E23" i="12"/>
  <c r="F23" i="12" s="1"/>
  <c r="H22" i="12"/>
  <c r="I22" i="12" s="1"/>
  <c r="F22" i="12"/>
  <c r="E22" i="12"/>
  <c r="J21" i="12"/>
  <c r="K21" i="12" s="1"/>
  <c r="I21" i="12"/>
  <c r="H21" i="12"/>
  <c r="E21" i="12"/>
  <c r="F21" i="12" s="1"/>
  <c r="H20" i="12"/>
  <c r="G20" i="12"/>
  <c r="F20" i="12"/>
  <c r="E20" i="12"/>
  <c r="I17" i="12"/>
  <c r="J17" i="12" s="1"/>
  <c r="K17" i="12" s="1"/>
  <c r="H17" i="12"/>
  <c r="F17" i="12"/>
  <c r="E17" i="12"/>
  <c r="H16" i="12"/>
  <c r="I16" i="12" s="1"/>
  <c r="J16" i="12" s="1"/>
  <c r="K16" i="12" s="1"/>
  <c r="F16" i="12"/>
  <c r="J15" i="12"/>
  <c r="K15" i="12" s="1"/>
  <c r="H15" i="12"/>
  <c r="E15" i="12"/>
  <c r="H14" i="12"/>
  <c r="E14" i="12"/>
  <c r="J13" i="12"/>
  <c r="K13" i="12" s="1"/>
  <c r="H13" i="12"/>
  <c r="I13" i="12" s="1"/>
  <c r="E13" i="12"/>
  <c r="F13" i="12" s="1"/>
  <c r="H12" i="12"/>
  <c r="I12" i="12" s="1"/>
  <c r="G12" i="12"/>
  <c r="F12" i="12"/>
  <c r="F18" i="12" s="1"/>
  <c r="K317" i="10"/>
  <c r="G317" i="10"/>
  <c r="I317" i="10" s="1"/>
  <c r="F317" i="10"/>
  <c r="G316" i="10"/>
  <c r="I316" i="10" s="1"/>
  <c r="F316" i="10"/>
  <c r="G315" i="10"/>
  <c r="I315" i="10" s="1"/>
  <c r="K315" i="10" s="1"/>
  <c r="F315" i="10"/>
  <c r="I314" i="10"/>
  <c r="G314" i="10"/>
  <c r="F314" i="10"/>
  <c r="K314" i="10" s="1"/>
  <c r="G313" i="10"/>
  <c r="I313" i="10" s="1"/>
  <c r="F313" i="10"/>
  <c r="G312" i="10"/>
  <c r="I312" i="10" s="1"/>
  <c r="F312" i="10"/>
  <c r="I310" i="10"/>
  <c r="G310" i="10"/>
  <c r="F310" i="10"/>
  <c r="J309" i="10"/>
  <c r="G309" i="10"/>
  <c r="I309" i="10" s="1"/>
  <c r="K309" i="10" s="1"/>
  <c r="F309" i="10"/>
  <c r="I307" i="10"/>
  <c r="F307" i="10"/>
  <c r="I306" i="10"/>
  <c r="F306" i="10"/>
  <c r="G305" i="10"/>
  <c r="I305" i="10" s="1"/>
  <c r="F305" i="10"/>
  <c r="I304" i="10"/>
  <c r="G304" i="10"/>
  <c r="F304" i="10"/>
  <c r="J303" i="10"/>
  <c r="I303" i="10"/>
  <c r="K303" i="10" s="1"/>
  <c r="G303" i="10"/>
  <c r="F303" i="10"/>
  <c r="G302" i="10"/>
  <c r="I302" i="10" s="1"/>
  <c r="F302" i="10"/>
  <c r="G301" i="10"/>
  <c r="J300" i="10"/>
  <c r="I300" i="10"/>
  <c r="K300" i="10" s="1"/>
  <c r="G300" i="10"/>
  <c r="F300" i="10"/>
  <c r="K299" i="10"/>
  <c r="G299" i="10"/>
  <c r="I299" i="10" s="1"/>
  <c r="J299" i="10" s="1"/>
  <c r="F299" i="10"/>
  <c r="G297" i="10"/>
  <c r="I297" i="10" s="1"/>
  <c r="F297" i="10"/>
  <c r="J296" i="10"/>
  <c r="I296" i="10"/>
  <c r="K296" i="10" s="1"/>
  <c r="G296" i="10"/>
  <c r="F296" i="10"/>
  <c r="K295" i="10"/>
  <c r="G295" i="10"/>
  <c r="I295" i="10" s="1"/>
  <c r="F295" i="10"/>
  <c r="J295" i="10" s="1"/>
  <c r="F294" i="10"/>
  <c r="F298" i="10" s="1"/>
  <c r="G276" i="10"/>
  <c r="I276" i="10" s="1"/>
  <c r="F276" i="10"/>
  <c r="G275" i="10"/>
  <c r="I275" i="10" s="1"/>
  <c r="F275" i="10"/>
  <c r="I274" i="10"/>
  <c r="G274" i="10"/>
  <c r="F274" i="10"/>
  <c r="G273" i="10"/>
  <c r="I273" i="10" s="1"/>
  <c r="F273" i="10"/>
  <c r="G272" i="10"/>
  <c r="I272" i="10" s="1"/>
  <c r="F272" i="10"/>
  <c r="G271" i="10"/>
  <c r="I271" i="10" s="1"/>
  <c r="F271" i="10"/>
  <c r="G269" i="10"/>
  <c r="I269" i="10" s="1"/>
  <c r="J269" i="10" s="1"/>
  <c r="K269" i="10" s="1"/>
  <c r="F269" i="10"/>
  <c r="J268" i="10"/>
  <c r="K268" i="10" s="1"/>
  <c r="I268" i="10"/>
  <c r="G268" i="10"/>
  <c r="F268" i="10"/>
  <c r="I266" i="10"/>
  <c r="F266" i="10"/>
  <c r="G265" i="10"/>
  <c r="I265" i="10" s="1"/>
  <c r="F265" i="10"/>
  <c r="I264" i="10"/>
  <c r="J264" i="10" s="1"/>
  <c r="K264" i="10" s="1"/>
  <c r="G264" i="10"/>
  <c r="F264" i="10"/>
  <c r="I263" i="10"/>
  <c r="J263" i="10" s="1"/>
  <c r="K263" i="10" s="1"/>
  <c r="G263" i="10"/>
  <c r="F263" i="10"/>
  <c r="J262" i="10"/>
  <c r="K262" i="10" s="1"/>
  <c r="G262" i="10"/>
  <c r="I262" i="10" s="1"/>
  <c r="F262" i="10"/>
  <c r="G261" i="10"/>
  <c r="I261" i="10" s="1"/>
  <c r="J261" i="10" s="1"/>
  <c r="K261" i="10" s="1"/>
  <c r="F261" i="10"/>
  <c r="H260" i="10"/>
  <c r="I260" i="10" s="1"/>
  <c r="J260" i="10" s="1"/>
  <c r="K260" i="10" s="1"/>
  <c r="G260" i="10"/>
  <c r="E260" i="10"/>
  <c r="F260" i="10" s="1"/>
  <c r="F283" i="10" s="1"/>
  <c r="D260" i="10"/>
  <c r="G259" i="10"/>
  <c r="I259" i="10" s="1"/>
  <c r="J259" i="10" s="1"/>
  <c r="K259" i="10" s="1"/>
  <c r="F259" i="10"/>
  <c r="I258" i="10"/>
  <c r="J258" i="10" s="1"/>
  <c r="K258" i="10" s="1"/>
  <c r="G258" i="10"/>
  <c r="F258" i="10"/>
  <c r="G256" i="10"/>
  <c r="I256" i="10" s="1"/>
  <c r="J256" i="10" s="1"/>
  <c r="K256" i="10" s="1"/>
  <c r="F256" i="10"/>
  <c r="G255" i="10"/>
  <c r="I255" i="10" s="1"/>
  <c r="J255" i="10" s="1"/>
  <c r="K255" i="10" s="1"/>
  <c r="F255" i="10"/>
  <c r="F254" i="10"/>
  <c r="F253" i="10"/>
  <c r="F257" i="10" s="1"/>
  <c r="F267" i="10" s="1"/>
  <c r="F270" i="10" s="1"/>
  <c r="F278" i="10" s="1"/>
  <c r="G235" i="10"/>
  <c r="I235" i="10" s="1"/>
  <c r="F235" i="10"/>
  <c r="J235" i="10" s="1"/>
  <c r="K235" i="10" s="1"/>
  <c r="K234" i="10"/>
  <c r="G234" i="10"/>
  <c r="I234" i="10" s="1"/>
  <c r="J234" i="10" s="1"/>
  <c r="F234" i="10"/>
  <c r="G233" i="10"/>
  <c r="I233" i="10" s="1"/>
  <c r="J233" i="10" s="1"/>
  <c r="K233" i="10" s="1"/>
  <c r="F233" i="10"/>
  <c r="I232" i="10"/>
  <c r="J232" i="10" s="1"/>
  <c r="K232" i="10" s="1"/>
  <c r="G232" i="10"/>
  <c r="F232" i="10"/>
  <c r="G231" i="10"/>
  <c r="I231" i="10" s="1"/>
  <c r="J231" i="10" s="1"/>
  <c r="K231" i="10" s="1"/>
  <c r="F231" i="10"/>
  <c r="G230" i="10"/>
  <c r="I230" i="10" s="1"/>
  <c r="F230" i="10"/>
  <c r="J228" i="10"/>
  <c r="K228" i="10" s="1"/>
  <c r="I228" i="10"/>
  <c r="G228" i="10"/>
  <c r="F228" i="10"/>
  <c r="G227" i="10"/>
  <c r="I227" i="10" s="1"/>
  <c r="J227" i="10" s="1"/>
  <c r="K227" i="10" s="1"/>
  <c r="F227" i="10"/>
  <c r="I225" i="10"/>
  <c r="F225" i="10"/>
  <c r="I224" i="10"/>
  <c r="J224" i="10" s="1"/>
  <c r="K224" i="10" s="1"/>
  <c r="G224" i="10"/>
  <c r="F224" i="10"/>
  <c r="I223" i="10"/>
  <c r="J223" i="10" s="1"/>
  <c r="K223" i="10" s="1"/>
  <c r="G223" i="10"/>
  <c r="F223" i="10"/>
  <c r="J222" i="10"/>
  <c r="K222" i="10" s="1"/>
  <c r="G222" i="10"/>
  <c r="I222" i="10" s="1"/>
  <c r="F222" i="10"/>
  <c r="G221" i="10"/>
  <c r="I221" i="10" s="1"/>
  <c r="J221" i="10" s="1"/>
  <c r="K221" i="10" s="1"/>
  <c r="F221" i="10"/>
  <c r="G220" i="10"/>
  <c r="I220" i="10" s="1"/>
  <c r="J220" i="10" s="1"/>
  <c r="K220" i="10" s="1"/>
  <c r="F220" i="10"/>
  <c r="H219" i="10"/>
  <c r="G219" i="10"/>
  <c r="E219" i="10"/>
  <c r="J218" i="10"/>
  <c r="K218" i="10" s="1"/>
  <c r="I218" i="10"/>
  <c r="G218" i="10"/>
  <c r="F218" i="10"/>
  <c r="K217" i="10"/>
  <c r="G217" i="10"/>
  <c r="I217" i="10" s="1"/>
  <c r="F217" i="10"/>
  <c r="J217" i="10" s="1"/>
  <c r="F216" i="10"/>
  <c r="G215" i="10"/>
  <c r="I215" i="10" s="1"/>
  <c r="J215" i="10" s="1"/>
  <c r="K215" i="10" s="1"/>
  <c r="F215" i="10"/>
  <c r="I214" i="10"/>
  <c r="J214" i="10" s="1"/>
  <c r="K214" i="10" s="1"/>
  <c r="G214" i="10"/>
  <c r="F214" i="10"/>
  <c r="F213" i="10"/>
  <c r="F212" i="10"/>
  <c r="G194" i="10"/>
  <c r="I194" i="10" s="1"/>
  <c r="J194" i="10" s="1"/>
  <c r="K194" i="10" s="1"/>
  <c r="F194" i="10"/>
  <c r="G193" i="10"/>
  <c r="I193" i="10" s="1"/>
  <c r="J193" i="10" s="1"/>
  <c r="K193" i="10" s="1"/>
  <c r="F193" i="10"/>
  <c r="I192" i="10"/>
  <c r="J192" i="10" s="1"/>
  <c r="K192" i="10" s="1"/>
  <c r="G192" i="10"/>
  <c r="F192" i="10"/>
  <c r="J191" i="10"/>
  <c r="K191" i="10" s="1"/>
  <c r="G191" i="10"/>
  <c r="I191" i="10" s="1"/>
  <c r="F191" i="10"/>
  <c r="J189" i="10"/>
  <c r="K189" i="10" s="1"/>
  <c r="I189" i="10"/>
  <c r="G189" i="10"/>
  <c r="F189" i="10"/>
  <c r="I188" i="10"/>
  <c r="G188" i="10"/>
  <c r="F188" i="10"/>
  <c r="J188" i="10" s="1"/>
  <c r="K188" i="10" s="1"/>
  <c r="I186" i="10"/>
  <c r="F186" i="10"/>
  <c r="G185" i="10"/>
  <c r="I185" i="10" s="1"/>
  <c r="J185" i="10" s="1"/>
  <c r="K185" i="10" s="1"/>
  <c r="F185" i="10"/>
  <c r="G184" i="10"/>
  <c r="I184" i="10" s="1"/>
  <c r="J184" i="10" s="1"/>
  <c r="K184" i="10" s="1"/>
  <c r="F184" i="10"/>
  <c r="I183" i="10"/>
  <c r="J183" i="10" s="1"/>
  <c r="K183" i="10" s="1"/>
  <c r="G183" i="10"/>
  <c r="F183" i="10"/>
  <c r="G182" i="10"/>
  <c r="I182" i="10" s="1"/>
  <c r="J182" i="10" s="1"/>
  <c r="K182" i="10" s="1"/>
  <c r="F182" i="10"/>
  <c r="G181" i="10"/>
  <c r="I181" i="10" s="1"/>
  <c r="J181" i="10" s="1"/>
  <c r="K181" i="10" s="1"/>
  <c r="F181" i="10"/>
  <c r="H180" i="10"/>
  <c r="I180" i="10" s="1"/>
  <c r="J180" i="10" s="1"/>
  <c r="K180" i="10" s="1"/>
  <c r="G180" i="10"/>
  <c r="E180" i="10"/>
  <c r="F180" i="10" s="1"/>
  <c r="D180" i="10"/>
  <c r="G179" i="10"/>
  <c r="I179" i="10" s="1"/>
  <c r="J179" i="10" s="1"/>
  <c r="K179" i="10" s="1"/>
  <c r="F179" i="10"/>
  <c r="I178" i="10"/>
  <c r="J178" i="10" s="1"/>
  <c r="K178" i="10" s="1"/>
  <c r="G178" i="10"/>
  <c r="F178" i="10"/>
  <c r="I176" i="10"/>
  <c r="J176" i="10" s="1"/>
  <c r="K176" i="10" s="1"/>
  <c r="G176" i="10"/>
  <c r="F176" i="10"/>
  <c r="I175" i="10"/>
  <c r="J175" i="10" s="1"/>
  <c r="K175" i="10" s="1"/>
  <c r="G175" i="10"/>
  <c r="F175" i="10"/>
  <c r="F174" i="10"/>
  <c r="F173" i="10"/>
  <c r="F177" i="10" s="1"/>
  <c r="F187" i="10" s="1"/>
  <c r="F190" i="10" s="1"/>
  <c r="F196" i="10" s="1"/>
  <c r="J155" i="10"/>
  <c r="K155" i="10" s="1"/>
  <c r="G155" i="10"/>
  <c r="I155" i="10" s="1"/>
  <c r="F155" i="10"/>
  <c r="I154" i="10"/>
  <c r="J154" i="10" s="1"/>
  <c r="K154" i="10" s="1"/>
  <c r="G154" i="10"/>
  <c r="F154" i="10"/>
  <c r="I153" i="10"/>
  <c r="J153" i="10" s="1"/>
  <c r="K153" i="10" s="1"/>
  <c r="G153" i="10"/>
  <c r="F153" i="10"/>
  <c r="J152" i="10"/>
  <c r="K152" i="10" s="1"/>
  <c r="I152" i="10"/>
  <c r="G152" i="10"/>
  <c r="F152" i="10"/>
  <c r="G150" i="10"/>
  <c r="I150" i="10" s="1"/>
  <c r="F150" i="10"/>
  <c r="G149" i="10"/>
  <c r="I149" i="10" s="1"/>
  <c r="J149" i="10" s="1"/>
  <c r="K149" i="10" s="1"/>
  <c r="F149" i="10"/>
  <c r="J147" i="10"/>
  <c r="K147" i="10" s="1"/>
  <c r="I147" i="10"/>
  <c r="F147" i="10"/>
  <c r="G146" i="10"/>
  <c r="I146" i="10" s="1"/>
  <c r="J146" i="10" s="1"/>
  <c r="K146" i="10" s="1"/>
  <c r="F146" i="10"/>
  <c r="G145" i="10"/>
  <c r="I145" i="10" s="1"/>
  <c r="J145" i="10" s="1"/>
  <c r="K145" i="10" s="1"/>
  <c r="F145" i="10"/>
  <c r="G144" i="10"/>
  <c r="I144" i="10" s="1"/>
  <c r="J144" i="10" s="1"/>
  <c r="K144" i="10" s="1"/>
  <c r="F144" i="10"/>
  <c r="I143" i="10"/>
  <c r="J143" i="10" s="1"/>
  <c r="K143" i="10" s="1"/>
  <c r="G143" i="10"/>
  <c r="F143" i="10"/>
  <c r="J142" i="10"/>
  <c r="K142" i="10" s="1"/>
  <c r="G142" i="10"/>
  <c r="I142" i="10" s="1"/>
  <c r="F142" i="10"/>
  <c r="I141" i="10"/>
  <c r="H141" i="10"/>
  <c r="G141" i="10"/>
  <c r="E141" i="10"/>
  <c r="D141" i="10"/>
  <c r="G140" i="10"/>
  <c r="I140" i="10" s="1"/>
  <c r="F140" i="10"/>
  <c r="I139" i="10"/>
  <c r="F139" i="10"/>
  <c r="J139" i="10" s="1"/>
  <c r="K139" i="10" s="1"/>
  <c r="I137" i="10"/>
  <c r="G137" i="10"/>
  <c r="F137" i="10"/>
  <c r="J137" i="10" s="1"/>
  <c r="K137" i="10" s="1"/>
  <c r="G136" i="10"/>
  <c r="I136" i="10" s="1"/>
  <c r="F136" i="10"/>
  <c r="G135" i="10"/>
  <c r="I135" i="10" s="1"/>
  <c r="J135" i="10" s="1"/>
  <c r="K135" i="10" s="1"/>
  <c r="F135" i="10"/>
  <c r="H134" i="10"/>
  <c r="G134" i="10"/>
  <c r="I134" i="10" s="1"/>
  <c r="F134" i="10"/>
  <c r="G116" i="10"/>
  <c r="I116" i="10" s="1"/>
  <c r="J116" i="10" s="1"/>
  <c r="K116" i="10" s="1"/>
  <c r="F116" i="10"/>
  <c r="G115" i="10"/>
  <c r="I115" i="10" s="1"/>
  <c r="J115" i="10" s="1"/>
  <c r="K115" i="10" s="1"/>
  <c r="F115" i="10"/>
  <c r="G114" i="10"/>
  <c r="I114" i="10" s="1"/>
  <c r="J114" i="10" s="1"/>
  <c r="K114" i="10" s="1"/>
  <c r="F114" i="10"/>
  <c r="I113" i="10"/>
  <c r="J113" i="10" s="1"/>
  <c r="K113" i="10" s="1"/>
  <c r="G113" i="10"/>
  <c r="F113" i="10"/>
  <c r="G111" i="10"/>
  <c r="I111" i="10" s="1"/>
  <c r="J111" i="10" s="1"/>
  <c r="K111" i="10" s="1"/>
  <c r="F111" i="10"/>
  <c r="G110" i="10"/>
  <c r="I110" i="10" s="1"/>
  <c r="J110" i="10" s="1"/>
  <c r="K110" i="10" s="1"/>
  <c r="F110" i="10"/>
  <c r="J108" i="10"/>
  <c r="K108" i="10" s="1"/>
  <c r="I108" i="10"/>
  <c r="F108" i="10"/>
  <c r="J107" i="10"/>
  <c r="K107" i="10" s="1"/>
  <c r="I107" i="10"/>
  <c r="G107" i="10"/>
  <c r="F107" i="10"/>
  <c r="G106" i="10"/>
  <c r="I106" i="10" s="1"/>
  <c r="J106" i="10" s="1"/>
  <c r="K106" i="10" s="1"/>
  <c r="F106" i="10"/>
  <c r="G105" i="10"/>
  <c r="I105" i="10" s="1"/>
  <c r="J105" i="10" s="1"/>
  <c r="K105" i="10" s="1"/>
  <c r="F105" i="10"/>
  <c r="I104" i="10"/>
  <c r="J104" i="10" s="1"/>
  <c r="K104" i="10" s="1"/>
  <c r="G104" i="10"/>
  <c r="F104" i="10"/>
  <c r="J103" i="10"/>
  <c r="K103" i="10" s="1"/>
  <c r="I103" i="10"/>
  <c r="G103" i="10"/>
  <c r="F103" i="10"/>
  <c r="H102" i="10"/>
  <c r="I102" i="10" s="1"/>
  <c r="J102" i="10" s="1"/>
  <c r="K102" i="10" s="1"/>
  <c r="G102" i="10"/>
  <c r="D102" i="10" s="1"/>
  <c r="F102" i="10" s="1"/>
  <c r="E102" i="10"/>
  <c r="G101" i="10"/>
  <c r="I101" i="10" s="1"/>
  <c r="J101" i="10" s="1"/>
  <c r="K101" i="10" s="1"/>
  <c r="F101" i="10"/>
  <c r="I100" i="10"/>
  <c r="F100" i="10"/>
  <c r="I98" i="10"/>
  <c r="J98" i="10" s="1"/>
  <c r="K98" i="10" s="1"/>
  <c r="G98" i="10"/>
  <c r="F98" i="10"/>
  <c r="G97" i="10"/>
  <c r="I97" i="10" s="1"/>
  <c r="J97" i="10" s="1"/>
  <c r="K97" i="10" s="1"/>
  <c r="F97" i="10"/>
  <c r="G96" i="10"/>
  <c r="I96" i="10" s="1"/>
  <c r="F96" i="10"/>
  <c r="H95" i="10"/>
  <c r="G95" i="10"/>
  <c r="I95" i="10" s="1"/>
  <c r="F95" i="10"/>
  <c r="G76" i="10"/>
  <c r="I76" i="10" s="1"/>
  <c r="F76" i="10"/>
  <c r="G75" i="10"/>
  <c r="I75" i="10" s="1"/>
  <c r="J75" i="10" s="1"/>
  <c r="K75" i="10" s="1"/>
  <c r="F75" i="10"/>
  <c r="I74" i="10"/>
  <c r="J74" i="10" s="1"/>
  <c r="K74" i="10" s="1"/>
  <c r="G74" i="10"/>
  <c r="F74" i="10"/>
  <c r="J73" i="10"/>
  <c r="K73" i="10" s="1"/>
  <c r="G73" i="10"/>
  <c r="I73" i="10" s="1"/>
  <c r="F73" i="10"/>
  <c r="K72" i="10"/>
  <c r="G72" i="10"/>
  <c r="I72" i="10" s="1"/>
  <c r="J72" i="10" s="1"/>
  <c r="F72" i="10"/>
  <c r="G71" i="10"/>
  <c r="I71" i="10" s="1"/>
  <c r="J71" i="10" s="1"/>
  <c r="K71" i="10" s="1"/>
  <c r="F71" i="10"/>
  <c r="J69" i="10"/>
  <c r="K69" i="10" s="1"/>
  <c r="G69" i="10"/>
  <c r="I69" i="10" s="1"/>
  <c r="F69" i="10"/>
  <c r="K68" i="10"/>
  <c r="G68" i="10"/>
  <c r="I68" i="10" s="1"/>
  <c r="J68" i="10" s="1"/>
  <c r="F68" i="10"/>
  <c r="I66" i="10"/>
  <c r="J66" i="10" s="1"/>
  <c r="K66" i="10" s="1"/>
  <c r="F66" i="10"/>
  <c r="I65" i="10"/>
  <c r="J65" i="10" s="1"/>
  <c r="K65" i="10" s="1"/>
  <c r="G65" i="10"/>
  <c r="F65" i="10"/>
  <c r="J64" i="10"/>
  <c r="K64" i="10" s="1"/>
  <c r="I64" i="10"/>
  <c r="G64" i="10"/>
  <c r="F64" i="10"/>
  <c r="K63" i="10"/>
  <c r="G63" i="10"/>
  <c r="I63" i="10" s="1"/>
  <c r="J63" i="10" s="1"/>
  <c r="F63" i="10"/>
  <c r="G62" i="10"/>
  <c r="I62" i="10" s="1"/>
  <c r="J62" i="10" s="1"/>
  <c r="K62" i="10" s="1"/>
  <c r="F62" i="10"/>
  <c r="I61" i="10"/>
  <c r="J61" i="10" s="1"/>
  <c r="K61" i="10" s="1"/>
  <c r="G61" i="10"/>
  <c r="F61" i="10"/>
  <c r="J60" i="10"/>
  <c r="K60" i="10" s="1"/>
  <c r="H60" i="10"/>
  <c r="I60" i="10" s="1"/>
  <c r="G60" i="10"/>
  <c r="D60" i="10" s="1"/>
  <c r="F60" i="10"/>
  <c r="E60" i="10"/>
  <c r="J59" i="10"/>
  <c r="K59" i="10" s="1"/>
  <c r="G59" i="10"/>
  <c r="I59" i="10" s="1"/>
  <c r="F59" i="10"/>
  <c r="K58" i="10"/>
  <c r="G58" i="10"/>
  <c r="I58" i="10" s="1"/>
  <c r="J58" i="10" s="1"/>
  <c r="F58" i="10"/>
  <c r="I56" i="10"/>
  <c r="J56" i="10" s="1"/>
  <c r="K56" i="10" s="1"/>
  <c r="H56" i="10"/>
  <c r="G56" i="10"/>
  <c r="E56" i="10"/>
  <c r="F56" i="10" s="1"/>
  <c r="G55" i="10"/>
  <c r="I55" i="10" s="1"/>
  <c r="J55" i="10" s="1"/>
  <c r="K55" i="10" s="1"/>
  <c r="F55" i="10"/>
  <c r="I54" i="10"/>
  <c r="H54" i="10"/>
  <c r="G54" i="10"/>
  <c r="E54" i="10"/>
  <c r="F54" i="10" s="1"/>
  <c r="H53" i="10"/>
  <c r="G53" i="10"/>
  <c r="F53" i="10"/>
  <c r="G50" i="10"/>
  <c r="D50" i="10"/>
  <c r="I34" i="10"/>
  <c r="J34" i="10" s="1"/>
  <c r="K34" i="10" s="1"/>
  <c r="G34" i="10"/>
  <c r="F34" i="10"/>
  <c r="J33" i="10"/>
  <c r="K33" i="10" s="1"/>
  <c r="I33" i="10"/>
  <c r="G33" i="10"/>
  <c r="F33" i="10"/>
  <c r="G32" i="10"/>
  <c r="I32" i="10" s="1"/>
  <c r="F32" i="10"/>
  <c r="G31" i="10"/>
  <c r="I31" i="10" s="1"/>
  <c r="J31" i="10" s="1"/>
  <c r="K31" i="10" s="1"/>
  <c r="F31" i="10"/>
  <c r="I30" i="10"/>
  <c r="J30" i="10" s="1"/>
  <c r="K30" i="10" s="1"/>
  <c r="G30" i="10"/>
  <c r="F30" i="10"/>
  <c r="J29" i="10"/>
  <c r="K29" i="10" s="1"/>
  <c r="I29" i="10"/>
  <c r="G29" i="10"/>
  <c r="F29" i="10"/>
  <c r="G27" i="10"/>
  <c r="I27" i="10" s="1"/>
  <c r="J27" i="10" s="1"/>
  <c r="K27" i="10" s="1"/>
  <c r="F27" i="10"/>
  <c r="I26" i="10"/>
  <c r="J26" i="10" s="1"/>
  <c r="K26" i="10" s="1"/>
  <c r="G26" i="10"/>
  <c r="F26" i="10"/>
  <c r="K24" i="10"/>
  <c r="I24" i="10"/>
  <c r="F24" i="10"/>
  <c r="J24" i="10" s="1"/>
  <c r="K23" i="10"/>
  <c r="I23" i="10"/>
  <c r="F23" i="10"/>
  <c r="J23" i="10" s="1"/>
  <c r="G22" i="10"/>
  <c r="I22" i="10" s="1"/>
  <c r="F22" i="10"/>
  <c r="I21" i="10"/>
  <c r="J21" i="10" s="1"/>
  <c r="K21" i="10" s="1"/>
  <c r="F21" i="10"/>
  <c r="I20" i="10"/>
  <c r="F20" i="10"/>
  <c r="G19" i="10"/>
  <c r="I19" i="10" s="1"/>
  <c r="J19" i="10" s="1"/>
  <c r="K19" i="10" s="1"/>
  <c r="F19" i="10"/>
  <c r="I18" i="10"/>
  <c r="J18" i="10" s="1"/>
  <c r="K18" i="10" s="1"/>
  <c r="G18" i="10"/>
  <c r="F18" i="10"/>
  <c r="G17" i="10"/>
  <c r="I17" i="10" s="1"/>
  <c r="J17" i="10" s="1"/>
  <c r="K17" i="10" s="1"/>
  <c r="F17" i="10"/>
  <c r="D17" i="10"/>
  <c r="G16" i="10"/>
  <c r="I16" i="10" s="1"/>
  <c r="J16" i="10" s="1"/>
  <c r="K16" i="10" s="1"/>
  <c r="F16" i="10"/>
  <c r="I14" i="10"/>
  <c r="G14" i="10"/>
  <c r="F14" i="10"/>
  <c r="J14" i="10" s="1"/>
  <c r="K14" i="10" s="1"/>
  <c r="G13" i="10"/>
  <c r="I13" i="10" s="1"/>
  <c r="F13" i="10"/>
  <c r="I12" i="10"/>
  <c r="J12" i="10" s="1"/>
  <c r="K12" i="10" s="1"/>
  <c r="F12" i="10"/>
  <c r="H11" i="10"/>
  <c r="G11" i="10"/>
  <c r="I11" i="10" s="1"/>
  <c r="F11" i="10"/>
  <c r="E18" i="8"/>
  <c r="F18" i="8" s="1"/>
  <c r="E17" i="8"/>
  <c r="E16" i="8"/>
  <c r="E15" i="8"/>
  <c r="E14" i="8"/>
  <c r="E12" i="8"/>
  <c r="E11" i="8"/>
  <c r="E10" i="8"/>
  <c r="E9" i="8"/>
  <c r="E8" i="8"/>
  <c r="E7" i="8"/>
  <c r="E6" i="8"/>
  <c r="F6" i="8" s="1"/>
  <c r="G18" i="7"/>
  <c r="H18" i="7"/>
  <c r="G17" i="7"/>
  <c r="G16" i="7"/>
  <c r="G15" i="7"/>
  <c r="G14" i="7"/>
  <c r="G12" i="7"/>
  <c r="G11" i="7"/>
  <c r="G10" i="7"/>
  <c r="G9" i="7"/>
  <c r="G8" i="7"/>
  <c r="G7" i="7"/>
  <c r="G6" i="7"/>
  <c r="H20" i="6"/>
  <c r="G20" i="6"/>
  <c r="D20" i="6"/>
  <c r="H19" i="6"/>
  <c r="G19" i="6"/>
  <c r="C17" i="13" s="1"/>
  <c r="D19" i="6"/>
  <c r="H18" i="6"/>
  <c r="G18" i="6"/>
  <c r="C16" i="13" s="1"/>
  <c r="D18" i="6"/>
  <c r="B16" i="13" s="1"/>
  <c r="H17" i="6"/>
  <c r="G17" i="6"/>
  <c r="C15" i="13" s="1"/>
  <c r="D17" i="6"/>
  <c r="B15" i="13" s="1"/>
  <c r="H16" i="6"/>
  <c r="G16" i="6"/>
  <c r="C14" i="13" s="1"/>
  <c r="D16" i="6"/>
  <c r="H14" i="6"/>
  <c r="G14" i="6"/>
  <c r="C12" i="13" s="1"/>
  <c r="D14" i="6"/>
  <c r="H13" i="6"/>
  <c r="G13" i="6"/>
  <c r="C11" i="13" s="1"/>
  <c r="D13" i="6"/>
  <c r="B11" i="13" s="1"/>
  <c r="H12" i="6"/>
  <c r="G12" i="6"/>
  <c r="C10" i="13" s="1"/>
  <c r="D12" i="6"/>
  <c r="B10" i="13" s="1"/>
  <c r="H11" i="6"/>
  <c r="G10" i="6"/>
  <c r="D10" i="6"/>
  <c r="G9" i="6"/>
  <c r="G11" i="6" s="1"/>
  <c r="C9" i="13" s="1"/>
  <c r="D9" i="6"/>
  <c r="H8" i="6"/>
  <c r="G8" i="6"/>
  <c r="C8" i="13" s="1"/>
  <c r="D8" i="6"/>
  <c r="B8" i="13" s="1"/>
  <c r="H7" i="6"/>
  <c r="E7" i="14" s="1"/>
  <c r="G7" i="6"/>
  <c r="D7" i="6"/>
  <c r="B7" i="13" s="1"/>
  <c r="I10" i="13" l="1"/>
  <c r="E10" i="13"/>
  <c r="G10" i="13" s="1"/>
  <c r="J16" i="13"/>
  <c r="J22" i="10"/>
  <c r="K22" i="10" s="1"/>
  <c r="J32" i="10"/>
  <c r="K32" i="10" s="1"/>
  <c r="J96" i="10"/>
  <c r="K96" i="10" s="1"/>
  <c r="K302" i="10"/>
  <c r="F15" i="10"/>
  <c r="F25" i="10" s="1"/>
  <c r="F28" i="10" s="1"/>
  <c r="F36" i="10"/>
  <c r="J54" i="10"/>
  <c r="K54" i="10" s="1"/>
  <c r="J316" i="10"/>
  <c r="K316" i="10"/>
  <c r="J73" i="12"/>
  <c r="K73" i="12" s="1"/>
  <c r="I130" i="12"/>
  <c r="J130" i="12" s="1"/>
  <c r="K130" i="12" s="1"/>
  <c r="I11" i="13"/>
  <c r="E11" i="13"/>
  <c r="G11" i="13" s="1"/>
  <c r="J12" i="13"/>
  <c r="E16" i="13"/>
  <c r="G16" i="13" s="1"/>
  <c r="I16" i="13"/>
  <c r="K16" i="13" s="1"/>
  <c r="M16" i="13" s="1"/>
  <c r="D16" i="14" s="1"/>
  <c r="F16" i="14" s="1"/>
  <c r="F279" i="10"/>
  <c r="F280" i="10" s="1"/>
  <c r="F282" i="10" s="1"/>
  <c r="I8" i="13"/>
  <c r="E8" i="13"/>
  <c r="F8" i="13" s="1"/>
  <c r="J11" i="13"/>
  <c r="I15" i="13"/>
  <c r="E15" i="13"/>
  <c r="G15" i="13" s="1"/>
  <c r="J13" i="10"/>
  <c r="K13" i="10" s="1"/>
  <c r="J20" i="10"/>
  <c r="K20" i="10" s="1"/>
  <c r="F57" i="10"/>
  <c r="F67" i="10" s="1"/>
  <c r="F70" i="10" s="1"/>
  <c r="F78" i="10" s="1"/>
  <c r="F99" i="10"/>
  <c r="F109" i="10" s="1"/>
  <c r="F112" i="10" s="1"/>
  <c r="F118" i="10" s="1"/>
  <c r="F197" i="10"/>
  <c r="F198" i="10" s="1"/>
  <c r="I18" i="12"/>
  <c r="J18" i="12" s="1"/>
  <c r="K18" i="12" s="1"/>
  <c r="J12" i="12"/>
  <c r="K12" i="12" s="1"/>
  <c r="J181" i="12"/>
  <c r="K181" i="12" s="1"/>
  <c r="I186" i="12"/>
  <c r="J186" i="12" s="1"/>
  <c r="K186" i="12" s="1"/>
  <c r="I7" i="13"/>
  <c r="J8" i="13"/>
  <c r="G8" i="13"/>
  <c r="J76" i="10"/>
  <c r="K76" i="10" s="1"/>
  <c r="J100" i="10"/>
  <c r="K100" i="10" s="1"/>
  <c r="J136" i="10"/>
  <c r="K136" i="10" s="1"/>
  <c r="J140" i="10"/>
  <c r="K140" i="10" s="1"/>
  <c r="J150" i="10"/>
  <c r="K150" i="10" s="1"/>
  <c r="D219" i="10"/>
  <c r="F219" i="10" s="1"/>
  <c r="F226" i="10" s="1"/>
  <c r="F229" i="10" s="1"/>
  <c r="F237" i="10" s="1"/>
  <c r="I219" i="10"/>
  <c r="K297" i="10"/>
  <c r="J297" i="10"/>
  <c r="K305" i="10"/>
  <c r="J305" i="10"/>
  <c r="K307" i="10"/>
  <c r="J307" i="10"/>
  <c r="F141" i="10"/>
  <c r="J141" i="10" s="1"/>
  <c r="K141" i="10" s="1"/>
  <c r="J230" i="10"/>
  <c r="K230" i="10" s="1"/>
  <c r="I28" i="12"/>
  <c r="J28" i="12" s="1"/>
  <c r="K28" i="12" s="1"/>
  <c r="J128" i="12"/>
  <c r="K128" i="12" s="1"/>
  <c r="I132" i="12"/>
  <c r="J132" i="12" s="1"/>
  <c r="K132" i="12" s="1"/>
  <c r="C7" i="13"/>
  <c r="J10" i="13"/>
  <c r="B14" i="13"/>
  <c r="J14" i="13" s="1"/>
  <c r="J15" i="13"/>
  <c r="B18" i="13"/>
  <c r="I15" i="10"/>
  <c r="I53" i="10"/>
  <c r="J53" i="10" s="1"/>
  <c r="K53" i="10" s="1"/>
  <c r="J225" i="10"/>
  <c r="K225" i="10" s="1"/>
  <c r="J265" i="10"/>
  <c r="K265" i="10" s="1"/>
  <c r="D301" i="10"/>
  <c r="F301" i="10" s="1"/>
  <c r="F308" i="10" s="1"/>
  <c r="F311" i="10" s="1"/>
  <c r="F319" i="10" s="1"/>
  <c r="I301" i="10"/>
  <c r="J301" i="10" s="1"/>
  <c r="K301" i="10" s="1"/>
  <c r="J302" i="10"/>
  <c r="K304" i="10"/>
  <c r="J304" i="10"/>
  <c r="K306" i="10"/>
  <c r="J306" i="10"/>
  <c r="J314" i="10"/>
  <c r="J315" i="10"/>
  <c r="I68" i="12"/>
  <c r="F138" i="10"/>
  <c r="F148" i="10" s="1"/>
  <c r="F151" i="10" s="1"/>
  <c r="F157" i="10" s="1"/>
  <c r="J186" i="10"/>
  <c r="K186" i="10" s="1"/>
  <c r="J266" i="10"/>
  <c r="K266" i="10" s="1"/>
  <c r="J312" i="10"/>
  <c r="K312" i="10"/>
  <c r="E6" i="7"/>
  <c r="C7" i="18"/>
  <c r="D7" i="18" s="1"/>
  <c r="D11" i="6"/>
  <c r="B9" i="13" s="1"/>
  <c r="B12" i="13"/>
  <c r="B17" i="13"/>
  <c r="C18" i="13"/>
  <c r="K310" i="10"/>
  <c r="J310" i="10"/>
  <c r="K313" i="10"/>
  <c r="J313" i="10"/>
  <c r="J317" i="10"/>
  <c r="J31" i="12"/>
  <c r="K31" i="12" s="1"/>
  <c r="J129" i="12"/>
  <c r="K129" i="12" s="1"/>
  <c r="J133" i="12"/>
  <c r="K133" i="12" s="1"/>
  <c r="I29" i="12"/>
  <c r="J29" i="12" s="1"/>
  <c r="K29" i="12" s="1"/>
  <c r="I39" i="12"/>
  <c r="J39" i="12" s="1"/>
  <c r="K39" i="12" s="1"/>
  <c r="I85" i="12"/>
  <c r="I69" i="12"/>
  <c r="J69" i="12" s="1"/>
  <c r="K69" i="12" s="1"/>
  <c r="E151" i="12"/>
  <c r="F151" i="12" s="1"/>
  <c r="E150" i="12"/>
  <c r="F150" i="12" s="1"/>
  <c r="E144" i="12"/>
  <c r="F144" i="12" s="1"/>
  <c r="E149" i="12"/>
  <c r="E143" i="12"/>
  <c r="F143" i="12" s="1"/>
  <c r="E148" i="12"/>
  <c r="J190" i="12"/>
  <c r="K190" i="12" s="1"/>
  <c r="J196" i="12"/>
  <c r="K196" i="12" s="1"/>
  <c r="E263" i="12"/>
  <c r="F263" i="12" s="1"/>
  <c r="J263" i="12" s="1"/>
  <c r="K263" i="12" s="1"/>
  <c r="E261" i="12"/>
  <c r="F261" i="12" s="1"/>
  <c r="E260" i="12"/>
  <c r="E256" i="12"/>
  <c r="F256" i="12" s="1"/>
  <c r="E255" i="12"/>
  <c r="F255" i="12" s="1"/>
  <c r="J255" i="12" s="1"/>
  <c r="K255" i="12" s="1"/>
  <c r="J237" i="12"/>
  <c r="K237" i="12" s="1"/>
  <c r="J244" i="12"/>
  <c r="K244" i="12" s="1"/>
  <c r="I253" i="12"/>
  <c r="J253" i="12" s="1"/>
  <c r="K253" i="12" s="1"/>
  <c r="E259" i="12"/>
  <c r="F298" i="12"/>
  <c r="J292" i="12"/>
  <c r="K292" i="12" s="1"/>
  <c r="I20" i="12"/>
  <c r="J20" i="12" s="1"/>
  <c r="K20" i="12" s="1"/>
  <c r="J22" i="12"/>
  <c r="K22" i="12" s="1"/>
  <c r="F74" i="12"/>
  <c r="I76" i="12"/>
  <c r="J76" i="12" s="1"/>
  <c r="K76" i="12" s="1"/>
  <c r="J89" i="12"/>
  <c r="K89" i="12" s="1"/>
  <c r="H150" i="12"/>
  <c r="I150" i="12" s="1"/>
  <c r="H149" i="12"/>
  <c r="I149" i="12" s="1"/>
  <c r="H148" i="12"/>
  <c r="H147" i="12"/>
  <c r="H144" i="12"/>
  <c r="I144" i="12" s="1"/>
  <c r="J144" i="12" s="1"/>
  <c r="K144" i="12" s="1"/>
  <c r="H143" i="12"/>
  <c r="I143" i="12" s="1"/>
  <c r="J143" i="12" s="1"/>
  <c r="K143" i="12" s="1"/>
  <c r="H151" i="12"/>
  <c r="I151" i="12" s="1"/>
  <c r="I140" i="12"/>
  <c r="J140" i="12" s="1"/>
  <c r="K140" i="12" s="1"/>
  <c r="E147" i="12"/>
  <c r="F147" i="12" s="1"/>
  <c r="J147" i="12" s="1"/>
  <c r="K147" i="12" s="1"/>
  <c r="I148" i="12"/>
  <c r="H84" i="12"/>
  <c r="I84" i="12" s="1"/>
  <c r="J84" i="12" s="1"/>
  <c r="K84" i="12" s="1"/>
  <c r="E85" i="12"/>
  <c r="F85" i="12" s="1"/>
  <c r="I91" i="12"/>
  <c r="J137" i="12"/>
  <c r="K137" i="12" s="1"/>
  <c r="J194" i="12"/>
  <c r="K194" i="12" s="1"/>
  <c r="F242" i="12"/>
  <c r="J249" i="12"/>
  <c r="K249" i="12" s="1"/>
  <c r="H309" i="12"/>
  <c r="I309" i="12" s="1"/>
  <c r="H308" i="12"/>
  <c r="I308" i="12" s="1"/>
  <c r="J308" i="12" s="1"/>
  <c r="K308" i="12" s="1"/>
  <c r="I298" i="12"/>
  <c r="J298" i="12" s="1"/>
  <c r="J293" i="12"/>
  <c r="K293" i="12" s="1"/>
  <c r="I318" i="12"/>
  <c r="J318" i="12" s="1"/>
  <c r="K318" i="12" s="1"/>
  <c r="I147" i="12"/>
  <c r="I199" i="12"/>
  <c r="J199" i="12" s="1"/>
  <c r="K199" i="12" s="1"/>
  <c r="J189" i="12"/>
  <c r="K189" i="12" s="1"/>
  <c r="J191" i="12"/>
  <c r="K191" i="12" s="1"/>
  <c r="I206" i="12"/>
  <c r="J206" i="12" s="1"/>
  <c r="K206" i="12" s="1"/>
  <c r="I246" i="12"/>
  <c r="J246" i="12" s="1"/>
  <c r="K246" i="12" s="1"/>
  <c r="H197" i="12"/>
  <c r="I197" i="12" s="1"/>
  <c r="J197" i="12" s="1"/>
  <c r="K197" i="12" s="1"/>
  <c r="H256" i="12"/>
  <c r="I256" i="12" s="1"/>
  <c r="J256" i="12" s="1"/>
  <c r="K256" i="12" s="1"/>
  <c r="H259" i="12"/>
  <c r="H260" i="12"/>
  <c r="I260" i="12" s="1"/>
  <c r="H261" i="12"/>
  <c r="I261" i="12" s="1"/>
  <c r="H262" i="12"/>
  <c r="I262" i="12" s="1"/>
  <c r="J262" i="12" s="1"/>
  <c r="K262" i="12" s="1"/>
  <c r="E309" i="12"/>
  <c r="F309" i="12" s="1"/>
  <c r="I259" i="12"/>
  <c r="H6" i="7"/>
  <c r="D23" i="9" s="1"/>
  <c r="D75" i="12"/>
  <c r="E75" i="12" s="1"/>
  <c r="F75" i="12" s="1"/>
  <c r="F315" i="12"/>
  <c r="G187" i="12"/>
  <c r="H187" i="12" s="1"/>
  <c r="I187" i="12" s="1"/>
  <c r="F203" i="12"/>
  <c r="J203" i="12" s="1"/>
  <c r="K203" i="12" s="1"/>
  <c r="D299" i="12"/>
  <c r="E299" i="12" s="1"/>
  <c r="F299" i="12" s="1"/>
  <c r="G75" i="12"/>
  <c r="H75" i="12" s="1"/>
  <c r="I75" i="12" s="1"/>
  <c r="F316" i="12"/>
  <c r="J316" i="12" s="1"/>
  <c r="K316" i="12" s="1"/>
  <c r="F317" i="12"/>
  <c r="J317" i="12" s="1"/>
  <c r="K317" i="12" s="1"/>
  <c r="D187" i="12"/>
  <c r="E187" i="12" s="1"/>
  <c r="F187" i="12" s="1"/>
  <c r="J187" i="12" s="1"/>
  <c r="K187" i="12" s="1"/>
  <c r="F16" i="13"/>
  <c r="F83" i="12"/>
  <c r="F86" i="12" s="1"/>
  <c r="J304" i="12"/>
  <c r="K304" i="12" s="1"/>
  <c r="F139" i="12"/>
  <c r="F142" i="12" s="1"/>
  <c r="F148" i="12"/>
  <c r="J148" i="12" s="1"/>
  <c r="K148" i="12" s="1"/>
  <c r="F204" i="12"/>
  <c r="J204" i="12" s="1"/>
  <c r="K204" i="12" s="1"/>
  <c r="J248" i="12"/>
  <c r="K248" i="12" s="1"/>
  <c r="G19" i="12"/>
  <c r="H19" i="12" s="1"/>
  <c r="I19" i="12" s="1"/>
  <c r="J24" i="12"/>
  <c r="K24" i="12" s="1"/>
  <c r="F149" i="12"/>
  <c r="F205" i="12"/>
  <c r="J205" i="12" s="1"/>
  <c r="K205" i="12" s="1"/>
  <c r="F259" i="12"/>
  <c r="F35" i="12"/>
  <c r="J35" i="12" s="1"/>
  <c r="K35" i="12" s="1"/>
  <c r="F93" i="12"/>
  <c r="J93" i="12" s="1"/>
  <c r="K93" i="12" s="1"/>
  <c r="J136" i="12"/>
  <c r="K136" i="12" s="1"/>
  <c r="F251" i="12"/>
  <c r="F254" i="12" s="1"/>
  <c r="F260" i="12"/>
  <c r="G299" i="12"/>
  <c r="H299" i="12" s="1"/>
  <c r="I299" i="12" s="1"/>
  <c r="J131" i="12"/>
  <c r="K131" i="12" s="1"/>
  <c r="I139" i="12"/>
  <c r="F36" i="12"/>
  <c r="J36" i="12" s="1"/>
  <c r="K36" i="12" s="1"/>
  <c r="J80" i="12"/>
  <c r="K80" i="12" s="1"/>
  <c r="F91" i="12"/>
  <c r="J91" i="12" s="1"/>
  <c r="K91" i="12" s="1"/>
  <c r="J192" i="12"/>
  <c r="K192" i="12" s="1"/>
  <c r="F37" i="12"/>
  <c r="J37" i="12" s="1"/>
  <c r="K37" i="12" s="1"/>
  <c r="F92" i="12"/>
  <c r="J92" i="12" s="1"/>
  <c r="K92" i="12" s="1"/>
  <c r="I195" i="12"/>
  <c r="D19" i="12"/>
  <c r="E19" i="12" s="1"/>
  <c r="F19" i="12" s="1"/>
  <c r="J243" i="12"/>
  <c r="K243" i="12" s="1"/>
  <c r="J315" i="12"/>
  <c r="K315" i="12" s="1"/>
  <c r="F11" i="13"/>
  <c r="K11" i="13"/>
  <c r="L11" i="13" s="1"/>
  <c r="C11" i="14" s="1"/>
  <c r="E11" i="14" s="1"/>
  <c r="J95" i="10"/>
  <c r="K95" i="10" s="1"/>
  <c r="I99" i="10"/>
  <c r="I109" i="10" s="1"/>
  <c r="I112" i="10" s="1"/>
  <c r="I25" i="10"/>
  <c r="K15" i="10"/>
  <c r="J15" i="10"/>
  <c r="I138" i="10"/>
  <c r="J134" i="10"/>
  <c r="K134" i="10" s="1"/>
  <c r="J109" i="10"/>
  <c r="K109" i="10" s="1"/>
  <c r="J11" i="10"/>
  <c r="K11" i="10" s="1"/>
  <c r="I57" i="10"/>
  <c r="J99" i="10"/>
  <c r="K99" i="10" s="1"/>
  <c r="F80" i="10" l="1"/>
  <c r="F79" i="10"/>
  <c r="F81" i="10"/>
  <c r="M15" i="13"/>
  <c r="D15" i="14" s="1"/>
  <c r="F15" i="14" s="1"/>
  <c r="C14" i="8" s="1"/>
  <c r="F238" i="10"/>
  <c r="F239" i="10"/>
  <c r="J261" i="12"/>
  <c r="K261" i="12" s="1"/>
  <c r="H14" i="14"/>
  <c r="B14" i="8" s="1"/>
  <c r="O14" i="13"/>
  <c r="F320" i="10"/>
  <c r="F322" i="10" s="1"/>
  <c r="F321" i="10"/>
  <c r="L10" i="13"/>
  <c r="C10" i="14" s="1"/>
  <c r="E10" i="14" s="1"/>
  <c r="K74" i="12"/>
  <c r="E9" i="13"/>
  <c r="I9" i="13"/>
  <c r="I74" i="12"/>
  <c r="J74" i="12" s="1"/>
  <c r="J68" i="12"/>
  <c r="K68" i="12" s="1"/>
  <c r="H8" i="14"/>
  <c r="B7" i="8" s="1"/>
  <c r="O8" i="13"/>
  <c r="H12" i="14"/>
  <c r="B12" i="8" s="1"/>
  <c r="O12" i="13"/>
  <c r="I251" i="12"/>
  <c r="I27" i="12"/>
  <c r="J259" i="12"/>
  <c r="K259" i="12" s="1"/>
  <c r="N15" i="13"/>
  <c r="G15" i="14"/>
  <c r="D15" i="7" s="1"/>
  <c r="K15" i="13"/>
  <c r="L15" i="13" s="1"/>
  <c r="C15" i="14" s="1"/>
  <c r="E15" i="14" s="1"/>
  <c r="C15" i="18" s="1"/>
  <c r="D15" i="18" s="1"/>
  <c r="I307" i="12"/>
  <c r="J307" i="12" s="1"/>
  <c r="K307" i="12" s="1"/>
  <c r="M8" i="13"/>
  <c r="D8" i="14" s="1"/>
  <c r="F8" i="14" s="1"/>
  <c r="C7" i="8" s="1"/>
  <c r="J309" i="12"/>
  <c r="K309" i="12" s="1"/>
  <c r="J18" i="13"/>
  <c r="H10" i="14"/>
  <c r="B10" i="8" s="1"/>
  <c r="D10" i="8" s="1"/>
  <c r="O10" i="13"/>
  <c r="B19" i="13"/>
  <c r="H11" i="14"/>
  <c r="B11" i="8" s="1"/>
  <c r="O11" i="13"/>
  <c r="N11" i="13"/>
  <c r="G11" i="14"/>
  <c r="D11" i="7" s="1"/>
  <c r="F10" i="13"/>
  <c r="J9" i="13"/>
  <c r="K298" i="12"/>
  <c r="E17" i="13"/>
  <c r="I17" i="13"/>
  <c r="H15" i="14"/>
  <c r="B15" i="8" s="1"/>
  <c r="O15" i="13"/>
  <c r="J242" i="12"/>
  <c r="K242" i="12" s="1"/>
  <c r="N8" i="13"/>
  <c r="G8" i="14"/>
  <c r="D7" i="7" s="1"/>
  <c r="K8" i="13"/>
  <c r="L8" i="13" s="1"/>
  <c r="C8" i="14" s="1"/>
  <c r="E8" i="14" s="1"/>
  <c r="C8" i="18" s="1"/>
  <c r="D8" i="18" s="1"/>
  <c r="J17" i="13"/>
  <c r="N10" i="13"/>
  <c r="G10" i="14"/>
  <c r="D10" i="7" s="1"/>
  <c r="K10" i="13"/>
  <c r="M10" i="13" s="1"/>
  <c r="D10" i="14" s="1"/>
  <c r="F10" i="14" s="1"/>
  <c r="C10" i="8" s="1"/>
  <c r="F10" i="8" s="1"/>
  <c r="G213" i="10" s="1"/>
  <c r="I213" i="10" s="1"/>
  <c r="J213" i="10" s="1"/>
  <c r="K213" i="10" s="1"/>
  <c r="E11" i="7"/>
  <c r="H11" i="7" s="1"/>
  <c r="D184" i="9" s="1"/>
  <c r="C12" i="18"/>
  <c r="D12" i="18" s="1"/>
  <c r="J150" i="12"/>
  <c r="K150" i="12" s="1"/>
  <c r="I14" i="13"/>
  <c r="I19" i="13" s="1"/>
  <c r="E14" i="13"/>
  <c r="N7" i="13"/>
  <c r="G7" i="14"/>
  <c r="N16" i="13"/>
  <c r="G16" i="14"/>
  <c r="D16" i="7" s="1"/>
  <c r="F38" i="10"/>
  <c r="F37" i="10"/>
  <c r="F39" i="10" s="1"/>
  <c r="H16" i="14"/>
  <c r="B16" i="8" s="1"/>
  <c r="O16" i="13"/>
  <c r="G294" i="10"/>
  <c r="I294" i="10" s="1"/>
  <c r="J260" i="12"/>
  <c r="K260" i="12" s="1"/>
  <c r="J149" i="12"/>
  <c r="K149" i="12" s="1"/>
  <c r="F307" i="12"/>
  <c r="F310" i="12" s="1"/>
  <c r="J151" i="12"/>
  <c r="K151" i="12" s="1"/>
  <c r="J85" i="12"/>
  <c r="K85" i="12" s="1"/>
  <c r="E12" i="13"/>
  <c r="I12" i="13"/>
  <c r="F158" i="10"/>
  <c r="F159" i="10"/>
  <c r="I18" i="13"/>
  <c r="E18" i="13"/>
  <c r="G18" i="13" s="1"/>
  <c r="F18" i="13"/>
  <c r="C19" i="13"/>
  <c r="J7" i="13"/>
  <c r="J219" i="10"/>
  <c r="K219" i="10" s="1"/>
  <c r="E7" i="13"/>
  <c r="F119" i="10"/>
  <c r="F120" i="10"/>
  <c r="F15" i="13"/>
  <c r="J75" i="12"/>
  <c r="K75" i="12" s="1"/>
  <c r="F195" i="12"/>
  <c r="J195" i="12" s="1"/>
  <c r="K195" i="12" s="1"/>
  <c r="J299" i="12"/>
  <c r="K299" i="12" s="1"/>
  <c r="I11" i="14"/>
  <c r="K11" i="14" s="1"/>
  <c r="C15" i="8"/>
  <c r="J16" i="14"/>
  <c r="L16" i="14" s="1"/>
  <c r="J15" i="14"/>
  <c r="L15" i="14" s="1"/>
  <c r="F321" i="12"/>
  <c r="F323" i="12" s="1"/>
  <c r="F265" i="12"/>
  <c r="F266" i="12" s="1"/>
  <c r="I15" i="14"/>
  <c r="E14" i="7"/>
  <c r="D155" i="9"/>
  <c r="I8" i="14"/>
  <c r="E7" i="7"/>
  <c r="G173" i="10"/>
  <c r="I173" i="10" s="1"/>
  <c r="J173" i="10" s="1"/>
  <c r="K173" i="10" s="1"/>
  <c r="I198" i="12"/>
  <c r="F107" i="12"/>
  <c r="F102" i="12"/>
  <c r="M11" i="13"/>
  <c r="D11" i="14" s="1"/>
  <c r="F11" i="14" s="1"/>
  <c r="L16" i="13"/>
  <c r="C16" i="14" s="1"/>
  <c r="E16" i="14" s="1"/>
  <c r="F163" i="12"/>
  <c r="F158" i="12"/>
  <c r="F153" i="12"/>
  <c r="I310" i="12"/>
  <c r="F97" i="12"/>
  <c r="I142" i="12"/>
  <c r="J139" i="12"/>
  <c r="K139" i="12" s="1"/>
  <c r="F275" i="12"/>
  <c r="F270" i="12"/>
  <c r="F27" i="12"/>
  <c r="J27" i="12" s="1"/>
  <c r="J19" i="12"/>
  <c r="K19" i="12" s="1"/>
  <c r="J251" i="12"/>
  <c r="K251" i="12" s="1"/>
  <c r="I254" i="12"/>
  <c r="F331" i="12"/>
  <c r="F326" i="12"/>
  <c r="I30" i="12"/>
  <c r="I298" i="10"/>
  <c r="J294" i="10"/>
  <c r="J298" i="10" s="1"/>
  <c r="J308" i="10" s="1"/>
  <c r="J311" i="10" s="1"/>
  <c r="K294" i="10"/>
  <c r="I28" i="10"/>
  <c r="K25" i="10"/>
  <c r="J25" i="10"/>
  <c r="J138" i="10"/>
  <c r="K138" i="10" s="1"/>
  <c r="I148" i="10"/>
  <c r="K57" i="10"/>
  <c r="J57" i="10"/>
  <c r="I67" i="10"/>
  <c r="J112" i="10"/>
  <c r="K112" i="10" s="1"/>
  <c r="I118" i="10"/>
  <c r="H9" i="14" l="1"/>
  <c r="O9" i="13"/>
  <c r="F198" i="12"/>
  <c r="F17" i="13"/>
  <c r="G17" i="13"/>
  <c r="H18" i="14"/>
  <c r="B18" i="8" s="1"/>
  <c r="D18" i="8" s="1"/>
  <c r="O18" i="13"/>
  <c r="M18" i="13"/>
  <c r="D18" i="14" s="1"/>
  <c r="F18" i="14" s="1"/>
  <c r="E10" i="7"/>
  <c r="H10" i="7" s="1"/>
  <c r="C11" i="18"/>
  <c r="D11" i="18" s="1"/>
  <c r="I10" i="14"/>
  <c r="K10" i="14" s="1"/>
  <c r="J8" i="14"/>
  <c r="L8" i="14" s="1"/>
  <c r="F11" i="7"/>
  <c r="F7" i="13"/>
  <c r="E19" i="13"/>
  <c r="G7" i="13"/>
  <c r="D6" i="7"/>
  <c r="F6" i="7" s="1"/>
  <c r="I7" i="14"/>
  <c r="K7" i="14" s="1"/>
  <c r="N9" i="13"/>
  <c r="G9" i="14"/>
  <c r="D8" i="7" s="1"/>
  <c r="D9" i="7" s="1"/>
  <c r="K9" i="13"/>
  <c r="M9" i="13" s="1"/>
  <c r="D9" i="14" s="1"/>
  <c r="F9" i="14" s="1"/>
  <c r="L9" i="13"/>
  <c r="C9" i="14" s="1"/>
  <c r="H7" i="14"/>
  <c r="O7" i="13"/>
  <c r="J19" i="13"/>
  <c r="K7" i="13"/>
  <c r="M7" i="13" s="1"/>
  <c r="N18" i="13"/>
  <c r="G18" i="14"/>
  <c r="D18" i="7" s="1"/>
  <c r="F18" i="7" s="1"/>
  <c r="K18" i="13"/>
  <c r="L18" i="13" s="1"/>
  <c r="C18" i="14" s="1"/>
  <c r="E18" i="14" s="1"/>
  <c r="F12" i="13"/>
  <c r="G12" i="13"/>
  <c r="F14" i="13"/>
  <c r="G14" i="13"/>
  <c r="N17" i="13"/>
  <c r="G17" i="14"/>
  <c r="D17" i="7" s="1"/>
  <c r="K17" i="13"/>
  <c r="L17" i="13" s="1"/>
  <c r="C17" i="14" s="1"/>
  <c r="E17" i="14" s="1"/>
  <c r="I16" i="14"/>
  <c r="C16" i="18"/>
  <c r="D16" i="18" s="1"/>
  <c r="N14" i="13"/>
  <c r="G14" i="14"/>
  <c r="D14" i="7" s="1"/>
  <c r="K14" i="13"/>
  <c r="H17" i="14"/>
  <c r="B17" i="8" s="1"/>
  <c r="O17" i="13"/>
  <c r="M17" i="13"/>
  <c r="D17" i="14" s="1"/>
  <c r="F17" i="14" s="1"/>
  <c r="F322" i="12"/>
  <c r="N12" i="13"/>
  <c r="G12" i="14"/>
  <c r="D12" i="7" s="1"/>
  <c r="K12" i="13"/>
  <c r="F10" i="7"/>
  <c r="I83" i="12"/>
  <c r="F9" i="13"/>
  <c r="G9" i="13"/>
  <c r="E15" i="7"/>
  <c r="H15" i="7" s="1"/>
  <c r="C11" i="8"/>
  <c r="J11" i="14"/>
  <c r="L11" i="14" s="1"/>
  <c r="M11" i="14" s="1"/>
  <c r="Q11" i="14" s="1"/>
  <c r="F14" i="8"/>
  <c r="D14" i="8"/>
  <c r="F15" i="8"/>
  <c r="D15" i="8"/>
  <c r="F7" i="8"/>
  <c r="D7" i="8"/>
  <c r="N11" i="14"/>
  <c r="K8" i="14"/>
  <c r="K15" i="14"/>
  <c r="M15" i="14" s="1"/>
  <c r="K16" i="14"/>
  <c r="M16" i="14" s="1"/>
  <c r="Q16" i="14" s="1"/>
  <c r="F15" i="7"/>
  <c r="H14" i="7"/>
  <c r="F14" i="7"/>
  <c r="H7" i="7"/>
  <c r="F7" i="7"/>
  <c r="J10" i="14"/>
  <c r="F327" i="12"/>
  <c r="F329" i="12" s="1"/>
  <c r="F219" i="12"/>
  <c r="F214" i="12"/>
  <c r="F209" i="12"/>
  <c r="F276" i="12"/>
  <c r="F278" i="12" s="1"/>
  <c r="J142" i="12"/>
  <c r="K142" i="12" s="1"/>
  <c r="I163" i="12"/>
  <c r="I158" i="12"/>
  <c r="I153" i="12"/>
  <c r="F164" i="12"/>
  <c r="F166" i="12" s="1"/>
  <c r="F332" i="12"/>
  <c r="F334" i="12" s="1"/>
  <c r="I275" i="12"/>
  <c r="I270" i="12"/>
  <c r="J254" i="12"/>
  <c r="K254" i="12" s="1"/>
  <c r="I265" i="12"/>
  <c r="F99" i="12"/>
  <c r="F98" i="12"/>
  <c r="F154" i="12"/>
  <c r="F156" i="12" s="1"/>
  <c r="F103" i="12"/>
  <c r="F105" i="12" s="1"/>
  <c r="F268" i="12"/>
  <c r="K27" i="12"/>
  <c r="F30" i="12"/>
  <c r="J30" i="12" s="1"/>
  <c r="F108" i="12"/>
  <c r="F110" i="12" s="1"/>
  <c r="I51" i="12"/>
  <c r="I46" i="12"/>
  <c r="I41" i="12"/>
  <c r="F271" i="12"/>
  <c r="F324" i="12"/>
  <c r="I331" i="12"/>
  <c r="I326" i="12"/>
  <c r="J310" i="12"/>
  <c r="K310" i="12" s="1"/>
  <c r="I321" i="12"/>
  <c r="F159" i="12"/>
  <c r="I219" i="12"/>
  <c r="I214" i="12"/>
  <c r="J198" i="12"/>
  <c r="K198" i="12" s="1"/>
  <c r="I209" i="12"/>
  <c r="K298" i="10"/>
  <c r="I308" i="10"/>
  <c r="I151" i="10"/>
  <c r="J148" i="10"/>
  <c r="K148" i="10" s="1"/>
  <c r="I36" i="10"/>
  <c r="K28" i="10"/>
  <c r="J28" i="10"/>
  <c r="I70" i="10"/>
  <c r="K67" i="10"/>
  <c r="J67" i="10"/>
  <c r="J118" i="10"/>
  <c r="I119" i="10"/>
  <c r="J119" i="10" s="1"/>
  <c r="K119" i="10" s="1"/>
  <c r="N7" i="14" l="1"/>
  <c r="I86" i="12"/>
  <c r="J83" i="12"/>
  <c r="K83" i="12" s="1"/>
  <c r="C16" i="8"/>
  <c r="J17" i="14"/>
  <c r="L17" i="14" s="1"/>
  <c r="C17" i="18"/>
  <c r="D17" i="18" s="1"/>
  <c r="E16" i="7"/>
  <c r="I17" i="14"/>
  <c r="K17" i="14" s="1"/>
  <c r="C17" i="8"/>
  <c r="F17" i="8" s="1"/>
  <c r="J18" i="14"/>
  <c r="L18" i="14" s="1"/>
  <c r="O11" i="14"/>
  <c r="J7" i="14"/>
  <c r="L7" i="14" s="1"/>
  <c r="B6" i="8"/>
  <c r="D6" i="8" s="1"/>
  <c r="L12" i="13"/>
  <c r="C12" i="14" s="1"/>
  <c r="E12" i="14" s="1"/>
  <c r="M12" i="13"/>
  <c r="D12" i="14" s="1"/>
  <c r="K19" i="13"/>
  <c r="L7" i="13"/>
  <c r="E9" i="14"/>
  <c r="M7" i="14"/>
  <c r="Q7" i="14" s="1"/>
  <c r="M8" i="14"/>
  <c r="Q8" i="14" s="1"/>
  <c r="L14" i="13"/>
  <c r="C14" i="14" s="1"/>
  <c r="E14" i="14" s="1"/>
  <c r="I14" i="14" s="1"/>
  <c r="K14" i="14" s="1"/>
  <c r="M14" i="13"/>
  <c r="D14" i="14" s="1"/>
  <c r="F14" i="14" s="1"/>
  <c r="J14" i="14" s="1"/>
  <c r="L14" i="14" s="1"/>
  <c r="C18" i="18"/>
  <c r="D18" i="18" s="1"/>
  <c r="I18" i="14"/>
  <c r="K18" i="14" s="1"/>
  <c r="E17" i="7"/>
  <c r="H17" i="7" s="1"/>
  <c r="C8" i="8"/>
  <c r="F8" i="8" s="1"/>
  <c r="J9" i="14"/>
  <c r="L9" i="14" s="1"/>
  <c r="C9" i="8"/>
  <c r="G212" i="10"/>
  <c r="I212" i="10" s="1"/>
  <c r="D154" i="9"/>
  <c r="B9" i="8"/>
  <c r="D9" i="8" s="1"/>
  <c r="B8" i="8"/>
  <c r="F100" i="12"/>
  <c r="F11" i="8"/>
  <c r="D11" i="8"/>
  <c r="N15" i="14"/>
  <c r="Q15" i="14"/>
  <c r="O15" i="14"/>
  <c r="O8" i="14"/>
  <c r="O16" i="14"/>
  <c r="N16" i="14"/>
  <c r="L10" i="14"/>
  <c r="M10" i="14" s="1"/>
  <c r="F9" i="8"/>
  <c r="F51" i="12"/>
  <c r="F46" i="12"/>
  <c r="K30" i="12"/>
  <c r="F41" i="12"/>
  <c r="J41" i="12" s="1"/>
  <c r="J265" i="12"/>
  <c r="K265" i="12" s="1"/>
  <c r="I266" i="12"/>
  <c r="J266" i="12" s="1"/>
  <c r="K266" i="12" s="1"/>
  <c r="J158" i="12"/>
  <c r="K158" i="12" s="1"/>
  <c r="I159" i="12"/>
  <c r="J159" i="12" s="1"/>
  <c r="K159" i="12" s="1"/>
  <c r="F210" i="12"/>
  <c r="J219" i="12"/>
  <c r="K219" i="12" s="1"/>
  <c r="I220" i="12"/>
  <c r="J321" i="12"/>
  <c r="K321" i="12" s="1"/>
  <c r="I323" i="12"/>
  <c r="J323" i="12" s="1"/>
  <c r="I322" i="12"/>
  <c r="J322" i="12" s="1"/>
  <c r="K322" i="12" s="1"/>
  <c r="J270" i="12"/>
  <c r="K270" i="12" s="1"/>
  <c r="I271" i="12"/>
  <c r="J271" i="12" s="1"/>
  <c r="K271" i="12" s="1"/>
  <c r="F220" i="12"/>
  <c r="F222" i="12" s="1"/>
  <c r="J209" i="12"/>
  <c r="K209" i="12" s="1"/>
  <c r="I210" i="12"/>
  <c r="I212" i="12" s="1"/>
  <c r="I43" i="12"/>
  <c r="I42" i="12"/>
  <c r="J275" i="12"/>
  <c r="K275" i="12" s="1"/>
  <c r="I276" i="12"/>
  <c r="J276" i="12" s="1"/>
  <c r="K276" i="12" s="1"/>
  <c r="I154" i="12"/>
  <c r="J154" i="12" s="1"/>
  <c r="K154" i="12" s="1"/>
  <c r="J153" i="12"/>
  <c r="K153" i="12" s="1"/>
  <c r="I327" i="12"/>
  <c r="J327" i="12" s="1"/>
  <c r="K327" i="12" s="1"/>
  <c r="J326" i="12"/>
  <c r="K326" i="12" s="1"/>
  <c r="I47" i="12"/>
  <c r="J214" i="12"/>
  <c r="K214" i="12" s="1"/>
  <c r="I215" i="12"/>
  <c r="F161" i="12"/>
  <c r="I332" i="12"/>
  <c r="J332" i="12" s="1"/>
  <c r="K332" i="12" s="1"/>
  <c r="J331" i="12"/>
  <c r="K331" i="12" s="1"/>
  <c r="F273" i="12"/>
  <c r="I52" i="12"/>
  <c r="J163" i="12"/>
  <c r="K163" i="12" s="1"/>
  <c r="I164" i="12"/>
  <c r="J164" i="12" s="1"/>
  <c r="K164" i="12" s="1"/>
  <c r="F215" i="12"/>
  <c r="I311" i="10"/>
  <c r="K308" i="10"/>
  <c r="K118" i="10"/>
  <c r="J120" i="10"/>
  <c r="K120" i="10" s="1"/>
  <c r="J151" i="10"/>
  <c r="K151" i="10" s="1"/>
  <c r="I157" i="10"/>
  <c r="I38" i="10"/>
  <c r="J38" i="10" s="1"/>
  <c r="I37" i="10"/>
  <c r="J37" i="10" s="1"/>
  <c r="K37" i="10" s="1"/>
  <c r="J36" i="10"/>
  <c r="K36" i="10" s="1"/>
  <c r="I120" i="10"/>
  <c r="J70" i="10"/>
  <c r="I78" i="10"/>
  <c r="K70" i="10"/>
  <c r="J212" i="10" l="1"/>
  <c r="K212" i="10" s="1"/>
  <c r="I216" i="10"/>
  <c r="O7" i="14"/>
  <c r="I97" i="12"/>
  <c r="I102" i="12"/>
  <c r="J86" i="12"/>
  <c r="K86" i="12" s="1"/>
  <c r="I107" i="12"/>
  <c r="D8" i="8"/>
  <c r="M18" i="14"/>
  <c r="Q18" i="14" s="1"/>
  <c r="C19" i="14"/>
  <c r="F12" i="14"/>
  <c r="D19" i="14"/>
  <c r="F17" i="7"/>
  <c r="O17" i="14"/>
  <c r="E9" i="7"/>
  <c r="C9" i="18"/>
  <c r="D9" i="18" s="1"/>
  <c r="C10" i="18"/>
  <c r="D10" i="18" s="1"/>
  <c r="E8" i="7"/>
  <c r="I9" i="14"/>
  <c r="K9" i="14" s="1"/>
  <c r="E12" i="7"/>
  <c r="C13" i="18"/>
  <c r="D13" i="18" s="1"/>
  <c r="I12" i="14"/>
  <c r="K12" i="14" s="1"/>
  <c r="M17" i="14"/>
  <c r="Q17" i="14" s="1"/>
  <c r="N17" i="14"/>
  <c r="F16" i="8"/>
  <c r="D16" i="8"/>
  <c r="N8" i="14"/>
  <c r="M14" i="14"/>
  <c r="Q14" i="14" s="1"/>
  <c r="H16" i="7"/>
  <c r="F16" i="7"/>
  <c r="D17" i="8"/>
  <c r="G174" i="10"/>
  <c r="I174" i="10" s="1"/>
  <c r="D185" i="9"/>
  <c r="N10" i="14"/>
  <c r="Q10" i="14"/>
  <c r="O10" i="14"/>
  <c r="I166" i="12"/>
  <c r="J166" i="12" s="1"/>
  <c r="K166" i="12" s="1"/>
  <c r="I278" i="12"/>
  <c r="J278" i="12" s="1"/>
  <c r="K278" i="12" s="1"/>
  <c r="I324" i="12"/>
  <c r="J324" i="12" s="1"/>
  <c r="K324" i="12" s="1"/>
  <c r="I268" i="12"/>
  <c r="J268" i="12" s="1"/>
  <c r="K268" i="12" s="1"/>
  <c r="I156" i="12"/>
  <c r="J156" i="12" s="1"/>
  <c r="K156" i="12" s="1"/>
  <c r="J220" i="12"/>
  <c r="K220" i="12" s="1"/>
  <c r="F217" i="12"/>
  <c r="J215" i="12"/>
  <c r="K215" i="12" s="1"/>
  <c r="I49" i="12"/>
  <c r="I273" i="12"/>
  <c r="J273" i="12" s="1"/>
  <c r="K273" i="12" s="1"/>
  <c r="I161" i="12"/>
  <c r="J161" i="12" s="1"/>
  <c r="K161" i="12" s="1"/>
  <c r="F47" i="12"/>
  <c r="F49" i="12" s="1"/>
  <c r="I54" i="12"/>
  <c r="I217" i="12"/>
  <c r="J217" i="12" s="1"/>
  <c r="J46" i="12"/>
  <c r="K46" i="12" s="1"/>
  <c r="I329" i="12"/>
  <c r="J329" i="12" s="1"/>
  <c r="K329" i="12" s="1"/>
  <c r="J210" i="12"/>
  <c r="K210" i="12" s="1"/>
  <c r="F212" i="12"/>
  <c r="J212" i="12" s="1"/>
  <c r="F52" i="12"/>
  <c r="J51" i="12"/>
  <c r="K51" i="12" s="1"/>
  <c r="I334" i="12"/>
  <c r="J334" i="12" s="1"/>
  <c r="K334" i="12" s="1"/>
  <c r="I44" i="12"/>
  <c r="I222" i="12"/>
  <c r="J222" i="12" s="1"/>
  <c r="K222" i="12" s="1"/>
  <c r="F43" i="12"/>
  <c r="J43" i="12" s="1"/>
  <c r="F42" i="12"/>
  <c r="K41" i="12"/>
  <c r="I319" i="10"/>
  <c r="K311" i="10"/>
  <c r="J157" i="10"/>
  <c r="I158" i="10"/>
  <c r="J158" i="10" s="1"/>
  <c r="K158" i="10" s="1"/>
  <c r="J78" i="10"/>
  <c r="K78" i="10" s="1"/>
  <c r="I80" i="10"/>
  <c r="J80" i="10" s="1"/>
  <c r="I79" i="10"/>
  <c r="J79" i="10" s="1"/>
  <c r="K79" i="10" s="1"/>
  <c r="I39" i="10"/>
  <c r="J39" i="10" s="1"/>
  <c r="K39" i="10" s="1"/>
  <c r="O14" i="14" l="1"/>
  <c r="N18" i="14"/>
  <c r="N14" i="14"/>
  <c r="H12" i="7"/>
  <c r="F12" i="7"/>
  <c r="J102" i="12"/>
  <c r="K102" i="12" s="1"/>
  <c r="I103" i="12"/>
  <c r="J103" i="12" s="1"/>
  <c r="K103" i="12" s="1"/>
  <c r="J216" i="10"/>
  <c r="K216" i="10" s="1"/>
  <c r="I226" i="10"/>
  <c r="M9" i="14"/>
  <c r="K19" i="14"/>
  <c r="H9" i="7"/>
  <c r="F9" i="7"/>
  <c r="C12" i="8"/>
  <c r="J12" i="14"/>
  <c r="L12" i="14" s="1"/>
  <c r="I99" i="12"/>
  <c r="J99" i="12" s="1"/>
  <c r="I98" i="12"/>
  <c r="J98" i="12" s="1"/>
  <c r="K98" i="12" s="1"/>
  <c r="J97" i="12"/>
  <c r="K97" i="12" s="1"/>
  <c r="O18" i="14"/>
  <c r="M12" i="14"/>
  <c r="Q12" i="14" s="1"/>
  <c r="H8" i="7"/>
  <c r="F8" i="7"/>
  <c r="I108" i="12"/>
  <c r="J107" i="12"/>
  <c r="K107" i="12" s="1"/>
  <c r="J47" i="12"/>
  <c r="K47" i="12" s="1"/>
  <c r="J174" i="10"/>
  <c r="K174" i="10" s="1"/>
  <c r="I177" i="10"/>
  <c r="F54" i="12"/>
  <c r="J52" i="12"/>
  <c r="K52" i="12" s="1"/>
  <c r="J42" i="12"/>
  <c r="K42" i="12" s="1"/>
  <c r="K212" i="12"/>
  <c r="K217" i="12"/>
  <c r="F44" i="12"/>
  <c r="J49" i="12"/>
  <c r="K49" i="12" s="1"/>
  <c r="I81" i="10"/>
  <c r="J81" i="10" s="1"/>
  <c r="K81" i="10" s="1"/>
  <c r="J319" i="10"/>
  <c r="K319" i="10" s="1"/>
  <c r="I321" i="10"/>
  <c r="J321" i="10" s="1"/>
  <c r="I320" i="10"/>
  <c r="J320" i="10" s="1"/>
  <c r="K320" i="10" s="1"/>
  <c r="I159" i="10"/>
  <c r="J159" i="10"/>
  <c r="K159" i="10" s="1"/>
  <c r="K157" i="10"/>
  <c r="Q9" i="14" l="1"/>
  <c r="O9" i="14"/>
  <c r="M19" i="14"/>
  <c r="N12" i="14"/>
  <c r="I100" i="12"/>
  <c r="J100" i="12" s="1"/>
  <c r="K100" i="12" s="1"/>
  <c r="F12" i="8"/>
  <c r="D12" i="8"/>
  <c r="I105" i="12"/>
  <c r="J105" i="12" s="1"/>
  <c r="K105" i="12" s="1"/>
  <c r="G253" i="10"/>
  <c r="I253" i="10" s="1"/>
  <c r="D124" i="9"/>
  <c r="I229" i="10"/>
  <c r="J226" i="10"/>
  <c r="K226" i="10" s="1"/>
  <c r="I110" i="12"/>
  <c r="J110" i="12" s="1"/>
  <c r="K110" i="12" s="1"/>
  <c r="J108" i="12"/>
  <c r="K108" i="12" s="1"/>
  <c r="O12" i="14"/>
  <c r="L19" i="14"/>
  <c r="N9" i="14"/>
  <c r="J177" i="10"/>
  <c r="K177" i="10" s="1"/>
  <c r="I187" i="10"/>
  <c r="J54" i="12"/>
  <c r="K54" i="12" s="1"/>
  <c r="J44" i="12"/>
  <c r="K44" i="12" s="1"/>
  <c r="I322" i="10"/>
  <c r="J322" i="10" s="1"/>
  <c r="K322" i="10" s="1"/>
  <c r="I237" i="10" l="1"/>
  <c r="J229" i="10"/>
  <c r="K229" i="10" s="1"/>
  <c r="D125" i="9"/>
  <c r="G254" i="10"/>
  <c r="I254" i="10" s="1"/>
  <c r="J254" i="10" s="1"/>
  <c r="K254" i="10" s="1"/>
  <c r="J253" i="10"/>
  <c r="K253" i="10" s="1"/>
  <c r="J187" i="10"/>
  <c r="K187" i="10" s="1"/>
  <c r="I190" i="10"/>
  <c r="I238" i="10" l="1"/>
  <c r="J238" i="10" s="1"/>
  <c r="K238" i="10" s="1"/>
  <c r="J237" i="10"/>
  <c r="I257" i="10"/>
  <c r="I196" i="10"/>
  <c r="J190" i="10"/>
  <c r="K190" i="10" s="1"/>
  <c r="I267" i="10" l="1"/>
  <c r="J257" i="10"/>
  <c r="K257" i="10" s="1"/>
  <c r="I239" i="10"/>
  <c r="K237" i="10"/>
  <c r="J239" i="10"/>
  <c r="K239" i="10" s="1"/>
  <c r="J196" i="10"/>
  <c r="K196" i="10" s="1"/>
  <c r="I197" i="10"/>
  <c r="J197" i="10" s="1"/>
  <c r="K197" i="10" s="1"/>
  <c r="I198" i="10"/>
  <c r="J198" i="10" s="1"/>
  <c r="K198" i="10" s="1"/>
  <c r="I270" i="10" l="1"/>
  <c r="J267" i="10"/>
  <c r="K267" i="10" s="1"/>
  <c r="I278" i="10" l="1"/>
  <c r="J270" i="10"/>
  <c r="K270" i="10" s="1"/>
  <c r="J278" i="10" l="1"/>
  <c r="I279" i="10"/>
  <c r="J279" i="10" s="1"/>
  <c r="K279" i="10" s="1"/>
  <c r="I280" i="10"/>
  <c r="J280" i="10" l="1"/>
  <c r="K280" i="10" s="1"/>
  <c r="K278" i="10"/>
</calcChain>
</file>

<file path=xl/sharedStrings.xml><?xml version="1.0" encoding="utf-8"?>
<sst xmlns="http://schemas.openxmlformats.org/spreadsheetml/2006/main" count="1653" uniqueCount="297">
  <si>
    <t/>
  </si>
  <si>
    <t>kWh</t>
  </si>
  <si>
    <t>kW</t>
  </si>
  <si>
    <t>Total</t>
  </si>
  <si>
    <t>General Service Less Than 50 kW - NTRZ</t>
  </si>
  <si>
    <t>Residential - NTRZ</t>
  </si>
  <si>
    <t>Sentinel Lighting - NTRZ</t>
  </si>
  <si>
    <t>Street Lighting - NTRZ</t>
  </si>
  <si>
    <t>Unmetered Scattered Load - NTRZ</t>
  </si>
  <si>
    <t>Residential - MRZ</t>
  </si>
  <si>
    <t>General Service Less Than 50 kW - MRZ</t>
  </si>
  <si>
    <t>General Service 50 to 4,999 kW - MRZ</t>
  </si>
  <si>
    <t>Fixed</t>
  </si>
  <si>
    <t>Variable</t>
  </si>
  <si>
    <t>General Service 50 to 4,999 kW - NTRZ Thermal</t>
  </si>
  <si>
    <t>General Service 50 to 4,999 kW - NTRZ Interval</t>
  </si>
  <si>
    <t>Rate Class</t>
  </si>
  <si>
    <t>2018 Fixed</t>
  </si>
  <si>
    <t>Jan-Apr</t>
  </si>
  <si>
    <t>May-Dec</t>
  </si>
  <si>
    <t>Blended</t>
  </si>
  <si>
    <t>2018 Variable</t>
  </si>
  <si>
    <t>General Service 50 to 4,999 kW - NTRZ Thermal &amp; Interval</t>
  </si>
  <si>
    <t>Fixed proportion %</t>
  </si>
  <si>
    <t>Variable proportion%</t>
  </si>
  <si>
    <t>Addl chgs $ I6.1</t>
  </si>
  <si>
    <t>Proposed band adjustment</t>
  </si>
  <si>
    <t>Total excl addl chgs vs total w band adj</t>
  </si>
  <si>
    <t>Verifications</t>
  </si>
  <si>
    <t>2018 Distribution Revenue</t>
  </si>
  <si>
    <t>2018 Ceiling</t>
  </si>
  <si>
    <t>2018 Floor</t>
  </si>
  <si>
    <t>Band adj</t>
  </si>
  <si>
    <t>2019 Current</t>
  </si>
  <si>
    <t>Annual fixed $ with addl chgs</t>
  </si>
  <si>
    <t>Annual variable $ with addl chgs</t>
  </si>
  <si>
    <t>Total annual $ per I6.1</t>
  </si>
  <si>
    <t>Annual fixed split</t>
  </si>
  <si>
    <t>Annual variable split</t>
  </si>
  <si>
    <t>Annual variable revenue</t>
  </si>
  <si>
    <t>Annual fixed revenue</t>
  </si>
  <si>
    <t>Monthly variable rate adj</t>
  </si>
  <si>
    <t>Monthly fixed rate adj</t>
  </si>
  <si>
    <t>Total annual revenue with band adj</t>
  </si>
  <si>
    <t>2019 proposed with band adj</t>
  </si>
  <si>
    <t>2019 fixed and variable rates by rate zone EB-2018-0055</t>
  </si>
  <si>
    <t>2018 Proposed fixed/variable proportions</t>
  </si>
  <si>
    <t>Total annual band adjustment</t>
  </si>
  <si>
    <t>Band adjustment</t>
  </si>
  <si>
    <t>Newmarket-Tay Power Distribution Ltd.</t>
  </si>
  <si>
    <t>For Newmarket-Tay Power Main Rate Zone</t>
  </si>
  <si>
    <t>RESIDENTIAL SERVICE CLASSIFICATION</t>
  </si>
  <si>
    <t>This classification refers to the supply of electrical energy to customers residing in residential dwelling units. Energy is generally supplied as single phase, 3-wire, 60-Hertz, having nominal voltage of 120/240 Volts and up to 400 amps. There shall be only one delivery point to a dwelling.  The Basic Connection for Residential consumers is defined as 100 amp 120/240 volt overhead service.  A Residential building is supplied at one service voltage per land parcel. Class B consumers are defined in accordance with O. Reg. 429/04. Further servicing details are available in the distributor’s Conditions of Service.</t>
  </si>
  <si>
    <t>APPLICATION</t>
  </si>
  <si>
    <t xml:space="preserve">The application of these rates and charges shall be in accordance with the Licence of the Distributor and any Code or Order of the Ontario Energy Board, and amendments thereto as approved by the Ontario Energy Board, which may be applicable to the administration of this schedule.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</si>
  <si>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</si>
  <si>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</si>
  <si>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</si>
  <si>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</si>
  <si>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</si>
  <si>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</si>
  <si>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Disposition of Account 1576 - effective until April 30, 2020</t>
  </si>
  <si>
    <t>Smart Metering Entity Charge - effective until December 31, 2022</t>
  </si>
  <si>
    <t>Rate Rider for Application of Tax Change (2019) - effective until April 30, 2020</t>
  </si>
  <si>
    <t>Rate Rider for Disposition of Global Adjustment Account (2019) - effective until April 30, 2020
      Applicable only for Non-RPP Customers - Approved on an Interim Basis</t>
  </si>
  <si>
    <t>$/kWh</t>
  </si>
  <si>
    <t>Rate Rider for Disposition of Lost Revenue Adjustment Mechanism Variance Account (LRAMVA) (2019)
      - effective until April 30, 2020</t>
  </si>
  <si>
    <t>Rate Rider for Disposition of Deferral/Variance Accounts (2019) - effective until April 30, 2020
     - Approved on an Interim Basis</t>
  </si>
  <si>
    <t>Rate Rider for Disposition of Capacity Based Recovery Account (2019) 
     - effective until April 30, 2020 Applicable only for Class B Customers - Approved on an Interim Basis</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</si>
  <si>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</si>
  <si>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</si>
  <si>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</si>
  <si>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</si>
  <si>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</si>
  <si>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</si>
  <si>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</si>
  <si>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</si>
  <si>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the supply of electrical energy to a non residential account whose average monthly maximum demand is less than, or is forecast to be less than, 50 kW, and Town Houses and Condominiums that require centralized bulk metering. Class B consumers are defined in accordance with O. Reg. 429/04. Further servicing details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</si>
  <si>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</si>
  <si>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Distribution Volumetric Rate</t>
  </si>
  <si>
    <t>Rate Rider for Disposition of Lost Revenue Adjustment Mechanism Variance Account (LRAMVA) (2019) 
     - effective until April 30, 2020</t>
  </si>
  <si>
    <t>GENERAL SERVICE 50 TO 4,999 KW SERVICE CLASSIFICATION</t>
  </si>
  <si>
    <t xml:space="preserve">This classification applies to a non residential account whose average monthly maximum demand used for billing purposes is equal to or greater than, or is forecast to be equal or greater than, 50 kW but less than 5,000 kW.  Note that for the application of the Retail Transmission Rate - Network Service Rate and the Retail Transmission Rate - Line and Transformation Connection Service Rate the following sub-classifications apply:
General Service 50 to 500 kW non-interval metered
General Service 50 to 500 kW interval metered
General Service greater than 500 to 5,000 kW interval metered.
Class A and Class B consumers are defined in accordance with O. Reg. 429/04. Further servicing details are available in the distributor’s Conditions of Service.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</si>
  <si>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</si>
  <si>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If included in the following listing of monthly rates and charges, the rate rider for the disposition of Global Adjustment is only applicable to non-RPP Class B customers. It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</si>
  <si>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Distribution Volumetric Rate - Thermal Demand Meter</t>
  </si>
  <si>
    <t>$/kW</t>
  </si>
  <si>
    <t>Distribution Volumetric Rate - Interval Meter</t>
  </si>
  <si>
    <t>Rate Rider for Disposition of Global Adjustment Account (2019) - effective until April 30, 2020
      Applicable only for Non-RPP Customers</t>
  </si>
  <si>
    <t>Rate Rider for Disposition of Deferral/Variance Accounts (2019) - effective until April 30, 2020
      Applicable only for Non-Wholesale Market Participants - Approved on an Interim Basis</t>
  </si>
  <si>
    <t>Rate Rider for Disposition of Capacity Based Recovery Account (2019) - effective until April 30, 2020
     Applicable only for Class B Customers  - Approved on an Interim Basis</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</si>
  <si>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</si>
  <si>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</si>
  <si>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Rate Rider for Disposition of Capacity Based Recovery Account (2019) - effective until April 30, 2020 
     Applicable only for Class B Customers - Approved on an Interim Basis</t>
  </si>
  <si>
    <t>SENTINEL LIGHTING SERVICE CLASSIFICATION</t>
  </si>
  <si>
    <t xml:space="preserve">
This classification refers to privately owned roadway lighting controlled by photo cells.  Consumption is based on calculated connected load times the required lighting hours. Class B consumers are defined in accordance with O. Reg. 429/04. Further servicing details are available in the distributor’s Conditions of Service.
</t>
  </si>
  <si>
    <t>Rate Rider for Disposition of Deferral/Variance Accounts (2019) - effective until April 30, 2020</t>
  </si>
  <si>
    <t>STREET LIGHTING SERVICE CLASSIFICATION</t>
  </si>
  <si>
    <t xml:space="preserve">
This classification refers to municipal lighting, Ministry of Transportation operation controlled by photo cells.  Consumption is as per Ontario Energy Board street lighting load shape. Class B consumers are defined in accordance with O. Reg. 429/04.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</si>
  <si>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</si>
  <si>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Rate Rider for Disposition of Lost Revenue Adjustment Mechanism Variance Account (LRAMVA) (2019)
     - effective until April 30, 2020</t>
  </si>
  <si>
    <t>microFIT SERVICE CLASSIFICATION</t>
  </si>
  <si>
    <t xml:space="preserve">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</si>
  <si>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</si>
  <si>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</si>
  <si>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</si>
  <si>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&amp;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</si>
  <si>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</si>
  <si>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</si>
  <si>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</si>
  <si>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Customer Administration</t>
  </si>
  <si>
    <t>Arrears certificate</t>
  </si>
  <si>
    <t>Statement of account</t>
  </si>
  <si>
    <t>Duplicate invoices for previous billing</t>
  </si>
  <si>
    <t>Request for other billing information</t>
  </si>
  <si>
    <t>Easement letter</t>
  </si>
  <si>
    <t>Account history</t>
  </si>
  <si>
    <t>Credit reference letter</t>
  </si>
  <si>
    <t>Credit check (plus credit agency costs)</t>
  </si>
  <si>
    <t>Returned cheque (plus bank charges)</t>
  </si>
  <si>
    <t>Legal letter charge</t>
  </si>
  <si>
    <t>Special meter reads</t>
  </si>
  <si>
    <t>Account set up charge/change of occupancy charge (plus credit agency costs if applicable) - residential</t>
  </si>
  <si>
    <t>Meter dispute charge plus Measurement Canada fees (if meter found correct)</t>
  </si>
  <si>
    <t>Non-Payment of Account (See Note Below)</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</si>
  <si>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</si>
  <si>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</si>
  <si>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</si>
  <si>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</si>
  <si>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</si>
  <si>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</si>
  <si>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</si>
  <si>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</si>
  <si>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</si>
  <si>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</si>
  <si>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</si>
  <si>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after regular hours</t>
  </si>
  <si>
    <t>Temporary service - install &amp; remove - underground - no transformer</t>
  </si>
  <si>
    <t>Temporary service - install &amp; remove - overhead - no transformer</t>
  </si>
  <si>
    <t>Temporary service - install &amp; remove - overhead - with transformer</t>
  </si>
  <si>
    <t>Specific charge for access to the power poles - $/pole/year
(with the exception of wireless attachments</t>
  </si>
  <si>
    <t>NOTE: Ontario Energy Board Rate Order EB-2017-0183, issued on March 14, 2019, identifies changes to the Non-Payment of Account
Service Charges effective July 1, 2019</t>
  </si>
  <si>
    <t>RETAIL SERVICE CHARGES (if applicable)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</si>
  <si>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</si>
  <si>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</si>
  <si>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</si>
  <si>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</si>
  <si>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</si>
  <si>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</si>
  <si>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</si>
  <si>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</si>
  <si>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</si>
  <si>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</si>
  <si>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</si>
  <si>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</si>
  <si>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</si>
  <si>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</si>
  <si>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</si>
  <si>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</si>
  <si>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</si>
  <si>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</si>
  <si>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</si>
  <si>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</si>
  <si>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</si>
  <si>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</si>
  <si>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</si>
  <si>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</si>
  <si>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Proposed 2019 TARIFF OF RATES AND CHARGES</t>
  </si>
  <si>
    <t>Customer Class:</t>
  </si>
  <si>
    <t>RPP / Non-RPP:</t>
  </si>
  <si>
    <t>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</si>
  <si>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</si>
  <si>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</si>
  <si>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</si>
  <si>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</si>
  <si>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</si>
  <si>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</si>
  <si>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</si>
  <si>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</si>
  <si>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</si>
  <si>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</si>
  <si>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</si>
  <si>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</si>
  <si>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</si>
  <si>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</si>
  <si>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Fixed Rate Riders</t>
  </si>
  <si>
    <t>Volumetric Rate Riders</t>
  </si>
  <si>
    <t>Sub-Total A (excluding pass through)</t>
  </si>
  <si>
    <t>Line Losses on Cost of Power</t>
  </si>
  <si>
    <t>Rate Rider for Disposition of Account 1576</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</si>
  <si>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</si>
  <si>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</si>
  <si>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</si>
  <si>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</si>
  <si>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</si>
  <si>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</si>
  <si>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</si>
  <si>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</si>
  <si>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</si>
  <si>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</si>
  <si>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</si>
  <si>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</si>
  <si>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</si>
  <si>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</si>
  <si>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TOU - Off Peak</t>
  </si>
  <si>
    <t>TOU - Mid Peak</t>
  </si>
  <si>
    <t>TOU - On Peak</t>
  </si>
  <si>
    <t>Total Bill on TOU (before Taxes)</t>
  </si>
  <si>
    <t>HST</t>
  </si>
  <si>
    <t>8% Rebate</t>
  </si>
  <si>
    <t>Total Bill on TOU</t>
  </si>
  <si>
    <t xml:space="preserve">Variance to IRM final </t>
  </si>
  <si>
    <t>Variance due to 1576 rider net HST &amp; 8% rebate</t>
  </si>
  <si>
    <t>Non-RPP (Other)</t>
  </si>
  <si>
    <t>Average IESO Wholesale Market Price</t>
  </si>
  <si>
    <t>Total Bill on Average IESO Wholesale Market Price</t>
  </si>
  <si>
    <t>2019 Current OEB-Approved</t>
  </si>
  <si>
    <t>2019 Proposed</t>
  </si>
  <si>
    <t>GENERAL SERVICE 50 to 4,999 kW SERVICE CLASSIFICATION THERMAL</t>
  </si>
  <si>
    <t>GENERAL SERVICE 50 to 4,999 kW SERVICE CLASSIFICATION INTERVAL</t>
  </si>
  <si>
    <t>For Former Midland Power Utility Rate Zone</t>
  </si>
  <si>
    <t>Effective and Implementation Date May 1, 2019</t>
  </si>
  <si>
    <t>This schedule supersedes and replaces all previously</t>
  </si>
  <si>
    <t>approved schedules of Rates, Charges and Loss Factors</t>
  </si>
  <si>
    <t>EB-2018-0055</t>
  </si>
  <si>
    <t>This classification refers to an account where energy is supplied to customers residing in residential dwelling units.  Energy is generally supplied as a single phase, 3-wire, 60-Hertz, having a nominal voltage of 120/240 Volts and having only one Delivery Point per dwelling.  For the purposes of calculating customer connection fees, the Basic Connection for Residential customers is defined as 100 amp 120/240 volt overhead service.  A residential building is supplied at one service voltage per land parcel. Street Townhouses and Condominiums requiring centralization bulk metering are covered under General Service Classification.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</si>
  <si>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</si>
  <si>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Low Voltage Service Rate</t>
  </si>
  <si>
    <t>Rate Rider for Disposition of Lost Revenue Adjustment Mechanism Variance Account (LRAMVA) (2019) 
     - effective until April 30, 2021</t>
  </si>
  <si>
    <t>This classification refers to the supply of electrical energy to General Service Buildings requiring a connection with a connected load less than 50 kW, and, Townhouses and Condominiums that require centralized bulk metering.  General Service buildings are defined as buildings that are used for purposes other than single-family dwellings.  A General Service building is supplied at one voltage per land parcel. Class B consumers are defined in accordance with O. Reg. 429/04. Further servicing details are available in the distributor’s Conditions of Service.</t>
  </si>
  <si>
    <t>Rate Rider for Disposition of Lost Revenue Adjustment Mechanism Variance Account (LRAMVA) (2019)
     - effective until April 30, 2021</t>
  </si>
  <si>
    <t xml:space="preserve">This classification refers to the supply of electrical energy to General Service customers requiring a connection with a connected load equal to or greater than 50 kW and less than 5,000 kW.  A General Service building is supplied at one service voltage per land parcel.  Depending on the location of the building, primary supplies to transformers and Customer owned Sub-Stations will be one of the following as determined by the Distributor: 
      -   2,400/4,160 volts 3 Phase 4Wire
      -   4,800/8,320 volts 3 Phase 4 Wire
      -   7,200/12,400 volts 3 Phase 4 Wire
      -   8,000/13,800 volts 3 Phase 4 Wire
      -   16,000/27,600 volts 3 Phase 4 Wire
      -   44,000 Volts 3 Phase 3 Wire
Class A and Class B consumers are defined in accordance with O. Reg. 429/04. Further servicing details are available in the distributor’s Conditions of Service. 
</t>
  </si>
  <si>
    <t>Rate Rider for Disposition of Deferral/Variance Accounts (2019) - effective until April 30, 2020
      - Approved on an Interim Basis</t>
  </si>
  <si>
    <t xml:space="preserve">Retail Transmission Rate - Line and Transformation Connection Service Rate </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</si>
  <si>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</si>
  <si>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customer)</t>
  </si>
  <si>
    <t>This classification applies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</si>
  <si>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</si>
  <si>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Rate Rider for Disposition of Lost Revenue Adjustment Mechanism Variance Account (LRAMVA) (2019) - effective until April 30, 2021</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</si>
  <si>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</si>
  <si>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</si>
  <si>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Notification charge</t>
  </si>
  <si>
    <t>Account set up charge/change of occupancy charge (plus credit agency costs if applicable)</t>
  </si>
  <si>
    <t>Specific charge for access to the power poles - $/pole/year</t>
  </si>
  <si>
    <t>(with the exception of wireless attachments)</t>
  </si>
  <si>
    <t>Interval meter load management tool charge $/month</t>
  </si>
  <si>
    <t>PROPOSED TARIFF OF RATES AND CHARGES</t>
  </si>
  <si>
    <t>RRRP Credit</t>
  </si>
  <si>
    <t>DRP Adjustment</t>
  </si>
  <si>
    <t xml:space="preserve">Ontario Electricity Support Program 
(OESP) </t>
  </si>
  <si>
    <t>Non-RPP Retailer Avg. Price</t>
  </si>
  <si>
    <t>Total Bill on Non-RPP Avg. Price</t>
  </si>
  <si>
    <t>GENERAL SERVICE 50 to 4,999 kW SERVICE CLASSIFICATION</t>
  </si>
  <si>
    <t>Annual variable transformer allowance</t>
  </si>
  <si>
    <t>Total annual revenue excl addl chgs I6.1</t>
  </si>
  <si>
    <t>Variable proportion %</t>
  </si>
  <si>
    <t>Table 9 - 2018 Fixed and Variable blended rates by rate class</t>
  </si>
  <si>
    <t>Table 10 - 2018 Fixed and Variable proportion by rate class</t>
  </si>
  <si>
    <t>Table 11 - 2018 Proposed Fixed and Variable proportion by rate class</t>
  </si>
  <si>
    <t>Table 12 Monthly fixed charges</t>
  </si>
  <si>
    <t>Table 13 Monthly variable charges</t>
  </si>
  <si>
    <t>General Service 50 to 4,999 kW - NTRZ Ther &amp; Inter</t>
  </si>
  <si>
    <t>Cost Allocation-Nov 2019 submission</t>
  </si>
  <si>
    <t>Table 8 - Revenue vs costs band adjustment analysis</t>
  </si>
  <si>
    <t>OEB target bands</t>
  </si>
  <si>
    <t>85-115%</t>
  </si>
  <si>
    <t>80-120%</t>
  </si>
  <si>
    <t>Revenue vs Cost ratio</t>
  </si>
  <si>
    <t>General Service 50 to 4,999 kW - NTRZ Therm &amp; Int</t>
  </si>
  <si>
    <t>Revenue vs Cost ratio % incl adj</t>
  </si>
  <si>
    <t>NA</t>
  </si>
  <si>
    <t>Adj $ to OEB target band</t>
  </si>
  <si>
    <t># of cust</t>
  </si>
  <si>
    <t># of connects</t>
  </si>
  <si>
    <t>Table 14 2019 Proposed monthly rate charges</t>
  </si>
  <si>
    <t>Fixed distribution rate</t>
  </si>
  <si>
    <t>Variable distribution rate</t>
  </si>
  <si>
    <t>2019 rate</t>
  </si>
  <si>
    <t>Fixed Band adj</t>
  </si>
  <si>
    <t>Variable Band adj</t>
  </si>
  <si>
    <t>Proposed rate with band adj</t>
  </si>
  <si>
    <t>Proposed with band adj</t>
  </si>
  <si>
    <t>Total bill impact %</t>
  </si>
  <si>
    <t>Street Lighting - MRZ</t>
  </si>
  <si>
    <t>Unmetered Scattered Load - MRZ</t>
  </si>
  <si>
    <t>2018 billing determinants (I6.1 &amp; I6.2)</t>
  </si>
  <si>
    <t>Difference between Revenues vs Allocated costs $</t>
  </si>
  <si>
    <t>Monthly fixed rate</t>
  </si>
  <si>
    <t xml:space="preserve">Monthly variable rate </t>
  </si>
  <si>
    <r>
      <t>Monthly</t>
    </r>
    <r>
      <rPr>
        <b/>
        <sz val="11"/>
        <rFont val="Calibri"/>
        <family val="2"/>
        <scheme val="minor"/>
      </rPr>
      <t xml:space="preserve"> </t>
    </r>
    <r>
      <rPr>
        <b/>
        <sz val="11"/>
        <color theme="1"/>
        <rFont val="Calibri"/>
        <family val="2"/>
        <scheme val="minor"/>
      </rPr>
      <t>fixed rate with band adj</t>
    </r>
  </si>
  <si>
    <t>Monthly variable rate with band adj</t>
  </si>
  <si>
    <t>2018 rates</t>
  </si>
  <si>
    <t>Fixed proportion % incl addl chgs</t>
  </si>
  <si>
    <t>Variable proportion% incl addl chgs</t>
  </si>
  <si>
    <t>2018 rate with band adj</t>
  </si>
  <si>
    <t>2018 rate</t>
  </si>
  <si>
    <t>2018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</si>
</sst>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_-;\-* #,##0_-;_-* &quot;-&quot;??_-;_-@_-"/>
    <numFmt numFmtId="165" formatCode="_(* #,##0_);_(* \(#,##0\);_(* &quot;-&quot;??_);_(@_)"/>
    <numFmt numFmtId="166" formatCode="_-* #,##0.0000_-;\-* #,##0.0000_-;_-* &quot;-&quot;??_-;_-@_-"/>
    <numFmt numFmtId="167" formatCode="_-* #,##0.00000_-;\-* #,##0.00000_-;_-* &quot;-&quot;??_-;_-@_-"/>
    <numFmt numFmtId="168" formatCode="0.0%"/>
    <numFmt numFmtId="169" formatCode="#,##0.00;[Red]\(#,##0.00\)"/>
    <numFmt numFmtId="170" formatCode="#,##0.0000;[Red]\(#,##0.0000\)"/>
    <numFmt numFmtId="171" formatCode="0.0000"/>
    <numFmt numFmtId="172" formatCode="_(&quot;$&quot;* #,##0.00_);_(&quot;$&quot;* \(#,##0.00\);_(&quot;$&quot;* &quot;-&quot;??_);_(@_)"/>
    <numFmt numFmtId="173" formatCode="_-&quot;$&quot;* #,##0.0000_-;\-&quot;$&quot;* #,##0.0000_-;_-&quot;$&quot;* &quot;-&quot;??_-;_-@_-"/>
    <numFmt numFmtId="174" formatCode="_(* #,##0.00_);_(* \(#,##0.00\);_(* &quot;-&quot;??_);_(@_)"/>
    <numFmt numFmtId="175" formatCode="_(* #,##0.0000_);_(* \(#,##0.000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b/>
      <sz val="12"/>
      <color theme="1"/>
      <name val="Calibri"/>
      <family val="2"/>
      <scheme val="minor"/>
    </font>
    <font>
      <sz val="11"/>
      <color rgb="FFFF0000"/>
      <name val="Calibri"/>
      <family val="2"/>
      <scheme val="minor"/>
    </font>
    <font>
      <b/>
      <sz val="1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4"/>
      <color theme="1"/>
      <name val="Arial"/>
      <family val="2"/>
    </font>
    <font>
      <sz val="10"/>
      <color theme="1"/>
      <name val="Arial"/>
      <family val="2"/>
    </font>
    <font>
      <sz val="14"/>
      <color theme="1"/>
      <name val="Calibri"/>
      <family val="2"/>
      <scheme val="minor"/>
    </font>
    <font>
      <b/>
      <sz val="10"/>
      <name val="Arial"/>
      <family val="2"/>
    </font>
    <font>
      <b/>
      <sz val="10"/>
      <color rgb="FFFF0000"/>
      <name val="Arial"/>
      <family val="2"/>
    </font>
    <font>
      <b/>
      <sz val="9"/>
      <name val="Arial"/>
      <family val="2"/>
    </font>
    <font>
      <b/>
      <sz val="12"/>
      <name val="Arial"/>
      <family val="2"/>
    </font>
    <font>
      <sz val="10"/>
      <color theme="0"/>
      <name val="Arial"/>
      <family val="2"/>
    </font>
    <font>
      <b/>
      <sz val="10"/>
      <color theme="3"/>
      <name val="Arial"/>
      <family val="2"/>
    </font>
    <font>
      <sz val="10"/>
      <color rgb="FF000000"/>
      <name val="Arial"/>
      <family val="2"/>
    </font>
    <font>
      <b/>
      <sz val="10"/>
      <color rgb="FF002060"/>
      <name val="Arial"/>
      <family val="2"/>
    </font>
    <font>
      <b/>
      <sz val="10"/>
      <color rgb="FF000000"/>
      <name val="Arial"/>
      <family val="2"/>
    </font>
    <font>
      <b/>
      <sz val="10"/>
      <color rgb="FF1F497D"/>
      <name val="Arial"/>
      <family val="2"/>
    </font>
    <font>
      <b/>
      <sz val="12"/>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F99"/>
        <bgColor rgb="FF000000"/>
      </patternFill>
    </fill>
    <fill>
      <patternFill patternType="solid">
        <fgColor rgb="FFEBF1DE"/>
        <bgColor rgb="FF000000"/>
      </patternFill>
    </fill>
    <fill>
      <patternFill patternType="solid">
        <fgColor rgb="FF808080"/>
        <bgColor rgb="FF000000"/>
      </patternFill>
    </fill>
    <fill>
      <patternFill patternType="solid">
        <fgColor rgb="FFFDE9D9"/>
        <bgColor rgb="FF000000"/>
      </patternFill>
    </fill>
    <fill>
      <patternFill patternType="solid">
        <fgColor theme="1"/>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74" fontId="3" fillId="0" borderId="0" applyFont="0" applyFill="0" applyBorder="0" applyAlignment="0" applyProtection="0"/>
  </cellStyleXfs>
  <cellXfs count="331">
    <xf numFmtId="0" fontId="0" fillId="0" borderId="0" xfId="0"/>
    <xf numFmtId="0" fontId="4" fillId="0" borderId="0" xfId="0" applyFont="1"/>
    <xf numFmtId="165" fontId="0" fillId="0" borderId="0" xfId="0" applyNumberFormat="1" applyAlignment="1">
      <alignment vertical="center"/>
    </xf>
    <xf numFmtId="43" fontId="0" fillId="0" borderId="0" xfId="1" applyFont="1"/>
    <xf numFmtId="164" fontId="0" fillId="0" borderId="0" xfId="0" applyNumberFormat="1"/>
    <xf numFmtId="0" fontId="0" fillId="0" borderId="12" xfId="0" applyBorder="1"/>
    <xf numFmtId="0" fontId="0" fillId="0" borderId="9" xfId="0"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8" xfId="0" applyBorder="1"/>
    <xf numFmtId="43" fontId="0" fillId="0" borderId="8" xfId="1" applyFont="1" applyBorder="1"/>
    <xf numFmtId="167" fontId="0" fillId="0" borderId="8" xfId="1" applyNumberFormat="1" applyFont="1" applyBorder="1"/>
    <xf numFmtId="166" fontId="0" fillId="0" borderId="8" xfId="1" applyNumberFormat="1" applyFont="1" applyBorder="1"/>
    <xf numFmtId="0" fontId="0" fillId="0" borderId="2" xfId="0" applyBorder="1"/>
    <xf numFmtId="43" fontId="0" fillId="0" borderId="2" xfId="1" applyFont="1" applyBorder="1"/>
    <xf numFmtId="166" fontId="0" fillId="0" borderId="2" xfId="1" applyNumberFormat="1" applyFont="1" applyBorder="1"/>
    <xf numFmtId="0" fontId="5" fillId="0" borderId="3" xfId="0" applyFont="1" applyBorder="1"/>
    <xf numFmtId="0" fontId="2" fillId="0" borderId="1" xfId="0" applyFont="1" applyBorder="1"/>
    <xf numFmtId="0" fontId="2" fillId="0" borderId="1" xfId="0" applyFont="1" applyBorder="1" applyAlignment="1">
      <alignment horizontal="center"/>
    </xf>
    <xf numFmtId="43" fontId="0" fillId="0" borderId="8" xfId="0" applyNumberFormat="1" applyBorder="1"/>
    <xf numFmtId="166" fontId="0" fillId="0" borderId="6" xfId="1" applyNumberFormat="1" applyFont="1" applyBorder="1"/>
    <xf numFmtId="43" fontId="0" fillId="0" borderId="6" xfId="0" applyNumberFormat="1" applyBorder="1"/>
    <xf numFmtId="43" fontId="0" fillId="0" borderId="2" xfId="0" applyNumberFormat="1" applyBorder="1"/>
    <xf numFmtId="166" fontId="0" fillId="0" borderId="8" xfId="0" applyNumberFormat="1" applyBorder="1"/>
    <xf numFmtId="164" fontId="0" fillId="0" borderId="6" xfId="1" applyNumberFormat="1" applyFont="1" applyBorder="1"/>
    <xf numFmtId="164" fontId="0" fillId="0" borderId="8" xfId="1" applyNumberFormat="1" applyFont="1" applyBorder="1"/>
    <xf numFmtId="164" fontId="0" fillId="0" borderId="2" xfId="1" applyNumberFormat="1" applyFont="1" applyBorder="1"/>
    <xf numFmtId="0" fontId="2" fillId="0" borderId="1" xfId="0" applyFont="1" applyFill="1" applyBorder="1" applyAlignment="1">
      <alignment horizontal="center" wrapText="1"/>
    </xf>
    <xf numFmtId="43" fontId="0" fillId="0" borderId="6" xfId="1" applyFont="1" applyBorder="1"/>
    <xf numFmtId="168" fontId="0" fillId="0" borderId="6" xfId="2" applyNumberFormat="1" applyFont="1" applyBorder="1"/>
    <xf numFmtId="168" fontId="0" fillId="0" borderId="8" xfId="2" applyNumberFormat="1" applyFont="1" applyBorder="1"/>
    <xf numFmtId="168" fontId="0" fillId="0" borderId="2" xfId="2" applyNumberFormat="1" applyFont="1" applyBorder="1"/>
    <xf numFmtId="43" fontId="0" fillId="0" borderId="8" xfId="1" quotePrefix="1" applyFont="1" applyBorder="1"/>
    <xf numFmtId="0" fontId="2" fillId="0" borderId="8" xfId="0" applyFont="1" applyFill="1" applyBorder="1"/>
    <xf numFmtId="164" fontId="2" fillId="0" borderId="1" xfId="0" applyNumberFormat="1" applyFont="1" applyBorder="1"/>
    <xf numFmtId="0" fontId="0" fillId="0" borderId="11" xfId="0" applyBorder="1"/>
    <xf numFmtId="164" fontId="2" fillId="0" borderId="11" xfId="0" applyNumberFormat="1" applyFont="1" applyBorder="1"/>
    <xf numFmtId="164" fontId="2" fillId="0" borderId="12" xfId="0" applyNumberFormat="1" applyFont="1" applyBorder="1"/>
    <xf numFmtId="164" fontId="2" fillId="0" borderId="7" xfId="0" applyNumberFormat="1" applyFont="1" applyBorder="1"/>
    <xf numFmtId="166" fontId="0" fillId="0" borderId="2" xfId="0" applyNumberFormat="1" applyBorder="1"/>
    <xf numFmtId="165" fontId="2" fillId="0" borderId="1" xfId="0" applyNumberFormat="1" applyFont="1" applyBorder="1" applyAlignment="1">
      <alignment vertical="center"/>
    </xf>
    <xf numFmtId="168" fontId="0" fillId="0" borderId="11" xfId="2" applyNumberFormat="1" applyFont="1" applyBorder="1"/>
    <xf numFmtId="168" fontId="0" fillId="0" borderId="9" xfId="2" applyNumberFormat="1" applyFont="1" applyBorder="1"/>
    <xf numFmtId="168" fontId="0" fillId="0" borderId="10" xfId="2" applyNumberFormat="1" applyFont="1" applyBorder="1"/>
    <xf numFmtId="0" fontId="6" fillId="0" borderId="0" xfId="0" applyFont="1" applyFill="1" applyBorder="1"/>
    <xf numFmtId="166" fontId="0" fillId="0" borderId="0" xfId="0" applyNumberFormat="1"/>
    <xf numFmtId="0" fontId="13"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0" xfId="0" applyFont="1" applyFill="1" applyAlignment="1">
      <alignment horizontal="left" wrapText="1"/>
    </xf>
    <xf numFmtId="0" fontId="13" fillId="2" borderId="0" xfId="0" applyFont="1" applyFill="1" applyAlignment="1">
      <alignment horizontal="left" wrapText="1"/>
    </xf>
    <xf numFmtId="0" fontId="14" fillId="2" borderId="0" xfId="0" applyFont="1" applyFill="1" applyAlignment="1">
      <alignment horizontal="left"/>
    </xf>
    <xf numFmtId="169" fontId="14" fillId="2" borderId="0" xfId="0" applyNumberFormat="1" applyFont="1" applyFill="1" applyAlignment="1">
      <alignment horizontal="right"/>
    </xf>
    <xf numFmtId="170" fontId="14" fillId="2" borderId="0" xfId="0" applyNumberFormat="1" applyFont="1" applyFill="1" applyAlignment="1">
      <alignment horizontal="right"/>
    </xf>
    <xf numFmtId="0" fontId="14" fillId="2" borderId="0" xfId="0" applyFont="1" applyFill="1" applyAlignment="1">
      <alignment horizontal="left" wrapText="1"/>
    </xf>
    <xf numFmtId="0" fontId="16" fillId="2" borderId="0" xfId="0" applyFont="1" applyFill="1" applyAlignment="1">
      <alignment horizontal="left" wrapText="1"/>
    </xf>
    <xf numFmtId="0" fontId="14" fillId="2" borderId="0" xfId="0" applyFont="1" applyFill="1" applyAlignment="1">
      <alignment horizontal="left" wrapText="1" indent="2"/>
    </xf>
    <xf numFmtId="0" fontId="9" fillId="2" borderId="0" xfId="0" applyFont="1" applyFill="1" applyAlignment="1">
      <alignment horizontal="left" wrapText="1"/>
    </xf>
    <xf numFmtId="0" fontId="17" fillId="2" borderId="0" xfId="0" applyFont="1" applyFill="1" applyAlignment="1">
      <alignment horizontal="left" wrapText="1"/>
    </xf>
    <xf numFmtId="0" fontId="14" fillId="2" borderId="0" xfId="0" applyFont="1" applyFill="1"/>
    <xf numFmtId="0" fontId="14" fillId="2" borderId="0" xfId="0" applyFont="1" applyFill="1" applyAlignment="1">
      <alignment horizontal="right"/>
    </xf>
    <xf numFmtId="0" fontId="14" fillId="2" borderId="0" xfId="0" applyFont="1" applyFill="1" applyAlignment="1">
      <alignment horizontal="left" vertical="top" wrapText="1"/>
    </xf>
    <xf numFmtId="0" fontId="3" fillId="0" borderId="0" xfId="3" applyProtection="1">
      <protection locked="0"/>
    </xf>
    <xf numFmtId="0" fontId="18" fillId="0" borderId="0" xfId="3" applyFont="1" applyAlignment="1" applyProtection="1">
      <alignment horizontal="right" vertical="center"/>
      <protection locked="0"/>
    </xf>
    <xf numFmtId="0" fontId="20" fillId="2" borderId="0" xfId="3" applyFont="1" applyFill="1" applyAlignment="1" applyProtection="1">
      <alignment vertical="top"/>
      <protection locked="0"/>
    </xf>
    <xf numFmtId="164" fontId="18" fillId="2" borderId="1" xfId="4" applyNumberFormat="1" applyFont="1" applyFill="1" applyBorder="1" applyAlignment="1" applyProtection="1">
      <alignment horizontal="center" vertical="center"/>
      <protection locked="0"/>
    </xf>
    <xf numFmtId="0" fontId="18" fillId="0" borderId="0" xfId="3" applyFont="1" applyProtection="1">
      <protection locked="0"/>
    </xf>
    <xf numFmtId="0" fontId="21" fillId="2" borderId="0" xfId="3" applyFont="1" applyFill="1" applyAlignment="1" applyProtection="1">
      <alignment vertical="center"/>
      <protection locked="0"/>
    </xf>
    <xf numFmtId="0" fontId="18" fillId="0" borderId="0" xfId="3" applyFont="1" applyAlignment="1" applyProtection="1">
      <alignment horizontal="left"/>
      <protection locked="0"/>
    </xf>
    <xf numFmtId="0" fontId="18" fillId="0" borderId="0" xfId="3" applyFont="1" applyAlignment="1" applyProtection="1">
      <alignment horizontal="center"/>
      <protection locked="0"/>
    </xf>
    <xf numFmtId="0" fontId="21" fillId="0" borderId="0" xfId="3" applyFont="1" applyAlignment="1" applyProtection="1">
      <alignment horizontal="center"/>
      <protection locked="0"/>
    </xf>
    <xf numFmtId="171" fontId="18" fillId="2" borderId="1" xfId="5" applyNumberFormat="1" applyFont="1" applyFill="1" applyBorder="1" applyProtection="1">
      <protection locked="0"/>
    </xf>
    <xf numFmtId="0" fontId="18" fillId="0" borderId="6" xfId="3" applyFont="1" applyBorder="1" applyAlignment="1" applyProtection="1">
      <alignment horizontal="center"/>
      <protection locked="0"/>
    </xf>
    <xf numFmtId="0" fontId="18" fillId="0" borderId="13" xfId="3" applyFont="1" applyBorder="1" applyAlignment="1" applyProtection="1">
      <alignment horizontal="center"/>
      <protection locked="0"/>
    </xf>
    <xf numFmtId="0" fontId="18" fillId="0" borderId="7" xfId="3" applyFont="1" applyBorder="1" applyAlignment="1" applyProtection="1">
      <alignment horizontal="center"/>
      <protection locked="0"/>
    </xf>
    <xf numFmtId="0" fontId="18" fillId="0" borderId="2" xfId="3" quotePrefix="1" applyFont="1" applyBorder="1" applyAlignment="1" applyProtection="1">
      <alignment horizontal="center"/>
      <protection locked="0"/>
    </xf>
    <xf numFmtId="0" fontId="18" fillId="0" borderId="14" xfId="3" quotePrefix="1" applyFont="1" applyBorder="1" applyAlignment="1" applyProtection="1">
      <alignment horizontal="center"/>
      <protection locked="0"/>
    </xf>
    <xf numFmtId="0" fontId="22" fillId="2" borderId="0" xfId="3" applyFont="1" applyFill="1" applyProtection="1">
      <protection locked="0"/>
    </xf>
    <xf numFmtId="0" fontId="3" fillId="0" borderId="0" xfId="3" applyAlignment="1">
      <alignment vertical="top"/>
    </xf>
    <xf numFmtId="0" fontId="3" fillId="2" borderId="0" xfId="3" applyFill="1" applyAlignment="1" applyProtection="1">
      <alignment vertical="top"/>
      <protection locked="0"/>
    </xf>
    <xf numFmtId="172" fontId="18" fillId="2" borderId="8" xfId="6" applyNumberFormat="1" applyFont="1" applyFill="1" applyBorder="1" applyAlignment="1" applyProtection="1">
      <alignment horizontal="left" vertical="center"/>
      <protection locked="0"/>
    </xf>
    <xf numFmtId="0" fontId="3" fillId="0" borderId="8" xfId="3" applyBorder="1" applyAlignment="1" applyProtection="1">
      <alignment vertical="center"/>
      <protection locked="0"/>
    </xf>
    <xf numFmtId="44" fontId="16" fillId="0" borderId="13" xfId="6" applyFont="1" applyBorder="1" applyAlignment="1" applyProtection="1">
      <alignment vertical="center"/>
      <protection locked="0"/>
    </xf>
    <xf numFmtId="172" fontId="23" fillId="2" borderId="8" xfId="6" applyNumberFormat="1" applyFont="1" applyFill="1" applyBorder="1" applyAlignment="1" applyProtection="1">
      <alignment horizontal="left" vertical="center"/>
      <protection locked="0"/>
    </xf>
    <xf numFmtId="0" fontId="3" fillId="0" borderId="13" xfId="3" applyBorder="1" applyAlignment="1" applyProtection="1">
      <alignment vertical="center"/>
      <protection locked="0"/>
    </xf>
    <xf numFmtId="172" fontId="3" fillId="0" borderId="8" xfId="3" applyNumberFormat="1" applyBorder="1" applyAlignment="1" applyProtection="1">
      <alignment vertical="center"/>
      <protection locked="0"/>
    </xf>
    <xf numFmtId="10" fontId="16" fillId="0" borderId="13" xfId="5" applyNumberFormat="1" applyFont="1" applyBorder="1" applyAlignment="1" applyProtection="1">
      <alignment vertical="center"/>
      <protection locked="0"/>
    </xf>
    <xf numFmtId="173" fontId="18" fillId="2" borderId="8" xfId="7" applyNumberFormat="1" applyFont="1" applyFill="1" applyBorder="1" applyAlignment="1" applyProtection="1">
      <alignment horizontal="left" vertical="center"/>
      <protection locked="0"/>
    </xf>
    <xf numFmtId="173" fontId="23" fillId="2" borderId="8" xfId="7" applyNumberFormat="1" applyFont="1" applyFill="1" applyBorder="1" applyAlignment="1" applyProtection="1">
      <alignment horizontal="left" vertical="center"/>
      <protection locked="0"/>
    </xf>
    <xf numFmtId="44" fontId="18" fillId="2" borderId="8" xfId="7" applyFont="1" applyFill="1" applyBorder="1" applyAlignment="1" applyProtection="1">
      <alignment horizontal="left" vertical="center"/>
      <protection locked="0"/>
    </xf>
    <xf numFmtId="44" fontId="23" fillId="2" borderId="8" xfId="7" applyFont="1" applyFill="1" applyBorder="1" applyAlignment="1" applyProtection="1">
      <alignment horizontal="left" vertical="center"/>
      <protection locked="0"/>
    </xf>
    <xf numFmtId="0" fontId="18" fillId="3" borderId="3" xfId="3" applyFont="1" applyFill="1" applyBorder="1" applyAlignment="1" applyProtection="1">
      <alignment vertical="top"/>
      <protection locked="0"/>
    </xf>
    <xf numFmtId="0" fontId="3" fillId="3" borderId="4" xfId="3" applyFill="1" applyBorder="1" applyAlignment="1" applyProtection="1">
      <alignment vertical="top"/>
      <protection locked="0"/>
    </xf>
    <xf numFmtId="173" fontId="18" fillId="3" borderId="1" xfId="7" applyNumberFormat="1" applyFont="1" applyFill="1" applyBorder="1" applyAlignment="1" applyProtection="1">
      <alignment horizontal="left" vertical="center"/>
      <protection locked="0"/>
    </xf>
    <xf numFmtId="0" fontId="18" fillId="3" borderId="1" xfId="3" applyFont="1" applyFill="1" applyBorder="1" applyAlignment="1" applyProtection="1">
      <alignment vertical="center"/>
      <protection locked="0"/>
    </xf>
    <xf numFmtId="44" fontId="11" fillId="3" borderId="5" xfId="7" applyFont="1" applyFill="1" applyBorder="1" applyAlignment="1" applyProtection="1">
      <alignment vertical="center"/>
      <protection locked="0"/>
    </xf>
    <xf numFmtId="173" fontId="23" fillId="3" borderId="1" xfId="7" applyNumberFormat="1" applyFont="1" applyFill="1" applyBorder="1" applyAlignment="1" applyProtection="1">
      <alignment horizontal="left" vertical="center"/>
      <protection locked="0"/>
    </xf>
    <xf numFmtId="0" fontId="18" fillId="3" borderId="5" xfId="3" applyFont="1" applyFill="1" applyBorder="1" applyAlignment="1" applyProtection="1">
      <alignment vertical="center"/>
      <protection locked="0"/>
    </xf>
    <xf numFmtId="10" fontId="18" fillId="3" borderId="5" xfId="5" applyNumberFormat="1" applyFont="1" applyFill="1" applyBorder="1" applyAlignment="1" applyProtection="1">
      <alignment vertical="center"/>
      <protection locked="0"/>
    </xf>
    <xf numFmtId="0" fontId="3" fillId="0" borderId="0" xfId="3" applyAlignment="1">
      <alignment vertical="top" wrapText="1"/>
    </xf>
    <xf numFmtId="164" fontId="3" fillId="4" borderId="8" xfId="4" applyNumberFormat="1" applyFill="1" applyBorder="1" applyAlignment="1" applyProtection="1">
      <alignment vertical="center"/>
      <protection locked="0"/>
    </xf>
    <xf numFmtId="164" fontId="3" fillId="0" borderId="8" xfId="4" applyNumberFormat="1" applyBorder="1" applyAlignment="1" applyProtection="1">
      <alignment vertical="center"/>
      <protection locked="0"/>
    </xf>
    <xf numFmtId="44" fontId="16" fillId="5" borderId="13" xfId="6" applyFont="1" applyFill="1" applyBorder="1" applyAlignment="1" applyProtection="1">
      <alignment vertical="center"/>
      <protection locked="0"/>
    </xf>
    <xf numFmtId="0" fontId="18" fillId="3" borderId="3" xfId="3" applyFont="1" applyFill="1" applyBorder="1" applyAlignment="1" applyProtection="1">
      <alignment vertical="top" wrapText="1"/>
      <protection locked="0"/>
    </xf>
    <xf numFmtId="0" fontId="3" fillId="3" borderId="4" xfId="3" applyFill="1" applyBorder="1" applyProtection="1">
      <protection locked="0"/>
    </xf>
    <xf numFmtId="0" fontId="18" fillId="3" borderId="1" xfId="3" applyFont="1" applyFill="1" applyBorder="1" applyAlignment="1" applyProtection="1">
      <alignment horizontal="left" vertical="center"/>
      <protection locked="0"/>
    </xf>
    <xf numFmtId="0" fontId="3" fillId="3" borderId="1" xfId="3" applyFill="1" applyBorder="1" applyAlignment="1" applyProtection="1">
      <alignment vertical="center"/>
      <protection locked="0"/>
    </xf>
    <xf numFmtId="44" fontId="18" fillId="3" borderId="5" xfId="3" applyNumberFormat="1" applyFont="1" applyFill="1" applyBorder="1" applyAlignment="1" applyProtection="1">
      <alignment vertical="center"/>
      <protection locked="0"/>
    </xf>
    <xf numFmtId="0" fontId="23" fillId="3" borderId="1" xfId="3" applyFont="1" applyFill="1" applyBorder="1" applyAlignment="1" applyProtection="1">
      <alignment horizontal="left" vertical="center"/>
      <protection locked="0"/>
    </xf>
    <xf numFmtId="0" fontId="3" fillId="3" borderId="5" xfId="3" applyFill="1" applyBorder="1" applyAlignment="1" applyProtection="1">
      <alignment vertical="center"/>
      <protection locked="0"/>
    </xf>
    <xf numFmtId="0" fontId="3" fillId="0" borderId="0" xfId="3" applyAlignment="1">
      <alignment vertical="center"/>
    </xf>
    <xf numFmtId="0" fontId="3" fillId="0" borderId="15" xfId="3" applyBorder="1" applyAlignment="1">
      <alignment vertical="center" wrapText="1"/>
    </xf>
    <xf numFmtId="0" fontId="3" fillId="0" borderId="0" xfId="3" applyAlignment="1" applyProtection="1">
      <alignment vertical="top" wrapText="1"/>
      <protection locked="0"/>
    </xf>
    <xf numFmtId="0" fontId="3" fillId="0" borderId="0" xfId="3" applyAlignment="1" applyProtection="1">
      <alignment vertical="top"/>
      <protection locked="0"/>
    </xf>
    <xf numFmtId="173" fontId="18" fillId="0" borderId="8" xfId="7" applyNumberFormat="1" applyFont="1" applyBorder="1" applyAlignment="1" applyProtection="1">
      <alignment horizontal="left" vertical="center"/>
      <protection locked="0"/>
    </xf>
    <xf numFmtId="164" fontId="3" fillId="2" borderId="8" xfId="4" applyNumberFormat="1" applyFill="1" applyBorder="1" applyAlignment="1" applyProtection="1">
      <alignment vertical="center"/>
      <protection locked="0"/>
    </xf>
    <xf numFmtId="0" fontId="3" fillId="6" borderId="16" xfId="3" applyFill="1" applyBorder="1" applyProtection="1">
      <protection locked="0"/>
    </xf>
    <xf numFmtId="0" fontId="3" fillId="6" borderId="17" xfId="3" applyFill="1" applyBorder="1" applyAlignment="1" applyProtection="1">
      <alignment vertical="top"/>
      <protection locked="0"/>
    </xf>
    <xf numFmtId="173" fontId="3" fillId="6" borderId="18" xfId="7" applyNumberFormat="1" applyFill="1" applyBorder="1" applyAlignment="1" applyProtection="1">
      <alignment vertical="top"/>
      <protection locked="0"/>
    </xf>
    <xf numFmtId="0" fontId="3" fillId="6" borderId="19" xfId="3" applyFill="1" applyBorder="1" applyAlignment="1" applyProtection="1">
      <alignment vertical="center"/>
      <protection locked="0"/>
    </xf>
    <xf numFmtId="44" fontId="3" fillId="6" borderId="17" xfId="7" applyFill="1" applyBorder="1" applyAlignment="1" applyProtection="1">
      <alignment vertical="center"/>
      <protection locked="0"/>
    </xf>
    <xf numFmtId="0" fontId="3" fillId="6" borderId="18" xfId="3" applyFill="1" applyBorder="1" applyAlignment="1" applyProtection="1">
      <alignment vertical="center"/>
      <protection locked="0"/>
    </xf>
    <xf numFmtId="44" fontId="3" fillId="6" borderId="18" xfId="3" applyNumberFormat="1" applyFill="1" applyBorder="1" applyAlignment="1" applyProtection="1">
      <alignment vertical="center"/>
      <protection locked="0"/>
    </xf>
    <xf numFmtId="10" fontId="3" fillId="6" borderId="20" xfId="5" applyNumberFormat="1" applyFill="1" applyBorder="1" applyAlignment="1" applyProtection="1">
      <alignment vertical="center"/>
      <protection locked="0"/>
    </xf>
    <xf numFmtId="0" fontId="18" fillId="0" borderId="0" xfId="3" applyFont="1" applyAlignment="1" applyProtection="1">
      <alignment vertical="top"/>
      <protection locked="0"/>
    </xf>
    <xf numFmtId="9" fontId="3" fillId="0" borderId="8" xfId="3" applyNumberFormat="1" applyBorder="1" applyAlignment="1" applyProtection="1">
      <alignment vertical="top"/>
      <protection locked="0"/>
    </xf>
    <xf numFmtId="9" fontId="3" fillId="0" borderId="0" xfId="3" applyNumberFormat="1" applyAlignment="1" applyProtection="1">
      <alignment vertical="center"/>
      <protection locked="0"/>
    </xf>
    <xf numFmtId="172" fontId="18" fillId="0" borderId="9" xfId="3" applyNumberFormat="1" applyFont="1" applyBorder="1" applyAlignment="1" applyProtection="1">
      <alignment vertical="center"/>
      <protection locked="0"/>
    </xf>
    <xf numFmtId="9" fontId="18" fillId="0" borderId="8" xfId="3" applyNumberFormat="1" applyFont="1" applyBorder="1" applyAlignment="1" applyProtection="1">
      <alignment vertical="center"/>
      <protection locked="0"/>
    </xf>
    <xf numFmtId="172" fontId="18" fillId="0" borderId="8" xfId="3" applyNumberFormat="1" applyFont="1" applyBorder="1" applyAlignment="1" applyProtection="1">
      <alignment vertical="center"/>
      <protection locked="0"/>
    </xf>
    <xf numFmtId="10" fontId="18" fillId="0" borderId="13" xfId="5" applyNumberFormat="1" applyFont="1" applyBorder="1" applyAlignment="1" applyProtection="1">
      <alignment vertical="center"/>
      <protection locked="0"/>
    </xf>
    <xf numFmtId="0" fontId="3" fillId="0" borderId="0" xfId="3" applyAlignment="1" applyProtection="1">
      <alignment horizontal="left" vertical="top" indent="1"/>
      <protection locked="0"/>
    </xf>
    <xf numFmtId="0" fontId="3" fillId="0" borderId="0" xfId="3" applyAlignment="1" applyProtection="1">
      <alignment vertical="center"/>
      <protection locked="0"/>
    </xf>
    <xf numFmtId="172" fontId="3" fillId="0" borderId="9" xfId="3" applyNumberFormat="1" applyBorder="1" applyAlignment="1" applyProtection="1">
      <alignment vertical="center"/>
      <protection locked="0"/>
    </xf>
    <xf numFmtId="9" fontId="3" fillId="0" borderId="8" xfId="3" applyNumberFormat="1" applyBorder="1" applyAlignment="1" applyProtection="1">
      <alignment vertical="center"/>
      <protection locked="0"/>
    </xf>
    <xf numFmtId="10" fontId="3" fillId="0" borderId="13" xfId="5" applyNumberFormat="1" applyBorder="1" applyAlignment="1" applyProtection="1">
      <alignment vertical="center"/>
      <protection locked="0"/>
    </xf>
    <xf numFmtId="0" fontId="3" fillId="7" borderId="2" xfId="3" applyFill="1" applyBorder="1" applyAlignment="1" applyProtection="1">
      <alignment vertical="top"/>
      <protection locked="0"/>
    </xf>
    <xf numFmtId="0" fontId="3" fillId="7" borderId="15" xfId="3" applyFill="1" applyBorder="1" applyAlignment="1" applyProtection="1">
      <alignment vertical="center"/>
      <protection locked="0"/>
    </xf>
    <xf numFmtId="172" fontId="18" fillId="7" borderId="9" xfId="3" applyNumberFormat="1" applyFont="1" applyFill="1" applyBorder="1" applyAlignment="1" applyProtection="1">
      <alignment vertical="center"/>
      <protection locked="0"/>
    </xf>
    <xf numFmtId="0" fontId="18" fillId="7" borderId="2" xfId="3" applyFont="1" applyFill="1" applyBorder="1" applyAlignment="1" applyProtection="1">
      <alignment vertical="center"/>
      <protection locked="0"/>
    </xf>
    <xf numFmtId="172" fontId="18" fillId="7" borderId="10" xfId="3" applyNumberFormat="1" applyFont="1" applyFill="1" applyBorder="1" applyAlignment="1" applyProtection="1">
      <alignment vertical="center"/>
      <protection locked="0"/>
    </xf>
    <xf numFmtId="172" fontId="18" fillId="7" borderId="2" xfId="3" applyNumberFormat="1" applyFont="1" applyFill="1" applyBorder="1" applyAlignment="1" applyProtection="1">
      <alignment vertical="center"/>
      <protection locked="0"/>
    </xf>
    <xf numFmtId="10" fontId="18" fillId="7" borderId="14" xfId="5" applyNumberFormat="1" applyFont="1" applyFill="1" applyBorder="1" applyAlignment="1" applyProtection="1">
      <alignment vertical="center"/>
      <protection locked="0"/>
    </xf>
    <xf numFmtId="44" fontId="0" fillId="0" borderId="0" xfId="0" applyNumberFormat="1"/>
    <xf numFmtId="173" fontId="18" fillId="2" borderId="8" xfId="6" applyNumberFormat="1" applyFont="1" applyFill="1" applyBorder="1" applyAlignment="1" applyProtection="1">
      <alignment horizontal="left" vertical="center"/>
      <protection locked="0"/>
    </xf>
    <xf numFmtId="173" fontId="23" fillId="2" borderId="8" xfId="6" applyNumberFormat="1" applyFont="1" applyFill="1" applyBorder="1" applyAlignment="1" applyProtection="1">
      <alignment horizontal="left" vertical="center"/>
      <protection locked="0"/>
    </xf>
    <xf numFmtId="44" fontId="18" fillId="3" borderId="1" xfId="3" applyNumberFormat="1" applyFont="1" applyFill="1" applyBorder="1" applyAlignment="1" applyProtection="1">
      <alignment vertical="center"/>
      <protection locked="0"/>
    </xf>
    <xf numFmtId="44" fontId="16" fillId="0" borderId="13" xfId="7" applyFont="1" applyBorder="1" applyAlignment="1" applyProtection="1">
      <alignment vertical="center"/>
      <protection locked="0"/>
    </xf>
    <xf numFmtId="44" fontId="23" fillId="2" borderId="8" xfId="6" applyFont="1" applyFill="1" applyBorder="1" applyAlignment="1" applyProtection="1">
      <alignment horizontal="left" vertical="center"/>
      <protection locked="0"/>
    </xf>
    <xf numFmtId="173" fontId="3" fillId="6" borderId="19" xfId="7" applyNumberFormat="1" applyFill="1" applyBorder="1" applyAlignment="1" applyProtection="1">
      <alignment vertical="top"/>
      <protection locked="0"/>
    </xf>
    <xf numFmtId="0" fontId="3" fillId="6" borderId="17" xfId="3" applyFill="1" applyBorder="1" applyAlignment="1" applyProtection="1">
      <alignment vertical="center"/>
      <protection locked="0"/>
    </xf>
    <xf numFmtId="44" fontId="3" fillId="6" borderId="23" xfId="7" applyFill="1" applyBorder="1" applyAlignment="1" applyProtection="1">
      <alignment vertical="center"/>
      <protection locked="0"/>
    </xf>
    <xf numFmtId="44" fontId="3" fillId="6" borderId="19" xfId="3" applyNumberFormat="1" applyFill="1" applyBorder="1" applyAlignment="1" applyProtection="1">
      <alignment vertical="center"/>
      <protection locked="0"/>
    </xf>
    <xf numFmtId="9" fontId="0" fillId="0" borderId="0" xfId="2" applyFont="1"/>
    <xf numFmtId="44" fontId="3" fillId="0" borderId="8" xfId="3" applyNumberFormat="1" applyBorder="1" applyAlignment="1" applyProtection="1">
      <alignment vertical="center"/>
      <protection locked="0"/>
    </xf>
    <xf numFmtId="173" fontId="23" fillId="2" borderId="8" xfId="7" applyNumberFormat="1" applyFont="1" applyFill="1" applyBorder="1" applyAlignment="1" applyProtection="1">
      <alignment horizontal="left" vertical="center" wrapText="1"/>
      <protection locked="0"/>
    </xf>
    <xf numFmtId="172" fontId="18" fillId="3" borderId="5" xfId="3" applyNumberFormat="1" applyFont="1" applyFill="1" applyBorder="1" applyAlignment="1" applyProtection="1">
      <alignment vertical="center"/>
      <protection locked="0"/>
    </xf>
    <xf numFmtId="173" fontId="18" fillId="8" borderId="8" xfId="7" applyNumberFormat="1" applyFont="1" applyFill="1" applyBorder="1" applyAlignment="1" applyProtection="1">
      <alignment horizontal="left" vertical="center"/>
      <protection locked="0"/>
    </xf>
    <xf numFmtId="0" fontId="3" fillId="7" borderId="8" xfId="3" applyFill="1" applyBorder="1" applyAlignment="1" applyProtection="1">
      <alignment vertical="top"/>
      <protection locked="0"/>
    </xf>
    <xf numFmtId="0" fontId="3" fillId="7" borderId="0" xfId="3" applyFill="1" applyAlignment="1" applyProtection="1">
      <alignment vertical="center"/>
      <protection locked="0"/>
    </xf>
    <xf numFmtId="44" fontId="18" fillId="7" borderId="9" xfId="3" applyNumberFormat="1" applyFont="1" applyFill="1" applyBorder="1" applyAlignment="1" applyProtection="1">
      <alignment vertical="center"/>
      <protection locked="0"/>
    </xf>
    <xf numFmtId="44" fontId="11" fillId="3" borderId="5" xfId="6" applyFont="1" applyFill="1" applyBorder="1" applyAlignment="1" applyProtection="1">
      <alignment vertical="center"/>
      <protection locked="0"/>
    </xf>
    <xf numFmtId="44" fontId="3" fillId="0" borderId="13" xfId="7" applyBorder="1" applyAlignment="1" applyProtection="1">
      <alignment vertical="center"/>
      <protection locked="0"/>
    </xf>
    <xf numFmtId="0" fontId="18" fillId="7" borderId="8" xfId="3" applyFont="1" applyFill="1" applyBorder="1" applyAlignment="1" applyProtection="1">
      <alignment vertical="center"/>
      <protection locked="0"/>
    </xf>
    <xf numFmtId="173" fontId="23" fillId="3" borderId="1" xfId="6" applyNumberFormat="1" applyFont="1" applyFill="1" applyBorder="1" applyAlignment="1" applyProtection="1">
      <alignment horizontal="left" vertical="center"/>
      <protection locked="0"/>
    </xf>
    <xf numFmtId="172" fontId="18" fillId="3" borderId="1" xfId="3" applyNumberFormat="1" applyFont="1" applyFill="1" applyBorder="1" applyAlignment="1" applyProtection="1">
      <alignment vertical="center"/>
      <protection locked="0"/>
    </xf>
    <xf numFmtId="0" fontId="13" fillId="2" borderId="0" xfId="0" applyFont="1" applyFill="1" applyAlignment="1">
      <alignment horizontal="left" vertical="top"/>
    </xf>
    <xf numFmtId="0" fontId="12" fillId="2" borderId="0" xfId="0" applyFont="1" applyFill="1" applyAlignment="1">
      <alignment horizontal="left" wrapText="1"/>
    </xf>
    <xf numFmtId="0" fontId="17" fillId="2" borderId="0" xfId="0" applyFont="1" applyFill="1"/>
    <xf numFmtId="0" fontId="17" fillId="2" borderId="0" xfId="0" applyFont="1" applyFill="1" applyAlignment="1">
      <alignment horizontal="right"/>
    </xf>
    <xf numFmtId="0" fontId="0" fillId="2" borderId="0" xfId="0" applyFill="1"/>
    <xf numFmtId="0" fontId="0" fillId="2" borderId="0" xfId="0" applyFill="1" applyAlignment="1">
      <alignment horizontal="right"/>
    </xf>
    <xf numFmtId="0" fontId="20" fillId="9" borderId="0" xfId="3" applyFont="1" applyFill="1" applyAlignment="1" applyProtection="1">
      <alignment vertical="top"/>
      <protection locked="0"/>
    </xf>
    <xf numFmtId="164" fontId="18" fillId="9" borderId="1" xfId="8" applyNumberFormat="1" applyFont="1" applyFill="1" applyBorder="1" applyAlignment="1" applyProtection="1">
      <alignment horizontal="center" vertical="center"/>
      <protection locked="0"/>
    </xf>
    <xf numFmtId="0" fontId="21" fillId="9" borderId="0" xfId="3" applyFont="1" applyFill="1" applyAlignment="1" applyProtection="1">
      <alignment vertical="center"/>
      <protection locked="0"/>
    </xf>
    <xf numFmtId="171" fontId="18" fillId="9" borderId="1" xfId="5" applyNumberFormat="1" applyFont="1" applyFill="1" applyBorder="1" applyProtection="1">
      <protection locked="0"/>
    </xf>
    <xf numFmtId="0" fontId="3" fillId="9" borderId="0" xfId="3" applyFill="1" applyAlignment="1" applyProtection="1">
      <alignment vertical="top"/>
      <protection locked="0"/>
    </xf>
    <xf numFmtId="172" fontId="18" fillId="9" borderId="8" xfId="6" applyNumberFormat="1" applyFont="1" applyFill="1" applyBorder="1" applyAlignment="1" applyProtection="1">
      <alignment horizontal="left" vertical="center"/>
      <protection locked="0"/>
    </xf>
    <xf numFmtId="172" fontId="24" fillId="0" borderId="13" xfId="6" applyNumberFormat="1" applyFont="1" applyBorder="1" applyAlignment="1" applyProtection="1">
      <alignment vertical="center"/>
      <protection locked="0"/>
    </xf>
    <xf numFmtId="172" fontId="25" fillId="9" borderId="8" xfId="6" applyNumberFormat="1" applyFont="1" applyFill="1" applyBorder="1" applyAlignment="1" applyProtection="1">
      <alignment horizontal="left" vertical="center"/>
      <protection locked="0"/>
    </xf>
    <xf numFmtId="0" fontId="25" fillId="0" borderId="13" xfId="3" applyFont="1" applyBorder="1" applyAlignment="1" applyProtection="1">
      <alignment vertical="center"/>
      <protection locked="0"/>
    </xf>
    <xf numFmtId="172" fontId="25" fillId="0" borderId="13" xfId="6" applyNumberFormat="1" applyFont="1" applyBorder="1" applyAlignment="1" applyProtection="1">
      <alignment vertical="center"/>
      <protection locked="0"/>
    </xf>
    <xf numFmtId="10" fontId="24" fillId="0" borderId="13" xfId="5" applyNumberFormat="1" applyFont="1" applyBorder="1" applyAlignment="1" applyProtection="1">
      <alignment vertical="center"/>
      <protection locked="0"/>
    </xf>
    <xf numFmtId="173" fontId="18" fillId="9" borderId="8" xfId="6" applyNumberFormat="1" applyFont="1" applyFill="1" applyBorder="1" applyAlignment="1" applyProtection="1">
      <alignment horizontal="left" vertical="center"/>
      <protection locked="0"/>
    </xf>
    <xf numFmtId="173" fontId="25" fillId="9" borderId="8" xfId="6" applyNumberFormat="1" applyFont="1" applyFill="1" applyBorder="1" applyAlignment="1" applyProtection="1">
      <alignment horizontal="left" vertical="center"/>
      <protection locked="0"/>
    </xf>
    <xf numFmtId="0" fontId="25" fillId="0" borderId="8" xfId="3" applyFont="1" applyBorder="1" applyAlignment="1" applyProtection="1">
      <alignment vertical="center"/>
      <protection locked="0"/>
    </xf>
    <xf numFmtId="0" fontId="18" fillId="10" borderId="3" xfId="3" applyFont="1" applyFill="1" applyBorder="1" applyAlignment="1" applyProtection="1">
      <alignment vertical="top"/>
      <protection locked="0"/>
    </xf>
    <xf numFmtId="0" fontId="3" fillId="10" borderId="4" xfId="3" applyFill="1" applyBorder="1" applyAlignment="1" applyProtection="1">
      <alignment vertical="top"/>
      <protection locked="0"/>
    </xf>
    <xf numFmtId="173" fontId="18" fillId="10" borderId="1" xfId="6" applyNumberFormat="1" applyFont="1" applyFill="1" applyBorder="1" applyAlignment="1" applyProtection="1">
      <alignment horizontal="left" vertical="center"/>
      <protection locked="0"/>
    </xf>
    <xf numFmtId="0" fontId="18" fillId="10" borderId="1" xfId="3" applyFont="1" applyFill="1" applyBorder="1" applyAlignment="1" applyProtection="1">
      <alignment vertical="center"/>
      <protection locked="0"/>
    </xf>
    <xf numFmtId="172" fontId="26" fillId="10" borderId="5" xfId="6" applyNumberFormat="1" applyFont="1" applyFill="1" applyBorder="1" applyAlignment="1" applyProtection="1">
      <alignment vertical="center"/>
      <protection locked="0"/>
    </xf>
    <xf numFmtId="173" fontId="27" fillId="10" borderId="1" xfId="6" applyNumberFormat="1" applyFont="1" applyFill="1" applyBorder="1" applyAlignment="1" applyProtection="1">
      <alignment horizontal="left" vertical="center"/>
      <protection locked="0"/>
    </xf>
    <xf numFmtId="0" fontId="18" fillId="10" borderId="5" xfId="3" applyFont="1" applyFill="1" applyBorder="1" applyAlignment="1" applyProtection="1">
      <alignment vertical="center"/>
      <protection locked="0"/>
    </xf>
    <xf numFmtId="172" fontId="18" fillId="10" borderId="1" xfId="3" applyNumberFormat="1" applyFont="1" applyFill="1" applyBorder="1" applyAlignment="1" applyProtection="1">
      <alignment vertical="center"/>
      <protection locked="0"/>
    </xf>
    <xf numFmtId="10" fontId="18" fillId="10" borderId="5" xfId="5" applyNumberFormat="1" applyFont="1" applyFill="1" applyBorder="1" applyAlignment="1" applyProtection="1">
      <alignment vertical="center"/>
      <protection locked="0"/>
    </xf>
    <xf numFmtId="164" fontId="3" fillId="11" borderId="8" xfId="8" applyNumberFormat="1" applyFill="1" applyBorder="1" applyAlignment="1" applyProtection="1">
      <alignment vertical="center"/>
      <protection locked="0"/>
    </xf>
    <xf numFmtId="164" fontId="25" fillId="11" borderId="8" xfId="8" applyNumberFormat="1" applyFont="1" applyFill="1" applyBorder="1" applyAlignment="1" applyProtection="1">
      <alignment vertical="center"/>
      <protection locked="0"/>
    </xf>
    <xf numFmtId="164" fontId="3" fillId="0" borderId="8" xfId="8" applyNumberFormat="1" applyBorder="1" applyAlignment="1" applyProtection="1">
      <alignment vertical="center"/>
      <protection locked="0"/>
    </xf>
    <xf numFmtId="164" fontId="25" fillId="0" borderId="8" xfId="8" applyNumberFormat="1" applyFont="1" applyBorder="1" applyAlignment="1" applyProtection="1">
      <alignment vertical="center"/>
      <protection locked="0"/>
    </xf>
    <xf numFmtId="44" fontId="18" fillId="9" borderId="8" xfId="6" applyFont="1" applyFill="1" applyBorder="1" applyAlignment="1" applyProtection="1">
      <alignment horizontal="left" vertical="center"/>
      <protection locked="0"/>
    </xf>
    <xf numFmtId="44" fontId="25" fillId="9" borderId="8" xfId="6" applyFont="1" applyFill="1" applyBorder="1" applyAlignment="1" applyProtection="1">
      <alignment horizontal="left" vertical="center"/>
      <protection locked="0"/>
    </xf>
    <xf numFmtId="0" fontId="18" fillId="10" borderId="3" xfId="3" applyFont="1" applyFill="1" applyBorder="1" applyAlignment="1" applyProtection="1">
      <alignment vertical="top" wrapText="1"/>
      <protection locked="0"/>
    </xf>
    <xf numFmtId="0" fontId="3" fillId="10" borderId="4" xfId="3" applyFill="1" applyBorder="1" applyProtection="1">
      <protection locked="0"/>
    </xf>
    <xf numFmtId="0" fontId="18" fillId="10" borderId="1" xfId="3" applyFont="1" applyFill="1" applyBorder="1" applyAlignment="1" applyProtection="1">
      <alignment horizontal="left" vertical="center"/>
      <protection locked="0"/>
    </xf>
    <xf numFmtId="0" fontId="3" fillId="10" borderId="1" xfId="3" applyFill="1" applyBorder="1" applyAlignment="1" applyProtection="1">
      <alignment vertical="center"/>
      <protection locked="0"/>
    </xf>
    <xf numFmtId="172" fontId="18" fillId="10" borderId="5" xfId="3" applyNumberFormat="1" applyFont="1" applyFill="1" applyBorder="1" applyAlignment="1" applyProtection="1">
      <alignment vertical="center"/>
      <protection locked="0"/>
    </xf>
    <xf numFmtId="0" fontId="27" fillId="10" borderId="1" xfId="3" applyFont="1" applyFill="1" applyBorder="1" applyAlignment="1" applyProtection="1">
      <alignment horizontal="left" vertical="center"/>
      <protection locked="0"/>
    </xf>
    <xf numFmtId="0" fontId="3" fillId="10" borderId="5" xfId="3" applyFill="1" applyBorder="1" applyAlignment="1" applyProtection="1">
      <alignment vertical="center"/>
      <protection locked="0"/>
    </xf>
    <xf numFmtId="173" fontId="27" fillId="9" borderId="8" xfId="6" applyNumberFormat="1" applyFont="1" applyFill="1" applyBorder="1" applyAlignment="1" applyProtection="1">
      <alignment horizontal="left" vertical="center"/>
      <protection locked="0"/>
    </xf>
    <xf numFmtId="172" fontId="3" fillId="0" borderId="13" xfId="6" applyNumberFormat="1" applyFont="1" applyBorder="1" applyAlignment="1" applyProtection="1">
      <alignment vertical="center"/>
      <protection locked="0"/>
    </xf>
    <xf numFmtId="173" fontId="18" fillId="0" borderId="8" xfId="6" applyNumberFormat="1" applyFont="1" applyBorder="1" applyAlignment="1" applyProtection="1">
      <alignment horizontal="left" vertical="center"/>
      <protection locked="0"/>
    </xf>
    <xf numFmtId="164" fontId="3" fillId="9" borderId="8" xfId="8" applyNumberFormat="1" applyFill="1" applyBorder="1" applyAlignment="1" applyProtection="1">
      <alignment vertical="center"/>
      <protection locked="0"/>
    </xf>
    <xf numFmtId="173" fontId="25" fillId="0" borderId="8" xfId="6" applyNumberFormat="1" applyFont="1" applyBorder="1" applyAlignment="1" applyProtection="1">
      <alignment horizontal="left" vertical="center"/>
      <protection locked="0"/>
    </xf>
    <xf numFmtId="164" fontId="25" fillId="9" borderId="8" xfId="8" applyNumberFormat="1" applyFont="1" applyFill="1" applyBorder="1" applyAlignment="1" applyProtection="1">
      <alignment vertical="center"/>
      <protection locked="0"/>
    </xf>
    <xf numFmtId="173" fontId="18" fillId="12" borderId="8" xfId="6" applyNumberFormat="1" applyFont="1" applyFill="1" applyBorder="1" applyAlignment="1" applyProtection="1">
      <alignment horizontal="left" vertical="center"/>
      <protection locked="0"/>
    </xf>
    <xf numFmtId="173" fontId="25" fillId="12" borderId="8" xfId="6" applyNumberFormat="1" applyFont="1" applyFill="1" applyBorder="1" applyAlignment="1" applyProtection="1">
      <alignment horizontal="left" vertical="center"/>
      <protection locked="0"/>
    </xf>
    <xf numFmtId="0" fontId="3" fillId="13" borderId="16" xfId="3" applyFill="1" applyBorder="1" applyProtection="1">
      <protection locked="0"/>
    </xf>
    <xf numFmtId="0" fontId="3" fillId="13" borderId="17" xfId="3" applyFill="1" applyBorder="1" applyAlignment="1" applyProtection="1">
      <alignment vertical="top"/>
      <protection locked="0"/>
    </xf>
    <xf numFmtId="173" fontId="3" fillId="13" borderId="18" xfId="6" applyNumberFormat="1" applyFont="1" applyFill="1" applyBorder="1" applyAlignment="1" applyProtection="1">
      <alignment vertical="top"/>
      <protection locked="0"/>
    </xf>
    <xf numFmtId="0" fontId="3" fillId="13" borderId="19" xfId="3" applyFill="1" applyBorder="1" applyAlignment="1" applyProtection="1">
      <alignment vertical="center"/>
      <protection locked="0"/>
    </xf>
    <xf numFmtId="172" fontId="3" fillId="13" borderId="17" xfId="6" applyNumberFormat="1" applyFont="1" applyFill="1" applyBorder="1" applyAlignment="1" applyProtection="1">
      <alignment vertical="center"/>
      <protection locked="0"/>
    </xf>
    <xf numFmtId="0" fontId="3" fillId="13" borderId="18" xfId="3" applyFill="1" applyBorder="1" applyAlignment="1" applyProtection="1">
      <alignment vertical="center"/>
      <protection locked="0"/>
    </xf>
    <xf numFmtId="172" fontId="3" fillId="13" borderId="18" xfId="3" applyNumberFormat="1" applyFill="1" applyBorder="1" applyAlignment="1" applyProtection="1">
      <alignment vertical="center"/>
      <protection locked="0"/>
    </xf>
    <xf numFmtId="10" fontId="3" fillId="13" borderId="20" xfId="5" applyNumberFormat="1" applyFill="1" applyBorder="1" applyAlignment="1" applyProtection="1">
      <alignment vertical="center"/>
      <protection locked="0"/>
    </xf>
    <xf numFmtId="0" fontId="3" fillId="14" borderId="2" xfId="3" applyFill="1" applyBorder="1" applyAlignment="1" applyProtection="1">
      <alignment vertical="top"/>
      <protection locked="0"/>
    </xf>
    <xf numFmtId="0" fontId="3" fillId="14" borderId="15" xfId="3" applyFill="1" applyBorder="1" applyAlignment="1" applyProtection="1">
      <alignment vertical="center"/>
      <protection locked="0"/>
    </xf>
    <xf numFmtId="172" fontId="18" fillId="14" borderId="9" xfId="3" applyNumberFormat="1" applyFont="1" applyFill="1" applyBorder="1" applyAlignment="1" applyProtection="1">
      <alignment vertical="center"/>
      <protection locked="0"/>
    </xf>
    <xf numFmtId="0" fontId="18" fillId="14" borderId="2" xfId="3" applyFont="1" applyFill="1" applyBorder="1" applyAlignment="1" applyProtection="1">
      <alignment vertical="center"/>
      <protection locked="0"/>
    </xf>
    <xf numFmtId="172" fontId="18" fillId="14" borderId="10" xfId="3" applyNumberFormat="1" applyFont="1" applyFill="1" applyBorder="1" applyAlignment="1" applyProtection="1">
      <alignment vertical="center"/>
      <protection locked="0"/>
    </xf>
    <xf numFmtId="172" fontId="18" fillId="14" borderId="2" xfId="3" applyNumberFormat="1" applyFont="1" applyFill="1" applyBorder="1" applyAlignment="1" applyProtection="1">
      <alignment vertical="center"/>
      <protection locked="0"/>
    </xf>
    <xf numFmtId="10" fontId="18" fillId="14" borderId="14" xfId="5" applyNumberFormat="1" applyFont="1" applyFill="1" applyBorder="1" applyAlignment="1" applyProtection="1">
      <alignment vertical="center"/>
      <protection locked="0"/>
    </xf>
    <xf numFmtId="0" fontId="3" fillId="14" borderId="8" xfId="3" applyFill="1" applyBorder="1" applyAlignment="1" applyProtection="1">
      <alignment vertical="top"/>
      <protection locked="0"/>
    </xf>
    <xf numFmtId="0" fontId="3" fillId="14" borderId="0" xfId="3" applyFill="1" applyAlignment="1" applyProtection="1">
      <alignment vertical="center"/>
      <protection locked="0"/>
    </xf>
    <xf numFmtId="0" fontId="18" fillId="14" borderId="8" xfId="3" applyFont="1" applyFill="1" applyBorder="1" applyAlignment="1" applyProtection="1">
      <alignment vertical="center"/>
      <protection locked="0"/>
    </xf>
    <xf numFmtId="172" fontId="18" fillId="14" borderId="8" xfId="3" applyNumberFormat="1" applyFont="1" applyFill="1" applyBorder="1" applyAlignment="1" applyProtection="1">
      <alignment vertical="center"/>
      <protection locked="0"/>
    </xf>
    <xf numFmtId="10" fontId="18" fillId="14" borderId="13" xfId="5" applyNumberFormat="1" applyFont="1" applyFill="1" applyBorder="1" applyAlignment="1" applyProtection="1">
      <alignment vertical="center"/>
      <protection locked="0"/>
    </xf>
    <xf numFmtId="173" fontId="3" fillId="13" borderId="19" xfId="6" applyNumberFormat="1" applyFont="1" applyFill="1" applyBorder="1" applyAlignment="1" applyProtection="1">
      <alignment vertical="top"/>
      <protection locked="0"/>
    </xf>
    <xf numFmtId="0" fontId="3" fillId="13" borderId="17" xfId="3" applyFill="1" applyBorder="1" applyAlignment="1" applyProtection="1">
      <alignment vertical="center"/>
      <protection locked="0"/>
    </xf>
    <xf numFmtId="172" fontId="3" fillId="13" borderId="23" xfId="6" applyNumberFormat="1" applyFont="1" applyFill="1" applyBorder="1" applyAlignment="1" applyProtection="1">
      <alignment vertical="center"/>
      <protection locked="0"/>
    </xf>
    <xf numFmtId="172" fontId="3" fillId="13" borderId="19" xfId="3" applyNumberFormat="1" applyFill="1" applyBorder="1" applyAlignment="1" applyProtection="1">
      <alignment vertical="center"/>
      <protection locked="0"/>
    </xf>
    <xf numFmtId="44" fontId="18" fillId="2" borderId="8" xfId="6" applyFont="1" applyFill="1" applyBorder="1" applyAlignment="1" applyProtection="1">
      <alignment horizontal="left" vertical="center"/>
      <protection locked="0"/>
    </xf>
    <xf numFmtId="44" fontId="25" fillId="2" borderId="8" xfId="6" applyFont="1" applyFill="1" applyBorder="1" applyAlignment="1" applyProtection="1">
      <alignment horizontal="left" vertical="center"/>
      <protection locked="0"/>
    </xf>
    <xf numFmtId="165" fontId="0" fillId="0" borderId="6" xfId="0" applyNumberFormat="1" applyBorder="1" applyAlignment="1">
      <alignment vertical="center"/>
    </xf>
    <xf numFmtId="165" fontId="0" fillId="0" borderId="8" xfId="0" applyNumberFormat="1" applyBorder="1" applyAlignment="1">
      <alignment vertical="center"/>
    </xf>
    <xf numFmtId="165" fontId="0" fillId="0" borderId="2" xfId="0" applyNumberFormat="1" applyBorder="1" applyAlignment="1">
      <alignment vertical="center"/>
    </xf>
    <xf numFmtId="174" fontId="0" fillId="0" borderId="8" xfId="0" applyNumberFormat="1" applyBorder="1" applyAlignment="1">
      <alignment vertical="center"/>
    </xf>
    <xf numFmtId="175" fontId="0" fillId="0" borderId="8" xfId="0" applyNumberFormat="1" applyBorder="1" applyAlignment="1">
      <alignment vertical="center"/>
    </xf>
    <xf numFmtId="175" fontId="0" fillId="0" borderId="2" xfId="0" applyNumberFormat="1" applyBorder="1" applyAlignment="1">
      <alignment vertical="center"/>
    </xf>
    <xf numFmtId="174" fontId="0" fillId="0" borderId="2" xfId="0" applyNumberFormat="1" applyBorder="1" applyAlignment="1">
      <alignment vertical="center"/>
    </xf>
    <xf numFmtId="0" fontId="0" fillId="16" borderId="0" xfId="0" applyFill="1"/>
    <xf numFmtId="0" fontId="2" fillId="16" borderId="1" xfId="0" applyFont="1" applyFill="1" applyBorder="1"/>
    <xf numFmtId="0" fontId="2" fillId="16" borderId="1" xfId="0" applyFont="1" applyFill="1" applyBorder="1" applyAlignment="1">
      <alignment horizontal="center"/>
    </xf>
    <xf numFmtId="0" fontId="2" fillId="16" borderId="1" xfId="0" applyFont="1" applyFill="1" applyBorder="1" applyAlignment="1">
      <alignment horizontal="center" wrapText="1"/>
    </xf>
    <xf numFmtId="0" fontId="2" fillId="16" borderId="3" xfId="0" applyFont="1" applyFill="1" applyBorder="1" applyAlignment="1">
      <alignment horizontal="center" wrapText="1"/>
    </xf>
    <xf numFmtId="0" fontId="2" fillId="16" borderId="3" xfId="0" applyFont="1" applyFill="1" applyBorder="1" applyAlignment="1"/>
    <xf numFmtId="0" fontId="2" fillId="16" borderId="4" xfId="0" applyFont="1" applyFill="1" applyBorder="1" applyAlignment="1"/>
    <xf numFmtId="10" fontId="0" fillId="0" borderId="8" xfId="2" applyNumberFormat="1" applyFont="1" applyBorder="1"/>
    <xf numFmtId="10" fontId="0" fillId="0" borderId="2" xfId="2" applyNumberFormat="1" applyFont="1" applyBorder="1"/>
    <xf numFmtId="10" fontId="0" fillId="0" borderId="6" xfId="2" applyNumberFormat="1" applyFont="1" applyBorder="1"/>
    <xf numFmtId="10" fontId="0" fillId="0" borderId="8" xfId="1" applyNumberFormat="1" applyFont="1" applyBorder="1"/>
    <xf numFmtId="0" fontId="2" fillId="16" borderId="3" xfId="0" applyFont="1" applyFill="1" applyBorder="1" applyAlignment="1">
      <alignment horizontal="center" wrapText="1"/>
    </xf>
    <xf numFmtId="0" fontId="28" fillId="15" borderId="0" xfId="0" applyFont="1" applyFill="1" applyBorder="1" applyAlignment="1">
      <alignment horizontal="center"/>
    </xf>
    <xf numFmtId="0" fontId="2" fillId="16" borderId="3" xfId="0" applyFont="1" applyFill="1" applyBorder="1" applyAlignment="1">
      <alignment horizontal="center" wrapText="1"/>
    </xf>
    <xf numFmtId="0" fontId="2" fillId="16" borderId="5" xfId="0" applyFont="1" applyFill="1" applyBorder="1" applyAlignment="1">
      <alignment horizontal="center" wrapText="1"/>
    </xf>
    <xf numFmtId="0" fontId="2" fillId="16" borderId="3" xfId="0" applyFont="1" applyFill="1" applyBorder="1" applyAlignment="1">
      <alignment horizontal="center"/>
    </xf>
    <xf numFmtId="0" fontId="2" fillId="16" borderId="4" xfId="0" applyFont="1" applyFill="1" applyBorder="1" applyAlignment="1">
      <alignment horizontal="center"/>
    </xf>
    <xf numFmtId="0" fontId="2" fillId="16" borderId="5" xfId="0" applyFont="1" applyFill="1" applyBorder="1" applyAlignment="1">
      <alignment horizontal="center"/>
    </xf>
    <xf numFmtId="0" fontId="2" fillId="16" borderId="15" xfId="0" applyFont="1" applyFill="1" applyBorder="1" applyAlignment="1">
      <alignment horizontal="center"/>
    </xf>
    <xf numFmtId="0" fontId="28" fillId="15" borderId="15" xfId="0" applyFont="1" applyFill="1" applyBorder="1" applyAlignment="1">
      <alignment horizontal="center"/>
    </xf>
    <xf numFmtId="0" fontId="2" fillId="16" borderId="4" xfId="0" applyFont="1" applyFill="1" applyBorder="1" applyAlignment="1">
      <alignment horizontal="center" wrapText="1"/>
    </xf>
    <xf numFmtId="0" fontId="2" fillId="16" borderId="6" xfId="0" applyFont="1" applyFill="1" applyBorder="1" applyAlignment="1">
      <alignment horizontal="center" wrapText="1"/>
    </xf>
    <xf numFmtId="0" fontId="2" fillId="16" borderId="2" xfId="0" applyFont="1" applyFill="1" applyBorder="1" applyAlignment="1">
      <alignment horizontal="center" wrapText="1"/>
    </xf>
    <xf numFmtId="0" fontId="14" fillId="2" borderId="0" xfId="0" applyFont="1" applyFill="1" applyAlignment="1">
      <alignment horizontal="left" wrapText="1"/>
    </xf>
    <xf numFmtId="0" fontId="14" fillId="2" borderId="0" xfId="0" applyFont="1" applyFill="1" applyAlignment="1">
      <alignment horizontal="left" wrapText="1" indent="6"/>
    </xf>
    <xf numFmtId="0" fontId="14" fillId="2" borderId="0" xfId="0" applyFont="1" applyFill="1" applyAlignment="1">
      <alignment horizontal="left" vertical="top" wrapText="1"/>
    </xf>
    <xf numFmtId="0" fontId="9" fillId="2" borderId="0" xfId="0" applyFont="1" applyFill="1" applyAlignment="1">
      <alignment horizontal="left" wrapText="1"/>
    </xf>
    <xf numFmtId="0" fontId="17" fillId="2" borderId="0" xfId="0" applyFont="1" applyFill="1" applyAlignment="1">
      <alignment horizontal="left" wrapText="1"/>
    </xf>
    <xf numFmtId="0" fontId="0" fillId="2" borderId="0" xfId="0" applyFill="1" applyAlignment="1">
      <alignment horizontal="left" wrapText="1"/>
    </xf>
    <xf numFmtId="0" fontId="13" fillId="2" borderId="0" xfId="0" applyFont="1" applyFill="1" applyAlignment="1">
      <alignment horizontal="left" vertical="top" wrapText="1"/>
    </xf>
    <xf numFmtId="0" fontId="14" fillId="2" borderId="0" xfId="0" applyFont="1" applyFill="1" applyAlignment="1">
      <alignment horizontal="right" wrapText="1" indent="2"/>
    </xf>
    <xf numFmtId="0" fontId="14" fillId="2" borderId="0" xfId="0" applyFont="1" applyFill="1" applyAlignment="1">
      <alignment horizontal="left" wrapText="1" indent="2"/>
    </xf>
    <xf numFmtId="0" fontId="11" fillId="2" borderId="0" xfId="0" applyFont="1" applyFill="1" applyAlignment="1">
      <alignment horizontal="left" wrapText="1"/>
    </xf>
    <xf numFmtId="0" fontId="13" fillId="2" borderId="0" xfId="0" applyFont="1" applyFill="1" applyAlignment="1">
      <alignment horizontal="left" wrapText="1"/>
    </xf>
    <xf numFmtId="0" fontId="9" fillId="2" borderId="0" xfId="0" applyFont="1" applyFill="1" applyAlignment="1">
      <alignment horizontal="left" vertical="top" wrapText="1"/>
    </xf>
    <xf numFmtId="0" fontId="15" fillId="2" borderId="0" xfId="0" applyFont="1" applyFill="1" applyAlignment="1">
      <alignment horizontal="left" vertical="top" wrapText="1"/>
    </xf>
    <xf numFmtId="0" fontId="11" fillId="2" borderId="0" xfId="0" applyFont="1" applyFill="1" applyAlignment="1">
      <alignment horizontal="left" vertical="top" wrapText="1"/>
    </xf>
    <xf numFmtId="0" fontId="14" fillId="2" borderId="0" xfId="0" applyFont="1" applyFill="1" applyAlignment="1" applyProtection="1">
      <alignment horizontal="left" wrapText="1"/>
      <protection locked="0"/>
    </xf>
    <xf numFmtId="0" fontId="14" fillId="2" borderId="0" xfId="0" applyFont="1" applyFill="1" applyAlignment="1"/>
    <xf numFmtId="0" fontId="12" fillId="2" borderId="0" xfId="0" applyFont="1" applyFill="1" applyAlignment="1">
      <alignment horizontal="right" vertical="top" wrapText="1"/>
    </xf>
    <xf numFmtId="0" fontId="8" fillId="2" borderId="0" xfId="0" applyFont="1" applyFill="1" applyAlignment="1">
      <alignment horizontal="center" vertical="top" wrapText="1"/>
    </xf>
    <xf numFmtId="0" fontId="9" fillId="2" borderId="0" xfId="0" applyFont="1" applyFill="1" applyAlignment="1">
      <alignment horizontal="center" vertical="top" wrapText="1"/>
    </xf>
    <xf numFmtId="0" fontId="10" fillId="2" borderId="0" xfId="0" applyFont="1" applyFill="1" applyAlignment="1">
      <alignment horizontal="center" vertical="top" wrapText="1"/>
    </xf>
    <xf numFmtId="0" fontId="11" fillId="2" borderId="0" xfId="0" applyFont="1" applyFill="1" applyAlignment="1">
      <alignment horizontal="center" vertical="top" wrapText="1"/>
    </xf>
    <xf numFmtId="0" fontId="13" fillId="2" borderId="0" xfId="0" applyFont="1" applyFill="1" applyAlignment="1">
      <alignment horizontal="left" vertical="top"/>
    </xf>
    <xf numFmtId="0" fontId="12" fillId="2" borderId="0" xfId="0" applyFont="1" applyFill="1" applyAlignment="1">
      <alignment horizontal="left" wrapText="1"/>
    </xf>
    <xf numFmtId="0" fontId="15" fillId="2" borderId="0" xfId="0" applyFont="1" applyFill="1" applyAlignment="1">
      <alignment horizontal="left" vertical="top"/>
    </xf>
    <xf numFmtId="0" fontId="18" fillId="7" borderId="0" xfId="3" applyFont="1" applyFill="1" applyAlignment="1" applyProtection="1">
      <alignment horizontal="left" vertical="top" wrapText="1"/>
      <protection locked="0"/>
    </xf>
    <xf numFmtId="0" fontId="19" fillId="2" borderId="3" xfId="3" applyFont="1" applyFill="1" applyBorder="1" applyAlignment="1" applyProtection="1">
      <alignment horizontal="left" vertical="top"/>
      <protection locked="0"/>
    </xf>
    <xf numFmtId="0" fontId="19" fillId="2" borderId="4" xfId="3" applyFont="1" applyFill="1" applyBorder="1" applyAlignment="1" applyProtection="1">
      <alignment horizontal="left" vertical="top"/>
      <protection locked="0"/>
    </xf>
    <xf numFmtId="0" fontId="19" fillId="2" borderId="5" xfId="3" applyFont="1" applyFill="1" applyBorder="1" applyAlignment="1" applyProtection="1">
      <alignment horizontal="left" vertical="top"/>
      <protection locked="0"/>
    </xf>
    <xf numFmtId="0" fontId="18" fillId="2" borderId="3" xfId="3" applyFont="1" applyFill="1" applyBorder="1" applyAlignment="1" applyProtection="1">
      <alignment horizontal="left" vertical="top"/>
      <protection locked="0"/>
    </xf>
    <xf numFmtId="0" fontId="18" fillId="2" borderId="4" xfId="3" applyFont="1" applyFill="1" applyBorder="1" applyAlignment="1" applyProtection="1">
      <alignment horizontal="left" vertical="top"/>
      <protection locked="0"/>
    </xf>
    <xf numFmtId="0" fontId="18" fillId="2" borderId="5" xfId="3" applyFont="1" applyFill="1" applyBorder="1" applyAlignment="1" applyProtection="1">
      <alignment horizontal="left" vertical="top"/>
      <protection locked="0"/>
    </xf>
    <xf numFmtId="0" fontId="18" fillId="0" borderId="3" xfId="3" applyFont="1" applyBorder="1" applyAlignment="1" applyProtection="1">
      <alignment horizontal="center"/>
      <protection locked="0"/>
    </xf>
    <xf numFmtId="0" fontId="18" fillId="0" borderId="4" xfId="3" applyFont="1" applyBorder="1" applyAlignment="1" applyProtection="1">
      <alignment horizontal="center"/>
      <protection locked="0"/>
    </xf>
    <xf numFmtId="0" fontId="18" fillId="0" borderId="5" xfId="3" applyFont="1" applyBorder="1" applyAlignment="1" applyProtection="1">
      <alignment horizontal="center"/>
      <protection locked="0"/>
    </xf>
    <xf numFmtId="0" fontId="19" fillId="2" borderId="1" xfId="3" applyFont="1" applyFill="1" applyBorder="1" applyAlignment="1" applyProtection="1">
      <alignment horizontal="left" vertical="top"/>
      <protection locked="0"/>
    </xf>
    <xf numFmtId="0" fontId="18" fillId="2" borderId="2" xfId="3" applyFont="1" applyFill="1" applyBorder="1" applyAlignment="1" applyProtection="1">
      <alignment horizontal="left" vertical="top"/>
      <protection locked="0"/>
    </xf>
    <xf numFmtId="0" fontId="18" fillId="2" borderId="0" xfId="3" applyFont="1" applyFill="1" applyAlignment="1" applyProtection="1">
      <alignment horizontal="center" wrapText="1"/>
      <protection locked="0"/>
    </xf>
    <xf numFmtId="0" fontId="3" fillId="2" borderId="0" xfId="3" applyFill="1" applyAlignment="1" applyProtection="1">
      <alignment horizontal="center" wrapText="1"/>
      <protection locked="0"/>
    </xf>
    <xf numFmtId="0" fontId="18" fillId="2" borderId="13" xfId="3" applyFont="1" applyFill="1" applyBorder="1" applyAlignment="1" applyProtection="1">
      <alignment horizontal="center" wrapText="1"/>
      <protection locked="0"/>
    </xf>
    <xf numFmtId="0" fontId="18" fillId="0" borderId="6" xfId="3" applyFont="1" applyBorder="1" applyAlignment="1" applyProtection="1">
      <alignment horizontal="center" wrapText="1"/>
      <protection locked="0"/>
    </xf>
    <xf numFmtId="0" fontId="18" fillId="0" borderId="2" xfId="3" applyFont="1" applyBorder="1" applyAlignment="1" applyProtection="1">
      <alignment horizontal="center" wrapText="1"/>
      <protection locked="0"/>
    </xf>
    <xf numFmtId="0" fontId="18" fillId="7" borderId="21" xfId="3" applyFont="1" applyFill="1" applyBorder="1" applyAlignment="1" applyProtection="1">
      <alignment horizontal="left" vertical="top" wrapText="1"/>
      <protection locked="0"/>
    </xf>
    <xf numFmtId="0" fontId="18" fillId="7" borderId="22" xfId="3" applyFont="1" applyFill="1" applyBorder="1" applyAlignment="1" applyProtection="1">
      <alignment horizontal="left" vertical="top" wrapText="1"/>
      <protection locked="0"/>
    </xf>
    <xf numFmtId="0" fontId="18" fillId="0" borderId="8" xfId="3" applyFont="1" applyBorder="1" applyAlignment="1" applyProtection="1">
      <alignment horizontal="center" wrapText="1"/>
      <protection locked="0"/>
    </xf>
    <xf numFmtId="0" fontId="3" fillId="0" borderId="2" xfId="3" applyBorder="1" applyAlignment="1" applyProtection="1">
      <alignment wrapText="1"/>
      <protection locked="0"/>
    </xf>
    <xf numFmtId="0" fontId="18" fillId="0" borderId="13" xfId="3" applyFont="1" applyBorder="1" applyAlignment="1" applyProtection="1">
      <alignment horizontal="center" wrapText="1"/>
      <protection locked="0"/>
    </xf>
    <xf numFmtId="0" fontId="3" fillId="0" borderId="14" xfId="3" applyBorder="1" applyAlignment="1" applyProtection="1">
      <alignment wrapText="1"/>
      <protection locked="0"/>
    </xf>
    <xf numFmtId="0" fontId="18" fillId="9" borderId="0" xfId="3" applyFont="1" applyFill="1" applyAlignment="1" applyProtection="1">
      <alignment horizontal="center" wrapText="1"/>
      <protection locked="0"/>
    </xf>
    <xf numFmtId="0" fontId="3" fillId="9" borderId="0" xfId="3" applyFill="1" applyAlignment="1" applyProtection="1">
      <alignment horizontal="center" wrapText="1"/>
      <protection locked="0"/>
    </xf>
    <xf numFmtId="0" fontId="19" fillId="9" borderId="3" xfId="3" applyFont="1" applyFill="1" applyBorder="1" applyAlignment="1" applyProtection="1">
      <alignment horizontal="left" vertical="top"/>
      <protection locked="0"/>
    </xf>
    <xf numFmtId="0" fontId="19" fillId="9" borderId="4" xfId="3" applyFont="1" applyFill="1" applyBorder="1" applyAlignment="1" applyProtection="1">
      <alignment horizontal="left" vertical="top"/>
      <protection locked="0"/>
    </xf>
    <xf numFmtId="0" fontId="19" fillId="9" borderId="5" xfId="3" applyFont="1" applyFill="1" applyBorder="1" applyAlignment="1" applyProtection="1">
      <alignment horizontal="left" vertical="top"/>
      <protection locked="0"/>
    </xf>
    <xf numFmtId="0" fontId="18" fillId="9" borderId="3" xfId="3" applyFont="1" applyFill="1" applyBorder="1" applyAlignment="1" applyProtection="1">
      <alignment horizontal="left" vertical="top"/>
      <protection locked="0"/>
    </xf>
    <xf numFmtId="0" fontId="18" fillId="9" borderId="4" xfId="3" applyFont="1" applyFill="1" applyBorder="1" applyAlignment="1" applyProtection="1">
      <alignment horizontal="left" vertical="top"/>
      <protection locked="0"/>
    </xf>
    <xf numFmtId="0" fontId="18" fillId="9" borderId="5" xfId="3" applyFont="1" applyFill="1" applyBorder="1" applyAlignment="1" applyProtection="1">
      <alignment horizontal="left" vertical="top"/>
      <protection locked="0"/>
    </xf>
    <xf numFmtId="0" fontId="18" fillId="14" borderId="0" xfId="3" applyFont="1" applyFill="1" applyAlignment="1" applyProtection="1">
      <alignment horizontal="left" vertical="top" wrapText="1"/>
      <protection locked="0"/>
    </xf>
    <xf numFmtId="0" fontId="18" fillId="9" borderId="2" xfId="3" applyFont="1" applyFill="1" applyBorder="1" applyAlignment="1" applyProtection="1">
      <alignment horizontal="left" vertical="top"/>
      <protection locked="0"/>
    </xf>
    <xf numFmtId="0" fontId="19" fillId="9" borderId="1" xfId="3" applyFont="1" applyFill="1" applyBorder="1" applyAlignment="1" applyProtection="1">
      <alignment horizontal="left" vertical="top"/>
      <protection locked="0"/>
    </xf>
  </cellXfs>
  <cellStyles count="9">
    <cellStyle name="Comma" xfId="1" builtinId="3"/>
    <cellStyle name="Comma 4" xfId="8" xr:uid="{9C52E020-E373-400B-B3E1-FD347B239468}"/>
    <cellStyle name="Comma 4 4" xfId="4" xr:uid="{00000000-0005-0000-0000-000001000000}"/>
    <cellStyle name="Currency 2" xfId="6" xr:uid="{00000000-0005-0000-0000-000002000000}"/>
    <cellStyle name="Currency 2 3" xfId="7" xr:uid="{00000000-0005-0000-0000-000003000000}"/>
    <cellStyle name="Normal" xfId="0" builtinId="0"/>
    <cellStyle name="Normal 2 4" xfId="3" xr:uid="{00000000-0005-0000-0000-000005000000}"/>
    <cellStyle name="Percent" xfId="2" builtinId="5"/>
    <cellStyle name="Percent 2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OEB/IRM/2020%20IRM/1-%20Model%20IRM%20Model/MRZ%20Rate%20Gen%20Model/Copy%20of%202020-IRM-Rate-Generator-Model-20190808-v2-%20MRZ.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Applications%20-%20OEB/MAAD/Midland%20MAAD/17.%20Cost%20Allocation/2-%20Cost%20Allocation%20Application/Draft/Sub%20Nov%202019/2019%20CA%20application%20t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Applications%20-%20OEB/MAAD/Midland%20MAAD/17.%20Cost%20Allocation/A%20-%20Newmarket%20-%20Tay%20Rate%20Zone%20Cost%20Allocation%20Model%20-%202018/Cost%20Allocation%20Historical%20Versions%20of%20Model/2019%20CA%20bill%20impact%20scenar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ulatory/OEB/IRM/2019%20IRM/IRM%20Tables%20for%20Application%202019%20-%20Newmarket%20&amp;%20T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 1,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E15">
            <v>3.0000000000000001E-3</v>
          </cell>
        </row>
        <row r="16">
          <cell r="E16">
            <v>4.0000000000000002E-4</v>
          </cell>
        </row>
        <row r="17">
          <cell r="E17">
            <v>5.0000000000000001E-4</v>
          </cell>
        </row>
        <row r="18">
          <cell r="E18">
            <v>0.25</v>
          </cell>
        </row>
        <row r="23">
          <cell r="D23">
            <v>6.5000000000000002E-2</v>
          </cell>
        </row>
        <row r="24">
          <cell r="D24">
            <v>9.4E-2</v>
          </cell>
        </row>
        <row r="25">
          <cell r="D25">
            <v>0.13400000000000001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ill impacts effected classes"/>
      <sheetName val="Bill impacts all classes"/>
      <sheetName val="OEB decision CA"/>
    </sheetNames>
    <sheetDataSet>
      <sheetData sheetId="0">
        <row r="15">
          <cell r="E15">
            <v>-363801.8</v>
          </cell>
        </row>
        <row r="18">
          <cell r="E18">
            <v>3312.6000000000004</v>
          </cell>
        </row>
        <row r="19">
          <cell r="E19">
            <v>349296</v>
          </cell>
        </row>
        <row r="20">
          <cell r="E20">
            <v>11193.2</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ill impacts effected classes"/>
      <sheetName val="Bill impacts all classes"/>
      <sheetName val="OEB decision CA"/>
    </sheetNames>
    <sheetDataSet>
      <sheetData sheetId="0">
        <row r="26">
          <cell r="E26">
            <v>0.93215876811149956</v>
          </cell>
        </row>
        <row r="27">
          <cell r="E27"/>
        </row>
        <row r="28">
          <cell r="E28"/>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istribution Rates"/>
      <sheetName val="LRAMVA Claim"/>
      <sheetName val="Final Verified CDM Savings"/>
      <sheetName val="Forecast CDM Savings of LRAMVA"/>
      <sheetName val="RTSR Tables"/>
      <sheetName val="Bill Impact Summary"/>
      <sheetName val="1576 Rate Rider Calculation"/>
      <sheetName val="GA Analysis Balances"/>
      <sheetName val="GA methodology #4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5">
          <cell r="H25">
            <v>1.7368612430114307</v>
          </cell>
        </row>
        <row r="26">
          <cell r="H26">
            <v>2.5747448982484521E-3</v>
          </cell>
        </row>
        <row r="27">
          <cell r="H27">
            <v>0.9547945158946155</v>
          </cell>
        </row>
        <row r="28">
          <cell r="H28">
            <v>2.5747448982484525E-3</v>
          </cell>
        </row>
        <row r="29">
          <cell r="H29">
            <v>2.5747448982484525E-3</v>
          </cell>
        </row>
        <row r="30">
          <cell r="H30">
            <v>0.95633532915838393</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755E9-78C0-435D-87C6-F85CC53B876E}">
  <dimension ref="A1:G20"/>
  <sheetViews>
    <sheetView workbookViewId="0">
      <selection activeCell="A2" sqref="A2"/>
    </sheetView>
  </sheetViews>
  <sheetFormatPr defaultRowHeight="14.4" x14ac:dyDescent="0.3"/>
  <cols>
    <col min="1" max="1" width="43.21875" bestFit="1" customWidth="1"/>
    <col min="2" max="2" width="10.109375" customWidth="1"/>
    <col min="3" max="3" width="8" bestFit="1" customWidth="1"/>
    <col min="4" max="4" width="11.44140625" customWidth="1"/>
    <col min="5" max="5" width="11.109375" customWidth="1"/>
    <col min="6" max="6" width="12.77734375" customWidth="1"/>
    <col min="7" max="7" width="12" customWidth="1"/>
    <col min="8" max="8" width="12.33203125" customWidth="1"/>
    <col min="9" max="9" width="12" bestFit="1" customWidth="1"/>
    <col min="10" max="10" width="11.5546875" bestFit="1" customWidth="1"/>
    <col min="11" max="11" width="12.6640625" bestFit="1" customWidth="1"/>
    <col min="12" max="12" width="12.5546875" customWidth="1"/>
    <col min="13" max="13" width="12.33203125" customWidth="1"/>
  </cols>
  <sheetData>
    <row r="1" spans="1:6" ht="18" x14ac:dyDescent="0.35">
      <c r="A1" s="1" t="s">
        <v>262</v>
      </c>
    </row>
    <row r="4" spans="1:6" ht="15.6" x14ac:dyDescent="0.3">
      <c r="A4" s="262" t="s">
        <v>263</v>
      </c>
      <c r="B4" s="262"/>
      <c r="C4" s="262"/>
      <c r="D4" s="262"/>
      <c r="E4" s="262"/>
      <c r="F4" s="262"/>
    </row>
    <row r="5" spans="1:6" x14ac:dyDescent="0.3">
      <c r="A5" s="250"/>
      <c r="B5" s="255"/>
      <c r="C5" s="263" t="s">
        <v>267</v>
      </c>
      <c r="D5" s="264"/>
      <c r="E5" s="255"/>
      <c r="F5" s="256"/>
    </row>
    <row r="6" spans="1:6" ht="71.400000000000006" customHeight="1" x14ac:dyDescent="0.3">
      <c r="A6" s="251" t="s">
        <v>16</v>
      </c>
      <c r="B6" s="253" t="s">
        <v>264</v>
      </c>
      <c r="C6" s="253" t="s">
        <v>107</v>
      </c>
      <c r="D6" s="253" t="s">
        <v>286</v>
      </c>
      <c r="E6" s="253" t="s">
        <v>271</v>
      </c>
      <c r="F6" s="253" t="s">
        <v>269</v>
      </c>
    </row>
    <row r="7" spans="1:6" x14ac:dyDescent="0.3">
      <c r="A7" s="11" t="s">
        <v>5</v>
      </c>
      <c r="B7" s="12" t="s">
        <v>265</v>
      </c>
      <c r="C7" s="257">
        <v>0.92759999999999998</v>
      </c>
      <c r="D7" s="243">
        <v>-969688</v>
      </c>
      <c r="E7" s="243">
        <v>-363802</v>
      </c>
      <c r="F7" s="259">
        <v>0.95469999999999999</v>
      </c>
    </row>
    <row r="8" spans="1:6" x14ac:dyDescent="0.3">
      <c r="A8" s="11" t="s">
        <v>4</v>
      </c>
      <c r="B8" s="12" t="s">
        <v>266</v>
      </c>
      <c r="C8" s="257">
        <v>1.1694</v>
      </c>
      <c r="D8" s="244">
        <v>488165</v>
      </c>
      <c r="E8" s="244" t="s">
        <v>270</v>
      </c>
      <c r="F8" s="257">
        <v>1.1694</v>
      </c>
    </row>
    <row r="9" spans="1:6" x14ac:dyDescent="0.3">
      <c r="A9" s="11" t="s">
        <v>268</v>
      </c>
      <c r="B9" s="12" t="s">
        <v>266</v>
      </c>
      <c r="C9" s="257">
        <v>1.0199</v>
      </c>
      <c r="D9" s="244">
        <v>77243</v>
      </c>
      <c r="E9" s="244" t="s">
        <v>270</v>
      </c>
      <c r="F9" s="257">
        <v>1.0199</v>
      </c>
    </row>
    <row r="10" spans="1:6" x14ac:dyDescent="0.3">
      <c r="A10" s="11" t="s">
        <v>6</v>
      </c>
      <c r="B10" s="12" t="s">
        <v>266</v>
      </c>
      <c r="C10" s="257">
        <v>1.5255000000000001</v>
      </c>
      <c r="D10" s="244">
        <v>5350</v>
      </c>
      <c r="E10" s="244">
        <v>3313</v>
      </c>
      <c r="F10" s="257">
        <v>1.2</v>
      </c>
    </row>
    <row r="11" spans="1:6" x14ac:dyDescent="0.3">
      <c r="A11" s="11" t="s">
        <v>7</v>
      </c>
      <c r="B11" s="12" t="s">
        <v>266</v>
      </c>
      <c r="C11" s="257">
        <v>3.1227</v>
      </c>
      <c r="D11" s="244">
        <v>385630</v>
      </c>
      <c r="E11" s="244">
        <v>349296</v>
      </c>
      <c r="F11" s="257">
        <v>1.2</v>
      </c>
    </row>
    <row r="12" spans="1:6" x14ac:dyDescent="0.3">
      <c r="A12" s="11" t="s">
        <v>8</v>
      </c>
      <c r="B12" s="12" t="s">
        <v>266</v>
      </c>
      <c r="C12" s="257">
        <v>2.2627000000000002</v>
      </c>
      <c r="D12" s="244">
        <v>13300</v>
      </c>
      <c r="E12" s="244">
        <v>11193</v>
      </c>
      <c r="F12" s="257">
        <v>1.2</v>
      </c>
    </row>
    <row r="13" spans="1:6" x14ac:dyDescent="0.3">
      <c r="A13" s="11"/>
      <c r="B13" s="12"/>
      <c r="C13" s="257"/>
      <c r="D13" s="244"/>
      <c r="E13" s="244"/>
      <c r="F13" s="257"/>
    </row>
    <row r="14" spans="1:6" x14ac:dyDescent="0.3">
      <c r="A14" s="11" t="s">
        <v>9</v>
      </c>
      <c r="B14" s="12" t="s">
        <v>265</v>
      </c>
      <c r="C14" s="257">
        <v>1.0065999999999999</v>
      </c>
      <c r="D14" s="244">
        <v>19101</v>
      </c>
      <c r="E14" s="244" t="s">
        <v>270</v>
      </c>
      <c r="F14" s="257">
        <v>1.0065999999999999</v>
      </c>
    </row>
    <row r="15" spans="1:6" x14ac:dyDescent="0.3">
      <c r="A15" s="11" t="s">
        <v>10</v>
      </c>
      <c r="B15" s="12" t="s">
        <v>266</v>
      </c>
      <c r="C15" s="257">
        <v>1.1399999999999999</v>
      </c>
      <c r="D15" s="244">
        <v>81871</v>
      </c>
      <c r="E15" s="244" t="s">
        <v>270</v>
      </c>
      <c r="F15" s="257">
        <v>1.1399999999999999</v>
      </c>
    </row>
    <row r="16" spans="1:6" x14ac:dyDescent="0.3">
      <c r="A16" s="11" t="s">
        <v>11</v>
      </c>
      <c r="B16" s="12" t="s">
        <v>266</v>
      </c>
      <c r="C16" s="257">
        <v>0.90010000000000001</v>
      </c>
      <c r="D16" s="244">
        <v>-125100</v>
      </c>
      <c r="E16" s="244" t="s">
        <v>270</v>
      </c>
      <c r="F16" s="257">
        <v>0.90010000000000001</v>
      </c>
    </row>
    <row r="17" spans="1:7" x14ac:dyDescent="0.3">
      <c r="A17" s="11" t="s">
        <v>7</v>
      </c>
      <c r="B17" s="12" t="s">
        <v>266</v>
      </c>
      <c r="C17" s="257">
        <v>1.3379000000000001</v>
      </c>
      <c r="D17" s="244">
        <v>23945</v>
      </c>
      <c r="E17" s="244" t="s">
        <v>270</v>
      </c>
      <c r="F17" s="257">
        <v>1.3379000000000001</v>
      </c>
    </row>
    <row r="18" spans="1:7" x14ac:dyDescent="0.3">
      <c r="A18" s="15" t="s">
        <v>8</v>
      </c>
      <c r="B18" s="16" t="s">
        <v>266</v>
      </c>
      <c r="C18" s="258">
        <v>1.0281</v>
      </c>
      <c r="D18" s="245">
        <v>183</v>
      </c>
      <c r="E18" s="245" t="s">
        <v>270</v>
      </c>
      <c r="F18" s="258">
        <v>1.0281</v>
      </c>
    </row>
    <row r="19" spans="1:7" x14ac:dyDescent="0.3">
      <c r="G19" s="3"/>
    </row>
    <row r="20" spans="1:7" x14ac:dyDescent="0.3">
      <c r="G20" s="3"/>
    </row>
  </sheetData>
  <mergeCells count="2">
    <mergeCell ref="A4:F4"/>
    <mergeCell ref="C5:D5"/>
  </mergeCells>
  <pageMargins left="0.2" right="0.2" top="0.34" bottom="0.35" header="0.17" footer="0.17"/>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69FE-0D33-4067-9521-3F657E41F3B6}">
  <dimension ref="A1:L325"/>
  <sheetViews>
    <sheetView tabSelected="1" topLeftCell="A304" workbookViewId="0">
      <selection activeCell="L99" sqref="L99"/>
    </sheetView>
  </sheetViews>
  <sheetFormatPr defaultRowHeight="14.4" x14ac:dyDescent="0.3"/>
  <cols>
    <col min="2" max="2" width="38.77734375" customWidth="1"/>
    <col min="4" max="4" width="11.88671875" customWidth="1"/>
    <col min="5" max="5" width="12.21875" bestFit="1" customWidth="1"/>
    <col min="6" max="6" width="13.77734375" bestFit="1" customWidth="1"/>
    <col min="7" max="7" width="10.33203125" customWidth="1"/>
    <col min="8" max="9" width="12.21875" bestFit="1" customWidth="1"/>
    <col min="10" max="10" width="13.77734375" bestFit="1" customWidth="1"/>
    <col min="11" max="11" width="11.5546875" bestFit="1" customWidth="1"/>
  </cols>
  <sheetData>
    <row r="1" spans="1:11" x14ac:dyDescent="0.3">
      <c r="A1" s="63"/>
      <c r="B1" s="64" t="s">
        <v>168</v>
      </c>
      <c r="C1" s="307" t="s">
        <v>51</v>
      </c>
      <c r="D1" s="307"/>
      <c r="E1" s="307"/>
      <c r="F1" s="307"/>
      <c r="G1" s="307"/>
      <c r="H1" s="307"/>
      <c r="I1" s="63" t="s">
        <v>0</v>
      </c>
    </row>
    <row r="2" spans="1:11" x14ac:dyDescent="0.3">
      <c r="A2" s="63"/>
      <c r="B2" s="64" t="s">
        <v>169</v>
      </c>
      <c r="C2" s="308" t="s">
        <v>170</v>
      </c>
      <c r="D2" s="308"/>
      <c r="E2" s="308"/>
      <c r="F2" s="65"/>
      <c r="G2" s="65"/>
    </row>
    <row r="3" spans="1:11" ht="15.6" x14ac:dyDescent="0.3">
      <c r="A3" s="63"/>
      <c r="B3" s="64" t="s">
        <v>171</v>
      </c>
      <c r="C3" s="66">
        <v>750</v>
      </c>
      <c r="D3" s="67" t="s">
        <v>1</v>
      </c>
      <c r="E3" s="63"/>
      <c r="H3" s="68"/>
      <c r="I3" s="68"/>
      <c r="J3" s="68"/>
      <c r="K3" s="68"/>
    </row>
    <row r="4" spans="1:11" ht="15.6" x14ac:dyDescent="0.3">
      <c r="A4" s="63"/>
      <c r="B4" s="64" t="s">
        <v>172</v>
      </c>
      <c r="C4" s="66">
        <v>0</v>
      </c>
      <c r="D4" s="69" t="s">
        <v>2</v>
      </c>
      <c r="E4" s="70"/>
      <c r="F4" s="71"/>
      <c r="G4" s="71"/>
      <c r="H4" s="71"/>
    </row>
    <row r="5" spans="1:11" x14ac:dyDescent="0.3">
      <c r="A5" s="63"/>
      <c r="B5" s="64" t="s">
        <v>173</v>
      </c>
      <c r="C5" s="72">
        <v>1.0383</v>
      </c>
    </row>
    <row r="6" spans="1:11" x14ac:dyDescent="0.3">
      <c r="A6" s="63"/>
      <c r="B6" s="64" t="s">
        <v>174</v>
      </c>
      <c r="C6" s="72">
        <v>1.0383</v>
      </c>
    </row>
    <row r="7" spans="1:11" x14ac:dyDescent="0.3">
      <c r="A7" s="63"/>
      <c r="B7" s="63"/>
    </row>
    <row r="8" spans="1:11" x14ac:dyDescent="0.3">
      <c r="A8" s="63"/>
      <c r="B8" s="63"/>
      <c r="C8" s="67"/>
      <c r="D8" s="304" t="s">
        <v>216</v>
      </c>
      <c r="E8" s="305"/>
      <c r="F8" s="306"/>
      <c r="G8" s="304" t="s">
        <v>217</v>
      </c>
      <c r="H8" s="305"/>
      <c r="I8" s="306"/>
      <c r="J8" s="304" t="s">
        <v>177</v>
      </c>
      <c r="K8" s="306"/>
    </row>
    <row r="9" spans="1:11" x14ac:dyDescent="0.3">
      <c r="A9" s="63"/>
      <c r="B9" s="63"/>
      <c r="C9" s="309"/>
      <c r="D9" s="73" t="s">
        <v>178</v>
      </c>
      <c r="E9" s="73" t="s">
        <v>179</v>
      </c>
      <c r="F9" s="74" t="s">
        <v>180</v>
      </c>
      <c r="G9" s="73" t="s">
        <v>178</v>
      </c>
      <c r="H9" s="75" t="s">
        <v>179</v>
      </c>
      <c r="I9" s="74" t="s">
        <v>180</v>
      </c>
      <c r="J9" s="316" t="s">
        <v>181</v>
      </c>
      <c r="K9" s="318" t="s">
        <v>182</v>
      </c>
    </row>
    <row r="10" spans="1:11" x14ac:dyDescent="0.3">
      <c r="A10" s="63"/>
      <c r="B10" s="63"/>
      <c r="C10" s="310"/>
      <c r="D10" s="76" t="s">
        <v>183</v>
      </c>
      <c r="E10" s="76"/>
      <c r="F10" s="77" t="s">
        <v>183</v>
      </c>
      <c r="G10" s="76" t="s">
        <v>183</v>
      </c>
      <c r="H10" s="77"/>
      <c r="I10" s="77" t="s">
        <v>183</v>
      </c>
      <c r="J10" s="317"/>
      <c r="K10" s="319"/>
    </row>
    <row r="11" spans="1:11" x14ac:dyDescent="0.3">
      <c r="A11" s="78"/>
      <c r="B11" s="79" t="s">
        <v>184</v>
      </c>
      <c r="C11" s="80"/>
      <c r="D11" s="81">
        <v>27.61</v>
      </c>
      <c r="E11" s="82">
        <v>1</v>
      </c>
      <c r="F11" s="83">
        <f>E11*D11</f>
        <v>27.61</v>
      </c>
      <c r="G11" s="84">
        <f>D11+[3]Summary!E26</f>
        <v>28.542158768111499</v>
      </c>
      <c r="H11" s="85">
        <f>E11</f>
        <v>1</v>
      </c>
      <c r="I11" s="83">
        <f>H11*G11</f>
        <v>28.542158768111499</v>
      </c>
      <c r="J11" s="86">
        <f>I11-F11</f>
        <v>0.93215876811149911</v>
      </c>
      <c r="K11" s="87">
        <f>IF(ISERROR(J11/F11), "", J11/F11)</f>
        <v>3.3761635933049587E-2</v>
      </c>
    </row>
    <row r="12" spans="1:11" x14ac:dyDescent="0.3">
      <c r="A12" s="78"/>
      <c r="B12" s="79" t="s">
        <v>79</v>
      </c>
      <c r="C12" s="80"/>
      <c r="D12" s="88">
        <v>0</v>
      </c>
      <c r="E12" s="82">
        <v>750</v>
      </c>
      <c r="F12" s="83">
        <f>E12*D12</f>
        <v>0</v>
      </c>
      <c r="G12" s="89">
        <v>0</v>
      </c>
      <c r="H12" s="85">
        <v>750</v>
      </c>
      <c r="I12" s="83">
        <f>H12*G12</f>
        <v>0</v>
      </c>
      <c r="J12" s="86">
        <f>I12-F12</f>
        <v>0</v>
      </c>
      <c r="K12" s="87" t="str">
        <f>IF(ISERROR(J12/F12), "", J12/F12)</f>
        <v/>
      </c>
    </row>
    <row r="13" spans="1:11" x14ac:dyDescent="0.3">
      <c r="A13" s="78"/>
      <c r="B13" s="79" t="s">
        <v>185</v>
      </c>
      <c r="C13" s="80"/>
      <c r="D13" s="90">
        <v>-1.8</v>
      </c>
      <c r="E13" s="82">
        <v>1</v>
      </c>
      <c r="F13" s="83">
        <f>E13*D13</f>
        <v>-1.8</v>
      </c>
      <c r="G13" s="91">
        <f>D13</f>
        <v>-1.8</v>
      </c>
      <c r="H13" s="85">
        <v>1</v>
      </c>
      <c r="I13" s="83">
        <f>H13*G13</f>
        <v>-1.8</v>
      </c>
      <c r="J13" s="86">
        <f>I13-F13</f>
        <v>0</v>
      </c>
      <c r="K13" s="87">
        <f>IF(ISERROR(J13/F13), "", J13/F13)</f>
        <v>0</v>
      </c>
    </row>
    <row r="14" spans="1:11" x14ac:dyDescent="0.3">
      <c r="A14" s="78"/>
      <c r="B14" s="79" t="s">
        <v>186</v>
      </c>
      <c r="C14" s="80"/>
      <c r="D14" s="88">
        <v>5.0000000000000001E-4</v>
      </c>
      <c r="E14" s="82">
        <v>750</v>
      </c>
      <c r="F14" s="83">
        <f>E14*D14</f>
        <v>0.375</v>
      </c>
      <c r="G14" s="89">
        <f>D14</f>
        <v>5.0000000000000001E-4</v>
      </c>
      <c r="H14" s="85">
        <v>750</v>
      </c>
      <c r="I14" s="83">
        <f>H14*G14</f>
        <v>0.375</v>
      </c>
      <c r="J14" s="86">
        <f>I14-F14</f>
        <v>0</v>
      </c>
      <c r="K14" s="87">
        <f>IF(ISERROR(J14/F14), "", J14/F14)</f>
        <v>0</v>
      </c>
    </row>
    <row r="15" spans="1:11" x14ac:dyDescent="0.3">
      <c r="A15" s="78">
        <v>1</v>
      </c>
      <c r="B15" s="92" t="s">
        <v>187</v>
      </c>
      <c r="C15" s="93"/>
      <c r="D15" s="94"/>
      <c r="E15" s="95"/>
      <c r="F15" s="96">
        <f>SUM(F11:F14)</f>
        <v>26.184999999999999</v>
      </c>
      <c r="G15" s="97"/>
      <c r="H15" s="98"/>
      <c r="I15" s="96">
        <f>SUM(I11:I14)</f>
        <v>27.117158768111498</v>
      </c>
      <c r="J15" s="96">
        <f>I15-F15</f>
        <v>0.93215876811149911</v>
      </c>
      <c r="K15" s="99">
        <f>(I15-F15)/F15</f>
        <v>3.5598960019534054E-2</v>
      </c>
    </row>
    <row r="16" spans="1:11" x14ac:dyDescent="0.3">
      <c r="A16" s="78"/>
      <c r="B16" s="100" t="s">
        <v>188</v>
      </c>
      <c r="C16" s="80"/>
      <c r="D16" s="88">
        <v>8.1990000000000007E-2</v>
      </c>
      <c r="E16" s="101">
        <v>28.725000000000023</v>
      </c>
      <c r="F16" s="83">
        <f>E16*D16</f>
        <v>2.3551627500000021</v>
      </c>
      <c r="G16" s="89">
        <f>D16</f>
        <v>8.1990000000000007E-2</v>
      </c>
      <c r="H16" s="101">
        <v>28.725000000000023</v>
      </c>
      <c r="I16" s="83">
        <f>H16*G16</f>
        <v>2.3551627500000021</v>
      </c>
      <c r="J16" s="86">
        <f t="shared" ref="J16:J24" si="0">I16-F16</f>
        <v>0</v>
      </c>
      <c r="K16" s="87">
        <f t="shared" ref="K16:K24" si="1">IF(ISERROR(J16/F16), "", J16/F16)</f>
        <v>0</v>
      </c>
    </row>
    <row r="17" spans="1:11" x14ac:dyDescent="0.3">
      <c r="A17" s="78"/>
      <c r="B17" s="100" t="s">
        <v>189</v>
      </c>
      <c r="C17" s="80"/>
      <c r="D17" s="88">
        <f>G17</f>
        <v>-1.7368612430114307</v>
      </c>
      <c r="E17" s="102">
        <v>1</v>
      </c>
      <c r="F17" s="103">
        <f>E17*D17</f>
        <v>-1.7368612430114307</v>
      </c>
      <c r="G17" s="89">
        <f>'[4]1576 Rate Rider Calculation'!$H$25*-1</f>
        <v>-1.7368612430114307</v>
      </c>
      <c r="H17" s="102">
        <v>1</v>
      </c>
      <c r="I17" s="103">
        <f>H17*G17</f>
        <v>-1.7368612430114307</v>
      </c>
      <c r="J17" s="86">
        <f t="shared" si="0"/>
        <v>0</v>
      </c>
      <c r="K17" s="87">
        <f t="shared" si="1"/>
        <v>0</v>
      </c>
    </row>
    <row r="18" spans="1:11" x14ac:dyDescent="0.3">
      <c r="A18" s="78"/>
      <c r="B18" s="100" t="s">
        <v>190</v>
      </c>
      <c r="C18" s="80"/>
      <c r="D18" s="88">
        <v>-1.6999999999999999E-3</v>
      </c>
      <c r="E18" s="102">
        <v>750</v>
      </c>
      <c r="F18" s="83">
        <f t="shared" ref="F18:F24" si="2">E18*D18</f>
        <v>-1.2749999999999999</v>
      </c>
      <c r="G18" s="89">
        <f>D18</f>
        <v>-1.6999999999999999E-3</v>
      </c>
      <c r="H18" s="102">
        <v>750</v>
      </c>
      <c r="I18" s="83">
        <f t="shared" ref="I18:I24" si="3">H18*G18</f>
        <v>-1.2749999999999999</v>
      </c>
      <c r="J18" s="86">
        <f t="shared" si="0"/>
        <v>0</v>
      </c>
      <c r="K18" s="87">
        <f t="shared" si="1"/>
        <v>0</v>
      </c>
    </row>
    <row r="19" spans="1:11" x14ac:dyDescent="0.3">
      <c r="A19" s="78"/>
      <c r="B19" s="100" t="s">
        <v>191</v>
      </c>
      <c r="C19" s="80"/>
      <c r="D19" s="88">
        <v>8.9999999999999998E-4</v>
      </c>
      <c r="E19" s="102">
        <v>750</v>
      </c>
      <c r="F19" s="83">
        <f t="shared" si="2"/>
        <v>0.67499999999999993</v>
      </c>
      <c r="G19" s="89">
        <f>D19</f>
        <v>8.9999999999999998E-4</v>
      </c>
      <c r="H19" s="102">
        <v>750</v>
      </c>
      <c r="I19" s="83">
        <f t="shared" si="3"/>
        <v>0.67499999999999993</v>
      </c>
      <c r="J19" s="86">
        <f t="shared" si="0"/>
        <v>0</v>
      </c>
      <c r="K19" s="87">
        <f t="shared" si="1"/>
        <v>0</v>
      </c>
    </row>
    <row r="20" spans="1:11" x14ac:dyDescent="0.3">
      <c r="A20" s="78"/>
      <c r="B20" s="100" t="s">
        <v>192</v>
      </c>
      <c r="C20" s="80"/>
      <c r="D20" s="88">
        <v>0</v>
      </c>
      <c r="E20" s="102">
        <v>750</v>
      </c>
      <c r="F20" s="83">
        <f t="shared" si="2"/>
        <v>0</v>
      </c>
      <c r="G20" s="89">
        <v>0</v>
      </c>
      <c r="H20" s="102">
        <v>750</v>
      </c>
      <c r="I20" s="83">
        <f t="shared" si="3"/>
        <v>0</v>
      </c>
      <c r="J20" s="86">
        <f t="shared" si="0"/>
        <v>0</v>
      </c>
      <c r="K20" s="87" t="str">
        <f t="shared" si="1"/>
        <v/>
      </c>
    </row>
    <row r="21" spans="1:11" x14ac:dyDescent="0.3">
      <c r="A21" s="78"/>
      <c r="B21" s="79" t="s">
        <v>193</v>
      </c>
      <c r="C21" s="80"/>
      <c r="D21" s="88">
        <v>0</v>
      </c>
      <c r="E21" s="102">
        <v>750</v>
      </c>
      <c r="F21" s="83">
        <f t="shared" si="2"/>
        <v>0</v>
      </c>
      <c r="G21" s="89"/>
      <c r="H21" s="102">
        <v>750</v>
      </c>
      <c r="I21" s="83">
        <f t="shared" si="3"/>
        <v>0</v>
      </c>
      <c r="J21" s="86">
        <f t="shared" si="0"/>
        <v>0</v>
      </c>
      <c r="K21" s="87" t="str">
        <f t="shared" si="1"/>
        <v/>
      </c>
    </row>
    <row r="22" spans="1:11" x14ac:dyDescent="0.3">
      <c r="A22" s="78"/>
      <c r="B22" s="100" t="s">
        <v>194</v>
      </c>
      <c r="C22" s="80"/>
      <c r="D22" s="90">
        <v>0.56999999999999995</v>
      </c>
      <c r="E22" s="82">
        <v>1</v>
      </c>
      <c r="F22" s="83">
        <f t="shared" si="2"/>
        <v>0.56999999999999995</v>
      </c>
      <c r="G22" s="91">
        <f>D22</f>
        <v>0.56999999999999995</v>
      </c>
      <c r="H22" s="82">
        <v>1</v>
      </c>
      <c r="I22" s="83">
        <f t="shared" si="3"/>
        <v>0.56999999999999995</v>
      </c>
      <c r="J22" s="86">
        <f t="shared" si="0"/>
        <v>0</v>
      </c>
      <c r="K22" s="87">
        <f t="shared" si="1"/>
        <v>0</v>
      </c>
    </row>
    <row r="23" spans="1:11" x14ac:dyDescent="0.3">
      <c r="A23" s="78"/>
      <c r="B23" s="79" t="s">
        <v>195</v>
      </c>
      <c r="C23" s="80"/>
      <c r="D23" s="90">
        <v>0</v>
      </c>
      <c r="E23" s="82">
        <v>1</v>
      </c>
      <c r="F23" s="83">
        <f t="shared" si="2"/>
        <v>0</v>
      </c>
      <c r="G23" s="91">
        <v>0</v>
      </c>
      <c r="H23" s="82">
        <v>1</v>
      </c>
      <c r="I23" s="83">
        <f t="shared" si="3"/>
        <v>0</v>
      </c>
      <c r="J23" s="86">
        <f t="shared" si="0"/>
        <v>0</v>
      </c>
      <c r="K23" s="87" t="str">
        <f t="shared" si="1"/>
        <v/>
      </c>
    </row>
    <row r="24" spans="1:11" x14ac:dyDescent="0.3">
      <c r="A24" s="78"/>
      <c r="B24" s="79" t="s">
        <v>196</v>
      </c>
      <c r="C24" s="80"/>
      <c r="D24" s="88"/>
      <c r="E24" s="102">
        <v>750</v>
      </c>
      <c r="F24" s="83">
        <f t="shared" si="2"/>
        <v>0</v>
      </c>
      <c r="G24" s="89">
        <v>0</v>
      </c>
      <c r="H24" s="102">
        <v>750</v>
      </c>
      <c r="I24" s="83">
        <f t="shared" si="3"/>
        <v>0</v>
      </c>
      <c r="J24" s="86">
        <f t="shared" si="0"/>
        <v>0</v>
      </c>
      <c r="K24" s="87" t="str">
        <f t="shared" si="1"/>
        <v/>
      </c>
    </row>
    <row r="25" spans="1:11" ht="26.4" x14ac:dyDescent="0.3">
      <c r="A25" s="78">
        <v>1</v>
      </c>
      <c r="B25" s="104" t="s">
        <v>197</v>
      </c>
      <c r="C25" s="105"/>
      <c r="D25" s="106"/>
      <c r="E25" s="107"/>
      <c r="F25" s="108">
        <f>SUM(F15:F24)</f>
        <v>26.77330150698857</v>
      </c>
      <c r="G25" s="109"/>
      <c r="H25" s="110"/>
      <c r="I25" s="108">
        <f>SUM(I15:I24)</f>
        <v>27.705460275100069</v>
      </c>
      <c r="J25" s="96">
        <f>I25-F25</f>
        <v>0.93215876811149911</v>
      </c>
      <c r="K25" s="99">
        <f>(I25-F25)/F25</f>
        <v>3.4816728443751326E-2</v>
      </c>
    </row>
    <row r="26" spans="1:11" x14ac:dyDescent="0.3">
      <c r="A26" s="78"/>
      <c r="B26" s="111" t="s">
        <v>198</v>
      </c>
      <c r="C26" s="80"/>
      <c r="D26" s="88">
        <v>7.4000000000000003E-3</v>
      </c>
      <c r="E26" s="101">
        <v>778.72500000000002</v>
      </c>
      <c r="F26" s="83">
        <f>E26*D26</f>
        <v>5.7625650000000004</v>
      </c>
      <c r="G26" s="89">
        <f>D26</f>
        <v>7.4000000000000003E-3</v>
      </c>
      <c r="H26" s="101">
        <v>778.72500000000002</v>
      </c>
      <c r="I26" s="83">
        <f>H26*G26</f>
        <v>5.7625650000000004</v>
      </c>
      <c r="J26" s="86">
        <f>I26-F26</f>
        <v>0</v>
      </c>
      <c r="K26" s="87">
        <f>IF(ISERROR(J26/F26), "", J26/F26)</f>
        <v>0</v>
      </c>
    </row>
    <row r="27" spans="1:11" ht="26.4" x14ac:dyDescent="0.3">
      <c r="A27" s="78"/>
      <c r="B27" s="112" t="s">
        <v>199</v>
      </c>
      <c r="C27" s="80"/>
      <c r="D27" s="88">
        <v>6.7999999999999996E-3</v>
      </c>
      <c r="E27" s="101">
        <v>778.72500000000002</v>
      </c>
      <c r="F27" s="83">
        <f>E27*D27</f>
        <v>5.2953299999999999</v>
      </c>
      <c r="G27" s="89">
        <f>D27</f>
        <v>6.7999999999999996E-3</v>
      </c>
      <c r="H27" s="101">
        <v>778.72500000000002</v>
      </c>
      <c r="I27" s="83">
        <f>H27*G27</f>
        <v>5.2953299999999999</v>
      </c>
      <c r="J27" s="86">
        <f>I27-F27</f>
        <v>0</v>
      </c>
      <c r="K27" s="87">
        <f>IF(ISERROR(J27/F27), "", J27/F27)</f>
        <v>0</v>
      </c>
    </row>
    <row r="28" spans="1:11" ht="26.4" x14ac:dyDescent="0.3">
      <c r="A28" s="78">
        <v>1</v>
      </c>
      <c r="B28" s="104" t="s">
        <v>200</v>
      </c>
      <c r="C28" s="93"/>
      <c r="D28" s="106"/>
      <c r="E28" s="107"/>
      <c r="F28" s="108">
        <f>SUM(F25:F27)</f>
        <v>37.831196506988569</v>
      </c>
      <c r="G28" s="109"/>
      <c r="H28" s="98"/>
      <c r="I28" s="108">
        <f>SUM(I25:I27)</f>
        <v>38.763355275100068</v>
      </c>
      <c r="J28" s="96">
        <f>I28-F28</f>
        <v>0.93215876811149911</v>
      </c>
      <c r="K28" s="99">
        <f>(I28-F28)/F28</f>
        <v>2.4639949411573624E-2</v>
      </c>
    </row>
    <row r="29" spans="1:11" x14ac:dyDescent="0.3">
      <c r="A29" s="78"/>
      <c r="B29" s="113" t="s">
        <v>201</v>
      </c>
      <c r="C29" s="80"/>
      <c r="D29" s="88">
        <v>3.3999999999999998E-3</v>
      </c>
      <c r="E29" s="101">
        <v>778.72500000000002</v>
      </c>
      <c r="F29" s="83">
        <f t="shared" ref="F29:F34" si="4">E29*D29</f>
        <v>2.6476649999999999</v>
      </c>
      <c r="G29" s="89">
        <f t="shared" ref="G29:G34" si="5">D29</f>
        <v>3.3999999999999998E-3</v>
      </c>
      <c r="H29" s="101">
        <v>778.72500000000002</v>
      </c>
      <c r="I29" s="83">
        <f t="shared" ref="I29:I34" si="6">H29*G29</f>
        <v>2.6476649999999999</v>
      </c>
      <c r="J29" s="86">
        <f t="shared" ref="J29:J34" si="7">I29-F29</f>
        <v>0</v>
      </c>
      <c r="K29" s="87">
        <f t="shared" ref="K29:K34" si="8">IF(ISERROR(J29/F29), "", J29/F29)</f>
        <v>0</v>
      </c>
    </row>
    <row r="30" spans="1:11" x14ac:dyDescent="0.3">
      <c r="A30" s="78"/>
      <c r="B30" s="113" t="s">
        <v>202</v>
      </c>
      <c r="C30" s="80"/>
      <c r="D30" s="88">
        <v>5.0000000000000001E-4</v>
      </c>
      <c r="E30" s="101">
        <v>778.72500000000002</v>
      </c>
      <c r="F30" s="83">
        <f t="shared" si="4"/>
        <v>0.3893625</v>
      </c>
      <c r="G30" s="89">
        <f t="shared" si="5"/>
        <v>5.0000000000000001E-4</v>
      </c>
      <c r="H30" s="101">
        <v>778.72500000000002</v>
      </c>
      <c r="I30" s="83">
        <f t="shared" si="6"/>
        <v>0.3893625</v>
      </c>
      <c r="J30" s="86">
        <f t="shared" si="7"/>
        <v>0</v>
      </c>
      <c r="K30" s="87">
        <f t="shared" si="8"/>
        <v>0</v>
      </c>
    </row>
    <row r="31" spans="1:11" x14ac:dyDescent="0.3">
      <c r="A31" s="78"/>
      <c r="B31" s="114" t="s">
        <v>203</v>
      </c>
      <c r="C31" s="80"/>
      <c r="D31" s="90">
        <v>0.25</v>
      </c>
      <c r="E31" s="82">
        <v>1</v>
      </c>
      <c r="F31" s="83">
        <f t="shared" si="4"/>
        <v>0.25</v>
      </c>
      <c r="G31" s="91">
        <f t="shared" si="5"/>
        <v>0.25</v>
      </c>
      <c r="H31" s="85">
        <v>1</v>
      </c>
      <c r="I31" s="83">
        <f t="shared" si="6"/>
        <v>0.25</v>
      </c>
      <c r="J31" s="86">
        <f t="shared" si="7"/>
        <v>0</v>
      </c>
      <c r="K31" s="87">
        <f t="shared" si="8"/>
        <v>0</v>
      </c>
    </row>
    <row r="32" spans="1:11" x14ac:dyDescent="0.3">
      <c r="A32" s="78"/>
      <c r="B32" s="114" t="s">
        <v>204</v>
      </c>
      <c r="C32" s="80"/>
      <c r="D32" s="115">
        <v>6.5000000000000002E-2</v>
      </c>
      <c r="E32" s="116">
        <v>487.5</v>
      </c>
      <c r="F32" s="83">
        <f t="shared" si="4"/>
        <v>31.6875</v>
      </c>
      <c r="G32" s="89">
        <f t="shared" si="5"/>
        <v>6.5000000000000002E-2</v>
      </c>
      <c r="H32" s="116">
        <v>487.5</v>
      </c>
      <c r="I32" s="83">
        <f t="shared" si="6"/>
        <v>31.6875</v>
      </c>
      <c r="J32" s="86">
        <f t="shared" si="7"/>
        <v>0</v>
      </c>
      <c r="K32" s="87">
        <f t="shared" si="8"/>
        <v>0</v>
      </c>
    </row>
    <row r="33" spans="1:11" x14ac:dyDescent="0.3">
      <c r="A33" s="78"/>
      <c r="B33" s="114" t="s">
        <v>205</v>
      </c>
      <c r="C33" s="80"/>
      <c r="D33" s="115">
        <v>9.4E-2</v>
      </c>
      <c r="E33" s="116">
        <v>127.50000000000001</v>
      </c>
      <c r="F33" s="83">
        <f t="shared" si="4"/>
        <v>11.985000000000001</v>
      </c>
      <c r="G33" s="89">
        <f t="shared" si="5"/>
        <v>9.4E-2</v>
      </c>
      <c r="H33" s="116">
        <v>127.50000000000001</v>
      </c>
      <c r="I33" s="83">
        <f t="shared" si="6"/>
        <v>11.985000000000001</v>
      </c>
      <c r="J33" s="86">
        <f t="shared" si="7"/>
        <v>0</v>
      </c>
      <c r="K33" s="87">
        <f t="shared" si="8"/>
        <v>0</v>
      </c>
    </row>
    <row r="34" spans="1:11" ht="15" thickBot="1" x14ac:dyDescent="0.35">
      <c r="A34" s="78"/>
      <c r="B34" s="63" t="s">
        <v>206</v>
      </c>
      <c r="C34" s="80"/>
      <c r="D34" s="115">
        <v>0.13200000000000001</v>
      </c>
      <c r="E34" s="116">
        <v>135</v>
      </c>
      <c r="F34" s="83">
        <f t="shared" si="4"/>
        <v>17.82</v>
      </c>
      <c r="G34" s="89">
        <f t="shared" si="5"/>
        <v>0.13200000000000001</v>
      </c>
      <c r="H34" s="116">
        <v>135</v>
      </c>
      <c r="I34" s="83">
        <f t="shared" si="6"/>
        <v>17.82</v>
      </c>
      <c r="J34" s="86">
        <f t="shared" si="7"/>
        <v>0</v>
      </c>
      <c r="K34" s="87">
        <f t="shared" si="8"/>
        <v>0</v>
      </c>
    </row>
    <row r="35" spans="1:11" ht="15" thickBot="1" x14ac:dyDescent="0.35">
      <c r="A35" s="78"/>
      <c r="B35" s="117"/>
      <c r="C35" s="118"/>
      <c r="D35" s="119"/>
      <c r="E35" s="120"/>
      <c r="F35" s="121"/>
      <c r="G35" s="119"/>
      <c r="H35" s="122"/>
      <c r="I35" s="121"/>
      <c r="J35" s="123"/>
      <c r="K35" s="124"/>
    </row>
    <row r="36" spans="1:11" x14ac:dyDescent="0.3">
      <c r="A36" s="78"/>
      <c r="B36" s="125" t="s">
        <v>207</v>
      </c>
      <c r="C36" s="114"/>
      <c r="D36" s="126"/>
      <c r="E36" s="127"/>
      <c r="F36" s="128">
        <f>SUM(F29:F34,F28)</f>
        <v>102.61072400698856</v>
      </c>
      <c r="G36" s="129"/>
      <c r="H36" s="129"/>
      <c r="I36" s="128">
        <f>SUM(I29:I34,I28)</f>
        <v>103.54288277510007</v>
      </c>
      <c r="J36" s="130">
        <f>I36-F36</f>
        <v>0.93215876811150622</v>
      </c>
      <c r="K36" s="131">
        <f>IF((F36)=0,"",(J36/F36))</f>
        <v>9.0844185842409528E-3</v>
      </c>
    </row>
    <row r="37" spans="1:11" x14ac:dyDescent="0.3">
      <c r="A37" s="78"/>
      <c r="B37" s="132" t="s">
        <v>208</v>
      </c>
      <c r="C37" s="114"/>
      <c r="D37" s="126">
        <v>0.13</v>
      </c>
      <c r="E37" s="133"/>
      <c r="F37" s="134">
        <f>F36*D37</f>
        <v>13.339394120908514</v>
      </c>
      <c r="G37" s="135">
        <v>0.13</v>
      </c>
      <c r="H37" s="82"/>
      <c r="I37" s="134">
        <f>I36*G37</f>
        <v>13.460574760763009</v>
      </c>
      <c r="J37" s="86">
        <f>I37-F37</f>
        <v>0.12118063985449545</v>
      </c>
      <c r="K37" s="136">
        <f>IF((F37)=0,"",(J37/F37))</f>
        <v>9.0844185842409268E-3</v>
      </c>
    </row>
    <row r="38" spans="1:11" x14ac:dyDescent="0.3">
      <c r="A38" s="78"/>
      <c r="B38" s="132" t="s">
        <v>209</v>
      </c>
      <c r="C38" s="114"/>
      <c r="D38" s="126">
        <v>0.08</v>
      </c>
      <c r="E38" s="133"/>
      <c r="F38" s="134">
        <f>F36*-D38</f>
        <v>-8.208857920559085</v>
      </c>
      <c r="G38" s="126">
        <v>0.08</v>
      </c>
      <c r="H38" s="82"/>
      <c r="I38" s="134">
        <f>I36*-G38</f>
        <v>-8.2834306220080052</v>
      </c>
      <c r="J38" s="86">
        <f>I38-F38</f>
        <v>-7.4572701448920142E-2</v>
      </c>
      <c r="K38" s="136"/>
    </row>
    <row r="39" spans="1:11" ht="15" thickBot="1" x14ac:dyDescent="0.35">
      <c r="A39" s="78">
        <v>7</v>
      </c>
      <c r="B39" s="297" t="s">
        <v>210</v>
      </c>
      <c r="C39" s="297"/>
      <c r="D39" s="137"/>
      <c r="E39" s="138"/>
      <c r="F39" s="139">
        <f>F36+F37+F38</f>
        <v>107.74126020733799</v>
      </c>
      <c r="G39" s="140"/>
      <c r="H39" s="140"/>
      <c r="I39" s="141">
        <f>I36+I37+I38</f>
        <v>108.72002691385507</v>
      </c>
      <c r="J39" s="142">
        <f>I39-F39</f>
        <v>0.97876670651707798</v>
      </c>
      <c r="K39" s="143">
        <f>IF((F39)=0,"",(J39/F39))</f>
        <v>9.0844185842409199E-3</v>
      </c>
    </row>
    <row r="40" spans="1:11" ht="15" thickBot="1" x14ac:dyDescent="0.35">
      <c r="A40" s="78"/>
      <c r="B40" s="117"/>
      <c r="C40" s="118"/>
      <c r="D40" s="119"/>
      <c r="E40" s="120"/>
      <c r="F40" s="121"/>
      <c r="G40" s="119"/>
      <c r="H40" s="122"/>
      <c r="I40" s="121"/>
      <c r="J40" s="123"/>
      <c r="K40" s="124"/>
    </row>
    <row r="41" spans="1:11" x14ac:dyDescent="0.3">
      <c r="F41" s="144"/>
    </row>
    <row r="42" spans="1:11" x14ac:dyDescent="0.3">
      <c r="F42" s="144"/>
    </row>
    <row r="43" spans="1:11" x14ac:dyDescent="0.3">
      <c r="A43" s="63"/>
      <c r="B43" s="64" t="s">
        <v>168</v>
      </c>
      <c r="C43" s="298" t="s">
        <v>76</v>
      </c>
      <c r="D43" s="299"/>
      <c r="E43" s="299"/>
      <c r="F43" s="299"/>
      <c r="G43" s="299"/>
      <c r="H43" s="300"/>
      <c r="I43" s="63" t="s">
        <v>0</v>
      </c>
    </row>
    <row r="44" spans="1:11" x14ac:dyDescent="0.3">
      <c r="A44" s="63"/>
      <c r="B44" s="64" t="s">
        <v>169</v>
      </c>
      <c r="C44" s="301" t="s">
        <v>170</v>
      </c>
      <c r="D44" s="302"/>
      <c r="E44" s="303"/>
      <c r="F44" s="65"/>
      <c r="G44" s="65"/>
    </row>
    <row r="45" spans="1:11" ht="15.6" x14ac:dyDescent="0.3">
      <c r="A45" s="63"/>
      <c r="B45" s="64" t="s">
        <v>171</v>
      </c>
      <c r="C45" s="66">
        <v>2000</v>
      </c>
      <c r="D45" s="67" t="s">
        <v>1</v>
      </c>
      <c r="E45" s="63"/>
      <c r="H45" s="68"/>
      <c r="I45" s="68"/>
      <c r="J45" s="68"/>
      <c r="K45" s="68"/>
    </row>
    <row r="46" spans="1:11" ht="15.6" x14ac:dyDescent="0.3">
      <c r="A46" s="63"/>
      <c r="B46" s="64" t="s">
        <v>172</v>
      </c>
      <c r="C46" s="66">
        <v>0</v>
      </c>
      <c r="D46" s="69" t="s">
        <v>2</v>
      </c>
      <c r="E46" s="70"/>
      <c r="F46" s="71"/>
      <c r="G46" s="71"/>
      <c r="H46" s="71"/>
    </row>
    <row r="47" spans="1:11" x14ac:dyDescent="0.3">
      <c r="A47" s="63"/>
      <c r="B47" s="64" t="s">
        <v>173</v>
      </c>
      <c r="C47" s="72">
        <v>1.0383</v>
      </c>
    </row>
    <row r="48" spans="1:11" x14ac:dyDescent="0.3">
      <c r="A48" s="63"/>
      <c r="B48" s="64" t="s">
        <v>174</v>
      </c>
      <c r="C48" s="72">
        <v>1.0383</v>
      </c>
    </row>
    <row r="49" spans="1:11" x14ac:dyDescent="0.3">
      <c r="A49" s="63"/>
      <c r="B49" s="63"/>
    </row>
    <row r="50" spans="1:11" x14ac:dyDescent="0.3">
      <c r="A50" s="63"/>
      <c r="B50" s="63"/>
      <c r="C50" s="67"/>
      <c r="D50" s="304" t="str">
        <f>D8</f>
        <v>2019 Current OEB-Approved</v>
      </c>
      <c r="E50" s="305"/>
      <c r="F50" s="306"/>
      <c r="G50" s="304" t="str">
        <f>G8</f>
        <v>2019 Proposed</v>
      </c>
      <c r="H50" s="305"/>
      <c r="I50" s="306"/>
      <c r="J50" s="304" t="s">
        <v>177</v>
      </c>
      <c r="K50" s="306"/>
    </row>
    <row r="51" spans="1:11" x14ac:dyDescent="0.3">
      <c r="A51" s="63"/>
      <c r="B51" s="63"/>
      <c r="C51" s="311"/>
      <c r="D51" s="73" t="s">
        <v>178</v>
      </c>
      <c r="E51" s="73" t="s">
        <v>179</v>
      </c>
      <c r="F51" s="74" t="s">
        <v>180</v>
      </c>
      <c r="G51" s="73" t="s">
        <v>178</v>
      </c>
      <c r="H51" s="75" t="s">
        <v>179</v>
      </c>
      <c r="I51" s="74" t="s">
        <v>180</v>
      </c>
      <c r="J51" s="312" t="s">
        <v>181</v>
      </c>
      <c r="K51" s="312" t="s">
        <v>182</v>
      </c>
    </row>
    <row r="52" spans="1:11" x14ac:dyDescent="0.3">
      <c r="A52" s="63"/>
      <c r="B52" s="63"/>
      <c r="C52" s="311"/>
      <c r="D52" s="76" t="s">
        <v>183</v>
      </c>
      <c r="E52" s="76"/>
      <c r="F52" s="77" t="s">
        <v>183</v>
      </c>
      <c r="G52" s="76" t="s">
        <v>183</v>
      </c>
      <c r="H52" s="77"/>
      <c r="I52" s="77" t="s">
        <v>183</v>
      </c>
      <c r="J52" s="313"/>
      <c r="K52" s="313"/>
    </row>
    <row r="53" spans="1:11" x14ac:dyDescent="0.3">
      <c r="A53" s="78"/>
      <c r="B53" s="79" t="s">
        <v>184</v>
      </c>
      <c r="C53" s="80"/>
      <c r="D53" s="81">
        <v>31.01</v>
      </c>
      <c r="E53" s="82">
        <v>1</v>
      </c>
      <c r="F53" s="83">
        <f>E53*D53</f>
        <v>31.01</v>
      </c>
      <c r="G53" s="84">
        <f>D53+[3]Summary!E27</f>
        <v>31.01</v>
      </c>
      <c r="H53" s="85">
        <f>E53</f>
        <v>1</v>
      </c>
      <c r="I53" s="83">
        <f>H53*G53</f>
        <v>31.01</v>
      </c>
      <c r="J53" s="86">
        <f t="shared" ref="J53:J76" si="9">I53-F53</f>
        <v>0</v>
      </c>
      <c r="K53" s="87">
        <f>IF(ISERROR(J53/F53), "", J53/F53)</f>
        <v>0</v>
      </c>
    </row>
    <row r="54" spans="1:11" x14ac:dyDescent="0.3">
      <c r="A54" s="78"/>
      <c r="B54" s="79" t="s">
        <v>79</v>
      </c>
      <c r="C54" s="80"/>
      <c r="D54" s="145">
        <v>2.0299999999999999E-2</v>
      </c>
      <c r="E54" s="82">
        <f>IF($C$46&gt;0, $C$46, $C$45)</f>
        <v>2000</v>
      </c>
      <c r="F54" s="83">
        <f>E54*D54</f>
        <v>40.599999999999994</v>
      </c>
      <c r="G54" s="146">
        <f>D54</f>
        <v>2.0299999999999999E-2</v>
      </c>
      <c r="H54" s="82">
        <f>IF($C$46&gt;0, $C$46, $C$45)</f>
        <v>2000</v>
      </c>
      <c r="I54" s="83">
        <f>H54*G54</f>
        <v>40.599999999999994</v>
      </c>
      <c r="J54" s="86">
        <f t="shared" si="9"/>
        <v>0</v>
      </c>
      <c r="K54" s="87">
        <f>IF(ISERROR(J54/F54), "", J54/F54)</f>
        <v>0</v>
      </c>
    </row>
    <row r="55" spans="1:11" x14ac:dyDescent="0.3">
      <c r="A55" s="78"/>
      <c r="B55" s="79" t="s">
        <v>185</v>
      </c>
      <c r="C55" s="80"/>
      <c r="D55" s="90">
        <v>0</v>
      </c>
      <c r="E55" s="82">
        <v>1</v>
      </c>
      <c r="F55" s="83">
        <f>E55*D55</f>
        <v>0</v>
      </c>
      <c r="G55" s="146">
        <f>D55</f>
        <v>0</v>
      </c>
      <c r="H55" s="85">
        <v>1</v>
      </c>
      <c r="I55" s="83">
        <f>H55*G55</f>
        <v>0</v>
      </c>
      <c r="J55" s="86">
        <f t="shared" si="9"/>
        <v>0</v>
      </c>
      <c r="K55" s="87" t="str">
        <f>IF(ISERROR(J55/F55), "", J55/F55)</f>
        <v/>
      </c>
    </row>
    <row r="56" spans="1:11" x14ac:dyDescent="0.3">
      <c r="A56" s="78"/>
      <c r="B56" s="79" t="s">
        <v>186</v>
      </c>
      <c r="C56" s="80"/>
      <c r="D56" s="88">
        <v>-1.1999999999999999E-3</v>
      </c>
      <c r="E56" s="82">
        <f>IF($C$46&gt;0, $C$46, $C$45)</f>
        <v>2000</v>
      </c>
      <c r="F56" s="83">
        <f>E56*D56</f>
        <v>-2.4</v>
      </c>
      <c r="G56" s="146">
        <f>D56</f>
        <v>-1.1999999999999999E-3</v>
      </c>
      <c r="H56" s="82">
        <f>IF($C$46&gt;0, $C$46, $C$45)</f>
        <v>2000</v>
      </c>
      <c r="I56" s="83">
        <f>H56*G56</f>
        <v>-2.4</v>
      </c>
      <c r="J56" s="86">
        <f t="shared" si="9"/>
        <v>0</v>
      </c>
      <c r="K56" s="87">
        <f>IF(ISERROR(J56/F56), "", J56/F56)</f>
        <v>0</v>
      </c>
    </row>
    <row r="57" spans="1:11" x14ac:dyDescent="0.3">
      <c r="A57" s="78">
        <v>2</v>
      </c>
      <c r="B57" s="92" t="s">
        <v>187</v>
      </c>
      <c r="C57" s="93"/>
      <c r="D57" s="94"/>
      <c r="E57" s="95"/>
      <c r="F57" s="96">
        <f>SUM(F53:F56)</f>
        <v>69.209999999999994</v>
      </c>
      <c r="G57" s="97"/>
      <c r="H57" s="98"/>
      <c r="I57" s="96">
        <f>SUM(I53:I56)</f>
        <v>69.209999999999994</v>
      </c>
      <c r="J57" s="147">
        <f t="shared" si="9"/>
        <v>0</v>
      </c>
      <c r="K57" s="99">
        <f>(I57-F57)/F57</f>
        <v>0</v>
      </c>
    </row>
    <row r="58" spans="1:11" x14ac:dyDescent="0.3">
      <c r="A58" s="78"/>
      <c r="B58" s="100" t="s">
        <v>188</v>
      </c>
      <c r="C58" s="80"/>
      <c r="D58" s="88">
        <v>8.1990000000000007E-2</v>
      </c>
      <c r="E58" s="101">
        <v>76.599999999999909</v>
      </c>
      <c r="F58" s="148">
        <f>E58*D58</f>
        <v>6.2804339999999934</v>
      </c>
      <c r="G58" s="146">
        <f>D58</f>
        <v>8.1990000000000007E-2</v>
      </c>
      <c r="H58" s="101">
        <v>76.599999999999909</v>
      </c>
      <c r="I58" s="83">
        <f t="shared" ref="I58:I66" si="10">H58*G58</f>
        <v>6.2804339999999934</v>
      </c>
      <c r="J58" s="86">
        <f t="shared" si="9"/>
        <v>0</v>
      </c>
      <c r="K58" s="87">
        <f t="shared" ref="K58:K66" si="11">IF(ISERROR(J58/F58), "", J58/F58)</f>
        <v>0</v>
      </c>
    </row>
    <row r="59" spans="1:11" x14ac:dyDescent="0.3">
      <c r="A59" s="78"/>
      <c r="B59" s="100" t="s">
        <v>190</v>
      </c>
      <c r="C59" s="80"/>
      <c r="D59" s="88">
        <v>-1.8E-3</v>
      </c>
      <c r="E59" s="102">
        <v>2000</v>
      </c>
      <c r="F59" s="148">
        <f t="shared" ref="F59:F66" si="12">E59*D59</f>
        <v>-3.6</v>
      </c>
      <c r="G59" s="146">
        <f>D59</f>
        <v>-1.8E-3</v>
      </c>
      <c r="H59" s="102">
        <v>2000</v>
      </c>
      <c r="I59" s="83">
        <f t="shared" si="10"/>
        <v>-3.6</v>
      </c>
      <c r="J59" s="86">
        <f t="shared" si="9"/>
        <v>0</v>
      </c>
      <c r="K59" s="87">
        <f t="shared" si="11"/>
        <v>0</v>
      </c>
    </row>
    <row r="60" spans="1:11" x14ac:dyDescent="0.3">
      <c r="A60" s="78"/>
      <c r="B60" s="100" t="s">
        <v>189</v>
      </c>
      <c r="C60" s="80"/>
      <c r="D60" s="88">
        <f>G60</f>
        <v>-2.5747448982484521E-3</v>
      </c>
      <c r="E60" s="102">
        <f>C45</f>
        <v>2000</v>
      </c>
      <c r="F60" s="148">
        <f t="shared" si="12"/>
        <v>-5.149489796496904</v>
      </c>
      <c r="G60" s="89">
        <f>'[4]1576 Rate Rider Calculation'!$H$26*-1</f>
        <v>-2.5747448982484521E-3</v>
      </c>
      <c r="H60" s="102">
        <f>C45</f>
        <v>2000</v>
      </c>
      <c r="I60" s="83">
        <f t="shared" si="10"/>
        <v>-5.149489796496904</v>
      </c>
      <c r="J60" s="86">
        <f t="shared" si="9"/>
        <v>0</v>
      </c>
      <c r="K60" s="87">
        <f t="shared" si="11"/>
        <v>0</v>
      </c>
    </row>
    <row r="61" spans="1:11" x14ac:dyDescent="0.3">
      <c r="A61" s="78"/>
      <c r="B61" s="100" t="s">
        <v>191</v>
      </c>
      <c r="C61" s="80"/>
      <c r="D61" s="88">
        <v>8.9999999999999998E-4</v>
      </c>
      <c r="E61" s="102">
        <v>2000</v>
      </c>
      <c r="F61" s="148">
        <f t="shared" si="12"/>
        <v>1.8</v>
      </c>
      <c r="G61" s="146">
        <f>D61</f>
        <v>8.9999999999999998E-4</v>
      </c>
      <c r="H61" s="102">
        <v>2000</v>
      </c>
      <c r="I61" s="83">
        <f t="shared" si="10"/>
        <v>1.8</v>
      </c>
      <c r="J61" s="86">
        <f t="shared" si="9"/>
        <v>0</v>
      </c>
      <c r="K61" s="87">
        <f t="shared" si="11"/>
        <v>0</v>
      </c>
    </row>
    <row r="62" spans="1:11" x14ac:dyDescent="0.3">
      <c r="A62" s="78"/>
      <c r="B62" s="100" t="s">
        <v>192</v>
      </c>
      <c r="C62" s="80"/>
      <c r="D62" s="88">
        <v>0</v>
      </c>
      <c r="E62" s="102">
        <v>2000</v>
      </c>
      <c r="F62" s="148">
        <f t="shared" si="12"/>
        <v>0</v>
      </c>
      <c r="G62" s="146">
        <f>D62</f>
        <v>0</v>
      </c>
      <c r="H62" s="102">
        <v>2000</v>
      </c>
      <c r="I62" s="83">
        <f t="shared" si="10"/>
        <v>0</v>
      </c>
      <c r="J62" s="86">
        <f t="shared" si="9"/>
        <v>0</v>
      </c>
      <c r="K62" s="87" t="str">
        <f t="shared" si="11"/>
        <v/>
      </c>
    </row>
    <row r="63" spans="1:11" x14ac:dyDescent="0.3">
      <c r="A63" s="78"/>
      <c r="B63" s="79" t="s">
        <v>193</v>
      </c>
      <c r="C63" s="80"/>
      <c r="D63" s="88">
        <v>0</v>
      </c>
      <c r="E63" s="102">
        <v>2000</v>
      </c>
      <c r="F63" s="148">
        <f t="shared" si="12"/>
        <v>0</v>
      </c>
      <c r="G63" s="146">
        <f>D63</f>
        <v>0</v>
      </c>
      <c r="H63" s="102">
        <v>2000</v>
      </c>
      <c r="I63" s="83">
        <f t="shared" si="10"/>
        <v>0</v>
      </c>
      <c r="J63" s="86">
        <f t="shared" si="9"/>
        <v>0</v>
      </c>
      <c r="K63" s="87" t="str">
        <f t="shared" si="11"/>
        <v/>
      </c>
    </row>
    <row r="64" spans="1:11" x14ac:dyDescent="0.3">
      <c r="A64" s="78"/>
      <c r="B64" s="100" t="s">
        <v>194</v>
      </c>
      <c r="C64" s="80"/>
      <c r="D64" s="90">
        <v>0.56999999999999995</v>
      </c>
      <c r="E64" s="82">
        <v>1</v>
      </c>
      <c r="F64" s="148">
        <f t="shared" si="12"/>
        <v>0.56999999999999995</v>
      </c>
      <c r="G64" s="149">
        <f>D64</f>
        <v>0.56999999999999995</v>
      </c>
      <c r="H64" s="82">
        <v>1</v>
      </c>
      <c r="I64" s="83">
        <f t="shared" si="10"/>
        <v>0.56999999999999995</v>
      </c>
      <c r="J64" s="86">
        <f t="shared" si="9"/>
        <v>0</v>
      </c>
      <c r="K64" s="87">
        <f t="shared" si="11"/>
        <v>0</v>
      </c>
    </row>
    <row r="65" spans="1:11" x14ac:dyDescent="0.3">
      <c r="A65" s="78"/>
      <c r="B65" s="79" t="s">
        <v>195</v>
      </c>
      <c r="C65" s="80"/>
      <c r="D65" s="90">
        <v>0</v>
      </c>
      <c r="E65" s="82">
        <v>1</v>
      </c>
      <c r="F65" s="148">
        <f t="shared" si="12"/>
        <v>0</v>
      </c>
      <c r="G65" s="149">
        <f>D65</f>
        <v>0</v>
      </c>
      <c r="H65" s="82">
        <v>1</v>
      </c>
      <c r="I65" s="83">
        <f t="shared" si="10"/>
        <v>0</v>
      </c>
      <c r="J65" s="86">
        <f t="shared" si="9"/>
        <v>0</v>
      </c>
      <c r="K65" s="87" t="str">
        <f t="shared" si="11"/>
        <v/>
      </c>
    </row>
    <row r="66" spans="1:11" x14ac:dyDescent="0.3">
      <c r="A66" s="78"/>
      <c r="B66" s="79" t="s">
        <v>196</v>
      </c>
      <c r="C66" s="80"/>
      <c r="D66" s="88"/>
      <c r="E66" s="102">
        <v>2000</v>
      </c>
      <c r="F66" s="148">
        <f t="shared" si="12"/>
        <v>0</v>
      </c>
      <c r="G66" s="89"/>
      <c r="H66" s="102">
        <v>2000</v>
      </c>
      <c r="I66" s="83">
        <f t="shared" si="10"/>
        <v>0</v>
      </c>
      <c r="J66" s="86">
        <f t="shared" si="9"/>
        <v>0</v>
      </c>
      <c r="K66" s="87" t="str">
        <f t="shared" si="11"/>
        <v/>
      </c>
    </row>
    <row r="67" spans="1:11" ht="26.4" x14ac:dyDescent="0.3">
      <c r="A67" s="78">
        <v>2</v>
      </c>
      <c r="B67" s="104" t="s">
        <v>197</v>
      </c>
      <c r="C67" s="105"/>
      <c r="D67" s="106"/>
      <c r="E67" s="107"/>
      <c r="F67" s="108">
        <f>SUM(F57:F66)</f>
        <v>69.110944203503081</v>
      </c>
      <c r="G67" s="109"/>
      <c r="H67" s="110"/>
      <c r="I67" s="108">
        <f>SUM(I57:I66)</f>
        <v>69.110944203503081</v>
      </c>
      <c r="J67" s="147">
        <f t="shared" si="9"/>
        <v>0</v>
      </c>
      <c r="K67" s="99">
        <f>(I67-F67)/F67</f>
        <v>0</v>
      </c>
    </row>
    <row r="68" spans="1:11" x14ac:dyDescent="0.3">
      <c r="A68" s="78"/>
      <c r="B68" s="111" t="s">
        <v>198</v>
      </c>
      <c r="C68" s="80"/>
      <c r="D68" s="88">
        <v>6.7999999999999996E-3</v>
      </c>
      <c r="E68" s="101">
        <v>2076.6</v>
      </c>
      <c r="F68" s="148">
        <f>E68*D68</f>
        <v>14.120879999999998</v>
      </c>
      <c r="G68" s="146">
        <f>D68</f>
        <v>6.7999999999999996E-3</v>
      </c>
      <c r="H68" s="101">
        <v>2076.6</v>
      </c>
      <c r="I68" s="83">
        <f>H68*G68</f>
        <v>14.120879999999998</v>
      </c>
      <c r="J68" s="86">
        <f t="shared" si="9"/>
        <v>0</v>
      </c>
      <c r="K68" s="87">
        <f>IF(ISERROR(J68/F68), "", J68/F68)</f>
        <v>0</v>
      </c>
    </row>
    <row r="69" spans="1:11" ht="26.4" x14ac:dyDescent="0.3">
      <c r="A69" s="78"/>
      <c r="B69" s="112" t="s">
        <v>199</v>
      </c>
      <c r="C69" s="80"/>
      <c r="D69" s="88">
        <v>6.1000000000000004E-3</v>
      </c>
      <c r="E69" s="101">
        <v>2076.6</v>
      </c>
      <c r="F69" s="148">
        <f>E69*D69</f>
        <v>12.667260000000001</v>
      </c>
      <c r="G69" s="146">
        <f>D69</f>
        <v>6.1000000000000004E-3</v>
      </c>
      <c r="H69" s="101">
        <v>2076.6</v>
      </c>
      <c r="I69" s="83">
        <f>H69*G69</f>
        <v>12.667260000000001</v>
      </c>
      <c r="J69" s="86">
        <f t="shared" si="9"/>
        <v>0</v>
      </c>
      <c r="K69" s="87">
        <f>IF(ISERROR(J69/F69), "", J69/F69)</f>
        <v>0</v>
      </c>
    </row>
    <row r="70" spans="1:11" ht="26.4" x14ac:dyDescent="0.3">
      <c r="A70" s="78">
        <v>2</v>
      </c>
      <c r="B70" s="104" t="s">
        <v>200</v>
      </c>
      <c r="C70" s="93"/>
      <c r="D70" s="106"/>
      <c r="E70" s="107"/>
      <c r="F70" s="108">
        <f>SUM(F67:F69)</f>
        <v>95.899084203503079</v>
      </c>
      <c r="G70" s="109"/>
      <c r="H70" s="98"/>
      <c r="I70" s="108">
        <f>SUM(I67:I69)</f>
        <v>95.899084203503079</v>
      </c>
      <c r="J70" s="147">
        <f t="shared" si="9"/>
        <v>0</v>
      </c>
      <c r="K70" s="99">
        <f>(I70-F70)/F70</f>
        <v>0</v>
      </c>
    </row>
    <row r="71" spans="1:11" x14ac:dyDescent="0.3">
      <c r="A71" s="78"/>
      <c r="B71" s="113" t="s">
        <v>201</v>
      </c>
      <c r="C71" s="80"/>
      <c r="D71" s="88">
        <v>3.3999999999999998E-3</v>
      </c>
      <c r="E71" s="101">
        <v>2076.6</v>
      </c>
      <c r="F71" s="148">
        <f t="shared" ref="F71:F76" si="13">E71*D71</f>
        <v>7.0604399999999989</v>
      </c>
      <c r="G71" s="146">
        <f t="shared" ref="G71:G76" si="14">D71</f>
        <v>3.3999999999999998E-3</v>
      </c>
      <c r="H71" s="101">
        <v>2076.6</v>
      </c>
      <c r="I71" s="83">
        <f t="shared" ref="I71:I76" si="15">H71*G71</f>
        <v>7.0604399999999989</v>
      </c>
      <c r="J71" s="86">
        <f t="shared" si="9"/>
        <v>0</v>
      </c>
      <c r="K71" s="87">
        <f t="shared" ref="K71:K76" si="16">IF(ISERROR(J71/F71), "", J71/F71)</f>
        <v>0</v>
      </c>
    </row>
    <row r="72" spans="1:11" x14ac:dyDescent="0.3">
      <c r="A72" s="78"/>
      <c r="B72" s="113" t="s">
        <v>202</v>
      </c>
      <c r="C72" s="80"/>
      <c r="D72" s="88">
        <v>5.0000000000000001E-4</v>
      </c>
      <c r="E72" s="101">
        <v>2076.6</v>
      </c>
      <c r="F72" s="148">
        <f t="shared" si="13"/>
        <v>1.0383</v>
      </c>
      <c r="G72" s="146">
        <f t="shared" si="14"/>
        <v>5.0000000000000001E-4</v>
      </c>
      <c r="H72" s="101">
        <v>2076.6</v>
      </c>
      <c r="I72" s="83">
        <f t="shared" si="15"/>
        <v>1.0383</v>
      </c>
      <c r="J72" s="86">
        <f t="shared" si="9"/>
        <v>0</v>
      </c>
      <c r="K72" s="87">
        <f t="shared" si="16"/>
        <v>0</v>
      </c>
    </row>
    <row r="73" spans="1:11" x14ac:dyDescent="0.3">
      <c r="A73" s="78"/>
      <c r="B73" s="114" t="s">
        <v>203</v>
      </c>
      <c r="C73" s="80"/>
      <c r="D73" s="90">
        <v>0.25</v>
      </c>
      <c r="E73" s="82">
        <v>1</v>
      </c>
      <c r="F73" s="148">
        <f t="shared" si="13"/>
        <v>0.25</v>
      </c>
      <c r="G73" s="149">
        <f t="shared" si="14"/>
        <v>0.25</v>
      </c>
      <c r="H73" s="85">
        <v>1</v>
      </c>
      <c r="I73" s="83">
        <f t="shared" si="15"/>
        <v>0.25</v>
      </c>
      <c r="J73" s="86">
        <f t="shared" si="9"/>
        <v>0</v>
      </c>
      <c r="K73" s="87">
        <f t="shared" si="16"/>
        <v>0</v>
      </c>
    </row>
    <row r="74" spans="1:11" x14ac:dyDescent="0.3">
      <c r="A74" s="78"/>
      <c r="B74" s="114" t="s">
        <v>204</v>
      </c>
      <c r="C74" s="80"/>
      <c r="D74" s="115">
        <v>6.5000000000000002E-2</v>
      </c>
      <c r="E74" s="116">
        <v>1300</v>
      </c>
      <c r="F74" s="148">
        <f t="shared" si="13"/>
        <v>84.5</v>
      </c>
      <c r="G74" s="146">
        <f t="shared" si="14"/>
        <v>6.5000000000000002E-2</v>
      </c>
      <c r="H74" s="116">
        <v>1300</v>
      </c>
      <c r="I74" s="83">
        <f t="shared" si="15"/>
        <v>84.5</v>
      </c>
      <c r="J74" s="86">
        <f t="shared" si="9"/>
        <v>0</v>
      </c>
      <c r="K74" s="87">
        <f t="shared" si="16"/>
        <v>0</v>
      </c>
    </row>
    <row r="75" spans="1:11" x14ac:dyDescent="0.3">
      <c r="A75" s="78"/>
      <c r="B75" s="114" t="s">
        <v>205</v>
      </c>
      <c r="C75" s="80"/>
      <c r="D75" s="115">
        <v>9.4E-2</v>
      </c>
      <c r="E75" s="116">
        <v>340</v>
      </c>
      <c r="F75" s="148">
        <f t="shared" si="13"/>
        <v>31.96</v>
      </c>
      <c r="G75" s="146">
        <f t="shared" si="14"/>
        <v>9.4E-2</v>
      </c>
      <c r="H75" s="116">
        <v>340</v>
      </c>
      <c r="I75" s="83">
        <f t="shared" si="15"/>
        <v>31.96</v>
      </c>
      <c r="J75" s="86">
        <f t="shared" si="9"/>
        <v>0</v>
      </c>
      <c r="K75" s="87">
        <f t="shared" si="16"/>
        <v>0</v>
      </c>
    </row>
    <row r="76" spans="1:11" ht="15" thickBot="1" x14ac:dyDescent="0.35">
      <c r="A76" s="78"/>
      <c r="B76" s="63" t="s">
        <v>206</v>
      </c>
      <c r="C76" s="80"/>
      <c r="D76" s="115">
        <v>0.13200000000000001</v>
      </c>
      <c r="E76" s="116">
        <v>360</v>
      </c>
      <c r="F76" s="148">
        <f t="shared" si="13"/>
        <v>47.52</v>
      </c>
      <c r="G76" s="146">
        <f t="shared" si="14"/>
        <v>0.13200000000000001</v>
      </c>
      <c r="H76" s="116">
        <v>360</v>
      </c>
      <c r="I76" s="83">
        <f t="shared" si="15"/>
        <v>47.52</v>
      </c>
      <c r="J76" s="86">
        <f t="shared" si="9"/>
        <v>0</v>
      </c>
      <c r="K76" s="87">
        <f t="shared" si="16"/>
        <v>0</v>
      </c>
    </row>
    <row r="77" spans="1:11" ht="15" thickBot="1" x14ac:dyDescent="0.35">
      <c r="A77" s="78"/>
      <c r="B77" s="117"/>
      <c r="C77" s="118"/>
      <c r="D77" s="119"/>
      <c r="E77" s="120"/>
      <c r="F77" s="121"/>
      <c r="G77" s="119"/>
      <c r="H77" s="122"/>
      <c r="I77" s="121"/>
      <c r="J77" s="123"/>
      <c r="K77" s="124"/>
    </row>
    <row r="78" spans="1:11" x14ac:dyDescent="0.3">
      <c r="A78" s="78"/>
      <c r="B78" s="125" t="s">
        <v>207</v>
      </c>
      <c r="C78" s="114"/>
      <c r="D78" s="126"/>
      <c r="E78" s="127"/>
      <c r="F78" s="128">
        <f>SUM(F71:F76,F70)</f>
        <v>268.22782420350308</v>
      </c>
      <c r="G78" s="129"/>
      <c r="H78" s="129"/>
      <c r="I78" s="128">
        <f>SUM(I71:I76,I70)</f>
        <v>268.22782420350308</v>
      </c>
      <c r="J78" s="130">
        <f>I78-F78</f>
        <v>0</v>
      </c>
      <c r="K78" s="131">
        <f>IF((F78)=0,"",(J78/F78))</f>
        <v>0</v>
      </c>
    </row>
    <row r="79" spans="1:11" x14ac:dyDescent="0.3">
      <c r="A79" s="78"/>
      <c r="B79" s="132" t="s">
        <v>208</v>
      </c>
      <c r="C79" s="114"/>
      <c r="D79" s="126">
        <v>0.13</v>
      </c>
      <c r="E79" s="133"/>
      <c r="F79" s="134">
        <f>F78*D79</f>
        <v>34.869617146455404</v>
      </c>
      <c r="G79" s="135">
        <v>0.13</v>
      </c>
      <c r="H79" s="82"/>
      <c r="I79" s="134">
        <f>I78*G79</f>
        <v>34.869617146455404</v>
      </c>
      <c r="J79" s="86">
        <f>I79-F79</f>
        <v>0</v>
      </c>
      <c r="K79" s="136">
        <f>IF((F79)=0,"",(J79/F79))</f>
        <v>0</v>
      </c>
    </row>
    <row r="80" spans="1:11" x14ac:dyDescent="0.3">
      <c r="A80" s="78"/>
      <c r="B80" s="132" t="s">
        <v>209</v>
      </c>
      <c r="C80" s="114"/>
      <c r="D80" s="126">
        <v>0.08</v>
      </c>
      <c r="E80" s="133"/>
      <c r="F80" s="134">
        <f>F78*-D80</f>
        <v>-21.458225936280247</v>
      </c>
      <c r="G80" s="126">
        <v>0.08</v>
      </c>
      <c r="H80" s="82"/>
      <c r="I80" s="134">
        <f>I78*-G80</f>
        <v>-21.458225936280247</v>
      </c>
      <c r="J80" s="86">
        <f>I80-F80</f>
        <v>0</v>
      </c>
      <c r="K80" s="136"/>
    </row>
    <row r="81" spans="1:11" ht="15" thickBot="1" x14ac:dyDescent="0.35">
      <c r="A81" s="78">
        <v>7</v>
      </c>
      <c r="B81" s="314" t="s">
        <v>210</v>
      </c>
      <c r="C81" s="315"/>
      <c r="D81" s="137"/>
      <c r="E81" s="138"/>
      <c r="F81" s="139">
        <f>F78+F79+F80</f>
        <v>281.63921541367824</v>
      </c>
      <c r="G81" s="140"/>
      <c r="H81" s="140"/>
      <c r="I81" s="141">
        <f>I78+I79+I80</f>
        <v>281.63921541367824</v>
      </c>
      <c r="J81" s="142">
        <f>I81-F81</f>
        <v>0</v>
      </c>
      <c r="K81" s="143">
        <f>IF((F81)=0,"",(J81/F81))</f>
        <v>0</v>
      </c>
    </row>
    <row r="82" spans="1:11" ht="15" thickBot="1" x14ac:dyDescent="0.35">
      <c r="A82" s="78"/>
      <c r="B82" s="117"/>
      <c r="C82" s="118"/>
      <c r="D82" s="150"/>
      <c r="E82" s="151"/>
      <c r="F82" s="152"/>
      <c r="G82" s="150"/>
      <c r="H82" s="120"/>
      <c r="I82" s="152"/>
      <c r="J82" s="153"/>
      <c r="K82" s="124"/>
    </row>
    <row r="83" spans="1:11" x14ac:dyDescent="0.3">
      <c r="F83" s="144"/>
    </row>
    <row r="84" spans="1:11" x14ac:dyDescent="0.3">
      <c r="F84" s="144"/>
    </row>
    <row r="85" spans="1:11" x14ac:dyDescent="0.3">
      <c r="A85" s="63"/>
      <c r="B85" s="64" t="s">
        <v>168</v>
      </c>
      <c r="C85" s="298" t="s">
        <v>218</v>
      </c>
      <c r="D85" s="299"/>
      <c r="E85" s="299"/>
      <c r="F85" s="299"/>
      <c r="G85" s="299"/>
      <c r="H85" s="300"/>
      <c r="I85" s="63"/>
    </row>
    <row r="86" spans="1:11" x14ac:dyDescent="0.3">
      <c r="A86" s="63"/>
      <c r="B86" s="64" t="s">
        <v>169</v>
      </c>
      <c r="C86" s="301" t="s">
        <v>213</v>
      </c>
      <c r="D86" s="302"/>
      <c r="E86" s="303"/>
      <c r="F86" s="65"/>
      <c r="G86" s="65"/>
    </row>
    <row r="87" spans="1:11" ht="15.6" x14ac:dyDescent="0.3">
      <c r="A87" s="63"/>
      <c r="B87" s="64" t="s">
        <v>171</v>
      </c>
      <c r="C87" s="66">
        <v>237500</v>
      </c>
      <c r="D87" s="67" t="s">
        <v>1</v>
      </c>
      <c r="E87" s="63"/>
      <c r="H87" s="68"/>
      <c r="I87" s="68"/>
      <c r="J87" s="68"/>
      <c r="K87" s="68"/>
    </row>
    <row r="88" spans="1:11" ht="15.6" x14ac:dyDescent="0.3">
      <c r="A88" s="63"/>
      <c r="B88" s="64" t="s">
        <v>172</v>
      </c>
      <c r="C88" s="66">
        <v>500</v>
      </c>
      <c r="D88" s="69" t="s">
        <v>2</v>
      </c>
      <c r="E88" s="70"/>
      <c r="F88" s="71"/>
      <c r="G88" s="71"/>
      <c r="H88" s="71"/>
    </row>
    <row r="89" spans="1:11" x14ac:dyDescent="0.3">
      <c r="A89" s="63"/>
      <c r="B89" s="64" t="s">
        <v>173</v>
      </c>
      <c r="C89" s="72">
        <v>1.0383</v>
      </c>
    </row>
    <row r="90" spans="1:11" x14ac:dyDescent="0.3">
      <c r="A90" s="63"/>
      <c r="B90" s="64" t="s">
        <v>174</v>
      </c>
      <c r="C90" s="72">
        <v>1.0383</v>
      </c>
    </row>
    <row r="91" spans="1:11" x14ac:dyDescent="0.3">
      <c r="A91" s="63"/>
      <c r="B91" s="63"/>
    </row>
    <row r="92" spans="1:11" x14ac:dyDescent="0.3">
      <c r="A92" s="63"/>
      <c r="B92" s="63"/>
      <c r="C92" s="67"/>
      <c r="D92" s="304" t="s">
        <v>175</v>
      </c>
      <c r="E92" s="305"/>
      <c r="F92" s="306"/>
      <c r="G92" s="304" t="s">
        <v>176</v>
      </c>
      <c r="H92" s="305"/>
      <c r="I92" s="306"/>
      <c r="J92" s="304" t="s">
        <v>177</v>
      </c>
      <c r="K92" s="306"/>
    </row>
    <row r="93" spans="1:11" x14ac:dyDescent="0.3">
      <c r="A93" s="63"/>
      <c r="B93" s="63"/>
      <c r="C93" s="311"/>
      <c r="D93" s="73" t="s">
        <v>178</v>
      </c>
      <c r="E93" s="73" t="s">
        <v>179</v>
      </c>
      <c r="F93" s="74" t="s">
        <v>180</v>
      </c>
      <c r="G93" s="73" t="s">
        <v>178</v>
      </c>
      <c r="H93" s="75" t="s">
        <v>179</v>
      </c>
      <c r="I93" s="74" t="s">
        <v>180</v>
      </c>
      <c r="J93" s="312" t="s">
        <v>181</v>
      </c>
      <c r="K93" s="312" t="s">
        <v>182</v>
      </c>
    </row>
    <row r="94" spans="1:11" x14ac:dyDescent="0.3">
      <c r="A94" s="63"/>
      <c r="B94" s="63"/>
      <c r="C94" s="311"/>
      <c r="D94" s="76" t="s">
        <v>183</v>
      </c>
      <c r="E94" s="76"/>
      <c r="F94" s="77" t="s">
        <v>183</v>
      </c>
      <c r="G94" s="76" t="s">
        <v>183</v>
      </c>
      <c r="H94" s="77"/>
      <c r="I94" s="77" t="s">
        <v>183</v>
      </c>
      <c r="J94" s="313"/>
      <c r="K94" s="313"/>
    </row>
    <row r="95" spans="1:11" x14ac:dyDescent="0.3">
      <c r="A95" s="78"/>
      <c r="B95" s="79" t="s">
        <v>184</v>
      </c>
      <c r="C95" s="80"/>
      <c r="D95" s="90">
        <v>140.62</v>
      </c>
      <c r="E95" s="82">
        <v>1</v>
      </c>
      <c r="F95" s="83">
        <f>E95*D95</f>
        <v>140.62</v>
      </c>
      <c r="G95" s="84">
        <f>D95+[3]Summary!E28</f>
        <v>140.62</v>
      </c>
      <c r="H95" s="85">
        <f>E95</f>
        <v>1</v>
      </c>
      <c r="I95" s="83">
        <f>H95*G95</f>
        <v>140.62</v>
      </c>
      <c r="J95" s="86">
        <f t="shared" ref="J95:J116" si="17">I95-F95</f>
        <v>0</v>
      </c>
      <c r="K95" s="87">
        <f>IF(ISERROR(J95/F95), "", J95/F95)</f>
        <v>0</v>
      </c>
    </row>
    <row r="96" spans="1:11" x14ac:dyDescent="0.3">
      <c r="A96" s="78"/>
      <c r="B96" s="79" t="s">
        <v>79</v>
      </c>
      <c r="C96" s="80"/>
      <c r="D96" s="88">
        <v>4.8510999999999997</v>
      </c>
      <c r="E96" s="82">
        <v>500</v>
      </c>
      <c r="F96" s="83">
        <f t="shared" ref="F96:F108" si="18">E96*D96</f>
        <v>2425.5499999999997</v>
      </c>
      <c r="G96" s="89">
        <f>D96</f>
        <v>4.8510999999999997</v>
      </c>
      <c r="H96" s="85">
        <v>500</v>
      </c>
      <c r="I96" s="83">
        <f t="shared" ref="I96:I111" si="19">H96*G96</f>
        <v>2425.5499999999997</v>
      </c>
      <c r="J96" s="86">
        <f t="shared" si="17"/>
        <v>0</v>
      </c>
      <c r="K96" s="87">
        <f t="shared" ref="K96:K116" si="20">IF(ISERROR(J96/F96), "", J96/F96)</f>
        <v>0</v>
      </c>
    </row>
    <row r="97" spans="1:12" x14ac:dyDescent="0.3">
      <c r="A97" s="78"/>
      <c r="B97" s="79" t="s">
        <v>185</v>
      </c>
      <c r="C97" s="80"/>
      <c r="D97" s="90">
        <v>0</v>
      </c>
      <c r="E97" s="82">
        <v>1</v>
      </c>
      <c r="F97" s="83">
        <f t="shared" si="18"/>
        <v>0</v>
      </c>
      <c r="G97" s="89">
        <f>D97</f>
        <v>0</v>
      </c>
      <c r="H97" s="85">
        <v>1</v>
      </c>
      <c r="I97" s="83">
        <f t="shared" si="19"/>
        <v>0</v>
      </c>
      <c r="J97" s="86">
        <f t="shared" si="17"/>
        <v>0</v>
      </c>
      <c r="K97" s="87" t="str">
        <f t="shared" si="20"/>
        <v/>
      </c>
    </row>
    <row r="98" spans="1:12" x14ac:dyDescent="0.3">
      <c r="A98" s="78"/>
      <c r="B98" s="79" t="s">
        <v>186</v>
      </c>
      <c r="C98" s="80"/>
      <c r="D98" s="88">
        <v>-0.73819999999999997</v>
      </c>
      <c r="E98" s="82">
        <v>500</v>
      </c>
      <c r="F98" s="83">
        <f t="shared" si="18"/>
        <v>-369.09999999999997</v>
      </c>
      <c r="G98" s="89">
        <f>D98</f>
        <v>-0.73819999999999997</v>
      </c>
      <c r="H98" s="85">
        <v>500</v>
      </c>
      <c r="I98" s="83">
        <f t="shared" si="19"/>
        <v>-369.09999999999997</v>
      </c>
      <c r="J98" s="86">
        <f t="shared" si="17"/>
        <v>0</v>
      </c>
      <c r="K98" s="87">
        <f t="shared" si="20"/>
        <v>0</v>
      </c>
    </row>
    <row r="99" spans="1:12" x14ac:dyDescent="0.3">
      <c r="A99" s="78">
        <v>3</v>
      </c>
      <c r="B99" s="92" t="s">
        <v>187</v>
      </c>
      <c r="C99" s="93"/>
      <c r="D99" s="94"/>
      <c r="E99" s="95"/>
      <c r="F99" s="96">
        <f>SUM(F95:F98)</f>
        <v>2197.0699999999997</v>
      </c>
      <c r="G99" s="97"/>
      <c r="H99" s="98"/>
      <c r="I99" s="96">
        <f>SUM(I95:I98)</f>
        <v>2197.0699999999997</v>
      </c>
      <c r="J99" s="96">
        <f t="shared" si="17"/>
        <v>0</v>
      </c>
      <c r="K99" s="99">
        <f t="shared" si="20"/>
        <v>0</v>
      </c>
      <c r="L99" s="154"/>
    </row>
    <row r="100" spans="1:12" x14ac:dyDescent="0.3">
      <c r="A100" s="78"/>
      <c r="B100" s="100" t="s">
        <v>188</v>
      </c>
      <c r="C100" s="80"/>
      <c r="D100" s="88">
        <v>0</v>
      </c>
      <c r="E100" s="101">
        <v>0</v>
      </c>
      <c r="F100" s="148">
        <f t="shared" si="18"/>
        <v>0</v>
      </c>
      <c r="G100" s="89">
        <v>0</v>
      </c>
      <c r="H100" s="101">
        <v>0</v>
      </c>
      <c r="I100" s="148">
        <f t="shared" si="19"/>
        <v>0</v>
      </c>
      <c r="J100" s="155">
        <f t="shared" si="17"/>
        <v>0</v>
      </c>
      <c r="K100" s="87" t="str">
        <f t="shared" si="20"/>
        <v/>
      </c>
    </row>
    <row r="101" spans="1:12" x14ac:dyDescent="0.3">
      <c r="A101" s="78"/>
      <c r="B101" s="100" t="s">
        <v>190</v>
      </c>
      <c r="C101" s="80"/>
      <c r="D101" s="88">
        <v>-0.67449999999999999</v>
      </c>
      <c r="E101" s="102">
        <v>500</v>
      </c>
      <c r="F101" s="148">
        <f t="shared" si="18"/>
        <v>-337.25</v>
      </c>
      <c r="G101" s="89">
        <f>D101</f>
        <v>-0.67449999999999999</v>
      </c>
      <c r="H101" s="102">
        <v>500</v>
      </c>
      <c r="I101" s="148">
        <f t="shared" si="19"/>
        <v>-337.25</v>
      </c>
      <c r="J101" s="155">
        <f t="shared" si="17"/>
        <v>0</v>
      </c>
      <c r="K101" s="87">
        <f t="shared" si="20"/>
        <v>0</v>
      </c>
    </row>
    <row r="102" spans="1:12" x14ac:dyDescent="0.3">
      <c r="A102" s="78"/>
      <c r="B102" s="100" t="s">
        <v>189</v>
      </c>
      <c r="C102" s="80"/>
      <c r="D102" s="88">
        <f>G102</f>
        <v>-0.9547945158946155</v>
      </c>
      <c r="E102" s="102">
        <f>$C$88</f>
        <v>500</v>
      </c>
      <c r="F102" s="148">
        <f t="shared" si="18"/>
        <v>-477.39725794730776</v>
      </c>
      <c r="G102" s="156">
        <f>'[4]1576 Rate Rider Calculation'!$H$27*-1</f>
        <v>-0.9547945158946155</v>
      </c>
      <c r="H102" s="102">
        <f>$C$88</f>
        <v>500</v>
      </c>
      <c r="I102" s="148">
        <f t="shared" si="19"/>
        <v>-477.39725794730776</v>
      </c>
      <c r="J102" s="155">
        <f t="shared" si="17"/>
        <v>0</v>
      </c>
      <c r="K102" s="87">
        <f t="shared" si="20"/>
        <v>0</v>
      </c>
    </row>
    <row r="103" spans="1:12" x14ac:dyDescent="0.3">
      <c r="A103" s="78"/>
      <c r="B103" s="100" t="s">
        <v>191</v>
      </c>
      <c r="C103" s="80"/>
      <c r="D103" s="88">
        <v>0.2928</v>
      </c>
      <c r="E103" s="102">
        <v>500</v>
      </c>
      <c r="F103" s="148">
        <f t="shared" si="18"/>
        <v>146.4</v>
      </c>
      <c r="G103" s="89">
        <f>D103</f>
        <v>0.2928</v>
      </c>
      <c r="H103" s="102">
        <v>500</v>
      </c>
      <c r="I103" s="148">
        <f t="shared" si="19"/>
        <v>146.4</v>
      </c>
      <c r="J103" s="155">
        <f t="shared" si="17"/>
        <v>0</v>
      </c>
      <c r="K103" s="87">
        <f t="shared" si="20"/>
        <v>0</v>
      </c>
    </row>
    <row r="104" spans="1:12" x14ac:dyDescent="0.3">
      <c r="A104" s="78"/>
      <c r="B104" s="100" t="s">
        <v>192</v>
      </c>
      <c r="C104" s="80"/>
      <c r="D104" s="88">
        <v>5.1999999999999998E-3</v>
      </c>
      <c r="E104" s="102">
        <v>237500</v>
      </c>
      <c r="F104" s="148">
        <f t="shared" si="18"/>
        <v>1235</v>
      </c>
      <c r="G104" s="89">
        <f>D104</f>
        <v>5.1999999999999998E-3</v>
      </c>
      <c r="H104" s="102">
        <v>237500</v>
      </c>
      <c r="I104" s="148">
        <f t="shared" si="19"/>
        <v>1235</v>
      </c>
      <c r="J104" s="155">
        <f t="shared" si="17"/>
        <v>0</v>
      </c>
      <c r="K104" s="87">
        <f t="shared" si="20"/>
        <v>0</v>
      </c>
    </row>
    <row r="105" spans="1:12" x14ac:dyDescent="0.3">
      <c r="A105" s="78"/>
      <c r="B105" s="79" t="s">
        <v>193</v>
      </c>
      <c r="C105" s="80"/>
      <c r="D105" s="88">
        <v>0</v>
      </c>
      <c r="E105" s="102">
        <v>500</v>
      </c>
      <c r="F105" s="148">
        <f t="shared" si="18"/>
        <v>0</v>
      </c>
      <c r="G105" s="89">
        <f>D105</f>
        <v>0</v>
      </c>
      <c r="H105" s="102">
        <v>500</v>
      </c>
      <c r="I105" s="148">
        <f t="shared" si="19"/>
        <v>0</v>
      </c>
      <c r="J105" s="155">
        <f t="shared" si="17"/>
        <v>0</v>
      </c>
      <c r="K105" s="87" t="str">
        <f t="shared" si="20"/>
        <v/>
      </c>
    </row>
    <row r="106" spans="1:12" x14ac:dyDescent="0.3">
      <c r="A106" s="78"/>
      <c r="B106" s="100" t="s">
        <v>194</v>
      </c>
      <c r="C106" s="80"/>
      <c r="D106" s="90">
        <v>0</v>
      </c>
      <c r="E106" s="82">
        <v>1</v>
      </c>
      <c r="F106" s="148">
        <f t="shared" si="18"/>
        <v>0</v>
      </c>
      <c r="G106" s="89">
        <f>D106</f>
        <v>0</v>
      </c>
      <c r="H106" s="82">
        <v>1</v>
      </c>
      <c r="I106" s="148">
        <f t="shared" si="19"/>
        <v>0</v>
      </c>
      <c r="J106" s="155">
        <f t="shared" si="17"/>
        <v>0</v>
      </c>
      <c r="K106" s="87" t="str">
        <f t="shared" si="20"/>
        <v/>
      </c>
    </row>
    <row r="107" spans="1:12" x14ac:dyDescent="0.3">
      <c r="A107" s="78"/>
      <c r="B107" s="79" t="s">
        <v>195</v>
      </c>
      <c r="C107" s="80"/>
      <c r="D107" s="90">
        <v>0</v>
      </c>
      <c r="E107" s="82">
        <v>1</v>
      </c>
      <c r="F107" s="148">
        <f t="shared" si="18"/>
        <v>0</v>
      </c>
      <c r="G107" s="89">
        <f>D107</f>
        <v>0</v>
      </c>
      <c r="H107" s="82">
        <v>1</v>
      </c>
      <c r="I107" s="148">
        <f t="shared" si="19"/>
        <v>0</v>
      </c>
      <c r="J107" s="155">
        <f t="shared" si="17"/>
        <v>0</v>
      </c>
      <c r="K107" s="87" t="str">
        <f t="shared" si="20"/>
        <v/>
      </c>
    </row>
    <row r="108" spans="1:12" x14ac:dyDescent="0.3">
      <c r="A108" s="78"/>
      <c r="B108" s="79" t="s">
        <v>196</v>
      </c>
      <c r="C108" s="80"/>
      <c r="D108" s="88"/>
      <c r="E108" s="102">
        <v>500</v>
      </c>
      <c r="F108" s="148">
        <f t="shared" si="18"/>
        <v>0</v>
      </c>
      <c r="G108" s="89"/>
      <c r="H108" s="102">
        <v>500</v>
      </c>
      <c r="I108" s="148">
        <f t="shared" si="19"/>
        <v>0</v>
      </c>
      <c r="J108" s="155">
        <f t="shared" si="17"/>
        <v>0</v>
      </c>
      <c r="K108" s="87" t="str">
        <f t="shared" si="20"/>
        <v/>
      </c>
    </row>
    <row r="109" spans="1:12" ht="26.4" x14ac:dyDescent="0.3">
      <c r="A109" s="78">
        <v>3</v>
      </c>
      <c r="B109" s="104" t="s">
        <v>197</v>
      </c>
      <c r="C109" s="105"/>
      <c r="D109" s="106"/>
      <c r="E109" s="107"/>
      <c r="F109" s="96">
        <f>SUM(F99:F108)</f>
        <v>2763.8227420526919</v>
      </c>
      <c r="G109" s="97"/>
      <c r="H109" s="98"/>
      <c r="I109" s="96">
        <f>SUM(I99:I108)</f>
        <v>2763.8227420526919</v>
      </c>
      <c r="J109" s="96">
        <f t="shared" si="17"/>
        <v>0</v>
      </c>
      <c r="K109" s="99">
        <f t="shared" si="20"/>
        <v>0</v>
      </c>
    </row>
    <row r="110" spans="1:12" x14ac:dyDescent="0.3">
      <c r="A110" s="78"/>
      <c r="B110" s="111" t="s">
        <v>198</v>
      </c>
      <c r="C110" s="80"/>
      <c r="D110" s="88">
        <v>2.7219000000000002</v>
      </c>
      <c r="E110" s="101">
        <v>500</v>
      </c>
      <c r="F110" s="148">
        <f>E110*D110</f>
        <v>1360.95</v>
      </c>
      <c r="G110" s="89">
        <f>D110</f>
        <v>2.7219000000000002</v>
      </c>
      <c r="H110" s="101">
        <v>500</v>
      </c>
      <c r="I110" s="148">
        <f t="shared" si="19"/>
        <v>1360.95</v>
      </c>
      <c r="J110" s="155">
        <f t="shared" si="17"/>
        <v>0</v>
      </c>
      <c r="K110" s="87">
        <f t="shared" si="20"/>
        <v>0</v>
      </c>
    </row>
    <row r="111" spans="1:12" ht="26.4" x14ac:dyDescent="0.3">
      <c r="A111" s="78"/>
      <c r="B111" s="112" t="s">
        <v>199</v>
      </c>
      <c r="C111" s="80"/>
      <c r="D111" s="88">
        <v>2.3864999999999998</v>
      </c>
      <c r="E111" s="101">
        <v>500</v>
      </c>
      <c r="F111" s="148">
        <f>E111*D111</f>
        <v>1193.25</v>
      </c>
      <c r="G111" s="89">
        <f>D111</f>
        <v>2.3864999999999998</v>
      </c>
      <c r="H111" s="101">
        <v>500</v>
      </c>
      <c r="I111" s="148">
        <f t="shared" si="19"/>
        <v>1193.25</v>
      </c>
      <c r="J111" s="155">
        <f t="shared" si="17"/>
        <v>0</v>
      </c>
      <c r="K111" s="87">
        <f t="shared" si="20"/>
        <v>0</v>
      </c>
    </row>
    <row r="112" spans="1:12" ht="26.4" x14ac:dyDescent="0.3">
      <c r="A112" s="78">
        <v>3</v>
      </c>
      <c r="B112" s="104" t="s">
        <v>200</v>
      </c>
      <c r="C112" s="93"/>
      <c r="D112" s="106"/>
      <c r="E112" s="107"/>
      <c r="F112" s="157">
        <f>SUM(F109:F111)</f>
        <v>5318.0227420526917</v>
      </c>
      <c r="G112" s="109"/>
      <c r="H112" s="98"/>
      <c r="I112" s="108">
        <f>SUM(I109:I111)</f>
        <v>5318.0227420526917</v>
      </c>
      <c r="J112" s="147">
        <f>I112-F112</f>
        <v>0</v>
      </c>
      <c r="K112" s="99">
        <f t="shared" si="20"/>
        <v>0</v>
      </c>
    </row>
    <row r="113" spans="1:11" x14ac:dyDescent="0.3">
      <c r="A113" s="78"/>
      <c r="B113" s="113" t="s">
        <v>201</v>
      </c>
      <c r="C113" s="80"/>
      <c r="D113" s="88">
        <v>3.3999999999999998E-3</v>
      </c>
      <c r="E113" s="101">
        <v>246596.25</v>
      </c>
      <c r="F113" s="148">
        <f>E113*D113</f>
        <v>838.42724999999996</v>
      </c>
      <c r="G113" s="89">
        <f>D113</f>
        <v>3.3999999999999998E-3</v>
      </c>
      <c r="H113" s="101">
        <v>246596.25</v>
      </c>
      <c r="I113" s="148">
        <f>H113*G113</f>
        <v>838.42724999999996</v>
      </c>
      <c r="J113" s="155">
        <f t="shared" si="17"/>
        <v>0</v>
      </c>
      <c r="K113" s="87">
        <f t="shared" si="20"/>
        <v>0</v>
      </c>
    </row>
    <row r="114" spans="1:11" x14ac:dyDescent="0.3">
      <c r="A114" s="78"/>
      <c r="B114" s="113" t="s">
        <v>202</v>
      </c>
      <c r="C114" s="80"/>
      <c r="D114" s="88">
        <v>5.0000000000000001E-4</v>
      </c>
      <c r="E114" s="101">
        <v>246596.25</v>
      </c>
      <c r="F114" s="148">
        <f>E114*D114</f>
        <v>123.298125</v>
      </c>
      <c r="G114" s="89">
        <f>D114</f>
        <v>5.0000000000000001E-4</v>
      </c>
      <c r="H114" s="101">
        <v>246596.25</v>
      </c>
      <c r="I114" s="148">
        <f>H114*G114</f>
        <v>123.298125</v>
      </c>
      <c r="J114" s="155">
        <f t="shared" si="17"/>
        <v>0</v>
      </c>
      <c r="K114" s="87">
        <f t="shared" si="20"/>
        <v>0</v>
      </c>
    </row>
    <row r="115" spans="1:11" x14ac:dyDescent="0.3">
      <c r="A115" s="78"/>
      <c r="B115" s="114" t="s">
        <v>203</v>
      </c>
      <c r="C115" s="80"/>
      <c r="D115" s="90">
        <v>0.25</v>
      </c>
      <c r="E115" s="82">
        <v>1</v>
      </c>
      <c r="F115" s="148">
        <f>E115*D115</f>
        <v>0.25</v>
      </c>
      <c r="G115" s="91">
        <f>D115</f>
        <v>0.25</v>
      </c>
      <c r="H115" s="85">
        <v>1</v>
      </c>
      <c r="I115" s="148">
        <f>H115*G115</f>
        <v>0.25</v>
      </c>
      <c r="J115" s="155">
        <f t="shared" si="17"/>
        <v>0</v>
      </c>
      <c r="K115" s="87">
        <f t="shared" si="20"/>
        <v>0</v>
      </c>
    </row>
    <row r="116" spans="1:11" ht="15" thickBot="1" x14ac:dyDescent="0.35">
      <c r="A116" s="78"/>
      <c r="B116" s="114" t="s">
        <v>214</v>
      </c>
      <c r="C116" s="80"/>
      <c r="D116" s="158">
        <v>0.1101</v>
      </c>
      <c r="E116" s="116">
        <v>246596.25</v>
      </c>
      <c r="F116" s="148">
        <f>E116*D116</f>
        <v>27150.247125000002</v>
      </c>
      <c r="G116" s="89">
        <f>D116</f>
        <v>0.1101</v>
      </c>
      <c r="H116" s="116">
        <v>246596.25</v>
      </c>
      <c r="I116" s="148">
        <f>H116*G116</f>
        <v>27150.247125000002</v>
      </c>
      <c r="J116" s="155">
        <f t="shared" si="17"/>
        <v>0</v>
      </c>
      <c r="K116" s="87">
        <f t="shared" si="20"/>
        <v>0</v>
      </c>
    </row>
    <row r="117" spans="1:11" ht="15" thickBot="1" x14ac:dyDescent="0.35">
      <c r="A117" s="78"/>
      <c r="B117" s="117"/>
      <c r="C117" s="118"/>
      <c r="D117" s="150"/>
      <c r="E117" s="151"/>
      <c r="F117" s="152"/>
      <c r="G117" s="150"/>
      <c r="H117" s="120"/>
      <c r="I117" s="152"/>
      <c r="J117" s="153"/>
      <c r="K117" s="124"/>
    </row>
    <row r="118" spans="1:11" x14ac:dyDescent="0.3">
      <c r="A118" s="78"/>
      <c r="B118" s="125" t="s">
        <v>215</v>
      </c>
      <c r="C118" s="114"/>
      <c r="D118" s="126"/>
      <c r="E118" s="127"/>
      <c r="F118" s="128">
        <f>SUM(F112:F116)</f>
        <v>33430.245242052697</v>
      </c>
      <c r="G118" s="129"/>
      <c r="H118" s="129"/>
      <c r="I118" s="128">
        <f>SUM(I112:I116)</f>
        <v>33430.245242052697</v>
      </c>
      <c r="J118" s="130">
        <f>I118-F118</f>
        <v>0</v>
      </c>
      <c r="K118" s="131">
        <f>IF((F118)=0,"",(J118/F118))</f>
        <v>0</v>
      </c>
    </row>
    <row r="119" spans="1:11" x14ac:dyDescent="0.3">
      <c r="A119" s="78"/>
      <c r="B119" s="132" t="s">
        <v>208</v>
      </c>
      <c r="C119" s="114"/>
      <c r="D119" s="126">
        <v>0.13</v>
      </c>
      <c r="E119" s="127"/>
      <c r="F119" s="134">
        <f>F118*D119</f>
        <v>4345.9318814668504</v>
      </c>
      <c r="G119" s="135">
        <v>0.13</v>
      </c>
      <c r="H119" s="82"/>
      <c r="I119" s="134">
        <f>I118*G119</f>
        <v>4345.9318814668504</v>
      </c>
      <c r="J119" s="86">
        <f>I119-F119</f>
        <v>0</v>
      </c>
      <c r="K119" s="136">
        <f>IF((F119)=0,"",(J119/F119))</f>
        <v>0</v>
      </c>
    </row>
    <row r="120" spans="1:11" ht="15" thickBot="1" x14ac:dyDescent="0.35">
      <c r="A120" s="78">
        <v>3</v>
      </c>
      <c r="B120" s="314" t="s">
        <v>215</v>
      </c>
      <c r="C120" s="315"/>
      <c r="D120" s="159"/>
      <c r="E120" s="160"/>
      <c r="F120" s="161">
        <f>SUM(F118:F119)</f>
        <v>37776.177123519548</v>
      </c>
      <c r="G120" s="140"/>
      <c r="H120" s="140"/>
      <c r="I120" s="161">
        <f>SUM(I118:I119)</f>
        <v>37776.177123519548</v>
      </c>
      <c r="J120" s="161">
        <f>SUM(J118:J119)</f>
        <v>0</v>
      </c>
      <c r="K120" s="143">
        <f>IF((F120)=0,"",(J120/F120))</f>
        <v>0</v>
      </c>
    </row>
    <row r="121" spans="1:11" ht="15" thickBot="1" x14ac:dyDescent="0.35">
      <c r="A121" s="78"/>
      <c r="B121" s="117"/>
      <c r="C121" s="118"/>
      <c r="D121" s="150"/>
      <c r="E121" s="151"/>
      <c r="F121" s="152"/>
      <c r="G121" s="150"/>
      <c r="H121" s="120"/>
      <c r="I121" s="152"/>
      <c r="J121" s="153"/>
      <c r="K121" s="124"/>
    </row>
    <row r="122" spans="1:11" x14ac:dyDescent="0.3">
      <c r="F122" s="144"/>
    </row>
    <row r="123" spans="1:11" x14ac:dyDescent="0.3">
      <c r="F123" s="144"/>
    </row>
    <row r="124" spans="1:11" x14ac:dyDescent="0.3">
      <c r="B124" s="64" t="s">
        <v>168</v>
      </c>
      <c r="C124" s="298" t="s">
        <v>219</v>
      </c>
      <c r="D124" s="299"/>
      <c r="E124" s="299"/>
      <c r="F124" s="299"/>
      <c r="G124" s="299"/>
      <c r="H124" s="300"/>
      <c r="I124" s="63"/>
    </row>
    <row r="125" spans="1:11" x14ac:dyDescent="0.3">
      <c r="B125" s="64" t="s">
        <v>169</v>
      </c>
      <c r="C125" s="301" t="s">
        <v>213</v>
      </c>
      <c r="D125" s="302"/>
      <c r="E125" s="303"/>
      <c r="F125" s="65"/>
      <c r="G125" s="65"/>
    </row>
    <row r="126" spans="1:11" ht="15.6" x14ac:dyDescent="0.3">
      <c r="B126" s="64" t="s">
        <v>171</v>
      </c>
      <c r="C126" s="66">
        <v>237500</v>
      </c>
      <c r="D126" s="67" t="s">
        <v>1</v>
      </c>
      <c r="E126" s="63"/>
      <c r="H126" s="68"/>
      <c r="I126" s="68"/>
      <c r="J126" s="68"/>
      <c r="K126" s="68"/>
    </row>
    <row r="127" spans="1:11" ht="15.6" x14ac:dyDescent="0.3">
      <c r="B127" s="64" t="s">
        <v>172</v>
      </c>
      <c r="C127" s="66">
        <v>500</v>
      </c>
      <c r="D127" s="69" t="s">
        <v>2</v>
      </c>
      <c r="E127" s="70"/>
      <c r="F127" s="71"/>
      <c r="G127" s="71"/>
      <c r="H127" s="71"/>
    </row>
    <row r="128" spans="1:11" x14ac:dyDescent="0.3">
      <c r="B128" s="64" t="s">
        <v>173</v>
      </c>
      <c r="C128" s="72">
        <v>1.0383</v>
      </c>
    </row>
    <row r="129" spans="2:11" x14ac:dyDescent="0.3">
      <c r="B129" s="64" t="s">
        <v>174</v>
      </c>
      <c r="C129" s="72">
        <v>1.0383</v>
      </c>
    </row>
    <row r="130" spans="2:11" x14ac:dyDescent="0.3">
      <c r="B130" s="63"/>
    </row>
    <row r="131" spans="2:11" x14ac:dyDescent="0.3">
      <c r="B131" s="63"/>
      <c r="C131" s="67"/>
      <c r="D131" s="304" t="s">
        <v>175</v>
      </c>
      <c r="E131" s="305"/>
      <c r="F131" s="306"/>
      <c r="G131" s="304" t="s">
        <v>176</v>
      </c>
      <c r="H131" s="305"/>
      <c r="I131" s="306"/>
      <c r="J131" s="304" t="s">
        <v>177</v>
      </c>
      <c r="K131" s="306"/>
    </row>
    <row r="132" spans="2:11" x14ac:dyDescent="0.3">
      <c r="B132" s="63"/>
      <c r="C132" s="311"/>
      <c r="D132" s="73" t="s">
        <v>178</v>
      </c>
      <c r="E132" s="73" t="s">
        <v>179</v>
      </c>
      <c r="F132" s="74" t="s">
        <v>180</v>
      </c>
      <c r="G132" s="73" t="s">
        <v>178</v>
      </c>
      <c r="H132" s="75" t="s">
        <v>179</v>
      </c>
      <c r="I132" s="74" t="s">
        <v>180</v>
      </c>
      <c r="J132" s="312" t="s">
        <v>181</v>
      </c>
      <c r="K132" s="312" t="s">
        <v>182</v>
      </c>
    </row>
    <row r="133" spans="2:11" x14ac:dyDescent="0.3">
      <c r="B133" s="63"/>
      <c r="C133" s="311"/>
      <c r="D133" s="76" t="s">
        <v>183</v>
      </c>
      <c r="E133" s="76"/>
      <c r="F133" s="77" t="s">
        <v>183</v>
      </c>
      <c r="G133" s="76" t="s">
        <v>183</v>
      </c>
      <c r="H133" s="77"/>
      <c r="I133" s="77" t="s">
        <v>183</v>
      </c>
      <c r="J133" s="313"/>
      <c r="K133" s="313"/>
    </row>
    <row r="134" spans="2:11" x14ac:dyDescent="0.3">
      <c r="B134" s="79" t="s">
        <v>184</v>
      </c>
      <c r="C134" s="80"/>
      <c r="D134" s="90">
        <v>140.62</v>
      </c>
      <c r="E134" s="82">
        <v>1</v>
      </c>
      <c r="F134" s="83">
        <f>E134*D134</f>
        <v>140.62</v>
      </c>
      <c r="G134" s="84">
        <f>D134+[3]Summary!E67</f>
        <v>140.62</v>
      </c>
      <c r="H134" s="85">
        <f>E134</f>
        <v>1</v>
      </c>
      <c r="I134" s="83">
        <f>H134*G134</f>
        <v>140.62</v>
      </c>
      <c r="J134" s="86">
        <f t="shared" ref="J134:J150" si="21">I134-F134</f>
        <v>0</v>
      </c>
      <c r="K134" s="87">
        <f>IF(ISERROR(J134/F134), "", J134/F134)</f>
        <v>0</v>
      </c>
    </row>
    <row r="135" spans="2:11" x14ac:dyDescent="0.3">
      <c r="B135" s="79" t="s">
        <v>79</v>
      </c>
      <c r="C135" s="80"/>
      <c r="D135" s="88">
        <v>4.9866999999999999</v>
      </c>
      <c r="E135" s="82">
        <v>500</v>
      </c>
      <c r="F135" s="83">
        <f>E135*D135</f>
        <v>2493.35</v>
      </c>
      <c r="G135" s="89">
        <f>D135</f>
        <v>4.9866999999999999</v>
      </c>
      <c r="H135" s="85">
        <v>500</v>
      </c>
      <c r="I135" s="83">
        <f>H135*G135</f>
        <v>2493.35</v>
      </c>
      <c r="J135" s="86">
        <f t="shared" si="21"/>
        <v>0</v>
      </c>
      <c r="K135" s="87">
        <f t="shared" ref="K135:K155" si="22">IF(ISERROR(J135/F135), "", J135/F135)</f>
        <v>0</v>
      </c>
    </row>
    <row r="136" spans="2:11" x14ac:dyDescent="0.3">
      <c r="B136" s="79" t="s">
        <v>185</v>
      </c>
      <c r="C136" s="80"/>
      <c r="D136" s="90">
        <v>0</v>
      </c>
      <c r="E136" s="82">
        <v>1</v>
      </c>
      <c r="F136" s="83">
        <f>E136*D136</f>
        <v>0</v>
      </c>
      <c r="G136" s="89">
        <f>D136</f>
        <v>0</v>
      </c>
      <c r="H136" s="85">
        <v>1</v>
      </c>
      <c r="I136" s="83">
        <f>H136*G136</f>
        <v>0</v>
      </c>
      <c r="J136" s="86">
        <f t="shared" si="21"/>
        <v>0</v>
      </c>
      <c r="K136" s="87" t="str">
        <f t="shared" si="22"/>
        <v/>
      </c>
    </row>
    <row r="137" spans="2:11" x14ac:dyDescent="0.3">
      <c r="B137" s="79" t="s">
        <v>186</v>
      </c>
      <c r="C137" s="80"/>
      <c r="D137" s="88">
        <v>-0.73819999999999997</v>
      </c>
      <c r="E137" s="82">
        <v>500</v>
      </c>
      <c r="F137" s="83">
        <f>E137*D137</f>
        <v>-369.09999999999997</v>
      </c>
      <c r="G137" s="89">
        <f>D137</f>
        <v>-0.73819999999999997</v>
      </c>
      <c r="H137" s="85">
        <v>500</v>
      </c>
      <c r="I137" s="83">
        <f>H137*G137</f>
        <v>-369.09999999999997</v>
      </c>
      <c r="J137" s="86">
        <f t="shared" si="21"/>
        <v>0</v>
      </c>
      <c r="K137" s="87">
        <f t="shared" si="22"/>
        <v>0</v>
      </c>
    </row>
    <row r="138" spans="2:11" x14ac:dyDescent="0.3">
      <c r="B138" s="92" t="s">
        <v>187</v>
      </c>
      <c r="C138" s="93"/>
      <c r="D138" s="94"/>
      <c r="E138" s="95"/>
      <c r="F138" s="96">
        <f>SUM(F134:F137)</f>
        <v>2264.87</v>
      </c>
      <c r="G138" s="97"/>
      <c r="H138" s="98"/>
      <c r="I138" s="96">
        <f>SUM(I134:I137)</f>
        <v>2264.87</v>
      </c>
      <c r="J138" s="96">
        <f t="shared" si="21"/>
        <v>0</v>
      </c>
      <c r="K138" s="99">
        <f t="shared" si="22"/>
        <v>0</v>
      </c>
    </row>
    <row r="139" spans="2:11" x14ac:dyDescent="0.3">
      <c r="B139" s="100" t="s">
        <v>188</v>
      </c>
      <c r="C139" s="80"/>
      <c r="D139" s="88">
        <v>0</v>
      </c>
      <c r="E139" s="101">
        <v>0</v>
      </c>
      <c r="F139" s="148">
        <f t="shared" ref="F139:F147" si="23">E139*D139</f>
        <v>0</v>
      </c>
      <c r="G139" s="89">
        <v>0</v>
      </c>
      <c r="H139" s="101">
        <v>0</v>
      </c>
      <c r="I139" s="148">
        <f t="shared" ref="I139:I147" si="24">H139*G139</f>
        <v>0</v>
      </c>
      <c r="J139" s="155">
        <f t="shared" si="21"/>
        <v>0</v>
      </c>
      <c r="K139" s="87" t="str">
        <f t="shared" si="22"/>
        <v/>
      </c>
    </row>
    <row r="140" spans="2:11" x14ac:dyDescent="0.3">
      <c r="B140" s="100" t="s">
        <v>190</v>
      </c>
      <c r="C140" s="80"/>
      <c r="D140" s="88">
        <v>-0.67449999999999999</v>
      </c>
      <c r="E140" s="102">
        <v>500</v>
      </c>
      <c r="F140" s="148">
        <f t="shared" si="23"/>
        <v>-337.25</v>
      </c>
      <c r="G140" s="89">
        <f>D140</f>
        <v>-0.67449999999999999</v>
      </c>
      <c r="H140" s="102">
        <v>500</v>
      </c>
      <c r="I140" s="148">
        <f t="shared" si="24"/>
        <v>-337.25</v>
      </c>
      <c r="J140" s="155">
        <f t="shared" si="21"/>
        <v>0</v>
      </c>
      <c r="K140" s="87">
        <f t="shared" si="22"/>
        <v>0</v>
      </c>
    </row>
    <row r="141" spans="2:11" x14ac:dyDescent="0.3">
      <c r="B141" s="100" t="s">
        <v>189</v>
      </c>
      <c r="C141" s="80"/>
      <c r="D141" s="88">
        <f>G141</f>
        <v>-0.9547945158946155</v>
      </c>
      <c r="E141" s="102">
        <f>$C$88</f>
        <v>500</v>
      </c>
      <c r="F141" s="148">
        <f t="shared" si="23"/>
        <v>-477.39725794730776</v>
      </c>
      <c r="G141" s="156">
        <f>'[4]1576 Rate Rider Calculation'!$H$27*-1</f>
        <v>-0.9547945158946155</v>
      </c>
      <c r="H141" s="102">
        <f>$C$88</f>
        <v>500</v>
      </c>
      <c r="I141" s="148">
        <f t="shared" si="24"/>
        <v>-477.39725794730776</v>
      </c>
      <c r="J141" s="155">
        <f t="shared" si="21"/>
        <v>0</v>
      </c>
      <c r="K141" s="87">
        <f t="shared" si="22"/>
        <v>0</v>
      </c>
    </row>
    <row r="142" spans="2:11" x14ac:dyDescent="0.3">
      <c r="B142" s="100" t="s">
        <v>191</v>
      </c>
      <c r="C142" s="80"/>
      <c r="D142" s="88">
        <v>0.2928</v>
      </c>
      <c r="E142" s="102">
        <v>500</v>
      </c>
      <c r="F142" s="148">
        <f t="shared" si="23"/>
        <v>146.4</v>
      </c>
      <c r="G142" s="89">
        <f>D142</f>
        <v>0.2928</v>
      </c>
      <c r="H142" s="102">
        <v>500</v>
      </c>
      <c r="I142" s="148">
        <f t="shared" si="24"/>
        <v>146.4</v>
      </c>
      <c r="J142" s="155">
        <f t="shared" si="21"/>
        <v>0</v>
      </c>
      <c r="K142" s="87">
        <f t="shared" si="22"/>
        <v>0</v>
      </c>
    </row>
    <row r="143" spans="2:11" x14ac:dyDescent="0.3">
      <c r="B143" s="100" t="s">
        <v>192</v>
      </c>
      <c r="C143" s="80"/>
      <c r="D143" s="88">
        <v>5.1999999999999998E-3</v>
      </c>
      <c r="E143" s="102">
        <v>237500</v>
      </c>
      <c r="F143" s="148">
        <f t="shared" si="23"/>
        <v>1235</v>
      </c>
      <c r="G143" s="89">
        <f>D143</f>
        <v>5.1999999999999998E-3</v>
      </c>
      <c r="H143" s="102">
        <v>237500</v>
      </c>
      <c r="I143" s="148">
        <f t="shared" si="24"/>
        <v>1235</v>
      </c>
      <c r="J143" s="155">
        <f t="shared" si="21"/>
        <v>0</v>
      </c>
      <c r="K143" s="87">
        <f t="shared" si="22"/>
        <v>0</v>
      </c>
    </row>
    <row r="144" spans="2:11" x14ac:dyDescent="0.3">
      <c r="B144" s="79" t="s">
        <v>193</v>
      </c>
      <c r="C144" s="80"/>
      <c r="D144" s="88">
        <v>0</v>
      </c>
      <c r="E144" s="102">
        <v>500</v>
      </c>
      <c r="F144" s="148">
        <f t="shared" si="23"/>
        <v>0</v>
      </c>
      <c r="G144" s="89">
        <f>D144</f>
        <v>0</v>
      </c>
      <c r="H144" s="102">
        <v>500</v>
      </c>
      <c r="I144" s="148">
        <f t="shared" si="24"/>
        <v>0</v>
      </c>
      <c r="J144" s="155">
        <f t="shared" si="21"/>
        <v>0</v>
      </c>
      <c r="K144" s="87" t="str">
        <f t="shared" si="22"/>
        <v/>
      </c>
    </row>
    <row r="145" spans="2:11" x14ac:dyDescent="0.3">
      <c r="B145" s="100" t="s">
        <v>194</v>
      </c>
      <c r="C145" s="80"/>
      <c r="D145" s="90">
        <v>0</v>
      </c>
      <c r="E145" s="82">
        <v>1</v>
      </c>
      <c r="F145" s="148">
        <f t="shared" si="23"/>
        <v>0</v>
      </c>
      <c r="G145" s="89">
        <f>D145</f>
        <v>0</v>
      </c>
      <c r="H145" s="82">
        <v>1</v>
      </c>
      <c r="I145" s="148">
        <f t="shared" si="24"/>
        <v>0</v>
      </c>
      <c r="J145" s="155">
        <f t="shared" si="21"/>
        <v>0</v>
      </c>
      <c r="K145" s="87" t="str">
        <f t="shared" si="22"/>
        <v/>
      </c>
    </row>
    <row r="146" spans="2:11" x14ac:dyDescent="0.3">
      <c r="B146" s="79" t="s">
        <v>195</v>
      </c>
      <c r="C146" s="80"/>
      <c r="D146" s="90">
        <v>0</v>
      </c>
      <c r="E146" s="82">
        <v>1</v>
      </c>
      <c r="F146" s="148">
        <f t="shared" si="23"/>
        <v>0</v>
      </c>
      <c r="G146" s="89">
        <f>D146</f>
        <v>0</v>
      </c>
      <c r="H146" s="82">
        <v>1</v>
      </c>
      <c r="I146" s="148">
        <f t="shared" si="24"/>
        <v>0</v>
      </c>
      <c r="J146" s="155">
        <f t="shared" si="21"/>
        <v>0</v>
      </c>
      <c r="K146" s="87" t="str">
        <f t="shared" si="22"/>
        <v/>
      </c>
    </row>
    <row r="147" spans="2:11" x14ac:dyDescent="0.3">
      <c r="B147" s="79" t="s">
        <v>196</v>
      </c>
      <c r="C147" s="80"/>
      <c r="D147" s="88"/>
      <c r="E147" s="102">
        <v>500</v>
      </c>
      <c r="F147" s="148">
        <f t="shared" si="23"/>
        <v>0</v>
      </c>
      <c r="G147" s="89"/>
      <c r="H147" s="102">
        <v>500</v>
      </c>
      <c r="I147" s="148">
        <f t="shared" si="24"/>
        <v>0</v>
      </c>
      <c r="J147" s="155">
        <f t="shared" si="21"/>
        <v>0</v>
      </c>
      <c r="K147" s="87" t="str">
        <f t="shared" si="22"/>
        <v/>
      </c>
    </row>
    <row r="148" spans="2:11" ht="26.4" x14ac:dyDescent="0.3">
      <c r="B148" s="104" t="s">
        <v>197</v>
      </c>
      <c r="C148" s="105"/>
      <c r="D148" s="106"/>
      <c r="E148" s="107"/>
      <c r="F148" s="96">
        <f>SUM(F138:F147)</f>
        <v>2831.622742052692</v>
      </c>
      <c r="G148" s="97"/>
      <c r="H148" s="98"/>
      <c r="I148" s="96">
        <f>SUM(I138:I147)</f>
        <v>2831.622742052692</v>
      </c>
      <c r="J148" s="96">
        <f t="shared" si="21"/>
        <v>0</v>
      </c>
      <c r="K148" s="99">
        <f t="shared" si="22"/>
        <v>0</v>
      </c>
    </row>
    <row r="149" spans="2:11" x14ac:dyDescent="0.3">
      <c r="B149" s="111" t="s">
        <v>198</v>
      </c>
      <c r="C149" s="80"/>
      <c r="D149" s="88">
        <v>2.7219000000000002</v>
      </c>
      <c r="E149" s="101">
        <v>500</v>
      </c>
      <c r="F149" s="148">
        <f>E149*D149</f>
        <v>1360.95</v>
      </c>
      <c r="G149" s="89">
        <f>D149</f>
        <v>2.7219000000000002</v>
      </c>
      <c r="H149" s="101">
        <v>500</v>
      </c>
      <c r="I149" s="148">
        <f>H149*G149</f>
        <v>1360.95</v>
      </c>
      <c r="J149" s="155">
        <f t="shared" si="21"/>
        <v>0</v>
      </c>
      <c r="K149" s="87">
        <f t="shared" si="22"/>
        <v>0</v>
      </c>
    </row>
    <row r="150" spans="2:11" ht="26.4" x14ac:dyDescent="0.3">
      <c r="B150" s="112" t="s">
        <v>199</v>
      </c>
      <c r="C150" s="80"/>
      <c r="D150" s="88">
        <v>2.3864999999999998</v>
      </c>
      <c r="E150" s="101">
        <v>500</v>
      </c>
      <c r="F150" s="148">
        <f>E150*D150</f>
        <v>1193.25</v>
      </c>
      <c r="G150" s="89">
        <f>D150</f>
        <v>2.3864999999999998</v>
      </c>
      <c r="H150" s="101">
        <v>500</v>
      </c>
      <c r="I150" s="148">
        <f>H150*G150</f>
        <v>1193.25</v>
      </c>
      <c r="J150" s="155">
        <f t="shared" si="21"/>
        <v>0</v>
      </c>
      <c r="K150" s="87">
        <f t="shared" si="22"/>
        <v>0</v>
      </c>
    </row>
    <row r="151" spans="2:11" ht="26.4" x14ac:dyDescent="0.3">
      <c r="B151" s="104" t="s">
        <v>200</v>
      </c>
      <c r="C151" s="93"/>
      <c r="D151" s="106"/>
      <c r="E151" s="107"/>
      <c r="F151" s="157">
        <f>SUM(F148:F150)</f>
        <v>5385.8227420526919</v>
      </c>
      <c r="G151" s="109"/>
      <c r="H151" s="98"/>
      <c r="I151" s="108">
        <f>SUM(I148:I150)</f>
        <v>5385.8227420526919</v>
      </c>
      <c r="J151" s="147">
        <f>I151-F151</f>
        <v>0</v>
      </c>
      <c r="K151" s="99">
        <f t="shared" si="22"/>
        <v>0</v>
      </c>
    </row>
    <row r="152" spans="2:11" x14ac:dyDescent="0.3">
      <c r="B152" s="113" t="s">
        <v>201</v>
      </c>
      <c r="C152" s="80"/>
      <c r="D152" s="88">
        <v>3.3999999999999998E-3</v>
      </c>
      <c r="E152" s="101">
        <v>246596.25</v>
      </c>
      <c r="F152" s="148">
        <f>E152*D152</f>
        <v>838.42724999999996</v>
      </c>
      <c r="G152" s="89">
        <f>D152</f>
        <v>3.3999999999999998E-3</v>
      </c>
      <c r="H152" s="101">
        <v>246596.25</v>
      </c>
      <c r="I152" s="148">
        <f>H152*G152</f>
        <v>838.42724999999996</v>
      </c>
      <c r="J152" s="155">
        <f>I152-F152</f>
        <v>0</v>
      </c>
      <c r="K152" s="87">
        <f t="shared" si="22"/>
        <v>0</v>
      </c>
    </row>
    <row r="153" spans="2:11" x14ac:dyDescent="0.3">
      <c r="B153" s="113" t="s">
        <v>202</v>
      </c>
      <c r="C153" s="80"/>
      <c r="D153" s="88">
        <v>5.0000000000000001E-4</v>
      </c>
      <c r="E153" s="101">
        <v>246596.25</v>
      </c>
      <c r="F153" s="148">
        <f>E153*D153</f>
        <v>123.298125</v>
      </c>
      <c r="G153" s="89">
        <f>D153</f>
        <v>5.0000000000000001E-4</v>
      </c>
      <c r="H153" s="101">
        <v>246596.25</v>
      </c>
      <c r="I153" s="148">
        <f>H153*G153</f>
        <v>123.298125</v>
      </c>
      <c r="J153" s="155">
        <f>I153-F153</f>
        <v>0</v>
      </c>
      <c r="K153" s="87">
        <f t="shared" si="22"/>
        <v>0</v>
      </c>
    </row>
    <row r="154" spans="2:11" x14ac:dyDescent="0.3">
      <c r="B154" s="114" t="s">
        <v>203</v>
      </c>
      <c r="C154" s="80"/>
      <c r="D154" s="90">
        <v>0.25</v>
      </c>
      <c r="E154" s="82">
        <v>1</v>
      </c>
      <c r="F154" s="148">
        <f>E154*D154</f>
        <v>0.25</v>
      </c>
      <c r="G154" s="91">
        <f>D154</f>
        <v>0.25</v>
      </c>
      <c r="H154" s="85">
        <v>1</v>
      </c>
      <c r="I154" s="148">
        <f>H154*G154</f>
        <v>0.25</v>
      </c>
      <c r="J154" s="155">
        <f>I154-F154</f>
        <v>0</v>
      </c>
      <c r="K154" s="87">
        <f t="shared" si="22"/>
        <v>0</v>
      </c>
    </row>
    <row r="155" spans="2:11" ht="15" thickBot="1" x14ac:dyDescent="0.35">
      <c r="B155" s="114" t="s">
        <v>214</v>
      </c>
      <c r="C155" s="80"/>
      <c r="D155" s="158">
        <v>0.1101</v>
      </c>
      <c r="E155" s="116">
        <v>246596.25</v>
      </c>
      <c r="F155" s="148">
        <f>E155*D155</f>
        <v>27150.247125000002</v>
      </c>
      <c r="G155" s="89">
        <f>D155</f>
        <v>0.1101</v>
      </c>
      <c r="H155" s="116">
        <v>246596.25</v>
      </c>
      <c r="I155" s="148">
        <f>H155*G155</f>
        <v>27150.247125000002</v>
      </c>
      <c r="J155" s="155">
        <f>I155-F155</f>
        <v>0</v>
      </c>
      <c r="K155" s="87">
        <f t="shared" si="22"/>
        <v>0</v>
      </c>
    </row>
    <row r="156" spans="2:11" ht="15" thickBot="1" x14ac:dyDescent="0.35">
      <c r="B156" s="117"/>
      <c r="C156" s="118"/>
      <c r="D156" s="150"/>
      <c r="E156" s="151"/>
      <c r="F156" s="152"/>
      <c r="G156" s="150"/>
      <c r="H156" s="120"/>
      <c r="I156" s="152"/>
      <c r="J156" s="153"/>
      <c r="K156" s="124"/>
    </row>
    <row r="157" spans="2:11" x14ac:dyDescent="0.3">
      <c r="B157" s="125" t="s">
        <v>215</v>
      </c>
      <c r="C157" s="114"/>
      <c r="D157" s="126"/>
      <c r="E157" s="127"/>
      <c r="F157" s="128">
        <f>SUM(F151:F155)</f>
        <v>33498.045242052693</v>
      </c>
      <c r="G157" s="129"/>
      <c r="H157" s="129"/>
      <c r="I157" s="128">
        <f>SUM(I151:I155)</f>
        <v>33498.045242052693</v>
      </c>
      <c r="J157" s="130">
        <f>I157-F157</f>
        <v>0</v>
      </c>
      <c r="K157" s="131">
        <f>IF((F157)=0,"",(J157/F157))</f>
        <v>0</v>
      </c>
    </row>
    <row r="158" spans="2:11" x14ac:dyDescent="0.3">
      <c r="B158" s="132" t="s">
        <v>208</v>
      </c>
      <c r="C158" s="114"/>
      <c r="D158" s="126">
        <v>0.13</v>
      </c>
      <c r="E158" s="127"/>
      <c r="F158" s="134">
        <f>F157*D158</f>
        <v>4354.7458814668498</v>
      </c>
      <c r="G158" s="135">
        <v>0.13</v>
      </c>
      <c r="H158" s="82"/>
      <c r="I158" s="134">
        <f>I157*G158</f>
        <v>4354.7458814668498</v>
      </c>
      <c r="J158" s="86">
        <f>I158-F158</f>
        <v>0</v>
      </c>
      <c r="K158" s="136">
        <f>IF((F158)=0,"",(J158/F158))</f>
        <v>0</v>
      </c>
    </row>
    <row r="159" spans="2:11" ht="15" thickBot="1" x14ac:dyDescent="0.35">
      <c r="B159" s="314" t="s">
        <v>215</v>
      </c>
      <c r="C159" s="315"/>
      <c r="D159" s="159"/>
      <c r="E159" s="160"/>
      <c r="F159" s="161">
        <f>SUM(F157:F158)</f>
        <v>37852.791123519542</v>
      </c>
      <c r="G159" s="140"/>
      <c r="H159" s="140"/>
      <c r="I159" s="161">
        <f>SUM(I157:I158)</f>
        <v>37852.791123519542</v>
      </c>
      <c r="J159" s="161">
        <f>SUM(J157:J158)</f>
        <v>0</v>
      </c>
      <c r="K159" s="143">
        <f>IF((F159)=0,"",(J159/F159))</f>
        <v>0</v>
      </c>
    </row>
    <row r="160" spans="2:11" ht="15" thickBot="1" x14ac:dyDescent="0.35">
      <c r="B160" s="117"/>
      <c r="C160" s="118"/>
      <c r="D160" s="150"/>
      <c r="E160" s="151"/>
      <c r="F160" s="152"/>
      <c r="G160" s="150"/>
      <c r="H160" s="120"/>
      <c r="I160" s="152"/>
      <c r="J160" s="153"/>
      <c r="K160" s="124"/>
    </row>
    <row r="161" spans="2:11" x14ac:dyDescent="0.3">
      <c r="F161" s="144"/>
    </row>
    <row r="162" spans="2:11" x14ac:dyDescent="0.3">
      <c r="F162" s="144"/>
    </row>
    <row r="163" spans="2:11" x14ac:dyDescent="0.3">
      <c r="B163" s="64" t="s">
        <v>168</v>
      </c>
      <c r="C163" s="307" t="s">
        <v>97</v>
      </c>
      <c r="D163" s="307"/>
      <c r="E163" s="307"/>
      <c r="F163" s="307"/>
      <c r="G163" s="307"/>
      <c r="H163" s="307"/>
      <c r="I163" s="63" t="s">
        <v>0</v>
      </c>
    </row>
    <row r="164" spans="2:11" x14ac:dyDescent="0.3">
      <c r="B164" s="64" t="s">
        <v>169</v>
      </c>
      <c r="C164" s="308" t="s">
        <v>213</v>
      </c>
      <c r="D164" s="308"/>
      <c r="E164" s="308"/>
      <c r="F164" s="65"/>
      <c r="G164" s="65"/>
    </row>
    <row r="165" spans="2:11" ht="15.6" x14ac:dyDescent="0.3">
      <c r="B165" s="64" t="s">
        <v>171</v>
      </c>
      <c r="C165" s="66">
        <v>474500</v>
      </c>
      <c r="D165" s="67" t="s">
        <v>1</v>
      </c>
      <c r="E165" s="63"/>
      <c r="H165" s="68"/>
      <c r="I165" s="68"/>
      <c r="J165" s="68"/>
      <c r="K165" s="68"/>
    </row>
    <row r="166" spans="2:11" ht="15.6" x14ac:dyDescent="0.3">
      <c r="B166" s="64" t="s">
        <v>172</v>
      </c>
      <c r="C166" s="66">
        <v>1000</v>
      </c>
      <c r="D166" s="69" t="s">
        <v>2</v>
      </c>
      <c r="E166" s="70"/>
      <c r="F166" s="71"/>
      <c r="G166" s="71"/>
      <c r="H166" s="71"/>
    </row>
    <row r="167" spans="2:11" x14ac:dyDescent="0.3">
      <c r="B167" s="64" t="s">
        <v>173</v>
      </c>
      <c r="C167" s="72">
        <v>1.0383</v>
      </c>
    </row>
    <row r="168" spans="2:11" x14ac:dyDescent="0.3">
      <c r="B168" s="64" t="s">
        <v>174</v>
      </c>
      <c r="C168" s="72">
        <v>1.0383</v>
      </c>
    </row>
    <row r="169" spans="2:11" x14ac:dyDescent="0.3">
      <c r="B169" s="63"/>
    </row>
    <row r="170" spans="2:11" x14ac:dyDescent="0.3">
      <c r="B170" s="63"/>
      <c r="C170" s="67"/>
      <c r="D170" s="304" t="s">
        <v>175</v>
      </c>
      <c r="E170" s="305"/>
      <c r="F170" s="306"/>
      <c r="G170" s="304" t="s">
        <v>176</v>
      </c>
      <c r="H170" s="305"/>
      <c r="I170" s="306"/>
      <c r="J170" s="304" t="s">
        <v>177</v>
      </c>
      <c r="K170" s="306"/>
    </row>
    <row r="171" spans="2:11" x14ac:dyDescent="0.3">
      <c r="B171" s="63"/>
      <c r="C171" s="309"/>
      <c r="D171" s="73" t="s">
        <v>178</v>
      </c>
      <c r="E171" s="73" t="s">
        <v>179</v>
      </c>
      <c r="F171" s="74" t="s">
        <v>180</v>
      </c>
      <c r="G171" s="73" t="s">
        <v>178</v>
      </c>
      <c r="H171" s="75" t="s">
        <v>179</v>
      </c>
      <c r="I171" s="74" t="s">
        <v>180</v>
      </c>
      <c r="J171" s="316" t="s">
        <v>181</v>
      </c>
      <c r="K171" s="318" t="s">
        <v>182</v>
      </c>
    </row>
    <row r="172" spans="2:11" x14ac:dyDescent="0.3">
      <c r="B172" s="63"/>
      <c r="C172" s="310"/>
      <c r="D172" s="76" t="s">
        <v>183</v>
      </c>
      <c r="E172" s="76"/>
      <c r="F172" s="77" t="s">
        <v>183</v>
      </c>
      <c r="G172" s="76" t="s">
        <v>183</v>
      </c>
      <c r="H172" s="77"/>
      <c r="I172" s="77" t="s">
        <v>183</v>
      </c>
      <c r="J172" s="317"/>
      <c r="K172" s="319"/>
    </row>
    <row r="173" spans="2:11" x14ac:dyDescent="0.3">
      <c r="B173" s="79" t="s">
        <v>184</v>
      </c>
      <c r="C173" s="80"/>
      <c r="D173" s="90">
        <v>3.24</v>
      </c>
      <c r="E173" s="82">
        <v>1</v>
      </c>
      <c r="F173" s="83">
        <f>E173*D173</f>
        <v>3.24</v>
      </c>
      <c r="G173" s="91">
        <f>'Table 12'!H11</f>
        <v>0.80414417025939811</v>
      </c>
      <c r="H173" s="85">
        <v>1</v>
      </c>
      <c r="I173" s="83">
        <f>H173*G173</f>
        <v>0.80414417025939811</v>
      </c>
      <c r="J173" s="155">
        <f t="shared" ref="J173:J194" si="25">I173-F173</f>
        <v>-2.4358558297406021</v>
      </c>
      <c r="K173" s="87">
        <f>IF(ISERROR(J173/F173), "", J173/F173)</f>
        <v>-0.75180735485821049</v>
      </c>
    </row>
    <row r="174" spans="2:11" x14ac:dyDescent="0.3">
      <c r="B174" s="79" t="s">
        <v>79</v>
      </c>
      <c r="C174" s="80"/>
      <c r="D174" s="88">
        <v>16.108799999999999</v>
      </c>
      <c r="E174" s="82">
        <v>1000</v>
      </c>
      <c r="F174" s="83">
        <f>E174*D174</f>
        <v>16108.8</v>
      </c>
      <c r="G174" s="89">
        <f>'Table 13'!F11</f>
        <v>3.9928632417082461</v>
      </c>
      <c r="H174" s="85">
        <v>1000</v>
      </c>
      <c r="I174" s="83">
        <f t="shared" ref="I174:I194" si="26">H174*G174</f>
        <v>3992.8632417082463</v>
      </c>
      <c r="J174" s="155">
        <f t="shared" si="25"/>
        <v>-12115.936758291753</v>
      </c>
      <c r="K174" s="87">
        <f>IF(ISERROR(J174/F174), "", J174/F174)</f>
        <v>-0.7521315528339636</v>
      </c>
    </row>
    <row r="175" spans="2:11" x14ac:dyDescent="0.3">
      <c r="B175" s="79" t="s">
        <v>185</v>
      </c>
      <c r="C175" s="80"/>
      <c r="D175" s="90">
        <v>0</v>
      </c>
      <c r="E175" s="82">
        <v>1</v>
      </c>
      <c r="F175" s="83">
        <f>E175*D175</f>
        <v>0</v>
      </c>
      <c r="G175" s="89">
        <f>D175</f>
        <v>0</v>
      </c>
      <c r="H175" s="85">
        <v>1</v>
      </c>
      <c r="I175" s="83">
        <f t="shared" si="26"/>
        <v>0</v>
      </c>
      <c r="J175" s="155">
        <f t="shared" si="25"/>
        <v>0</v>
      </c>
      <c r="K175" s="87" t="str">
        <f>IF(ISERROR(J175/F175), "", J175/F175)</f>
        <v/>
      </c>
    </row>
    <row r="176" spans="2:11" x14ac:dyDescent="0.3">
      <c r="B176" s="79" t="s">
        <v>186</v>
      </c>
      <c r="C176" s="80"/>
      <c r="D176" s="88">
        <v>4.5305</v>
      </c>
      <c r="E176" s="82">
        <v>1000</v>
      </c>
      <c r="F176" s="83">
        <f>E176*D176</f>
        <v>4530.5</v>
      </c>
      <c r="G176" s="89">
        <f>D176</f>
        <v>4.5305</v>
      </c>
      <c r="H176" s="85">
        <v>1000</v>
      </c>
      <c r="I176" s="83">
        <f t="shared" si="26"/>
        <v>4530.5</v>
      </c>
      <c r="J176" s="155">
        <f t="shared" si="25"/>
        <v>0</v>
      </c>
      <c r="K176" s="87">
        <f>IF(ISERROR(J176/F176), "", J176/F176)</f>
        <v>0</v>
      </c>
    </row>
    <row r="177" spans="2:11" x14ac:dyDescent="0.3">
      <c r="B177" s="92" t="s">
        <v>187</v>
      </c>
      <c r="C177" s="93"/>
      <c r="D177" s="94"/>
      <c r="E177" s="95"/>
      <c r="F177" s="162">
        <f>SUM(F171:F176)</f>
        <v>20642.54</v>
      </c>
      <c r="G177" s="97"/>
      <c r="H177" s="98"/>
      <c r="I177" s="162">
        <f>SUM(I171:I176)</f>
        <v>8524.1673858785052</v>
      </c>
      <c r="J177" s="147">
        <f t="shared" si="25"/>
        <v>-12118.372614121496</v>
      </c>
      <c r="K177" s="99">
        <f>IF((F177)=0,"",(J177/F177))</f>
        <v>-0.58705821154380688</v>
      </c>
    </row>
    <row r="178" spans="2:11" x14ac:dyDescent="0.3">
      <c r="B178" s="100" t="s">
        <v>188</v>
      </c>
      <c r="C178" s="80"/>
      <c r="D178" s="88">
        <v>0</v>
      </c>
      <c r="E178" s="101">
        <v>0</v>
      </c>
      <c r="F178" s="148">
        <f t="shared" ref="F178:F194" si="27">IFERROR((D178*E178),"")</f>
        <v>0</v>
      </c>
      <c r="G178" s="89">
        <f>D178</f>
        <v>0</v>
      </c>
      <c r="H178" s="101">
        <v>0</v>
      </c>
      <c r="I178" s="148">
        <f t="shared" si="26"/>
        <v>0</v>
      </c>
      <c r="J178" s="155">
        <f>I178-F178</f>
        <v>0</v>
      </c>
      <c r="K178" s="87" t="str">
        <f t="shared" ref="K178:K186" si="28">IF(ISERROR(J178/F178), "", J178/F178)</f>
        <v/>
      </c>
    </row>
    <row r="179" spans="2:11" x14ac:dyDescent="0.3">
      <c r="B179" s="100" t="s">
        <v>190</v>
      </c>
      <c r="C179" s="80"/>
      <c r="D179" s="88">
        <v>-0.67959999999999998</v>
      </c>
      <c r="E179" s="102">
        <v>1000</v>
      </c>
      <c r="F179" s="148">
        <f t="shared" si="27"/>
        <v>-679.6</v>
      </c>
      <c r="G179" s="89">
        <f>D179</f>
        <v>-0.67959999999999998</v>
      </c>
      <c r="H179" s="102">
        <v>1000</v>
      </c>
      <c r="I179" s="148">
        <f t="shared" si="26"/>
        <v>-679.6</v>
      </c>
      <c r="J179" s="155">
        <f t="shared" si="25"/>
        <v>0</v>
      </c>
      <c r="K179" s="87">
        <f t="shared" si="28"/>
        <v>0</v>
      </c>
    </row>
    <row r="180" spans="2:11" x14ac:dyDescent="0.3">
      <c r="B180" s="100" t="s">
        <v>189</v>
      </c>
      <c r="C180" s="80"/>
      <c r="D180" s="88">
        <f>G180</f>
        <v>-0.95633532915838393</v>
      </c>
      <c r="E180" s="102">
        <f>C166</f>
        <v>1000</v>
      </c>
      <c r="F180" s="148">
        <f>E180*D180</f>
        <v>-956.33532915838396</v>
      </c>
      <c r="G180" s="156">
        <f>'[4]1576 Rate Rider Calculation'!$H$30*-1</f>
        <v>-0.95633532915838393</v>
      </c>
      <c r="H180" s="102">
        <f>C166</f>
        <v>1000</v>
      </c>
      <c r="I180" s="148">
        <f t="shared" si="26"/>
        <v>-956.33532915838396</v>
      </c>
      <c r="J180" s="155">
        <f t="shared" si="25"/>
        <v>0</v>
      </c>
      <c r="K180" s="87">
        <f t="shared" si="28"/>
        <v>0</v>
      </c>
    </row>
    <row r="181" spans="2:11" x14ac:dyDescent="0.3">
      <c r="B181" s="100" t="s">
        <v>191</v>
      </c>
      <c r="C181" s="80"/>
      <c r="D181" s="88">
        <v>0.31950000000000001</v>
      </c>
      <c r="E181" s="102">
        <v>1000</v>
      </c>
      <c r="F181" s="148">
        <f t="shared" si="27"/>
        <v>319.5</v>
      </c>
      <c r="G181" s="89">
        <f>D181</f>
        <v>0.31950000000000001</v>
      </c>
      <c r="H181" s="102">
        <v>1000</v>
      </c>
      <c r="I181" s="148">
        <f t="shared" si="26"/>
        <v>319.5</v>
      </c>
      <c r="J181" s="155">
        <f t="shared" si="25"/>
        <v>0</v>
      </c>
      <c r="K181" s="87">
        <f t="shared" si="28"/>
        <v>0</v>
      </c>
    </row>
    <row r="182" spans="2:11" x14ac:dyDescent="0.3">
      <c r="B182" s="100" t="s">
        <v>192</v>
      </c>
      <c r="C182" s="80"/>
      <c r="D182" s="88">
        <v>5.1999999999999998E-3</v>
      </c>
      <c r="E182" s="102">
        <v>474500</v>
      </c>
      <c r="F182" s="148">
        <f t="shared" si="27"/>
        <v>2467.4</v>
      </c>
      <c r="G182" s="89">
        <f>D182</f>
        <v>5.1999999999999998E-3</v>
      </c>
      <c r="H182" s="102">
        <v>474500</v>
      </c>
      <c r="I182" s="148">
        <f t="shared" si="26"/>
        <v>2467.4</v>
      </c>
      <c r="J182" s="155">
        <f t="shared" si="25"/>
        <v>0</v>
      </c>
      <c r="K182" s="87">
        <f t="shared" si="28"/>
        <v>0</v>
      </c>
    </row>
    <row r="183" spans="2:11" x14ac:dyDescent="0.3">
      <c r="B183" s="79" t="s">
        <v>193</v>
      </c>
      <c r="C183" s="80"/>
      <c r="D183" s="88">
        <v>0</v>
      </c>
      <c r="E183" s="102">
        <v>1000</v>
      </c>
      <c r="F183" s="148">
        <f t="shared" si="27"/>
        <v>0</v>
      </c>
      <c r="G183" s="89">
        <f>D183</f>
        <v>0</v>
      </c>
      <c r="H183" s="102">
        <v>1000</v>
      </c>
      <c r="I183" s="148">
        <f t="shared" si="26"/>
        <v>0</v>
      </c>
      <c r="J183" s="155">
        <f t="shared" si="25"/>
        <v>0</v>
      </c>
      <c r="K183" s="87" t="str">
        <f t="shared" si="28"/>
        <v/>
      </c>
    </row>
    <row r="184" spans="2:11" x14ac:dyDescent="0.3">
      <c r="B184" s="100" t="s">
        <v>194</v>
      </c>
      <c r="C184" s="80"/>
      <c r="D184" s="90">
        <v>0</v>
      </c>
      <c r="E184" s="82">
        <v>1</v>
      </c>
      <c r="F184" s="148">
        <f t="shared" si="27"/>
        <v>0</v>
      </c>
      <c r="G184" s="89">
        <f>D184</f>
        <v>0</v>
      </c>
      <c r="H184" s="82">
        <v>1</v>
      </c>
      <c r="I184" s="148">
        <f t="shared" si="26"/>
        <v>0</v>
      </c>
      <c r="J184" s="155">
        <f t="shared" si="25"/>
        <v>0</v>
      </c>
      <c r="K184" s="87" t="str">
        <f t="shared" si="28"/>
        <v/>
      </c>
    </row>
    <row r="185" spans="2:11" x14ac:dyDescent="0.3">
      <c r="B185" s="79" t="s">
        <v>195</v>
      </c>
      <c r="C185" s="80"/>
      <c r="D185" s="90">
        <v>0</v>
      </c>
      <c r="E185" s="82">
        <v>1</v>
      </c>
      <c r="F185" s="148">
        <f t="shared" si="27"/>
        <v>0</v>
      </c>
      <c r="G185" s="89">
        <f>D185</f>
        <v>0</v>
      </c>
      <c r="H185" s="82">
        <v>1</v>
      </c>
      <c r="I185" s="148">
        <f t="shared" si="26"/>
        <v>0</v>
      </c>
      <c r="J185" s="155">
        <f>I185-F185</f>
        <v>0</v>
      </c>
      <c r="K185" s="87" t="str">
        <f t="shared" si="28"/>
        <v/>
      </c>
    </row>
    <row r="186" spans="2:11" x14ac:dyDescent="0.3">
      <c r="B186" s="79" t="s">
        <v>196</v>
      </c>
      <c r="C186" s="80"/>
      <c r="D186" s="88"/>
      <c r="E186" s="102">
        <v>1000</v>
      </c>
      <c r="F186" s="148">
        <f t="shared" si="27"/>
        <v>0</v>
      </c>
      <c r="G186" s="89"/>
      <c r="H186" s="102">
        <v>1000</v>
      </c>
      <c r="I186" s="148">
        <f t="shared" si="26"/>
        <v>0</v>
      </c>
      <c r="J186" s="155">
        <f t="shared" si="25"/>
        <v>0</v>
      </c>
      <c r="K186" s="87" t="str">
        <f t="shared" si="28"/>
        <v/>
      </c>
    </row>
    <row r="187" spans="2:11" ht="26.4" x14ac:dyDescent="0.3">
      <c r="B187" s="104" t="s">
        <v>197</v>
      </c>
      <c r="C187" s="105"/>
      <c r="D187" s="106"/>
      <c r="E187" s="107"/>
      <c r="F187" s="157">
        <f>SUM(F177:F186)</f>
        <v>21793.504670841619</v>
      </c>
      <c r="G187" s="109"/>
      <c r="H187" s="110"/>
      <c r="I187" s="157">
        <f>SUM(I177:I186)</f>
        <v>9675.1320567201201</v>
      </c>
      <c r="J187" s="147">
        <f t="shared" si="25"/>
        <v>-12118.372614121499</v>
      </c>
      <c r="K187" s="99">
        <f>IF((F187)=0,"",(J187/F187))</f>
        <v>-0.55605432889989204</v>
      </c>
    </row>
    <row r="188" spans="2:11" x14ac:dyDescent="0.3">
      <c r="B188" s="111" t="s">
        <v>198</v>
      </c>
      <c r="C188" s="80"/>
      <c r="D188" s="88">
        <v>2.0726</v>
      </c>
      <c r="E188" s="101">
        <v>1000</v>
      </c>
      <c r="F188" s="148">
        <f t="shared" si="27"/>
        <v>2072.6</v>
      </c>
      <c r="G188" s="89">
        <f>D188</f>
        <v>2.0726</v>
      </c>
      <c r="H188" s="101">
        <v>1000</v>
      </c>
      <c r="I188" s="148">
        <f t="shared" si="26"/>
        <v>2072.6</v>
      </c>
      <c r="J188" s="155">
        <f t="shared" si="25"/>
        <v>0</v>
      </c>
      <c r="K188" s="87">
        <f>IF(ISERROR(J188/F188), "", J188/F188)</f>
        <v>0</v>
      </c>
    </row>
    <row r="189" spans="2:11" ht="26.4" x14ac:dyDescent="0.3">
      <c r="B189" s="112" t="s">
        <v>199</v>
      </c>
      <c r="C189" s="80"/>
      <c r="D189" s="88">
        <v>1.8428</v>
      </c>
      <c r="E189" s="101">
        <v>1000</v>
      </c>
      <c r="F189" s="148">
        <f t="shared" si="27"/>
        <v>1842.8</v>
      </c>
      <c r="G189" s="89">
        <f>D189</f>
        <v>1.8428</v>
      </c>
      <c r="H189" s="101">
        <v>1000</v>
      </c>
      <c r="I189" s="148">
        <f t="shared" si="26"/>
        <v>1842.8</v>
      </c>
      <c r="J189" s="155">
        <f t="shared" si="25"/>
        <v>0</v>
      </c>
      <c r="K189" s="87">
        <f>IF(ISERROR(J189/F189), "", J189/F189)</f>
        <v>0</v>
      </c>
    </row>
    <row r="190" spans="2:11" ht="26.4" x14ac:dyDescent="0.3">
      <c r="B190" s="104" t="s">
        <v>200</v>
      </c>
      <c r="C190" s="93"/>
      <c r="D190" s="106"/>
      <c r="E190" s="107"/>
      <c r="F190" s="157">
        <f>SUM(F187:F189)</f>
        <v>25708.904670841617</v>
      </c>
      <c r="G190" s="109"/>
      <c r="H190" s="98"/>
      <c r="I190" s="157">
        <f>SUM(I187:I189)</f>
        <v>13590.53205672012</v>
      </c>
      <c r="J190" s="147">
        <f t="shared" si="25"/>
        <v>-12118.372614121497</v>
      </c>
      <c r="K190" s="99">
        <f>IF((F190)=0,"",(J190/F190))</f>
        <v>-0.47136868603608173</v>
      </c>
    </row>
    <row r="191" spans="2:11" x14ac:dyDescent="0.3">
      <c r="B191" s="113" t="s">
        <v>201</v>
      </c>
      <c r="C191" s="80"/>
      <c r="D191" s="88">
        <v>3.3999999999999998E-3</v>
      </c>
      <c r="E191" s="101">
        <v>492673.35</v>
      </c>
      <c r="F191" s="148">
        <f t="shared" si="27"/>
        <v>1675.0893899999999</v>
      </c>
      <c r="G191" s="89">
        <f>D191</f>
        <v>3.3999999999999998E-3</v>
      </c>
      <c r="H191" s="101">
        <v>492673.35</v>
      </c>
      <c r="I191" s="163">
        <f t="shared" si="26"/>
        <v>1675.0893899999999</v>
      </c>
      <c r="J191" s="155">
        <f t="shared" si="25"/>
        <v>0</v>
      </c>
      <c r="K191" s="87">
        <f>IF(ISERROR(J191/F191), "", J191/F191)</f>
        <v>0</v>
      </c>
    </row>
    <row r="192" spans="2:11" x14ac:dyDescent="0.3">
      <c r="B192" s="113" t="s">
        <v>202</v>
      </c>
      <c r="C192" s="80"/>
      <c r="D192" s="88">
        <v>5.0000000000000001E-4</v>
      </c>
      <c r="E192" s="101">
        <v>492673.35</v>
      </c>
      <c r="F192" s="148">
        <f t="shared" si="27"/>
        <v>246.33667499999999</v>
      </c>
      <c r="G192" s="89">
        <f>D192</f>
        <v>5.0000000000000001E-4</v>
      </c>
      <c r="H192" s="101">
        <v>492673.35</v>
      </c>
      <c r="I192" s="163">
        <f t="shared" si="26"/>
        <v>246.33667499999999</v>
      </c>
      <c r="J192" s="155">
        <f t="shared" si="25"/>
        <v>0</v>
      </c>
      <c r="K192" s="87">
        <f>IF(ISERROR(J192/F192), "", J192/F192)</f>
        <v>0</v>
      </c>
    </row>
    <row r="193" spans="2:11" x14ac:dyDescent="0.3">
      <c r="B193" s="114" t="s">
        <v>203</v>
      </c>
      <c r="C193" s="80"/>
      <c r="D193" s="90">
        <v>0.25</v>
      </c>
      <c r="E193" s="82">
        <v>1</v>
      </c>
      <c r="F193" s="148">
        <f t="shared" si="27"/>
        <v>0.25</v>
      </c>
      <c r="G193" s="91">
        <f>D193</f>
        <v>0.25</v>
      </c>
      <c r="H193" s="85">
        <v>1</v>
      </c>
      <c r="I193" s="163">
        <f t="shared" si="26"/>
        <v>0.25</v>
      </c>
      <c r="J193" s="155">
        <f t="shared" si="25"/>
        <v>0</v>
      </c>
      <c r="K193" s="87">
        <f>IF(ISERROR(J193/F193), "", J193/F193)</f>
        <v>0</v>
      </c>
    </row>
    <row r="194" spans="2:11" ht="15" thickBot="1" x14ac:dyDescent="0.35">
      <c r="B194" s="114" t="s">
        <v>214</v>
      </c>
      <c r="C194" s="80"/>
      <c r="D194" s="158">
        <v>0.1101</v>
      </c>
      <c r="E194" s="116">
        <v>492673.35</v>
      </c>
      <c r="F194" s="148">
        <f t="shared" si="27"/>
        <v>54243.335834999998</v>
      </c>
      <c r="G194" s="89">
        <f>D194</f>
        <v>0.1101</v>
      </c>
      <c r="H194" s="116">
        <v>492673.35</v>
      </c>
      <c r="I194" s="163">
        <f t="shared" si="26"/>
        <v>54243.335834999998</v>
      </c>
      <c r="J194" s="155">
        <f t="shared" si="25"/>
        <v>0</v>
      </c>
      <c r="K194" s="87">
        <f>IF(ISERROR(J194/F194), "", J194/F194)</f>
        <v>0</v>
      </c>
    </row>
    <row r="195" spans="2:11" ht="15" thickBot="1" x14ac:dyDescent="0.35">
      <c r="B195" s="117"/>
      <c r="C195" s="118"/>
      <c r="D195" s="119"/>
      <c r="E195" s="120"/>
      <c r="F195" s="121"/>
      <c r="G195" s="119"/>
      <c r="H195" s="122"/>
      <c r="I195" s="121"/>
      <c r="J195" s="123"/>
      <c r="K195" s="124"/>
    </row>
    <row r="196" spans="2:11" x14ac:dyDescent="0.3">
      <c r="B196" s="125" t="s">
        <v>215</v>
      </c>
      <c r="C196" s="114"/>
      <c r="D196" s="126"/>
      <c r="E196" s="128"/>
      <c r="F196" s="128">
        <f>SUM(F190:F194)</f>
        <v>81873.916570841611</v>
      </c>
      <c r="G196" s="129"/>
      <c r="H196" s="129"/>
      <c r="I196" s="128">
        <f>SUM(I190:I194)</f>
        <v>69755.543956720125</v>
      </c>
      <c r="J196" s="130">
        <f>I196-F196</f>
        <v>-12118.372614121487</v>
      </c>
      <c r="K196" s="131">
        <f>IF((F196)=0,"",(J196/F196))</f>
        <v>-0.14801261649228706</v>
      </c>
    </row>
    <row r="197" spans="2:11" x14ac:dyDescent="0.3">
      <c r="B197" s="132" t="s">
        <v>208</v>
      </c>
      <c r="C197" s="114"/>
      <c r="D197" s="126">
        <v>0.13</v>
      </c>
      <c r="E197" s="134"/>
      <c r="F197" s="134">
        <f>F196*D197</f>
        <v>10643.609154209409</v>
      </c>
      <c r="G197" s="126">
        <v>0.13</v>
      </c>
      <c r="H197" s="135"/>
      <c r="I197" s="134">
        <f>I196*G197</f>
        <v>9068.2207143736159</v>
      </c>
      <c r="J197" s="86">
        <f>I197-F197</f>
        <v>-1575.3884398357932</v>
      </c>
      <c r="K197" s="136">
        <f>IF((F197)=0,"",(J197/F197))</f>
        <v>-0.14801261649228706</v>
      </c>
    </row>
    <row r="198" spans="2:11" ht="15" thickBot="1" x14ac:dyDescent="0.35">
      <c r="B198" s="297" t="s">
        <v>215</v>
      </c>
      <c r="C198" s="297"/>
      <c r="D198" s="159"/>
      <c r="E198" s="160"/>
      <c r="F198" s="161">
        <f>SUM(F196:F197)</f>
        <v>92517.525725051019</v>
      </c>
      <c r="G198" s="164"/>
      <c r="H198" s="164"/>
      <c r="I198" s="161">
        <f>SUM(I196:I197)</f>
        <v>78823.764671093741</v>
      </c>
      <c r="J198" s="142">
        <f>I198-F198</f>
        <v>-13693.761053957278</v>
      </c>
      <c r="K198" s="143">
        <f>IF((F198)=0,"",(J198/F198))</f>
        <v>-0.14801261649228706</v>
      </c>
    </row>
    <row r="199" spans="2:11" ht="15" thickBot="1" x14ac:dyDescent="0.35">
      <c r="B199" s="117"/>
      <c r="C199" s="118"/>
      <c r="D199" s="150"/>
      <c r="E199" s="151"/>
      <c r="F199" s="152"/>
      <c r="G199" s="150"/>
      <c r="H199" s="120"/>
      <c r="I199" s="152"/>
      <c r="J199" s="153"/>
      <c r="K199" s="124"/>
    </row>
    <row r="200" spans="2:11" x14ac:dyDescent="0.3">
      <c r="F200" s="144"/>
    </row>
    <row r="201" spans="2:11" x14ac:dyDescent="0.3">
      <c r="F201" s="144"/>
    </row>
    <row r="202" spans="2:11" x14ac:dyDescent="0.3">
      <c r="B202" s="64" t="s">
        <v>168</v>
      </c>
      <c r="C202" s="307" t="s">
        <v>94</v>
      </c>
      <c r="D202" s="307"/>
      <c r="E202" s="307"/>
      <c r="F202" s="307"/>
      <c r="G202" s="307"/>
      <c r="H202" s="307"/>
      <c r="I202" s="63" t="s">
        <v>0</v>
      </c>
    </row>
    <row r="203" spans="2:11" x14ac:dyDescent="0.3">
      <c r="B203" s="64" t="s">
        <v>169</v>
      </c>
      <c r="C203" s="308" t="s">
        <v>170</v>
      </c>
      <c r="D203" s="308"/>
      <c r="E203" s="308"/>
      <c r="F203" s="65"/>
      <c r="G203" s="65"/>
    </row>
    <row r="204" spans="2:11" ht="15.6" x14ac:dyDescent="0.3">
      <c r="B204" s="64" t="s">
        <v>171</v>
      </c>
      <c r="C204" s="66">
        <v>475</v>
      </c>
      <c r="D204" s="67" t="s">
        <v>1</v>
      </c>
      <c r="E204" s="63"/>
      <c r="H204" s="68"/>
      <c r="I204" s="68"/>
      <c r="J204" s="68"/>
      <c r="K204" s="68"/>
    </row>
    <row r="205" spans="2:11" ht="15.6" x14ac:dyDescent="0.3">
      <c r="B205" s="64" t="s">
        <v>172</v>
      </c>
      <c r="C205" s="66">
        <v>1</v>
      </c>
      <c r="D205" s="69" t="s">
        <v>2</v>
      </c>
      <c r="E205" s="70"/>
      <c r="F205" s="71"/>
      <c r="G205" s="71"/>
      <c r="H205" s="71"/>
    </row>
    <row r="206" spans="2:11" x14ac:dyDescent="0.3">
      <c r="B206" s="64" t="s">
        <v>173</v>
      </c>
      <c r="C206" s="72">
        <v>1.0383</v>
      </c>
    </row>
    <row r="207" spans="2:11" x14ac:dyDescent="0.3">
      <c r="B207" s="64" t="s">
        <v>174</v>
      </c>
      <c r="C207" s="72">
        <v>1.0383</v>
      </c>
    </row>
    <row r="208" spans="2:11" x14ac:dyDescent="0.3">
      <c r="B208" s="63"/>
    </row>
    <row r="209" spans="2:11" x14ac:dyDescent="0.3">
      <c r="B209" s="63"/>
      <c r="C209" s="67"/>
      <c r="D209" s="304" t="s">
        <v>175</v>
      </c>
      <c r="E209" s="305"/>
      <c r="F209" s="306"/>
      <c r="G209" s="304" t="s">
        <v>176</v>
      </c>
      <c r="H209" s="305"/>
      <c r="I209" s="306"/>
      <c r="J209" s="304" t="s">
        <v>177</v>
      </c>
      <c r="K209" s="306"/>
    </row>
    <row r="210" spans="2:11" x14ac:dyDescent="0.3">
      <c r="B210" s="63"/>
      <c r="C210" s="309"/>
      <c r="D210" s="73" t="s">
        <v>178</v>
      </c>
      <c r="E210" s="73" t="s">
        <v>179</v>
      </c>
      <c r="F210" s="74" t="s">
        <v>180</v>
      </c>
      <c r="G210" s="73" t="s">
        <v>178</v>
      </c>
      <c r="H210" s="75" t="s">
        <v>179</v>
      </c>
      <c r="I210" s="74" t="s">
        <v>180</v>
      </c>
      <c r="J210" s="316" t="s">
        <v>181</v>
      </c>
      <c r="K210" s="318" t="s">
        <v>182</v>
      </c>
    </row>
    <row r="211" spans="2:11" x14ac:dyDescent="0.3">
      <c r="B211" s="63"/>
      <c r="C211" s="310"/>
      <c r="D211" s="76" t="s">
        <v>183</v>
      </c>
      <c r="E211" s="76"/>
      <c r="F211" s="77" t="s">
        <v>183</v>
      </c>
      <c r="G211" s="76" t="s">
        <v>183</v>
      </c>
      <c r="H211" s="77"/>
      <c r="I211" s="77" t="s">
        <v>183</v>
      </c>
      <c r="J211" s="317"/>
      <c r="K211" s="319"/>
    </row>
    <row r="212" spans="2:11" x14ac:dyDescent="0.3">
      <c r="B212" s="79" t="s">
        <v>184</v>
      </c>
      <c r="C212" s="80"/>
      <c r="D212" s="90">
        <v>3.3</v>
      </c>
      <c r="E212" s="82">
        <v>1</v>
      </c>
      <c r="F212" s="148">
        <f>E212*D212</f>
        <v>3.3</v>
      </c>
      <c r="G212" s="91">
        <f>'Table 12'!H10</f>
        <v>2.2994937363993717</v>
      </c>
      <c r="H212" s="85">
        <v>1</v>
      </c>
      <c r="I212" s="148">
        <f>H212*G212</f>
        <v>2.2994937363993717</v>
      </c>
      <c r="J212" s="86">
        <f t="shared" ref="J212:J235" si="29">I212-F212</f>
        <v>-1.0005062636006281</v>
      </c>
      <c r="K212" s="87">
        <f>IF(ISERROR(J212/F212), "", J212/F212)</f>
        <v>-0.30318371624261459</v>
      </c>
    </row>
    <row r="213" spans="2:11" x14ac:dyDescent="0.3">
      <c r="B213" s="79" t="s">
        <v>79</v>
      </c>
      <c r="C213" s="80"/>
      <c r="D213" s="88">
        <v>12.6396</v>
      </c>
      <c r="E213" s="82">
        <v>1</v>
      </c>
      <c r="F213" s="148">
        <f t="shared" ref="F213:F235" si="30">E213*D213</f>
        <v>12.6396</v>
      </c>
      <c r="G213" s="89">
        <f>'Table 13'!F10</f>
        <v>8.8066083837992686</v>
      </c>
      <c r="H213" s="85">
        <v>1</v>
      </c>
      <c r="I213" s="148">
        <f t="shared" ref="I213:I235" si="31">H213*G213</f>
        <v>8.8066083837992686</v>
      </c>
      <c r="J213" s="86">
        <f t="shared" si="29"/>
        <v>-3.8329916162007311</v>
      </c>
      <c r="K213" s="87">
        <f>IF(ISERROR(J213/F213), "", J213/F213)</f>
        <v>-0.30325260421221645</v>
      </c>
    </row>
    <row r="214" spans="2:11" x14ac:dyDescent="0.3">
      <c r="B214" s="79" t="s">
        <v>185</v>
      </c>
      <c r="C214" s="80"/>
      <c r="D214" s="90">
        <v>0</v>
      </c>
      <c r="E214" s="82">
        <v>1</v>
      </c>
      <c r="F214" s="148">
        <f>E214*D214</f>
        <v>0</v>
      </c>
      <c r="G214" s="91">
        <f>D214</f>
        <v>0</v>
      </c>
      <c r="H214" s="85">
        <v>1</v>
      </c>
      <c r="I214" s="148">
        <f>H214*G214</f>
        <v>0</v>
      </c>
      <c r="J214" s="86">
        <f t="shared" si="29"/>
        <v>0</v>
      </c>
      <c r="K214" s="87" t="str">
        <f>IF(ISERROR(J214/F214), "", J214/F214)</f>
        <v/>
      </c>
    </row>
    <row r="215" spans="2:11" x14ac:dyDescent="0.3">
      <c r="B215" s="79" t="s">
        <v>186</v>
      </c>
      <c r="C215" s="80"/>
      <c r="D215" s="88">
        <v>-2.8E-3</v>
      </c>
      <c r="E215" s="82">
        <v>1</v>
      </c>
      <c r="F215" s="148">
        <f t="shared" si="30"/>
        <v>-2.8E-3</v>
      </c>
      <c r="G215" s="89">
        <f>D215</f>
        <v>-2.8E-3</v>
      </c>
      <c r="H215" s="85">
        <v>1</v>
      </c>
      <c r="I215" s="148">
        <f t="shared" si="31"/>
        <v>-2.8E-3</v>
      </c>
      <c r="J215" s="86">
        <f t="shared" si="29"/>
        <v>0</v>
      </c>
      <c r="K215" s="87">
        <f>IF(ISERROR(J215/F215), "", J215/F215)</f>
        <v>0</v>
      </c>
    </row>
    <row r="216" spans="2:11" x14ac:dyDescent="0.3">
      <c r="B216" s="92" t="s">
        <v>187</v>
      </c>
      <c r="C216" s="93"/>
      <c r="D216" s="94"/>
      <c r="E216" s="95"/>
      <c r="F216" s="162">
        <f>SUM(F210:F215)</f>
        <v>15.936799999999998</v>
      </c>
      <c r="G216" s="165"/>
      <c r="H216" s="98"/>
      <c r="I216" s="162">
        <f>SUM(I210:I215)</f>
        <v>11.10330212019864</v>
      </c>
      <c r="J216" s="166">
        <f t="shared" si="29"/>
        <v>-4.8334978798013584</v>
      </c>
      <c r="K216" s="99">
        <f>IF((F216)=0,"",(J216/F216))</f>
        <v>-0.30329161938415233</v>
      </c>
    </row>
    <row r="217" spans="2:11" x14ac:dyDescent="0.3">
      <c r="B217" s="100" t="s">
        <v>188</v>
      </c>
      <c r="C217" s="80"/>
      <c r="D217" s="88">
        <v>8.1990000000000007E-2</v>
      </c>
      <c r="E217" s="101">
        <v>18.192499999999995</v>
      </c>
      <c r="F217" s="148">
        <f t="shared" si="30"/>
        <v>1.4916030749999998</v>
      </c>
      <c r="G217" s="89">
        <f>D217</f>
        <v>8.1990000000000007E-2</v>
      </c>
      <c r="H217" s="101">
        <v>18.192499999999995</v>
      </c>
      <c r="I217" s="148">
        <f t="shared" si="31"/>
        <v>1.4916030749999998</v>
      </c>
      <c r="J217" s="86">
        <f t="shared" si="29"/>
        <v>0</v>
      </c>
      <c r="K217" s="87">
        <f t="shared" ref="K217:K225" si="32">IF(ISERROR(J217/F217), "", J217/F217)</f>
        <v>0</v>
      </c>
    </row>
    <row r="218" spans="2:11" x14ac:dyDescent="0.3">
      <c r="B218" s="100" t="s">
        <v>190</v>
      </c>
      <c r="C218" s="80"/>
      <c r="D218" s="88">
        <v>-1.8E-3</v>
      </c>
      <c r="E218" s="102">
        <v>1</v>
      </c>
      <c r="F218" s="148">
        <f t="shared" si="30"/>
        <v>-1.8E-3</v>
      </c>
      <c r="G218" s="89">
        <f>D218</f>
        <v>-1.8E-3</v>
      </c>
      <c r="H218" s="102">
        <v>1</v>
      </c>
      <c r="I218" s="148">
        <f t="shared" si="31"/>
        <v>-1.8E-3</v>
      </c>
      <c r="J218" s="86">
        <f t="shared" si="29"/>
        <v>0</v>
      </c>
      <c r="K218" s="87">
        <f t="shared" si="32"/>
        <v>0</v>
      </c>
    </row>
    <row r="219" spans="2:11" x14ac:dyDescent="0.3">
      <c r="B219" s="100" t="s">
        <v>189</v>
      </c>
      <c r="C219" s="80"/>
      <c r="D219" s="88">
        <f>G219</f>
        <v>-2.5747448982484525E-3</v>
      </c>
      <c r="E219" s="102">
        <f>C204</f>
        <v>475</v>
      </c>
      <c r="F219" s="148">
        <f t="shared" si="30"/>
        <v>-1.223003826668015</v>
      </c>
      <c r="G219" s="156">
        <f>'[4]1576 Rate Rider Calculation'!$H$29*-1</f>
        <v>-2.5747448982484525E-3</v>
      </c>
      <c r="H219" s="102">
        <f>C204</f>
        <v>475</v>
      </c>
      <c r="I219" s="148">
        <f t="shared" si="31"/>
        <v>-1.223003826668015</v>
      </c>
      <c r="J219" s="155">
        <f t="shared" si="29"/>
        <v>0</v>
      </c>
      <c r="K219" s="87">
        <f t="shared" si="32"/>
        <v>0</v>
      </c>
    </row>
    <row r="220" spans="2:11" x14ac:dyDescent="0.3">
      <c r="B220" s="100" t="s">
        <v>191</v>
      </c>
      <c r="C220" s="80"/>
      <c r="D220" s="88">
        <v>8.9999999999999998E-4</v>
      </c>
      <c r="E220" s="102">
        <v>1</v>
      </c>
      <c r="F220" s="148">
        <f t="shared" si="30"/>
        <v>8.9999999999999998E-4</v>
      </c>
      <c r="G220" s="89">
        <f>D220</f>
        <v>8.9999999999999998E-4</v>
      </c>
      <c r="H220" s="102">
        <v>1</v>
      </c>
      <c r="I220" s="148">
        <f t="shared" si="31"/>
        <v>8.9999999999999998E-4</v>
      </c>
      <c r="J220" s="86">
        <f t="shared" si="29"/>
        <v>0</v>
      </c>
      <c r="K220" s="87">
        <f t="shared" si="32"/>
        <v>0</v>
      </c>
    </row>
    <row r="221" spans="2:11" x14ac:dyDescent="0.3">
      <c r="B221" s="100" t="s">
        <v>192</v>
      </c>
      <c r="C221" s="80"/>
      <c r="D221" s="88">
        <v>0</v>
      </c>
      <c r="E221" s="102">
        <v>475</v>
      </c>
      <c r="F221" s="148">
        <f t="shared" si="30"/>
        <v>0</v>
      </c>
      <c r="G221" s="89">
        <f>D221</f>
        <v>0</v>
      </c>
      <c r="H221" s="102">
        <v>475</v>
      </c>
      <c r="I221" s="148">
        <f t="shared" si="31"/>
        <v>0</v>
      </c>
      <c r="J221" s="86">
        <f t="shared" si="29"/>
        <v>0</v>
      </c>
      <c r="K221" s="87" t="str">
        <f t="shared" si="32"/>
        <v/>
      </c>
    </row>
    <row r="222" spans="2:11" x14ac:dyDescent="0.3">
      <c r="B222" s="79" t="s">
        <v>193</v>
      </c>
      <c r="C222" s="80"/>
      <c r="D222" s="88">
        <v>0</v>
      </c>
      <c r="E222" s="102">
        <v>1</v>
      </c>
      <c r="F222" s="148">
        <f t="shared" si="30"/>
        <v>0</v>
      </c>
      <c r="G222" s="89">
        <f>D222</f>
        <v>0</v>
      </c>
      <c r="H222" s="102">
        <v>1</v>
      </c>
      <c r="I222" s="148">
        <f t="shared" si="31"/>
        <v>0</v>
      </c>
      <c r="J222" s="86">
        <f t="shared" si="29"/>
        <v>0</v>
      </c>
      <c r="K222" s="87" t="str">
        <f t="shared" si="32"/>
        <v/>
      </c>
    </row>
    <row r="223" spans="2:11" x14ac:dyDescent="0.3">
      <c r="B223" s="100" t="s">
        <v>194</v>
      </c>
      <c r="C223" s="80"/>
      <c r="D223" s="90">
        <v>0</v>
      </c>
      <c r="E223" s="82">
        <v>1</v>
      </c>
      <c r="F223" s="148">
        <f t="shared" si="30"/>
        <v>0</v>
      </c>
      <c r="G223" s="89">
        <f>D223</f>
        <v>0</v>
      </c>
      <c r="H223" s="82">
        <v>1</v>
      </c>
      <c r="I223" s="148">
        <f t="shared" si="31"/>
        <v>0</v>
      </c>
      <c r="J223" s="86">
        <f t="shared" si="29"/>
        <v>0</v>
      </c>
      <c r="K223" s="87" t="str">
        <f t="shared" si="32"/>
        <v/>
      </c>
    </row>
    <row r="224" spans="2:11" x14ac:dyDescent="0.3">
      <c r="B224" s="79" t="s">
        <v>195</v>
      </c>
      <c r="C224" s="80"/>
      <c r="D224" s="90">
        <v>0</v>
      </c>
      <c r="E224" s="82">
        <v>1</v>
      </c>
      <c r="F224" s="148">
        <f t="shared" si="30"/>
        <v>0</v>
      </c>
      <c r="G224" s="89">
        <f>D224</f>
        <v>0</v>
      </c>
      <c r="H224" s="82">
        <v>1</v>
      </c>
      <c r="I224" s="148">
        <f t="shared" si="31"/>
        <v>0</v>
      </c>
      <c r="J224" s="86">
        <f t="shared" si="29"/>
        <v>0</v>
      </c>
      <c r="K224" s="87" t="str">
        <f t="shared" si="32"/>
        <v/>
      </c>
    </row>
    <row r="225" spans="2:11" x14ac:dyDescent="0.3">
      <c r="B225" s="79" t="s">
        <v>196</v>
      </c>
      <c r="C225" s="80"/>
      <c r="D225" s="88"/>
      <c r="E225" s="102">
        <v>1</v>
      </c>
      <c r="F225" s="148">
        <f t="shared" si="30"/>
        <v>0</v>
      </c>
      <c r="G225" s="89"/>
      <c r="H225" s="102">
        <v>1</v>
      </c>
      <c r="I225" s="148">
        <f t="shared" si="31"/>
        <v>0</v>
      </c>
      <c r="J225" s="86">
        <f t="shared" si="29"/>
        <v>0</v>
      </c>
      <c r="K225" s="87" t="str">
        <f t="shared" si="32"/>
        <v/>
      </c>
    </row>
    <row r="226" spans="2:11" ht="26.4" x14ac:dyDescent="0.3">
      <c r="B226" s="104" t="s">
        <v>197</v>
      </c>
      <c r="C226" s="105"/>
      <c r="D226" s="106"/>
      <c r="E226" s="107"/>
      <c r="F226" s="157">
        <f>SUM(F216:F225)</f>
        <v>16.204499248331985</v>
      </c>
      <c r="G226" s="109"/>
      <c r="H226" s="110"/>
      <c r="I226" s="157">
        <f>SUM(I216:I225)</f>
        <v>11.371001368530626</v>
      </c>
      <c r="J226" s="166">
        <f t="shared" si="29"/>
        <v>-4.8334978798013584</v>
      </c>
      <c r="K226" s="99">
        <f>IF((F226)=0,"",(J226/F226))</f>
        <v>-0.29828122459871115</v>
      </c>
    </row>
    <row r="227" spans="2:11" x14ac:dyDescent="0.3">
      <c r="B227" s="111" t="s">
        <v>198</v>
      </c>
      <c r="C227" s="80"/>
      <c r="D227" s="88">
        <v>2.0535999999999999</v>
      </c>
      <c r="E227" s="101">
        <v>1</v>
      </c>
      <c r="F227" s="148">
        <f t="shared" si="30"/>
        <v>2.0535999999999999</v>
      </c>
      <c r="G227" s="89">
        <f>D227</f>
        <v>2.0535999999999999</v>
      </c>
      <c r="H227" s="101">
        <v>1</v>
      </c>
      <c r="I227" s="148">
        <f t="shared" si="31"/>
        <v>2.0535999999999999</v>
      </c>
      <c r="J227" s="86">
        <f t="shared" si="29"/>
        <v>0</v>
      </c>
      <c r="K227" s="87">
        <f>IF(ISERROR(J227/F227), "", J227/F227)</f>
        <v>0</v>
      </c>
    </row>
    <row r="228" spans="2:11" ht="26.4" x14ac:dyDescent="0.3">
      <c r="B228" s="112" t="s">
        <v>199</v>
      </c>
      <c r="C228" s="80"/>
      <c r="D228" s="88">
        <v>1.8829</v>
      </c>
      <c r="E228" s="101">
        <v>1</v>
      </c>
      <c r="F228" s="148">
        <f t="shared" si="30"/>
        <v>1.8829</v>
      </c>
      <c r="G228" s="89">
        <f>D228</f>
        <v>1.8829</v>
      </c>
      <c r="H228" s="101">
        <v>1</v>
      </c>
      <c r="I228" s="148">
        <f t="shared" si="31"/>
        <v>1.8829</v>
      </c>
      <c r="J228" s="86">
        <f t="shared" si="29"/>
        <v>0</v>
      </c>
      <c r="K228" s="87">
        <f>IF(ISERROR(J228/F228), "", J228/F228)</f>
        <v>0</v>
      </c>
    </row>
    <row r="229" spans="2:11" ht="26.4" x14ac:dyDescent="0.3">
      <c r="B229" s="104" t="s">
        <v>200</v>
      </c>
      <c r="C229" s="93"/>
      <c r="D229" s="106"/>
      <c r="E229" s="107"/>
      <c r="F229" s="157">
        <f>SUM(F226:F228)</f>
        <v>20.140999248331983</v>
      </c>
      <c r="G229" s="109"/>
      <c r="H229" s="98"/>
      <c r="I229" s="157">
        <f>SUM(I226:I228)</f>
        <v>15.307501368530625</v>
      </c>
      <c r="J229" s="166">
        <f t="shared" si="29"/>
        <v>-4.8334978798013584</v>
      </c>
      <c r="K229" s="99">
        <f>IF((F229)=0,"",(J229/F229))</f>
        <v>-0.23998302269941518</v>
      </c>
    </row>
    <row r="230" spans="2:11" x14ac:dyDescent="0.3">
      <c r="B230" s="113" t="s">
        <v>201</v>
      </c>
      <c r="C230" s="80"/>
      <c r="D230" s="88">
        <v>3.3999999999999998E-3</v>
      </c>
      <c r="E230" s="101">
        <v>493.1925</v>
      </c>
      <c r="F230" s="148">
        <f t="shared" si="30"/>
        <v>1.6768544999999999</v>
      </c>
      <c r="G230" s="89">
        <f t="shared" ref="G230:G235" si="33">D230</f>
        <v>3.3999999999999998E-3</v>
      </c>
      <c r="H230" s="101">
        <v>493.1925</v>
      </c>
      <c r="I230" s="148">
        <f t="shared" si="31"/>
        <v>1.6768544999999999</v>
      </c>
      <c r="J230" s="86">
        <f t="shared" si="29"/>
        <v>0</v>
      </c>
      <c r="K230" s="87">
        <f t="shared" ref="K230:K235" si="34">IF(ISERROR(J230/F230), "", J230/F230)</f>
        <v>0</v>
      </c>
    </row>
    <row r="231" spans="2:11" x14ac:dyDescent="0.3">
      <c r="B231" s="113" t="s">
        <v>202</v>
      </c>
      <c r="C231" s="80"/>
      <c r="D231" s="88">
        <v>5.0000000000000001E-4</v>
      </c>
      <c r="E231" s="101">
        <v>493.1925</v>
      </c>
      <c r="F231" s="148">
        <f t="shared" si="30"/>
        <v>0.24659624999999999</v>
      </c>
      <c r="G231" s="89">
        <f t="shared" si="33"/>
        <v>5.0000000000000001E-4</v>
      </c>
      <c r="H231" s="101">
        <v>493.1925</v>
      </c>
      <c r="I231" s="148">
        <f t="shared" si="31"/>
        <v>0.24659624999999999</v>
      </c>
      <c r="J231" s="86">
        <f t="shared" si="29"/>
        <v>0</v>
      </c>
      <c r="K231" s="87">
        <f t="shared" si="34"/>
        <v>0</v>
      </c>
    </row>
    <row r="232" spans="2:11" x14ac:dyDescent="0.3">
      <c r="B232" s="114" t="s">
        <v>203</v>
      </c>
      <c r="C232" s="80"/>
      <c r="D232" s="90">
        <v>0.25</v>
      </c>
      <c r="E232" s="82">
        <v>1</v>
      </c>
      <c r="F232" s="148">
        <f t="shared" si="30"/>
        <v>0.25</v>
      </c>
      <c r="G232" s="91">
        <f t="shared" si="33"/>
        <v>0.25</v>
      </c>
      <c r="H232" s="85">
        <v>1</v>
      </c>
      <c r="I232" s="148">
        <f t="shared" si="31"/>
        <v>0.25</v>
      </c>
      <c r="J232" s="86">
        <f t="shared" si="29"/>
        <v>0</v>
      </c>
      <c r="K232" s="87">
        <f t="shared" si="34"/>
        <v>0</v>
      </c>
    </row>
    <row r="233" spans="2:11" x14ac:dyDescent="0.3">
      <c r="B233" s="114" t="s">
        <v>204</v>
      </c>
      <c r="C233" s="80"/>
      <c r="D233" s="115">
        <v>6.5000000000000002E-2</v>
      </c>
      <c r="E233" s="116">
        <v>308.75</v>
      </c>
      <c r="F233" s="148">
        <f t="shared" si="30"/>
        <v>20.068750000000001</v>
      </c>
      <c r="G233" s="89">
        <f t="shared" si="33"/>
        <v>6.5000000000000002E-2</v>
      </c>
      <c r="H233" s="116">
        <v>308.75</v>
      </c>
      <c r="I233" s="148">
        <f t="shared" si="31"/>
        <v>20.068750000000001</v>
      </c>
      <c r="J233" s="86">
        <f t="shared" si="29"/>
        <v>0</v>
      </c>
      <c r="K233" s="87">
        <f t="shared" si="34"/>
        <v>0</v>
      </c>
    </row>
    <row r="234" spans="2:11" x14ac:dyDescent="0.3">
      <c r="B234" s="114" t="s">
        <v>205</v>
      </c>
      <c r="C234" s="80"/>
      <c r="D234" s="115">
        <v>9.4E-2</v>
      </c>
      <c r="E234" s="116">
        <v>80.75</v>
      </c>
      <c r="F234" s="148">
        <f t="shared" si="30"/>
        <v>7.5904999999999996</v>
      </c>
      <c r="G234" s="89">
        <f t="shared" si="33"/>
        <v>9.4E-2</v>
      </c>
      <c r="H234" s="116">
        <v>80.75</v>
      </c>
      <c r="I234" s="148">
        <f t="shared" si="31"/>
        <v>7.5904999999999996</v>
      </c>
      <c r="J234" s="86">
        <f t="shared" si="29"/>
        <v>0</v>
      </c>
      <c r="K234" s="87">
        <f t="shared" si="34"/>
        <v>0</v>
      </c>
    </row>
    <row r="235" spans="2:11" ht="15" thickBot="1" x14ac:dyDescent="0.35">
      <c r="B235" s="63" t="s">
        <v>206</v>
      </c>
      <c r="C235" s="80"/>
      <c r="D235" s="115">
        <v>0.13200000000000001</v>
      </c>
      <c r="E235" s="116">
        <v>85.5</v>
      </c>
      <c r="F235" s="148">
        <f t="shared" si="30"/>
        <v>11.286000000000001</v>
      </c>
      <c r="G235" s="89">
        <f t="shared" si="33"/>
        <v>0.13200000000000001</v>
      </c>
      <c r="H235" s="116">
        <v>85.5</v>
      </c>
      <c r="I235" s="148">
        <f t="shared" si="31"/>
        <v>11.286000000000001</v>
      </c>
      <c r="J235" s="86">
        <f t="shared" si="29"/>
        <v>0</v>
      </c>
      <c r="K235" s="87">
        <f t="shared" si="34"/>
        <v>0</v>
      </c>
    </row>
    <row r="236" spans="2:11" ht="15" thickBot="1" x14ac:dyDescent="0.35">
      <c r="B236" s="117"/>
      <c r="C236" s="118"/>
      <c r="D236" s="119"/>
      <c r="E236" s="120"/>
      <c r="F236" s="121"/>
      <c r="G236" s="119"/>
      <c r="H236" s="122"/>
      <c r="I236" s="121"/>
      <c r="J236" s="123"/>
      <c r="K236" s="124"/>
    </row>
    <row r="237" spans="2:11" x14ac:dyDescent="0.3">
      <c r="B237" s="125" t="s">
        <v>207</v>
      </c>
      <c r="C237" s="114"/>
      <c r="D237" s="126"/>
      <c r="E237" s="127"/>
      <c r="F237" s="128">
        <f>SUM(F229:F235)</f>
        <v>61.259699998331989</v>
      </c>
      <c r="G237" s="129"/>
      <c r="H237" s="129"/>
      <c r="I237" s="128">
        <f>SUM(I229:I235)</f>
        <v>56.426202118530625</v>
      </c>
      <c r="J237" s="130">
        <f>I237-F237</f>
        <v>-4.8334978798013637</v>
      </c>
      <c r="K237" s="131">
        <f>IF((F237)=0,"",(J237/F237))</f>
        <v>-7.8901755639237098E-2</v>
      </c>
    </row>
    <row r="238" spans="2:11" x14ac:dyDescent="0.3">
      <c r="B238" s="132" t="s">
        <v>208</v>
      </c>
      <c r="C238" s="114"/>
      <c r="D238" s="126">
        <v>0.13</v>
      </c>
      <c r="E238" s="133"/>
      <c r="F238" s="134">
        <f>F237*D238</f>
        <v>7.9637609997831591</v>
      </c>
      <c r="G238" s="135">
        <v>0.13</v>
      </c>
      <c r="H238" s="82"/>
      <c r="I238" s="134">
        <f>I237*G238</f>
        <v>7.3354062754089817</v>
      </c>
      <c r="J238" s="86">
        <f>I238-F238</f>
        <v>-0.62835472437417739</v>
      </c>
      <c r="K238" s="136">
        <f>IF((F238)=0,"",(J238/F238))</f>
        <v>-7.8901755639237098E-2</v>
      </c>
    </row>
    <row r="239" spans="2:11" ht="15" thickBot="1" x14ac:dyDescent="0.35">
      <c r="B239" s="297" t="s">
        <v>210</v>
      </c>
      <c r="C239" s="297"/>
      <c r="D239" s="137"/>
      <c r="E239" s="138"/>
      <c r="F239" s="161">
        <f>SUM(F237:F238)</f>
        <v>69.223460998115144</v>
      </c>
      <c r="G239" s="140"/>
      <c r="H239" s="140"/>
      <c r="I239" s="161">
        <f>SUM(I237:I238)</f>
        <v>63.761608393939611</v>
      </c>
      <c r="J239" s="161">
        <f>SUM(J237:J238)</f>
        <v>-5.4618526041755411</v>
      </c>
      <c r="K239" s="143">
        <f>IF((F239)=0,"",(J239/F239))</f>
        <v>-7.8901755639237098E-2</v>
      </c>
    </row>
    <row r="240" spans="2:11" ht="15" thickBot="1" x14ac:dyDescent="0.35">
      <c r="B240" s="117"/>
      <c r="C240" s="118"/>
      <c r="D240" s="119"/>
      <c r="E240" s="120"/>
      <c r="F240" s="121"/>
      <c r="G240" s="119"/>
      <c r="H240" s="122"/>
      <c r="I240" s="121"/>
      <c r="J240" s="123"/>
      <c r="K240" s="124"/>
    </row>
    <row r="241" spans="1:11" x14ac:dyDescent="0.3">
      <c r="F241" s="144"/>
    </row>
    <row r="242" spans="1:11" x14ac:dyDescent="0.3">
      <c r="F242" s="144"/>
    </row>
    <row r="243" spans="1:11" x14ac:dyDescent="0.3">
      <c r="A243" s="63"/>
      <c r="B243" s="64" t="s">
        <v>168</v>
      </c>
      <c r="C243" s="307" t="s">
        <v>91</v>
      </c>
      <c r="D243" s="307"/>
      <c r="E243" s="307"/>
      <c r="F243" s="307"/>
      <c r="G243" s="307"/>
      <c r="H243" s="307"/>
      <c r="I243" s="63" t="s">
        <v>0</v>
      </c>
    </row>
    <row r="244" spans="1:11" x14ac:dyDescent="0.3">
      <c r="A244" s="63"/>
      <c r="B244" s="64" t="s">
        <v>169</v>
      </c>
      <c r="C244" s="308" t="s">
        <v>170</v>
      </c>
      <c r="D244" s="308"/>
      <c r="E244" s="308"/>
      <c r="F244" s="65"/>
      <c r="G244" s="65"/>
    </row>
    <row r="245" spans="1:11" ht="15.6" x14ac:dyDescent="0.3">
      <c r="A245" s="63"/>
      <c r="B245" s="64" t="s">
        <v>171</v>
      </c>
      <c r="C245" s="66">
        <v>200</v>
      </c>
      <c r="D245" s="67" t="s">
        <v>1</v>
      </c>
      <c r="E245" s="63"/>
      <c r="H245" s="68"/>
      <c r="I245" s="68"/>
      <c r="J245" s="68"/>
      <c r="K245" s="68"/>
    </row>
    <row r="246" spans="1:11" ht="15.6" x14ac:dyDescent="0.3">
      <c r="A246" s="63"/>
      <c r="B246" s="64" t="s">
        <v>172</v>
      </c>
      <c r="C246" s="66">
        <v>0</v>
      </c>
      <c r="D246" s="69" t="s">
        <v>2</v>
      </c>
      <c r="E246" s="70"/>
      <c r="F246" s="71"/>
      <c r="G246" s="71"/>
      <c r="H246" s="71"/>
    </row>
    <row r="247" spans="1:11" x14ac:dyDescent="0.3">
      <c r="A247" s="63"/>
      <c r="B247" s="64" t="s">
        <v>173</v>
      </c>
      <c r="C247" s="72">
        <v>1.0383</v>
      </c>
    </row>
    <row r="248" spans="1:11" x14ac:dyDescent="0.3">
      <c r="A248" s="63"/>
      <c r="B248" s="64" t="s">
        <v>174</v>
      </c>
      <c r="C248" s="72">
        <v>1.0383</v>
      </c>
    </row>
    <row r="249" spans="1:11" x14ac:dyDescent="0.3">
      <c r="A249" s="63"/>
      <c r="B249" s="63"/>
    </row>
    <row r="250" spans="1:11" x14ac:dyDescent="0.3">
      <c r="A250" s="63"/>
      <c r="B250" s="63"/>
      <c r="C250" s="67"/>
      <c r="D250" s="304" t="s">
        <v>175</v>
      </c>
      <c r="E250" s="305"/>
      <c r="F250" s="306"/>
      <c r="G250" s="304" t="s">
        <v>176</v>
      </c>
      <c r="H250" s="305"/>
      <c r="I250" s="306"/>
      <c r="J250" s="304" t="s">
        <v>177</v>
      </c>
      <c r="K250" s="306"/>
    </row>
    <row r="251" spans="1:11" x14ac:dyDescent="0.3">
      <c r="A251" s="63"/>
      <c r="B251" s="63"/>
      <c r="C251" s="309"/>
      <c r="D251" s="73" t="s">
        <v>178</v>
      </c>
      <c r="E251" s="73" t="s">
        <v>179</v>
      </c>
      <c r="F251" s="74" t="s">
        <v>180</v>
      </c>
      <c r="G251" s="73" t="s">
        <v>178</v>
      </c>
      <c r="H251" s="75" t="s">
        <v>179</v>
      </c>
      <c r="I251" s="74" t="s">
        <v>180</v>
      </c>
      <c r="J251" s="316" t="s">
        <v>181</v>
      </c>
      <c r="K251" s="318" t="s">
        <v>182</v>
      </c>
    </row>
    <row r="252" spans="1:11" x14ac:dyDescent="0.3">
      <c r="A252" s="63"/>
      <c r="B252" s="63"/>
      <c r="C252" s="310"/>
      <c r="D252" s="76" t="s">
        <v>183</v>
      </c>
      <c r="E252" s="76"/>
      <c r="F252" s="77" t="s">
        <v>183</v>
      </c>
      <c r="G252" s="76" t="s">
        <v>183</v>
      </c>
      <c r="H252" s="77"/>
      <c r="I252" s="77" t="s">
        <v>183</v>
      </c>
      <c r="J252" s="317"/>
      <c r="K252" s="319"/>
    </row>
    <row r="253" spans="1:11" x14ac:dyDescent="0.3">
      <c r="A253" s="78"/>
      <c r="B253" s="79" t="s">
        <v>184</v>
      </c>
      <c r="C253" s="80"/>
      <c r="D253" s="90">
        <v>17.91</v>
      </c>
      <c r="E253" s="82">
        <v>1</v>
      </c>
      <c r="F253" s="83">
        <f>E253*D253</f>
        <v>17.91</v>
      </c>
      <c r="G253" s="91">
        <f>'Table 12'!H12</f>
        <v>8.4780177962833143</v>
      </c>
      <c r="H253" s="85">
        <v>1</v>
      </c>
      <c r="I253" s="83">
        <f>H253*G253</f>
        <v>8.4780177962833143</v>
      </c>
      <c r="J253" s="86">
        <f t="shared" ref="J253:J270" si="35">I253-F253</f>
        <v>-9.4319822037166858</v>
      </c>
      <c r="K253" s="87">
        <f>IF(ISERROR(J253/F253), "", J253/F253)</f>
        <v>-0.52663217217848612</v>
      </c>
    </row>
    <row r="254" spans="1:11" x14ac:dyDescent="0.3">
      <c r="A254" s="78"/>
      <c r="B254" s="79" t="s">
        <v>79</v>
      </c>
      <c r="C254" s="80"/>
      <c r="D254" s="88">
        <v>2.06E-2</v>
      </c>
      <c r="E254" s="82">
        <v>200</v>
      </c>
      <c r="F254" s="83">
        <f>E254*D254</f>
        <v>4.12</v>
      </c>
      <c r="G254" s="89">
        <f>'Table 13'!F12</f>
        <v>9.7551728895918406E-3</v>
      </c>
      <c r="H254" s="85">
        <v>200</v>
      </c>
      <c r="I254" s="83">
        <f>H254*G254</f>
        <v>1.9510345779183682</v>
      </c>
      <c r="J254" s="86">
        <f t="shared" si="35"/>
        <v>-2.1689654220816319</v>
      </c>
      <c r="K254" s="87">
        <f t="shared" ref="K254:K270" si="36">IF(ISERROR(J254/F254), "", J254/F254)</f>
        <v>-0.52644791798097856</v>
      </c>
    </row>
    <row r="255" spans="1:11" x14ac:dyDescent="0.3">
      <c r="A255" s="78"/>
      <c r="B255" s="79" t="s">
        <v>185</v>
      </c>
      <c r="C255" s="80"/>
      <c r="D255" s="90">
        <v>0</v>
      </c>
      <c r="E255" s="82">
        <v>1</v>
      </c>
      <c r="F255" s="83">
        <f>E255*D255</f>
        <v>0</v>
      </c>
      <c r="G255" s="89">
        <f>D255</f>
        <v>0</v>
      </c>
      <c r="H255" s="85">
        <v>1</v>
      </c>
      <c r="I255" s="83">
        <f>H255*G255</f>
        <v>0</v>
      </c>
      <c r="J255" s="155">
        <f t="shared" si="35"/>
        <v>0</v>
      </c>
      <c r="K255" s="87" t="str">
        <f t="shared" si="36"/>
        <v/>
      </c>
    </row>
    <row r="256" spans="1:11" x14ac:dyDescent="0.3">
      <c r="A256" s="78"/>
      <c r="B256" s="79" t="s">
        <v>186</v>
      </c>
      <c r="C256" s="80"/>
      <c r="D256" s="88">
        <v>-2.8999999999999998E-3</v>
      </c>
      <c r="E256" s="82">
        <v>200</v>
      </c>
      <c r="F256" s="83">
        <f>E256*D256</f>
        <v>-0.57999999999999996</v>
      </c>
      <c r="G256" s="89">
        <f>D256</f>
        <v>-2.8999999999999998E-3</v>
      </c>
      <c r="H256" s="85">
        <v>200</v>
      </c>
      <c r="I256" s="83">
        <f>H256*G256</f>
        <v>-0.57999999999999996</v>
      </c>
      <c r="J256" s="155">
        <f t="shared" si="35"/>
        <v>0</v>
      </c>
      <c r="K256" s="87">
        <f t="shared" si="36"/>
        <v>0</v>
      </c>
    </row>
    <row r="257" spans="1:11" x14ac:dyDescent="0.3">
      <c r="A257" s="78">
        <v>4</v>
      </c>
      <c r="B257" s="92" t="s">
        <v>187</v>
      </c>
      <c r="C257" s="93"/>
      <c r="D257" s="94"/>
      <c r="E257" s="95"/>
      <c r="F257" s="96">
        <f>SUM(F253:F256)</f>
        <v>21.450000000000003</v>
      </c>
      <c r="G257" s="97"/>
      <c r="H257" s="98"/>
      <c r="I257" s="96">
        <f>SUM(I253:I256)</f>
        <v>9.8490523742016816</v>
      </c>
      <c r="J257" s="147">
        <f t="shared" si="35"/>
        <v>-11.600947625798321</v>
      </c>
      <c r="K257" s="99">
        <f t="shared" si="36"/>
        <v>-0.54083671915143683</v>
      </c>
    </row>
    <row r="258" spans="1:11" x14ac:dyDescent="0.3">
      <c r="A258" s="78"/>
      <c r="B258" s="100" t="s">
        <v>188</v>
      </c>
      <c r="C258" s="80"/>
      <c r="D258" s="88">
        <v>8.1990000000000007E-2</v>
      </c>
      <c r="E258" s="101">
        <v>7.6599999999999966</v>
      </c>
      <c r="F258" s="83">
        <f t="shared" ref="F258:F276" si="37">E258*D258</f>
        <v>0.62804339999999981</v>
      </c>
      <c r="G258" s="89">
        <f>D258</f>
        <v>8.1990000000000007E-2</v>
      </c>
      <c r="H258" s="101">
        <v>7.6599999999999966</v>
      </c>
      <c r="I258" s="83">
        <f t="shared" ref="I258:I276" si="38">H258*G258</f>
        <v>0.62804339999999981</v>
      </c>
      <c r="J258" s="155">
        <f t="shared" si="35"/>
        <v>0</v>
      </c>
      <c r="K258" s="87">
        <f t="shared" si="36"/>
        <v>0</v>
      </c>
    </row>
    <row r="259" spans="1:11" x14ac:dyDescent="0.3">
      <c r="A259" s="78"/>
      <c r="B259" s="100" t="s">
        <v>190</v>
      </c>
      <c r="C259" s="80"/>
      <c r="D259" s="88">
        <v>-1.8E-3</v>
      </c>
      <c r="E259" s="102">
        <v>200</v>
      </c>
      <c r="F259" s="83">
        <f t="shared" si="37"/>
        <v>-0.36</v>
      </c>
      <c r="G259" s="89">
        <f>D259</f>
        <v>-1.8E-3</v>
      </c>
      <c r="H259" s="102">
        <v>200</v>
      </c>
      <c r="I259" s="83">
        <f t="shared" si="38"/>
        <v>-0.36</v>
      </c>
      <c r="J259" s="155">
        <f t="shared" si="35"/>
        <v>0</v>
      </c>
      <c r="K259" s="87">
        <f t="shared" si="36"/>
        <v>0</v>
      </c>
    </row>
    <row r="260" spans="1:11" x14ac:dyDescent="0.3">
      <c r="A260" s="78"/>
      <c r="B260" s="100" t="s">
        <v>189</v>
      </c>
      <c r="C260" s="80"/>
      <c r="D260" s="88">
        <f>G260</f>
        <v>-2.5747448982484525E-3</v>
      </c>
      <c r="E260" s="102">
        <f>C245</f>
        <v>200</v>
      </c>
      <c r="F260" s="148">
        <f t="shared" si="37"/>
        <v>-0.51494897964969055</v>
      </c>
      <c r="G260" s="156">
        <f>'[4]1576 Rate Rider Calculation'!$H$28*-1</f>
        <v>-2.5747448982484525E-3</v>
      </c>
      <c r="H260" s="102">
        <f>C245</f>
        <v>200</v>
      </c>
      <c r="I260" s="148">
        <f t="shared" si="38"/>
        <v>-0.51494897964969055</v>
      </c>
      <c r="J260" s="155">
        <f t="shared" si="35"/>
        <v>0</v>
      </c>
      <c r="K260" s="87">
        <f t="shared" si="36"/>
        <v>0</v>
      </c>
    </row>
    <row r="261" spans="1:11" x14ac:dyDescent="0.3">
      <c r="A261" s="78"/>
      <c r="B261" s="100" t="s">
        <v>191</v>
      </c>
      <c r="C261" s="80"/>
      <c r="D261" s="88">
        <v>8.9999999999999998E-4</v>
      </c>
      <c r="E261" s="102">
        <v>200</v>
      </c>
      <c r="F261" s="83">
        <f t="shared" si="37"/>
        <v>0.18</v>
      </c>
      <c r="G261" s="89">
        <f>D261</f>
        <v>8.9999999999999998E-4</v>
      </c>
      <c r="H261" s="102">
        <v>200</v>
      </c>
      <c r="I261" s="83">
        <f t="shared" si="38"/>
        <v>0.18</v>
      </c>
      <c r="J261" s="155">
        <f t="shared" si="35"/>
        <v>0</v>
      </c>
      <c r="K261" s="87">
        <f t="shared" si="36"/>
        <v>0</v>
      </c>
    </row>
    <row r="262" spans="1:11" x14ac:dyDescent="0.3">
      <c r="A262" s="78"/>
      <c r="B262" s="100" t="s">
        <v>192</v>
      </c>
      <c r="C262" s="80"/>
      <c r="D262" s="88">
        <v>0</v>
      </c>
      <c r="E262" s="102">
        <v>200</v>
      </c>
      <c r="F262" s="83">
        <f t="shared" si="37"/>
        <v>0</v>
      </c>
      <c r="G262" s="89">
        <f>D262</f>
        <v>0</v>
      </c>
      <c r="H262" s="102">
        <v>200</v>
      </c>
      <c r="I262" s="83">
        <f t="shared" si="38"/>
        <v>0</v>
      </c>
      <c r="J262" s="155">
        <f t="shared" si="35"/>
        <v>0</v>
      </c>
      <c r="K262" s="87" t="str">
        <f t="shared" si="36"/>
        <v/>
      </c>
    </row>
    <row r="263" spans="1:11" x14ac:dyDescent="0.3">
      <c r="A263" s="78"/>
      <c r="B263" s="79" t="s">
        <v>193</v>
      </c>
      <c r="C263" s="80"/>
      <c r="D263" s="88">
        <v>0</v>
      </c>
      <c r="E263" s="102">
        <v>200</v>
      </c>
      <c r="F263" s="83">
        <f t="shared" si="37"/>
        <v>0</v>
      </c>
      <c r="G263" s="89">
        <f>D263</f>
        <v>0</v>
      </c>
      <c r="H263" s="102">
        <v>200</v>
      </c>
      <c r="I263" s="83">
        <f t="shared" si="38"/>
        <v>0</v>
      </c>
      <c r="J263" s="155">
        <f t="shared" si="35"/>
        <v>0</v>
      </c>
      <c r="K263" s="87" t="str">
        <f t="shared" si="36"/>
        <v/>
      </c>
    </row>
    <row r="264" spans="1:11" x14ac:dyDescent="0.3">
      <c r="A264" s="78"/>
      <c r="B264" s="100" t="s">
        <v>194</v>
      </c>
      <c r="C264" s="80"/>
      <c r="D264" s="90">
        <v>0</v>
      </c>
      <c r="E264" s="82">
        <v>1</v>
      </c>
      <c r="F264" s="83">
        <f t="shared" si="37"/>
        <v>0</v>
      </c>
      <c r="G264" s="89">
        <f>D264</f>
        <v>0</v>
      </c>
      <c r="H264" s="82">
        <v>1</v>
      </c>
      <c r="I264" s="83">
        <f t="shared" si="38"/>
        <v>0</v>
      </c>
      <c r="J264" s="155">
        <f t="shared" si="35"/>
        <v>0</v>
      </c>
      <c r="K264" s="87" t="str">
        <f t="shared" si="36"/>
        <v/>
      </c>
    </row>
    <row r="265" spans="1:11" x14ac:dyDescent="0.3">
      <c r="A265" s="78"/>
      <c r="B265" s="79" t="s">
        <v>195</v>
      </c>
      <c r="C265" s="80"/>
      <c r="D265" s="90">
        <v>0</v>
      </c>
      <c r="E265" s="82">
        <v>1</v>
      </c>
      <c r="F265" s="83">
        <f t="shared" si="37"/>
        <v>0</v>
      </c>
      <c r="G265" s="89">
        <f>D265</f>
        <v>0</v>
      </c>
      <c r="H265" s="82">
        <v>1</v>
      </c>
      <c r="I265" s="83">
        <f t="shared" si="38"/>
        <v>0</v>
      </c>
      <c r="J265" s="155">
        <f t="shared" si="35"/>
        <v>0</v>
      </c>
      <c r="K265" s="87" t="str">
        <f t="shared" si="36"/>
        <v/>
      </c>
    </row>
    <row r="266" spans="1:11" x14ac:dyDescent="0.3">
      <c r="A266" s="78"/>
      <c r="B266" s="79" t="s">
        <v>196</v>
      </c>
      <c r="C266" s="80"/>
      <c r="D266" s="88"/>
      <c r="E266" s="102">
        <v>200</v>
      </c>
      <c r="F266" s="83">
        <f t="shared" si="37"/>
        <v>0</v>
      </c>
      <c r="G266" s="89"/>
      <c r="H266" s="102">
        <v>200</v>
      </c>
      <c r="I266" s="83">
        <f t="shared" si="38"/>
        <v>0</v>
      </c>
      <c r="J266" s="155">
        <f t="shared" si="35"/>
        <v>0</v>
      </c>
      <c r="K266" s="87" t="str">
        <f t="shared" si="36"/>
        <v/>
      </c>
    </row>
    <row r="267" spans="1:11" ht="26.4" x14ac:dyDescent="0.3">
      <c r="A267" s="78">
        <v>4</v>
      </c>
      <c r="B267" s="104" t="s">
        <v>197</v>
      </c>
      <c r="C267" s="105"/>
      <c r="D267" s="106"/>
      <c r="E267" s="107"/>
      <c r="F267" s="108">
        <f>SUM(F257:F266)</f>
        <v>21.383094420350311</v>
      </c>
      <c r="G267" s="109"/>
      <c r="H267" s="110"/>
      <c r="I267" s="108">
        <f>SUM(I257:I266)</f>
        <v>9.7821467945519913</v>
      </c>
      <c r="J267" s="147">
        <f t="shared" si="35"/>
        <v>-11.60094762579832</v>
      </c>
      <c r="K267" s="99">
        <f t="shared" si="36"/>
        <v>-0.54252894355447856</v>
      </c>
    </row>
    <row r="268" spans="1:11" x14ac:dyDescent="0.3">
      <c r="A268" s="78"/>
      <c r="B268" s="111" t="s">
        <v>198</v>
      </c>
      <c r="C268" s="80"/>
      <c r="D268" s="88">
        <v>6.7000000000000002E-3</v>
      </c>
      <c r="E268" s="101">
        <v>207.66</v>
      </c>
      <c r="F268" s="83">
        <f t="shared" si="37"/>
        <v>1.3913219999999999</v>
      </c>
      <c r="G268" s="89">
        <f>D268</f>
        <v>6.7000000000000002E-3</v>
      </c>
      <c r="H268" s="101">
        <v>207.66</v>
      </c>
      <c r="I268" s="83">
        <f t="shared" si="38"/>
        <v>1.3913219999999999</v>
      </c>
      <c r="J268" s="155">
        <f t="shared" si="35"/>
        <v>0</v>
      </c>
      <c r="K268" s="87">
        <f t="shared" si="36"/>
        <v>0</v>
      </c>
    </row>
    <row r="269" spans="1:11" ht="26.4" x14ac:dyDescent="0.3">
      <c r="A269" s="78"/>
      <c r="B269" s="112" t="s">
        <v>199</v>
      </c>
      <c r="C269" s="80"/>
      <c r="D269" s="88">
        <v>6.1000000000000004E-3</v>
      </c>
      <c r="E269" s="101">
        <v>207.66</v>
      </c>
      <c r="F269" s="83">
        <f t="shared" si="37"/>
        <v>1.266726</v>
      </c>
      <c r="G269" s="89">
        <f>D269</f>
        <v>6.1000000000000004E-3</v>
      </c>
      <c r="H269" s="101">
        <v>207.66</v>
      </c>
      <c r="I269" s="83">
        <f t="shared" si="38"/>
        <v>1.266726</v>
      </c>
      <c r="J269" s="155">
        <f t="shared" si="35"/>
        <v>0</v>
      </c>
      <c r="K269" s="87">
        <f t="shared" si="36"/>
        <v>0</v>
      </c>
    </row>
    <row r="270" spans="1:11" ht="26.4" x14ac:dyDescent="0.3">
      <c r="A270" s="78">
        <v>4</v>
      </c>
      <c r="B270" s="104" t="s">
        <v>200</v>
      </c>
      <c r="C270" s="93"/>
      <c r="D270" s="106"/>
      <c r="E270" s="107"/>
      <c r="F270" s="108">
        <f>SUM(F267:F269)</f>
        <v>24.041142420350308</v>
      </c>
      <c r="G270" s="109"/>
      <c r="H270" s="98"/>
      <c r="I270" s="108">
        <f>SUM(I267:I269)</f>
        <v>12.440194794551992</v>
      </c>
      <c r="J270" s="147">
        <f t="shared" si="35"/>
        <v>-11.600947625798316</v>
      </c>
      <c r="K270" s="99">
        <f t="shared" si="36"/>
        <v>-0.48254560548580105</v>
      </c>
    </row>
    <row r="271" spans="1:11" x14ac:dyDescent="0.3">
      <c r="A271" s="78"/>
      <c r="B271" s="113" t="s">
        <v>201</v>
      </c>
      <c r="C271" s="80"/>
      <c r="D271" s="88">
        <v>3.3999999999999998E-3</v>
      </c>
      <c r="E271" s="101">
        <v>207.66</v>
      </c>
      <c r="F271" s="83">
        <f t="shared" si="37"/>
        <v>0.70604399999999989</v>
      </c>
      <c r="G271" s="89">
        <f t="shared" ref="G271:G276" si="39">D271</f>
        <v>3.3999999999999998E-3</v>
      </c>
      <c r="H271" s="101">
        <v>207.66</v>
      </c>
      <c r="I271" s="83">
        <f t="shared" si="38"/>
        <v>0.70604399999999989</v>
      </c>
      <c r="J271" s="155">
        <v>0</v>
      </c>
      <c r="K271" s="87">
        <v>0</v>
      </c>
    </row>
    <row r="272" spans="1:11" x14ac:dyDescent="0.3">
      <c r="A272" s="78"/>
      <c r="B272" s="113" t="s">
        <v>202</v>
      </c>
      <c r="C272" s="80"/>
      <c r="D272" s="88">
        <v>5.0000000000000001E-4</v>
      </c>
      <c r="E272" s="101">
        <v>207.66</v>
      </c>
      <c r="F272" s="83">
        <f t="shared" si="37"/>
        <v>0.10383000000000001</v>
      </c>
      <c r="G272" s="89">
        <f t="shared" si="39"/>
        <v>5.0000000000000001E-4</v>
      </c>
      <c r="H272" s="101">
        <v>207.66</v>
      </c>
      <c r="I272" s="83">
        <f t="shared" si="38"/>
        <v>0.10383000000000001</v>
      </c>
      <c r="J272" s="155">
        <v>0</v>
      </c>
      <c r="K272" s="87">
        <v>0</v>
      </c>
    </row>
    <row r="273" spans="1:11" x14ac:dyDescent="0.3">
      <c r="A273" s="78"/>
      <c r="B273" s="114" t="s">
        <v>203</v>
      </c>
      <c r="C273" s="80"/>
      <c r="D273" s="90">
        <v>0.25</v>
      </c>
      <c r="E273" s="82">
        <v>1</v>
      </c>
      <c r="F273" s="83">
        <f t="shared" si="37"/>
        <v>0.25</v>
      </c>
      <c r="G273" s="91">
        <f t="shared" si="39"/>
        <v>0.25</v>
      </c>
      <c r="H273" s="85">
        <v>1</v>
      </c>
      <c r="I273" s="83">
        <f t="shared" si="38"/>
        <v>0.25</v>
      </c>
      <c r="J273" s="155">
        <v>0</v>
      </c>
      <c r="K273" s="87">
        <v>0</v>
      </c>
    </row>
    <row r="274" spans="1:11" x14ac:dyDescent="0.3">
      <c r="A274" s="78"/>
      <c r="B274" s="114" t="s">
        <v>204</v>
      </c>
      <c r="C274" s="80"/>
      <c r="D274" s="115">
        <v>6.5000000000000002E-2</v>
      </c>
      <c r="E274" s="116">
        <v>130</v>
      </c>
      <c r="F274" s="83">
        <f t="shared" si="37"/>
        <v>8.4500000000000011</v>
      </c>
      <c r="G274" s="89">
        <f t="shared" si="39"/>
        <v>6.5000000000000002E-2</v>
      </c>
      <c r="H274" s="116">
        <v>130</v>
      </c>
      <c r="I274" s="83">
        <f t="shared" si="38"/>
        <v>8.4500000000000011</v>
      </c>
      <c r="J274" s="155">
        <v>0</v>
      </c>
      <c r="K274" s="87">
        <v>0</v>
      </c>
    </row>
    <row r="275" spans="1:11" x14ac:dyDescent="0.3">
      <c r="A275" s="78"/>
      <c r="B275" s="114" t="s">
        <v>205</v>
      </c>
      <c r="C275" s="80"/>
      <c r="D275" s="115">
        <v>9.4E-2</v>
      </c>
      <c r="E275" s="116">
        <v>34</v>
      </c>
      <c r="F275" s="83">
        <f t="shared" si="37"/>
        <v>3.1960000000000002</v>
      </c>
      <c r="G275" s="89">
        <f t="shared" si="39"/>
        <v>9.4E-2</v>
      </c>
      <c r="H275" s="116">
        <v>34</v>
      </c>
      <c r="I275" s="83">
        <f t="shared" si="38"/>
        <v>3.1960000000000002</v>
      </c>
      <c r="J275" s="155">
        <v>0</v>
      </c>
      <c r="K275" s="87">
        <v>0</v>
      </c>
    </row>
    <row r="276" spans="1:11" ht="15" thickBot="1" x14ac:dyDescent="0.35">
      <c r="A276" s="78"/>
      <c r="B276" s="63" t="s">
        <v>206</v>
      </c>
      <c r="C276" s="80"/>
      <c r="D276" s="115">
        <v>0.13200000000000001</v>
      </c>
      <c r="E276" s="116">
        <v>36</v>
      </c>
      <c r="F276" s="83">
        <f t="shared" si="37"/>
        <v>4.7520000000000007</v>
      </c>
      <c r="G276" s="89">
        <f t="shared" si="39"/>
        <v>0.13200000000000001</v>
      </c>
      <c r="H276" s="116">
        <v>36</v>
      </c>
      <c r="I276" s="83">
        <f t="shared" si="38"/>
        <v>4.7520000000000007</v>
      </c>
      <c r="J276" s="155">
        <v>0</v>
      </c>
      <c r="K276" s="87">
        <v>0</v>
      </c>
    </row>
    <row r="277" spans="1:11" ht="15" thickBot="1" x14ac:dyDescent="0.35">
      <c r="A277" s="78"/>
      <c r="B277" s="117"/>
      <c r="C277" s="118"/>
      <c r="D277" s="119"/>
      <c r="E277" s="120"/>
      <c r="F277" s="121"/>
      <c r="G277" s="119"/>
      <c r="H277" s="122"/>
      <c r="I277" s="121"/>
      <c r="J277" s="123"/>
      <c r="K277" s="124"/>
    </row>
    <row r="278" spans="1:11" x14ac:dyDescent="0.3">
      <c r="A278" s="78"/>
      <c r="B278" s="125" t="s">
        <v>207</v>
      </c>
      <c r="C278" s="114"/>
      <c r="D278" s="126"/>
      <c r="E278" s="127"/>
      <c r="F278" s="128">
        <f>SUM(F270:F276)</f>
        <v>41.499016420350308</v>
      </c>
      <c r="G278" s="129"/>
      <c r="H278" s="129"/>
      <c r="I278" s="128">
        <f>SUM(I270:I276)</f>
        <v>29.898068794551996</v>
      </c>
      <c r="J278" s="130">
        <f>I278-F278</f>
        <v>-11.600947625798312</v>
      </c>
      <c r="K278" s="131">
        <f>IF((F278)=0,"",(J278/F278))</f>
        <v>-0.27954753212197658</v>
      </c>
    </row>
    <row r="279" spans="1:11" x14ac:dyDescent="0.3">
      <c r="A279" s="78"/>
      <c r="B279" s="132" t="s">
        <v>208</v>
      </c>
      <c r="C279" s="114"/>
      <c r="D279" s="126">
        <v>0.13</v>
      </c>
      <c r="E279" s="133"/>
      <c r="F279" s="134">
        <f>F278*D279</f>
        <v>5.3948721346455404</v>
      </c>
      <c r="G279" s="135">
        <v>0.13</v>
      </c>
      <c r="H279" s="82"/>
      <c r="I279" s="134">
        <f>I278*G279</f>
        <v>3.8867489432917597</v>
      </c>
      <c r="J279" s="86">
        <f>I279-F279</f>
        <v>-1.5081231913537807</v>
      </c>
      <c r="K279" s="136">
        <f>IF((F279)=0,"",(J279/F279))</f>
        <v>-0.27954753212197658</v>
      </c>
    </row>
    <row r="280" spans="1:11" ht="15" thickBot="1" x14ac:dyDescent="0.35">
      <c r="A280" s="78">
        <v>5</v>
      </c>
      <c r="B280" s="297" t="s">
        <v>210</v>
      </c>
      <c r="C280" s="297"/>
      <c r="D280" s="137"/>
      <c r="E280" s="138"/>
      <c r="F280" s="161">
        <f>SUM(F278:F279)</f>
        <v>46.893888554995847</v>
      </c>
      <c r="G280" s="140"/>
      <c r="H280" s="140"/>
      <c r="I280" s="161">
        <f>SUM(I278:I279)</f>
        <v>33.784817737843753</v>
      </c>
      <c r="J280" s="161">
        <f>SUM(J278:J279)</f>
        <v>-13.109070817152093</v>
      </c>
      <c r="K280" s="143">
        <f>IF((F280)=0,"",(J280/F280))</f>
        <v>-0.27954753212197658</v>
      </c>
    </row>
    <row r="281" spans="1:11" ht="15" thickBot="1" x14ac:dyDescent="0.35">
      <c r="A281" s="78"/>
      <c r="B281" s="117"/>
      <c r="C281" s="118"/>
      <c r="D281" s="119"/>
      <c r="E281" s="120"/>
      <c r="F281" s="121"/>
      <c r="G281" s="119"/>
      <c r="H281" s="122"/>
      <c r="I281" s="121"/>
      <c r="J281" s="123"/>
      <c r="K281" s="124"/>
    </row>
    <row r="282" spans="1:11" x14ac:dyDescent="0.3">
      <c r="B282" t="s">
        <v>211</v>
      </c>
      <c r="F282" s="144">
        <f>F280-27.24</f>
        <v>19.653888554995849</v>
      </c>
    </row>
    <row r="283" spans="1:11" x14ac:dyDescent="0.3">
      <c r="B283" t="s">
        <v>212</v>
      </c>
      <c r="F283" s="144">
        <f>F260*1.13</f>
        <v>-0.58189234700415027</v>
      </c>
    </row>
    <row r="284" spans="1:11" x14ac:dyDescent="0.3">
      <c r="A284" s="63"/>
      <c r="B284" s="64" t="s">
        <v>168</v>
      </c>
      <c r="C284" s="307" t="s">
        <v>51</v>
      </c>
      <c r="D284" s="307"/>
      <c r="E284" s="307"/>
      <c r="F284" s="307"/>
      <c r="G284" s="307"/>
      <c r="H284" s="307"/>
      <c r="I284" s="63" t="s">
        <v>0</v>
      </c>
    </row>
    <row r="285" spans="1:11" x14ac:dyDescent="0.3">
      <c r="A285" s="63"/>
      <c r="B285" s="64" t="s">
        <v>169</v>
      </c>
      <c r="C285" s="308" t="s">
        <v>170</v>
      </c>
      <c r="D285" s="308"/>
      <c r="E285" s="308"/>
      <c r="F285" s="65"/>
      <c r="G285" s="65"/>
    </row>
    <row r="286" spans="1:11" ht="15.6" x14ac:dyDescent="0.3">
      <c r="A286" s="63"/>
      <c r="B286" s="64" t="s">
        <v>171</v>
      </c>
      <c r="C286" s="66">
        <v>236</v>
      </c>
      <c r="D286" s="67" t="s">
        <v>1</v>
      </c>
      <c r="E286" s="63"/>
      <c r="H286" s="68"/>
      <c r="I286" s="68"/>
      <c r="J286" s="68"/>
      <c r="K286" s="68"/>
    </row>
    <row r="287" spans="1:11" ht="15.6" x14ac:dyDescent="0.3">
      <c r="A287" s="63"/>
      <c r="B287" s="64" t="s">
        <v>172</v>
      </c>
      <c r="C287" s="66">
        <v>0</v>
      </c>
      <c r="D287" s="69" t="s">
        <v>2</v>
      </c>
      <c r="E287" s="70"/>
      <c r="F287" s="71"/>
      <c r="G287" s="71"/>
      <c r="H287" s="71"/>
    </row>
    <row r="288" spans="1:11" x14ac:dyDescent="0.3">
      <c r="A288" s="63"/>
      <c r="B288" s="64" t="s">
        <v>173</v>
      </c>
      <c r="C288" s="72">
        <v>1.0383</v>
      </c>
    </row>
    <row r="289" spans="1:11" x14ac:dyDescent="0.3">
      <c r="A289" s="63"/>
      <c r="B289" s="64" t="s">
        <v>174</v>
      </c>
      <c r="C289" s="72">
        <v>1.0383</v>
      </c>
    </row>
    <row r="290" spans="1:11" x14ac:dyDescent="0.3">
      <c r="A290" s="63"/>
      <c r="B290" s="63"/>
    </row>
    <row r="291" spans="1:11" x14ac:dyDescent="0.3">
      <c r="A291" s="63"/>
      <c r="B291" s="63"/>
      <c r="C291" s="67"/>
      <c r="D291" s="304" t="s">
        <v>175</v>
      </c>
      <c r="E291" s="305"/>
      <c r="F291" s="306"/>
      <c r="G291" s="304" t="s">
        <v>176</v>
      </c>
      <c r="H291" s="305"/>
      <c r="I291" s="306"/>
      <c r="J291" s="304" t="s">
        <v>177</v>
      </c>
      <c r="K291" s="306"/>
    </row>
    <row r="292" spans="1:11" x14ac:dyDescent="0.3">
      <c r="A292" s="63"/>
      <c r="B292" s="63"/>
      <c r="C292" s="309"/>
      <c r="D292" s="73" t="s">
        <v>178</v>
      </c>
      <c r="E292" s="73" t="s">
        <v>179</v>
      </c>
      <c r="F292" s="74" t="s">
        <v>180</v>
      </c>
      <c r="G292" s="73" t="s">
        <v>178</v>
      </c>
      <c r="H292" s="75" t="s">
        <v>179</v>
      </c>
      <c r="I292" s="74" t="s">
        <v>180</v>
      </c>
      <c r="J292" s="316" t="s">
        <v>181</v>
      </c>
      <c r="K292" s="318" t="s">
        <v>182</v>
      </c>
    </row>
    <row r="293" spans="1:11" x14ac:dyDescent="0.3">
      <c r="A293" s="63"/>
      <c r="B293" s="63"/>
      <c r="C293" s="310"/>
      <c r="D293" s="76" t="s">
        <v>183</v>
      </c>
      <c r="E293" s="76"/>
      <c r="F293" s="77" t="s">
        <v>183</v>
      </c>
      <c r="G293" s="76" t="s">
        <v>183</v>
      </c>
      <c r="H293" s="77"/>
      <c r="I293" s="77" t="s">
        <v>183</v>
      </c>
      <c r="J293" s="317"/>
      <c r="K293" s="319"/>
    </row>
    <row r="294" spans="1:11" x14ac:dyDescent="0.3">
      <c r="A294" s="78"/>
      <c r="B294" s="79" t="s">
        <v>184</v>
      </c>
      <c r="C294" s="80"/>
      <c r="D294" s="90">
        <v>27.61</v>
      </c>
      <c r="E294" s="82">
        <v>1</v>
      </c>
      <c r="F294" s="148">
        <f>IFERROR((D294*E294),"")</f>
        <v>27.61</v>
      </c>
      <c r="G294" s="91">
        <f>'Table 12'!H6</f>
        <v>28.539336541802054</v>
      </c>
      <c r="H294" s="85">
        <v>1</v>
      </c>
      <c r="I294" s="148">
        <f>IFERROR((G294*H294),"")</f>
        <v>28.539336541802054</v>
      </c>
      <c r="J294" s="155">
        <f>IFERROR((I294-F294),"")</f>
        <v>0.92933654180205494</v>
      </c>
      <c r="K294" s="87">
        <f>IFERROR(((I294-F294)/F294),"")</f>
        <v>3.3659418391961425E-2</v>
      </c>
    </row>
    <row r="295" spans="1:11" x14ac:dyDescent="0.3">
      <c r="A295" s="78"/>
      <c r="B295" s="79" t="s">
        <v>79</v>
      </c>
      <c r="C295" s="80"/>
      <c r="D295" s="88">
        <v>0</v>
      </c>
      <c r="E295" s="82">
        <v>236</v>
      </c>
      <c r="F295" s="148">
        <f>IFERROR((D295*E295),"")</f>
        <v>0</v>
      </c>
      <c r="G295" s="89">
        <f>D295</f>
        <v>0</v>
      </c>
      <c r="H295" s="85">
        <v>236</v>
      </c>
      <c r="I295" s="148">
        <f>IFERROR((G295*H295),"")</f>
        <v>0</v>
      </c>
      <c r="J295" s="155">
        <f>IFERROR((I295-F295),"")</f>
        <v>0</v>
      </c>
      <c r="K295" s="87" t="str">
        <f>IFERROR(((I295-F295)/F295),"")</f>
        <v/>
      </c>
    </row>
    <row r="296" spans="1:11" x14ac:dyDescent="0.3">
      <c r="A296" s="78"/>
      <c r="B296" s="79" t="s">
        <v>185</v>
      </c>
      <c r="C296" s="80"/>
      <c r="D296" s="90">
        <v>-1.8</v>
      </c>
      <c r="E296" s="82">
        <v>1</v>
      </c>
      <c r="F296" s="148">
        <f>IFERROR((D296*E296),"")</f>
        <v>-1.8</v>
      </c>
      <c r="G296" s="91">
        <f>D296</f>
        <v>-1.8</v>
      </c>
      <c r="H296" s="85">
        <v>1</v>
      </c>
      <c r="I296" s="148">
        <f>IFERROR((G296*H296),"")</f>
        <v>-1.8</v>
      </c>
      <c r="J296" s="155">
        <f>IFERROR((I296-F296),"")</f>
        <v>0</v>
      </c>
      <c r="K296" s="87">
        <f>IFERROR(((I296-F296)/F296),"")</f>
        <v>0</v>
      </c>
    </row>
    <row r="297" spans="1:11" x14ac:dyDescent="0.3">
      <c r="A297" s="78"/>
      <c r="B297" s="79" t="s">
        <v>186</v>
      </c>
      <c r="C297" s="80"/>
      <c r="D297" s="88">
        <v>5.0000000000000001E-4</v>
      </c>
      <c r="E297" s="82">
        <v>236</v>
      </c>
      <c r="F297" s="148">
        <f>IFERROR((D297*E297),"")</f>
        <v>0.11800000000000001</v>
      </c>
      <c r="G297" s="89">
        <f>D297</f>
        <v>5.0000000000000001E-4</v>
      </c>
      <c r="H297" s="85">
        <v>236</v>
      </c>
      <c r="I297" s="148">
        <f>IFERROR((G297*H297),"")</f>
        <v>0.11800000000000001</v>
      </c>
      <c r="J297" s="155">
        <f>IFERROR((I297-F297),"")</f>
        <v>0</v>
      </c>
      <c r="K297" s="87">
        <f>IFERROR(((I297-F297)/F297),"")</f>
        <v>0</v>
      </c>
    </row>
    <row r="298" spans="1:11" x14ac:dyDescent="0.3">
      <c r="A298" s="78">
        <v>7</v>
      </c>
      <c r="B298" s="92" t="s">
        <v>187</v>
      </c>
      <c r="C298" s="93"/>
      <c r="D298" s="94"/>
      <c r="E298" s="95"/>
      <c r="F298" s="96">
        <f>SUM(F294:F297)</f>
        <v>25.927999999999997</v>
      </c>
      <c r="G298" s="97"/>
      <c r="H298" s="98"/>
      <c r="I298" s="96">
        <f>SUM(I294:I297)</f>
        <v>26.857336541802052</v>
      </c>
      <c r="J298" s="96">
        <f>SUM(J294:J297)</f>
        <v>0.92933654180205494</v>
      </c>
      <c r="K298" s="99">
        <f>(I298-F298)/F298</f>
        <v>3.5842970603288143E-2</v>
      </c>
    </row>
    <row r="299" spans="1:11" x14ac:dyDescent="0.3">
      <c r="A299" s="78"/>
      <c r="B299" s="100" t="s">
        <v>188</v>
      </c>
      <c r="C299" s="80"/>
      <c r="D299" s="88">
        <v>8.1990000000000007E-2</v>
      </c>
      <c r="E299" s="101">
        <v>9.038800000000009</v>
      </c>
      <c r="F299" s="148">
        <f t="shared" ref="F299:F317" si="40">IFERROR((D299*E299),"")</f>
        <v>0.74109121200000083</v>
      </c>
      <c r="G299" s="89">
        <f>D299</f>
        <v>8.1990000000000007E-2</v>
      </c>
      <c r="H299" s="101">
        <v>9.038800000000009</v>
      </c>
      <c r="I299" s="148">
        <f>IFERROR((G299*H299),"")</f>
        <v>0.74109121200000083</v>
      </c>
      <c r="J299" s="155">
        <f>IFERROR((I299-F299),"")</f>
        <v>0</v>
      </c>
      <c r="K299" s="87">
        <f>IFERROR(((I299-F299)/F299),"")</f>
        <v>0</v>
      </c>
    </row>
    <row r="300" spans="1:11" x14ac:dyDescent="0.3">
      <c r="A300" s="78"/>
      <c r="B300" s="100" t="s">
        <v>190</v>
      </c>
      <c r="C300" s="80"/>
      <c r="D300" s="88">
        <v>-1.6999999999999999E-3</v>
      </c>
      <c r="E300" s="102">
        <v>236</v>
      </c>
      <c r="F300" s="148">
        <f t="shared" si="40"/>
        <v>-0.4012</v>
      </c>
      <c r="G300" s="89">
        <f>D300</f>
        <v>-1.6999999999999999E-3</v>
      </c>
      <c r="H300" s="102">
        <v>236</v>
      </c>
      <c r="I300" s="148">
        <f t="shared" ref="I300:I307" si="41">IFERROR((G300*H300),"")</f>
        <v>-0.4012</v>
      </c>
      <c r="J300" s="155">
        <f t="shared" ref="J300:J305" si="42">IFERROR((I300-F300),"")</f>
        <v>0</v>
      </c>
      <c r="K300" s="87">
        <f t="shared" ref="K300:K305" si="43">IFERROR(((I300-F300)/F300),"")</f>
        <v>0</v>
      </c>
    </row>
    <row r="301" spans="1:11" x14ac:dyDescent="0.3">
      <c r="A301" s="78"/>
      <c r="B301" s="100" t="s">
        <v>189</v>
      </c>
      <c r="C301" s="80"/>
      <c r="D301" s="88">
        <f>G301</f>
        <v>-1.7368612430114307</v>
      </c>
      <c r="E301" s="102">
        <v>1</v>
      </c>
      <c r="F301" s="83">
        <f>E301*D301</f>
        <v>-1.7368612430114307</v>
      </c>
      <c r="G301" s="89">
        <f>'[4]1576 Rate Rider Calculation'!$H$25*-1</f>
        <v>-1.7368612430114307</v>
      </c>
      <c r="H301" s="102">
        <v>1</v>
      </c>
      <c r="I301" s="83">
        <f>H301*G301</f>
        <v>-1.7368612430114307</v>
      </c>
      <c r="J301" s="86">
        <f>I301-F301</f>
        <v>0</v>
      </c>
      <c r="K301" s="87">
        <f>IF(ISERROR(J301/F301), "", J301/F301)</f>
        <v>0</v>
      </c>
    </row>
    <row r="302" spans="1:11" x14ac:dyDescent="0.3">
      <c r="A302" s="78"/>
      <c r="B302" s="100" t="s">
        <v>191</v>
      </c>
      <c r="C302" s="80"/>
      <c r="D302" s="88">
        <v>8.9999999999999998E-4</v>
      </c>
      <c r="E302" s="102">
        <v>236</v>
      </c>
      <c r="F302" s="148">
        <f t="shared" si="40"/>
        <v>0.21240000000000001</v>
      </c>
      <c r="G302" s="89">
        <f>D302</f>
        <v>8.9999999999999998E-4</v>
      </c>
      <c r="H302" s="102">
        <v>236</v>
      </c>
      <c r="I302" s="148">
        <f t="shared" si="41"/>
        <v>0.21240000000000001</v>
      </c>
      <c r="J302" s="155">
        <f t="shared" si="42"/>
        <v>0</v>
      </c>
      <c r="K302" s="87">
        <f t="shared" si="43"/>
        <v>0</v>
      </c>
    </row>
    <row r="303" spans="1:11" x14ac:dyDescent="0.3">
      <c r="A303" s="78"/>
      <c r="B303" s="100" t="s">
        <v>192</v>
      </c>
      <c r="C303" s="80"/>
      <c r="D303" s="88">
        <v>0</v>
      </c>
      <c r="E303" s="102">
        <v>236</v>
      </c>
      <c r="F303" s="148">
        <f t="shared" si="40"/>
        <v>0</v>
      </c>
      <c r="G303" s="89">
        <f>D303</f>
        <v>0</v>
      </c>
      <c r="H303" s="102">
        <v>236</v>
      </c>
      <c r="I303" s="148">
        <f t="shared" si="41"/>
        <v>0</v>
      </c>
      <c r="J303" s="155">
        <f t="shared" si="42"/>
        <v>0</v>
      </c>
      <c r="K303" s="87" t="str">
        <f t="shared" si="43"/>
        <v/>
      </c>
    </row>
    <row r="304" spans="1:11" x14ac:dyDescent="0.3">
      <c r="A304" s="78"/>
      <c r="B304" s="79" t="s">
        <v>193</v>
      </c>
      <c r="C304" s="80"/>
      <c r="D304" s="88">
        <v>0</v>
      </c>
      <c r="E304" s="102">
        <v>236</v>
      </c>
      <c r="F304" s="148">
        <f t="shared" si="40"/>
        <v>0</v>
      </c>
      <c r="G304" s="89">
        <f>D304</f>
        <v>0</v>
      </c>
      <c r="H304" s="102">
        <v>236</v>
      </c>
      <c r="I304" s="148">
        <f t="shared" si="41"/>
        <v>0</v>
      </c>
      <c r="J304" s="155">
        <f t="shared" si="42"/>
        <v>0</v>
      </c>
      <c r="K304" s="87" t="str">
        <f t="shared" si="43"/>
        <v/>
      </c>
    </row>
    <row r="305" spans="1:11" x14ac:dyDescent="0.3">
      <c r="A305" s="78"/>
      <c r="B305" s="100" t="s">
        <v>194</v>
      </c>
      <c r="C305" s="80"/>
      <c r="D305" s="90">
        <v>0.56999999999999995</v>
      </c>
      <c r="E305" s="82">
        <v>1</v>
      </c>
      <c r="F305" s="148">
        <f t="shared" si="40"/>
        <v>0.56999999999999995</v>
      </c>
      <c r="G305" s="91">
        <f>D305</f>
        <v>0.56999999999999995</v>
      </c>
      <c r="H305" s="82">
        <v>1</v>
      </c>
      <c r="I305" s="148">
        <f t="shared" si="41"/>
        <v>0.56999999999999995</v>
      </c>
      <c r="J305" s="155">
        <f t="shared" si="42"/>
        <v>0</v>
      </c>
      <c r="K305" s="87">
        <f t="shared" si="43"/>
        <v>0</v>
      </c>
    </row>
    <row r="306" spans="1:11" x14ac:dyDescent="0.3">
      <c r="A306" s="78"/>
      <c r="B306" s="79" t="s">
        <v>195</v>
      </c>
      <c r="C306" s="80"/>
      <c r="D306" s="90">
        <v>0</v>
      </c>
      <c r="E306" s="82">
        <v>1</v>
      </c>
      <c r="F306" s="148">
        <f t="shared" si="40"/>
        <v>0</v>
      </c>
      <c r="G306" s="91">
        <v>0</v>
      </c>
      <c r="H306" s="82">
        <v>1</v>
      </c>
      <c r="I306" s="148">
        <f t="shared" si="41"/>
        <v>0</v>
      </c>
      <c r="J306" s="155">
        <f>IFERROR((I306-F306),"")</f>
        <v>0</v>
      </c>
      <c r="K306" s="87" t="str">
        <f>IFERROR(((I306-F306)/F306),"")</f>
        <v/>
      </c>
    </row>
    <row r="307" spans="1:11" x14ac:dyDescent="0.3">
      <c r="A307" s="78"/>
      <c r="B307" s="79" t="s">
        <v>196</v>
      </c>
      <c r="C307" s="80"/>
      <c r="D307" s="88"/>
      <c r="E307" s="102">
        <v>236</v>
      </c>
      <c r="F307" s="148">
        <f t="shared" si="40"/>
        <v>0</v>
      </c>
      <c r="G307" s="89"/>
      <c r="H307" s="102">
        <v>236</v>
      </c>
      <c r="I307" s="148">
        <f t="shared" si="41"/>
        <v>0</v>
      </c>
      <c r="J307" s="155">
        <f>IFERROR((I307-F307),"")</f>
        <v>0</v>
      </c>
      <c r="K307" s="87" t="str">
        <f>IFERROR(((I307-F307)/F307),"")</f>
        <v/>
      </c>
    </row>
    <row r="308" spans="1:11" ht="26.4" x14ac:dyDescent="0.3">
      <c r="A308" s="78">
        <v>7</v>
      </c>
      <c r="B308" s="104" t="s">
        <v>197</v>
      </c>
      <c r="C308" s="105"/>
      <c r="D308" s="106"/>
      <c r="E308" s="107"/>
      <c r="F308" s="147">
        <f>SUM(F298:F307)</f>
        <v>25.313429968988569</v>
      </c>
      <c r="G308" s="109"/>
      <c r="H308" s="110"/>
      <c r="I308" s="147">
        <f>SUM(I298:I307)</f>
        <v>26.24276651079062</v>
      </c>
      <c r="J308" s="147">
        <f>SUM(J298:J307)</f>
        <v>0.92933654180205494</v>
      </c>
      <c r="K308" s="99">
        <f>(I308-F308)/F308</f>
        <v>3.6713181222006647E-2</v>
      </c>
    </row>
    <row r="309" spans="1:11" x14ac:dyDescent="0.3">
      <c r="A309" s="78"/>
      <c r="B309" s="111" t="s">
        <v>198</v>
      </c>
      <c r="C309" s="80"/>
      <c r="D309" s="88">
        <v>7.4000000000000003E-3</v>
      </c>
      <c r="E309" s="101">
        <v>245.03880000000001</v>
      </c>
      <c r="F309" s="148">
        <f t="shared" si="40"/>
        <v>1.8132871200000003</v>
      </c>
      <c r="G309" s="89">
        <f>D309</f>
        <v>7.4000000000000003E-3</v>
      </c>
      <c r="H309" s="101">
        <v>245.03880000000001</v>
      </c>
      <c r="I309" s="148">
        <f>IFERROR((G309*H309),"")</f>
        <v>1.8132871200000003</v>
      </c>
      <c r="J309" s="155">
        <f>IFERROR((I309-F309),"")</f>
        <v>0</v>
      </c>
      <c r="K309" s="87">
        <f>IFERROR(((I309-F309)/F309),"")</f>
        <v>0</v>
      </c>
    </row>
    <row r="310" spans="1:11" ht="26.4" x14ac:dyDescent="0.3">
      <c r="A310" s="78"/>
      <c r="B310" s="112" t="s">
        <v>199</v>
      </c>
      <c r="C310" s="80"/>
      <c r="D310" s="88">
        <v>6.7999999999999996E-3</v>
      </c>
      <c r="E310" s="101">
        <v>245.03880000000001</v>
      </c>
      <c r="F310" s="148">
        <f t="shared" si="40"/>
        <v>1.6662638400000001</v>
      </c>
      <c r="G310" s="89">
        <f>D310</f>
        <v>6.7999999999999996E-3</v>
      </c>
      <c r="H310" s="101">
        <v>245.03880000000001</v>
      </c>
      <c r="I310" s="148">
        <f>IFERROR((G310*H310),"")</f>
        <v>1.6662638400000001</v>
      </c>
      <c r="J310" s="155">
        <f>IFERROR((I310-F310),"")</f>
        <v>0</v>
      </c>
      <c r="K310" s="87">
        <f>IFERROR(((I310-F310)/F310),"")</f>
        <v>0</v>
      </c>
    </row>
    <row r="311" spans="1:11" ht="26.4" x14ac:dyDescent="0.3">
      <c r="A311" s="78">
        <v>7</v>
      </c>
      <c r="B311" s="104" t="s">
        <v>200</v>
      </c>
      <c r="C311" s="93"/>
      <c r="D311" s="106"/>
      <c r="E311" s="107"/>
      <c r="F311" s="147">
        <f>SUM(F308:F310)</f>
        <v>28.79298092898857</v>
      </c>
      <c r="G311" s="109"/>
      <c r="H311" s="98"/>
      <c r="I311" s="147">
        <f>SUM(I308:I310)</f>
        <v>29.722317470790621</v>
      </c>
      <c r="J311" s="147">
        <f>SUM(J308:J310)</f>
        <v>0.92933654180205494</v>
      </c>
      <c r="K311" s="99">
        <f>(I311-F311)/F311</f>
        <v>3.2276496278521895E-2</v>
      </c>
    </row>
    <row r="312" spans="1:11" x14ac:dyDescent="0.3">
      <c r="A312" s="78"/>
      <c r="B312" s="113" t="s">
        <v>201</v>
      </c>
      <c r="C312" s="80"/>
      <c r="D312" s="88">
        <v>3.3999999999999998E-3</v>
      </c>
      <c r="E312" s="101">
        <v>245.03880000000001</v>
      </c>
      <c r="F312" s="148">
        <f t="shared" si="40"/>
        <v>0.83313192000000003</v>
      </c>
      <c r="G312" s="89">
        <f t="shared" ref="G312:G317" si="44">D312</f>
        <v>3.3999999999999998E-3</v>
      </c>
      <c r="H312" s="101">
        <v>245.03880000000001</v>
      </c>
      <c r="I312" s="148">
        <f t="shared" ref="I312:I317" si="45">IFERROR((G312*H312),"")</f>
        <v>0.83313192000000003</v>
      </c>
      <c r="J312" s="155">
        <f t="shared" ref="J312:J317" si="46">IFERROR((I312-F312),"")</f>
        <v>0</v>
      </c>
      <c r="K312" s="87">
        <f t="shared" ref="K312:K317" si="47">IFERROR(((I312-F312)/F312),"")</f>
        <v>0</v>
      </c>
    </row>
    <row r="313" spans="1:11" x14ac:dyDescent="0.3">
      <c r="A313" s="78"/>
      <c r="B313" s="113" t="s">
        <v>202</v>
      </c>
      <c r="C313" s="80"/>
      <c r="D313" s="88">
        <v>5.0000000000000001E-4</v>
      </c>
      <c r="E313" s="101">
        <v>245.03880000000001</v>
      </c>
      <c r="F313" s="148">
        <f t="shared" si="40"/>
        <v>0.1225194</v>
      </c>
      <c r="G313" s="89">
        <f t="shared" si="44"/>
        <v>5.0000000000000001E-4</v>
      </c>
      <c r="H313" s="101">
        <v>245.03880000000001</v>
      </c>
      <c r="I313" s="148">
        <f t="shared" si="45"/>
        <v>0.1225194</v>
      </c>
      <c r="J313" s="155">
        <f t="shared" si="46"/>
        <v>0</v>
      </c>
      <c r="K313" s="87">
        <f t="shared" si="47"/>
        <v>0</v>
      </c>
    </row>
    <row r="314" spans="1:11" x14ac:dyDescent="0.3">
      <c r="A314" s="78"/>
      <c r="B314" s="114" t="s">
        <v>203</v>
      </c>
      <c r="C314" s="80"/>
      <c r="D314" s="90">
        <v>0.25</v>
      </c>
      <c r="E314" s="82">
        <v>1</v>
      </c>
      <c r="F314" s="148">
        <f t="shared" si="40"/>
        <v>0.25</v>
      </c>
      <c r="G314" s="91">
        <f t="shared" si="44"/>
        <v>0.25</v>
      </c>
      <c r="H314" s="85">
        <v>1</v>
      </c>
      <c r="I314" s="148">
        <f t="shared" si="45"/>
        <v>0.25</v>
      </c>
      <c r="J314" s="155">
        <f t="shared" si="46"/>
        <v>0</v>
      </c>
      <c r="K314" s="87">
        <f t="shared" si="47"/>
        <v>0</v>
      </c>
    </row>
    <row r="315" spans="1:11" x14ac:dyDescent="0.3">
      <c r="A315" s="78"/>
      <c r="B315" s="114" t="s">
        <v>204</v>
      </c>
      <c r="C315" s="80"/>
      <c r="D315" s="115">
        <v>6.5000000000000002E-2</v>
      </c>
      <c r="E315" s="116">
        <v>153.4</v>
      </c>
      <c r="F315" s="148">
        <f t="shared" si="40"/>
        <v>9.9710000000000001</v>
      </c>
      <c r="G315" s="89">
        <f t="shared" si="44"/>
        <v>6.5000000000000002E-2</v>
      </c>
      <c r="H315" s="116">
        <v>153.4</v>
      </c>
      <c r="I315" s="148">
        <f t="shared" si="45"/>
        <v>9.9710000000000001</v>
      </c>
      <c r="J315" s="155">
        <f t="shared" si="46"/>
        <v>0</v>
      </c>
      <c r="K315" s="87">
        <f t="shared" si="47"/>
        <v>0</v>
      </c>
    </row>
    <row r="316" spans="1:11" x14ac:dyDescent="0.3">
      <c r="A316" s="78"/>
      <c r="B316" s="114" t="s">
        <v>205</v>
      </c>
      <c r="C316" s="80"/>
      <c r="D316" s="115">
        <v>9.4E-2</v>
      </c>
      <c r="E316" s="116">
        <v>40.120000000000005</v>
      </c>
      <c r="F316" s="148">
        <f t="shared" si="40"/>
        <v>3.7712800000000004</v>
      </c>
      <c r="G316" s="89">
        <f t="shared" si="44"/>
        <v>9.4E-2</v>
      </c>
      <c r="H316" s="116">
        <v>40.120000000000005</v>
      </c>
      <c r="I316" s="148">
        <f t="shared" si="45"/>
        <v>3.7712800000000004</v>
      </c>
      <c r="J316" s="155">
        <f t="shared" si="46"/>
        <v>0</v>
      </c>
      <c r="K316" s="87">
        <f t="shared" si="47"/>
        <v>0</v>
      </c>
    </row>
    <row r="317" spans="1:11" ht="15" thickBot="1" x14ac:dyDescent="0.35">
      <c r="A317" s="78"/>
      <c r="B317" s="63" t="s">
        <v>206</v>
      </c>
      <c r="C317" s="80"/>
      <c r="D317" s="115">
        <v>0.13200000000000001</v>
      </c>
      <c r="E317" s="116">
        <v>42.48</v>
      </c>
      <c r="F317" s="148">
        <f t="shared" si="40"/>
        <v>5.6073599999999999</v>
      </c>
      <c r="G317" s="89">
        <f t="shared" si="44"/>
        <v>0.13200000000000001</v>
      </c>
      <c r="H317" s="116">
        <v>42.48</v>
      </c>
      <c r="I317" s="148">
        <f t="shared" si="45"/>
        <v>5.6073599999999999</v>
      </c>
      <c r="J317" s="155">
        <f t="shared" si="46"/>
        <v>0</v>
      </c>
      <c r="K317" s="87">
        <f t="shared" si="47"/>
        <v>0</v>
      </c>
    </row>
    <row r="318" spans="1:11" ht="15" thickBot="1" x14ac:dyDescent="0.35">
      <c r="A318" s="78"/>
      <c r="B318" s="117"/>
      <c r="C318" s="118"/>
      <c r="D318" s="119"/>
      <c r="E318" s="120"/>
      <c r="F318" s="121"/>
      <c r="G318" s="119"/>
      <c r="H318" s="122"/>
      <c r="I318" s="121"/>
      <c r="J318" s="123"/>
      <c r="K318" s="124"/>
    </row>
    <row r="319" spans="1:11" x14ac:dyDescent="0.3">
      <c r="A319" s="78"/>
      <c r="B319" s="125" t="s">
        <v>207</v>
      </c>
      <c r="C319" s="114"/>
      <c r="D319" s="126"/>
      <c r="E319" s="127"/>
      <c r="F319" s="128">
        <f>SUM(F312:F317,F311)</f>
        <v>49.348272248988572</v>
      </c>
      <c r="G319" s="129"/>
      <c r="H319" s="129"/>
      <c r="I319" s="128">
        <f>SUM(I312:I317,I311)</f>
        <v>50.277608790790623</v>
      </c>
      <c r="J319" s="130">
        <f>I319-F319</f>
        <v>0.92933654180205139</v>
      </c>
      <c r="K319" s="131">
        <f>IF((F319)=0,"",(J319/F319))</f>
        <v>1.883220018551103E-2</v>
      </c>
    </row>
    <row r="320" spans="1:11" x14ac:dyDescent="0.3">
      <c r="A320" s="78"/>
      <c r="B320" s="132" t="s">
        <v>208</v>
      </c>
      <c r="C320" s="114"/>
      <c r="D320" s="126">
        <v>0.13</v>
      </c>
      <c r="E320" s="133"/>
      <c r="F320" s="134">
        <f>F319*D320</f>
        <v>6.4152753923685149</v>
      </c>
      <c r="G320" s="135">
        <v>0.13</v>
      </c>
      <c r="H320" s="82"/>
      <c r="I320" s="134">
        <f>I319*G320</f>
        <v>6.5360891428027816</v>
      </c>
      <c r="J320" s="86">
        <f>I320-F320</f>
        <v>0.12081375043426679</v>
      </c>
      <c r="K320" s="136">
        <f>IF((F320)=0,"",(J320/F320))</f>
        <v>1.8832200185511044E-2</v>
      </c>
    </row>
    <row r="321" spans="1:11" x14ac:dyDescent="0.3">
      <c r="A321" s="78"/>
      <c r="B321" s="132" t="s">
        <v>209</v>
      </c>
      <c r="C321" s="114"/>
      <c r="D321" s="126">
        <v>0.08</v>
      </c>
      <c r="E321" s="133"/>
      <c r="F321" s="134">
        <f>F319*-D321</f>
        <v>-3.9478617799190858</v>
      </c>
      <c r="G321" s="126">
        <v>0.08</v>
      </c>
      <c r="H321" s="82"/>
      <c r="I321" s="134">
        <f>I319*-G321</f>
        <v>-4.0222087032632503</v>
      </c>
      <c r="J321" s="86">
        <f>I321-F321</f>
        <v>-7.4346923344164484E-2</v>
      </c>
      <c r="K321" s="136"/>
    </row>
    <row r="322" spans="1:11" ht="15" thickBot="1" x14ac:dyDescent="0.35">
      <c r="A322" s="78">
        <v>7</v>
      </c>
      <c r="B322" s="297" t="s">
        <v>210</v>
      </c>
      <c r="C322" s="297"/>
      <c r="D322" s="137"/>
      <c r="E322" s="138"/>
      <c r="F322" s="139">
        <f>F319+F320+F321</f>
        <v>51.815685861437998</v>
      </c>
      <c r="G322" s="140"/>
      <c r="H322" s="140"/>
      <c r="I322" s="141">
        <f>I319+I320+I321</f>
        <v>52.79148923033015</v>
      </c>
      <c r="J322" s="142">
        <f>I322-F322</f>
        <v>0.97580336889215147</v>
      </c>
      <c r="K322" s="143">
        <f>IF((F322)=0,"",(J322/F322))</f>
        <v>1.8832200185510982E-2</v>
      </c>
    </row>
    <row r="323" spans="1:11" ht="15" thickBot="1" x14ac:dyDescent="0.35">
      <c r="A323" s="78"/>
      <c r="B323" s="117"/>
      <c r="C323" s="118"/>
      <c r="D323" s="119"/>
      <c r="E323" s="120"/>
      <c r="F323" s="121"/>
      <c r="G323" s="119"/>
      <c r="H323" s="122"/>
      <c r="I323" s="121"/>
      <c r="J323" s="123"/>
      <c r="K323" s="124"/>
    </row>
    <row r="324" spans="1:11" x14ac:dyDescent="0.3">
      <c r="F324" s="144"/>
    </row>
    <row r="325" spans="1:11" x14ac:dyDescent="0.3">
      <c r="F325" s="144"/>
    </row>
  </sheetData>
  <mergeCells count="72">
    <mergeCell ref="J50:K50"/>
    <mergeCell ref="C1:H1"/>
    <mergeCell ref="C2:E2"/>
    <mergeCell ref="D8:F8"/>
    <mergeCell ref="G8:I8"/>
    <mergeCell ref="J8:K8"/>
    <mergeCell ref="C9:C10"/>
    <mergeCell ref="J9:J10"/>
    <mergeCell ref="K9:K10"/>
    <mergeCell ref="C86:E86"/>
    <mergeCell ref="B39:C39"/>
    <mergeCell ref="C43:H43"/>
    <mergeCell ref="C44:E44"/>
    <mergeCell ref="D50:F50"/>
    <mergeCell ref="G50:I50"/>
    <mergeCell ref="C51:C52"/>
    <mergeCell ref="J51:J52"/>
    <mergeCell ref="K51:K52"/>
    <mergeCell ref="B81:C81"/>
    <mergeCell ref="C85:H85"/>
    <mergeCell ref="J170:K170"/>
    <mergeCell ref="D92:F92"/>
    <mergeCell ref="G92:I92"/>
    <mergeCell ref="J92:K92"/>
    <mergeCell ref="C93:C94"/>
    <mergeCell ref="J93:J94"/>
    <mergeCell ref="K93:K94"/>
    <mergeCell ref="B120:C120"/>
    <mergeCell ref="C163:H163"/>
    <mergeCell ref="C164:E164"/>
    <mergeCell ref="D170:F170"/>
    <mergeCell ref="G170:I170"/>
    <mergeCell ref="J171:J172"/>
    <mergeCell ref="K171:K172"/>
    <mergeCell ref="B198:C198"/>
    <mergeCell ref="C202:H202"/>
    <mergeCell ref="C203:E203"/>
    <mergeCell ref="J250:K250"/>
    <mergeCell ref="D209:F209"/>
    <mergeCell ref="G209:I209"/>
    <mergeCell ref="J209:K209"/>
    <mergeCell ref="C210:C211"/>
    <mergeCell ref="J210:J211"/>
    <mergeCell ref="K210:K211"/>
    <mergeCell ref="J291:K291"/>
    <mergeCell ref="C292:C293"/>
    <mergeCell ref="J292:J293"/>
    <mergeCell ref="K292:K293"/>
    <mergeCell ref="C251:C252"/>
    <mergeCell ref="J251:J252"/>
    <mergeCell ref="K251:K252"/>
    <mergeCell ref="B280:C280"/>
    <mergeCell ref="C284:H284"/>
    <mergeCell ref="C285:E285"/>
    <mergeCell ref="J131:K131"/>
    <mergeCell ref="C132:C133"/>
    <mergeCell ref="J132:J133"/>
    <mergeCell ref="K132:K133"/>
    <mergeCell ref="B159:C159"/>
    <mergeCell ref="B322:C322"/>
    <mergeCell ref="C124:H124"/>
    <mergeCell ref="C125:E125"/>
    <mergeCell ref="D131:F131"/>
    <mergeCell ref="G131:I131"/>
    <mergeCell ref="D291:F291"/>
    <mergeCell ref="G291:I291"/>
    <mergeCell ref="B239:C239"/>
    <mergeCell ref="C243:H243"/>
    <mergeCell ref="C244:E244"/>
    <mergeCell ref="D250:F250"/>
    <mergeCell ref="G250:I250"/>
    <mergeCell ref="C171:C172"/>
  </mergeCells>
  <pageMargins left="0.19685039370078741" right="0.19685039370078741" top="0.39370078740157483" bottom="0.47244094488188981" header="0.15748031496062992" footer="0.15748031496062992"/>
  <pageSetup scale="84" fitToHeight="0" orientation="landscape" r:id="rId1"/>
  <headerFooter>
    <oddFooter>&amp;L&amp;D&amp;R&amp;Z&amp;F</oddFooter>
  </headerFooter>
  <rowBreaks count="6" manualBreakCount="6">
    <brk id="42" min="1" max="10" man="1"/>
    <brk id="123" min="1" max="10" man="1"/>
    <brk id="162" min="1" max="10" man="1"/>
    <brk id="201" min="1" max="10" man="1"/>
    <brk id="242" min="1" max="10" man="1"/>
    <brk id="283"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410A-58CA-4248-B362-E552CBA0C722}">
  <dimension ref="B2:K337"/>
  <sheetViews>
    <sheetView workbookViewId="0"/>
  </sheetViews>
  <sheetFormatPr defaultRowHeight="14.4" x14ac:dyDescent="0.3"/>
  <cols>
    <col min="2" max="2" width="35.6640625" customWidth="1"/>
    <col min="3" max="3" width="11.109375" customWidth="1"/>
    <col min="4" max="4" width="12.33203125" bestFit="1" customWidth="1"/>
    <col min="5" max="5" width="10.33203125" bestFit="1" customWidth="1"/>
    <col min="6" max="6" width="15.109375" bestFit="1" customWidth="1"/>
    <col min="7" max="7" width="12.44140625" customWidth="1"/>
    <col min="8" max="8" width="11.33203125" customWidth="1"/>
    <col min="9" max="9" width="15.109375" bestFit="1" customWidth="1"/>
    <col min="10" max="10" width="11.44140625" bestFit="1" customWidth="1"/>
    <col min="11" max="11" width="12" bestFit="1" customWidth="1"/>
  </cols>
  <sheetData>
    <row r="2" spans="2:11" x14ac:dyDescent="0.3">
      <c r="B2" s="64" t="s">
        <v>168</v>
      </c>
      <c r="C2" s="322" t="s">
        <v>51</v>
      </c>
      <c r="D2" s="323"/>
      <c r="E2" s="323"/>
      <c r="F2" s="323"/>
      <c r="G2" s="323"/>
      <c r="H2" s="324"/>
      <c r="I2" s="63"/>
      <c r="J2" s="63"/>
      <c r="K2" s="63"/>
    </row>
    <row r="3" spans="2:11" x14ac:dyDescent="0.3">
      <c r="B3" s="64" t="s">
        <v>169</v>
      </c>
      <c r="C3" s="325" t="s">
        <v>170</v>
      </c>
      <c r="D3" s="326"/>
      <c r="E3" s="327"/>
      <c r="F3" s="173"/>
      <c r="G3" s="173"/>
      <c r="H3" s="63"/>
      <c r="I3" s="63"/>
      <c r="J3" s="63"/>
      <c r="K3" s="63"/>
    </row>
    <row r="4" spans="2:11" ht="15.6" x14ac:dyDescent="0.3">
      <c r="B4" s="64" t="s">
        <v>171</v>
      </c>
      <c r="C4" s="174">
        <v>750</v>
      </c>
      <c r="D4" s="67" t="s">
        <v>1</v>
      </c>
      <c r="E4" s="63"/>
      <c r="F4" s="63"/>
      <c r="G4" s="63"/>
      <c r="H4" s="175"/>
      <c r="I4" s="175"/>
      <c r="J4" s="175"/>
      <c r="K4" s="175"/>
    </row>
    <row r="5" spans="2:11" ht="15.6" x14ac:dyDescent="0.3">
      <c r="B5" s="64" t="s">
        <v>172</v>
      </c>
      <c r="C5" s="174">
        <v>0</v>
      </c>
      <c r="D5" s="69" t="s">
        <v>2</v>
      </c>
      <c r="E5" s="70"/>
      <c r="F5" s="71"/>
      <c r="G5" s="71"/>
      <c r="H5" s="71"/>
      <c r="I5" s="63"/>
      <c r="J5" s="63"/>
      <c r="K5" s="63"/>
    </row>
    <row r="6" spans="2:11" x14ac:dyDescent="0.3">
      <c r="B6" s="64" t="s">
        <v>173</v>
      </c>
      <c r="C6" s="176">
        <v>1.0682</v>
      </c>
      <c r="D6" s="63"/>
      <c r="E6" s="63"/>
      <c r="F6" s="63"/>
      <c r="G6" s="63"/>
      <c r="H6" s="63"/>
      <c r="I6" s="63"/>
      <c r="J6" s="63"/>
      <c r="K6" s="63"/>
    </row>
    <row r="7" spans="2:11" x14ac:dyDescent="0.3">
      <c r="B7" s="64" t="s">
        <v>174</v>
      </c>
      <c r="C7" s="176">
        <v>1.0682</v>
      </c>
      <c r="D7" s="63"/>
      <c r="E7" s="63"/>
      <c r="F7" s="63"/>
      <c r="G7" s="63"/>
      <c r="H7" s="63"/>
      <c r="I7" s="63"/>
      <c r="J7" s="63"/>
      <c r="K7" s="63"/>
    </row>
    <row r="8" spans="2:11" x14ac:dyDescent="0.3">
      <c r="B8" s="63"/>
      <c r="C8" s="63"/>
      <c r="D8" s="63"/>
      <c r="E8" s="63"/>
      <c r="F8" s="63"/>
      <c r="G8" s="63"/>
      <c r="H8" s="63"/>
      <c r="I8" s="63"/>
      <c r="J8" s="63"/>
      <c r="K8" s="63"/>
    </row>
    <row r="9" spans="2:11" x14ac:dyDescent="0.3">
      <c r="B9" s="63"/>
      <c r="C9" s="67"/>
      <c r="D9" s="304" t="s">
        <v>175</v>
      </c>
      <c r="E9" s="305"/>
      <c r="F9" s="306"/>
      <c r="G9" s="304" t="s">
        <v>176</v>
      </c>
      <c r="H9" s="305"/>
      <c r="I9" s="306"/>
      <c r="J9" s="304" t="s">
        <v>177</v>
      </c>
      <c r="K9" s="306"/>
    </row>
    <row r="10" spans="2:11" x14ac:dyDescent="0.3">
      <c r="B10" s="63"/>
      <c r="C10" s="320"/>
      <c r="D10" s="73" t="s">
        <v>178</v>
      </c>
      <c r="E10" s="73" t="s">
        <v>179</v>
      </c>
      <c r="F10" s="74" t="s">
        <v>180</v>
      </c>
      <c r="G10" s="73" t="s">
        <v>178</v>
      </c>
      <c r="H10" s="75" t="s">
        <v>179</v>
      </c>
      <c r="I10" s="74" t="s">
        <v>180</v>
      </c>
      <c r="J10" s="316" t="s">
        <v>181</v>
      </c>
      <c r="K10" s="318" t="s">
        <v>182</v>
      </c>
    </row>
    <row r="11" spans="2:11" x14ac:dyDescent="0.3">
      <c r="B11" s="63"/>
      <c r="C11" s="321"/>
      <c r="D11" s="76" t="s">
        <v>183</v>
      </c>
      <c r="E11" s="76"/>
      <c r="F11" s="77" t="s">
        <v>183</v>
      </c>
      <c r="G11" s="76" t="s">
        <v>183</v>
      </c>
      <c r="H11" s="77"/>
      <c r="I11" s="77" t="s">
        <v>183</v>
      </c>
      <c r="J11" s="317"/>
      <c r="K11" s="319"/>
    </row>
    <row r="12" spans="2:11" x14ac:dyDescent="0.3">
      <c r="B12" s="79" t="s">
        <v>184</v>
      </c>
      <c r="C12" s="177"/>
      <c r="D12" s="178">
        <v>30.94</v>
      </c>
      <c r="E12" s="82">
        <v>1</v>
      </c>
      <c r="F12" s="179">
        <f>E12*D12</f>
        <v>30.94</v>
      </c>
      <c r="G12" s="180">
        <f>D12</f>
        <v>30.94</v>
      </c>
      <c r="H12" s="181">
        <f>E12</f>
        <v>1</v>
      </c>
      <c r="I12" s="182">
        <f>H12*G12</f>
        <v>30.94</v>
      </c>
      <c r="J12" s="86">
        <f t="shared" ref="J12:J33" si="0">I12-F12</f>
        <v>0</v>
      </c>
      <c r="K12" s="183">
        <f>IF(ISERROR(J12/F12), "", J12/F12)</f>
        <v>0</v>
      </c>
    </row>
    <row r="13" spans="2:11" ht="11.4" customHeight="1" x14ac:dyDescent="0.3">
      <c r="B13" s="79" t="s">
        <v>79</v>
      </c>
      <c r="C13" s="177"/>
      <c r="D13" s="184">
        <v>0</v>
      </c>
      <c r="E13" s="82">
        <f>IF($C5&gt;0, $C5, $C4)</f>
        <v>750</v>
      </c>
      <c r="F13" s="179">
        <f t="shared" ref="F13:F25" si="1">E13*D13</f>
        <v>0</v>
      </c>
      <c r="G13" s="185">
        <v>0</v>
      </c>
      <c r="H13" s="82">
        <f>IF($C5&gt;0, $C5, $C4)</f>
        <v>750</v>
      </c>
      <c r="I13" s="182">
        <f>H13*G13</f>
        <v>0</v>
      </c>
      <c r="J13" s="86">
        <f t="shared" si="0"/>
        <v>0</v>
      </c>
      <c r="K13" s="183" t="str">
        <f t="shared" ref="K13:K23" si="2">IF(ISERROR(J13/F13), "", J13/F13)</f>
        <v/>
      </c>
    </row>
    <row r="14" spans="2:11" hidden="1" x14ac:dyDescent="0.3">
      <c r="B14" s="79" t="s">
        <v>247</v>
      </c>
      <c r="C14" s="177"/>
      <c r="D14" s="184"/>
      <c r="E14" s="82">
        <f>IF($F5&gt;0, $F5, $F4)</f>
        <v>0</v>
      </c>
      <c r="F14" s="179">
        <v>0</v>
      </c>
      <c r="G14" s="185"/>
      <c r="H14" s="181">
        <f>IF($F5&gt;0, $F5, $F4)</f>
        <v>0</v>
      </c>
      <c r="I14" s="182">
        <v>0</v>
      </c>
      <c r="J14" s="86"/>
      <c r="K14" s="183"/>
    </row>
    <row r="15" spans="2:11" ht="2.4" hidden="1" customHeight="1" x14ac:dyDescent="0.3">
      <c r="B15" s="79" t="s">
        <v>248</v>
      </c>
      <c r="C15" s="177"/>
      <c r="D15" s="184"/>
      <c r="E15" s="82">
        <f>IF($F5&gt;0, $F5, $F4)</f>
        <v>0</v>
      </c>
      <c r="F15" s="179">
        <v>0</v>
      </c>
      <c r="G15" s="185"/>
      <c r="H15" s="186">
        <f>IF($F5&gt;0, $F5, $F4)</f>
        <v>0</v>
      </c>
      <c r="I15" s="182">
        <v>0</v>
      </c>
      <c r="J15" s="86">
        <f>I15-F15</f>
        <v>0</v>
      </c>
      <c r="K15" s="183" t="str">
        <f>IF(ISERROR(J15/F15), "", J15/F15)</f>
        <v/>
      </c>
    </row>
    <row r="16" spans="2:11" x14ac:dyDescent="0.3">
      <c r="B16" s="79" t="s">
        <v>185</v>
      </c>
      <c r="C16" s="177"/>
      <c r="D16" s="178">
        <v>0</v>
      </c>
      <c r="E16" s="82">
        <v>1</v>
      </c>
      <c r="F16" s="179">
        <f t="shared" si="1"/>
        <v>0</v>
      </c>
      <c r="G16" s="180">
        <v>0</v>
      </c>
      <c r="H16" s="181">
        <f>E16</f>
        <v>1</v>
      </c>
      <c r="I16" s="182">
        <f t="shared" ref="I16:I23" si="3">H16*G16</f>
        <v>0</v>
      </c>
      <c r="J16" s="86">
        <f t="shared" si="0"/>
        <v>0</v>
      </c>
      <c r="K16" s="183" t="str">
        <f t="shared" si="2"/>
        <v/>
      </c>
    </row>
    <row r="17" spans="2:11" x14ac:dyDescent="0.3">
      <c r="B17" s="79" t="s">
        <v>186</v>
      </c>
      <c r="C17" s="177"/>
      <c r="D17" s="184">
        <v>1.1999999999999999E-3</v>
      </c>
      <c r="E17" s="82">
        <f>IF($C5&gt;0, $C5, $C4)</f>
        <v>750</v>
      </c>
      <c r="F17" s="179">
        <f t="shared" si="1"/>
        <v>0.89999999999999991</v>
      </c>
      <c r="G17" s="185">
        <v>1.1999999999999999E-3</v>
      </c>
      <c r="H17" s="181">
        <f>IF($C5&gt;0, $C5, $C4)</f>
        <v>750</v>
      </c>
      <c r="I17" s="182">
        <f t="shared" si="3"/>
        <v>0.89999999999999991</v>
      </c>
      <c r="J17" s="86">
        <f t="shared" si="0"/>
        <v>0</v>
      </c>
      <c r="K17" s="87">
        <f t="shared" si="2"/>
        <v>0</v>
      </c>
    </row>
    <row r="18" spans="2:11" x14ac:dyDescent="0.3">
      <c r="B18" s="187" t="s">
        <v>187</v>
      </c>
      <c r="C18" s="188"/>
      <c r="D18" s="189"/>
      <c r="E18" s="190"/>
      <c r="F18" s="191">
        <f>SUM(F12:F17)</f>
        <v>31.84</v>
      </c>
      <c r="G18" s="192"/>
      <c r="H18" s="193"/>
      <c r="I18" s="191">
        <f>SUM(I12:I17)</f>
        <v>31.84</v>
      </c>
      <c r="J18" s="194">
        <f t="shared" si="0"/>
        <v>0</v>
      </c>
      <c r="K18" s="195">
        <f>IF((F18)=0,"",(J18/F18))</f>
        <v>0</v>
      </c>
    </row>
    <row r="19" spans="2:11" x14ac:dyDescent="0.3">
      <c r="B19" s="100" t="s">
        <v>188</v>
      </c>
      <c r="C19" s="177"/>
      <c r="D19" s="184">
        <f>IF((C4*12&gt;=150000), 0, IF(C3="RPP",(D35*0.65+D36*0.17+D37*0.18),IF(C3="Non-RPP (Retailer)",D38,D39)))</f>
        <v>8.2350000000000007E-2</v>
      </c>
      <c r="E19" s="196">
        <f>IF(D19=0, 0, $C4*C6-C4)</f>
        <v>51.149999999999977</v>
      </c>
      <c r="F19" s="179">
        <f>E19*D19</f>
        <v>4.2122024999999983</v>
      </c>
      <c r="G19" s="185">
        <f>IF((C4*12&gt;=150000), 0, IF(C3="RPP",(G35*0.65+G36*0.17+G37*0.18),IF(C3="Non-RPP (Retailer)",G38,G39)))</f>
        <v>8.2350000000000007E-2</v>
      </c>
      <c r="H19" s="197">
        <f>IF(G19=0, 0, C4*C7-C4)</f>
        <v>51.149999999999977</v>
      </c>
      <c r="I19" s="182">
        <f>H19*G19</f>
        <v>4.2122024999999983</v>
      </c>
      <c r="J19" s="86">
        <f>I19-F19</f>
        <v>0</v>
      </c>
      <c r="K19" s="183">
        <f>IF(ISERROR(J19/F19), "", J19/F19)</f>
        <v>0</v>
      </c>
    </row>
    <row r="20" spans="2:11" ht="26.4" x14ac:dyDescent="0.3">
      <c r="B20" s="100" t="s">
        <v>190</v>
      </c>
      <c r="C20" s="177"/>
      <c r="D20" s="184">
        <v>5.9999999999999995E-4</v>
      </c>
      <c r="E20" s="198">
        <f>IF($C5&gt;0, $C5, $C4)</f>
        <v>750</v>
      </c>
      <c r="F20" s="179">
        <f t="shared" si="1"/>
        <v>0.44999999999999996</v>
      </c>
      <c r="G20" s="185">
        <f>D20</f>
        <v>5.9999999999999995E-4</v>
      </c>
      <c r="H20" s="199">
        <f>IF($C5&gt;0, $C5, $C4)</f>
        <v>750</v>
      </c>
      <c r="I20" s="182">
        <f t="shared" si="3"/>
        <v>0.44999999999999996</v>
      </c>
      <c r="J20" s="86">
        <f t="shared" si="0"/>
        <v>0</v>
      </c>
      <c r="K20" s="183">
        <f t="shared" si="2"/>
        <v>0</v>
      </c>
    </row>
    <row r="21" spans="2:11" x14ac:dyDescent="0.3">
      <c r="B21" s="100" t="s">
        <v>191</v>
      </c>
      <c r="C21" s="177"/>
      <c r="D21" s="184">
        <v>0</v>
      </c>
      <c r="E21" s="198">
        <f>IF($C5&gt;0, $C5, $C4)</f>
        <v>750</v>
      </c>
      <c r="F21" s="179">
        <f>E21*D21</f>
        <v>0</v>
      </c>
      <c r="G21" s="185">
        <v>0</v>
      </c>
      <c r="H21" s="199">
        <f>IF($C5&gt;0, $C5, $C4)</f>
        <v>750</v>
      </c>
      <c r="I21" s="182">
        <f>H21*G21</f>
        <v>0</v>
      </c>
      <c r="J21" s="86">
        <f t="shared" si="0"/>
        <v>0</v>
      </c>
      <c r="K21" s="183" t="str">
        <f t="shared" si="2"/>
        <v/>
      </c>
    </row>
    <row r="22" spans="2:11" x14ac:dyDescent="0.3">
      <c r="B22" s="100" t="s">
        <v>192</v>
      </c>
      <c r="C22" s="177"/>
      <c r="D22" s="184">
        <v>0</v>
      </c>
      <c r="E22" s="198">
        <f>C4</f>
        <v>750</v>
      </c>
      <c r="F22" s="179">
        <f>E22*D22</f>
        <v>0</v>
      </c>
      <c r="G22" s="185">
        <v>0</v>
      </c>
      <c r="H22" s="199">
        <f>C4</f>
        <v>750</v>
      </c>
      <c r="I22" s="182">
        <f t="shared" si="3"/>
        <v>0</v>
      </c>
      <c r="J22" s="86">
        <f t="shared" si="0"/>
        <v>0</v>
      </c>
      <c r="K22" s="183" t="str">
        <f t="shared" si="2"/>
        <v/>
      </c>
    </row>
    <row r="23" spans="2:11" x14ac:dyDescent="0.3">
      <c r="B23" s="79" t="s">
        <v>193</v>
      </c>
      <c r="C23" s="177"/>
      <c r="D23" s="184">
        <v>2E-3</v>
      </c>
      <c r="E23" s="198">
        <f>IF($C5&gt;0, $C5, $C4)</f>
        <v>750</v>
      </c>
      <c r="F23" s="179">
        <f t="shared" si="1"/>
        <v>1.5</v>
      </c>
      <c r="G23" s="185">
        <v>2E-3</v>
      </c>
      <c r="H23" s="199">
        <f>IF($C5&gt;0, $C5, $C4)</f>
        <v>750</v>
      </c>
      <c r="I23" s="182">
        <f t="shared" si="3"/>
        <v>1.5</v>
      </c>
      <c r="J23" s="86">
        <f t="shared" si="0"/>
        <v>0</v>
      </c>
      <c r="K23" s="183">
        <f t="shared" si="2"/>
        <v>0</v>
      </c>
    </row>
    <row r="24" spans="2:11" ht="18" customHeight="1" x14ac:dyDescent="0.3">
      <c r="B24" s="100" t="s">
        <v>194</v>
      </c>
      <c r="C24" s="177"/>
      <c r="D24" s="200">
        <f>IF(OR(ISNUMBER(SEARCH("RESIDENTIAL", C2))=TRUE, ISNUMBER(SEARCH("GENERAL SERVICE LESS THAN 50", C2))=TRUE), SME, 0)</f>
        <v>0.56999999999999995</v>
      </c>
      <c r="E24" s="82">
        <v>1</v>
      </c>
      <c r="F24" s="179">
        <f>E24*D24</f>
        <v>0.56999999999999995</v>
      </c>
      <c r="G24" s="201">
        <f>IF(OR(ISNUMBER(SEARCH("RESIDENTIAL", C2))=TRUE, ISNUMBER(SEARCH("GENERAL SERVICE LESS THAN 50", C2))=TRUE), SME, 0)</f>
        <v>0.56999999999999995</v>
      </c>
      <c r="H24" s="186">
        <v>1</v>
      </c>
      <c r="I24" s="182">
        <f>H24*G24</f>
        <v>0.56999999999999995</v>
      </c>
      <c r="J24" s="86">
        <f t="shared" si="0"/>
        <v>0</v>
      </c>
      <c r="K24" s="183">
        <f>IF(ISERROR(J24/F24), "", J24/F24)</f>
        <v>0</v>
      </c>
    </row>
    <row r="25" spans="2:11" x14ac:dyDescent="0.3">
      <c r="B25" s="79" t="s">
        <v>195</v>
      </c>
      <c r="C25" s="177"/>
      <c r="D25" s="178">
        <v>0</v>
      </c>
      <c r="E25" s="82">
        <v>1</v>
      </c>
      <c r="F25" s="179">
        <f t="shared" si="1"/>
        <v>0</v>
      </c>
      <c r="G25" s="180">
        <v>0</v>
      </c>
      <c r="H25" s="186">
        <v>1</v>
      </c>
      <c r="I25" s="182">
        <f>H25*G25</f>
        <v>0</v>
      </c>
      <c r="J25" s="86">
        <f>I25-F25</f>
        <v>0</v>
      </c>
      <c r="K25" s="183" t="str">
        <f>IF(ISERROR(J25/F25), "", J25/F25)</f>
        <v/>
      </c>
    </row>
    <row r="26" spans="2:11" x14ac:dyDescent="0.3">
      <c r="B26" s="79" t="s">
        <v>196</v>
      </c>
      <c r="C26" s="177"/>
      <c r="D26" s="184"/>
      <c r="E26" s="198">
        <f>IF($C5&gt;0, $C5, $C4)</f>
        <v>750</v>
      </c>
      <c r="F26" s="179">
        <f>E26*D26</f>
        <v>0</v>
      </c>
      <c r="G26" s="185">
        <v>0</v>
      </c>
      <c r="H26" s="199">
        <f>IF($C5&gt;0, $C5, $C4)</f>
        <v>750</v>
      </c>
      <c r="I26" s="182">
        <f>H26*G26</f>
        <v>0</v>
      </c>
      <c r="J26" s="86">
        <f t="shared" si="0"/>
        <v>0</v>
      </c>
      <c r="K26" s="183" t="str">
        <f>IF(ISERROR(J26/F26), "", J26/F26)</f>
        <v/>
      </c>
    </row>
    <row r="27" spans="2:11" ht="26.4" x14ac:dyDescent="0.3">
      <c r="B27" s="202" t="s">
        <v>197</v>
      </c>
      <c r="C27" s="203"/>
      <c r="D27" s="204"/>
      <c r="E27" s="205"/>
      <c r="F27" s="206">
        <f>SUM(F18:F26)</f>
        <v>38.572202500000003</v>
      </c>
      <c r="G27" s="207"/>
      <c r="H27" s="208"/>
      <c r="I27" s="206">
        <f>SUM(I18:I26)</f>
        <v>38.572202500000003</v>
      </c>
      <c r="J27" s="194">
        <f t="shared" si="0"/>
        <v>0</v>
      </c>
      <c r="K27" s="195">
        <f>IF((F27)=0,"",(J27/F27))</f>
        <v>0</v>
      </c>
    </row>
    <row r="28" spans="2:11" x14ac:dyDescent="0.3">
      <c r="B28" s="111" t="s">
        <v>198</v>
      </c>
      <c r="C28" s="177"/>
      <c r="D28" s="184">
        <v>6.6E-3</v>
      </c>
      <c r="E28" s="196">
        <f>IF($C5&gt;0, $C5, $C4*$C6)</f>
        <v>801.15</v>
      </c>
      <c r="F28" s="179">
        <f>E28*D28</f>
        <v>5.2875899999999998</v>
      </c>
      <c r="G28" s="209">
        <f>D28</f>
        <v>6.6E-3</v>
      </c>
      <c r="H28" s="197">
        <f>IF($C5&gt;0, $C5, $C4*$C7)</f>
        <v>801.15</v>
      </c>
      <c r="I28" s="182">
        <f>H28*G28</f>
        <v>5.2875899999999998</v>
      </c>
      <c r="J28" s="86">
        <f t="shared" si="0"/>
        <v>0</v>
      </c>
      <c r="K28" s="183">
        <f>IF(ISERROR(J28/F28), "", J28/F28)</f>
        <v>0</v>
      </c>
    </row>
    <row r="29" spans="2:11" ht="26.4" x14ac:dyDescent="0.3">
      <c r="B29" s="112" t="s">
        <v>199</v>
      </c>
      <c r="C29" s="177"/>
      <c r="D29" s="184">
        <v>5.1999999999999998E-3</v>
      </c>
      <c r="E29" s="196">
        <f>IF($C5&gt;0, $C5, $C4*$C6)</f>
        <v>801.15</v>
      </c>
      <c r="F29" s="179">
        <f>E29*D29</f>
        <v>4.1659799999999994</v>
      </c>
      <c r="G29" s="209">
        <f>D29</f>
        <v>5.1999999999999998E-3</v>
      </c>
      <c r="H29" s="197">
        <f>IF($C5&gt;0, $C5, $C4*$C7)</f>
        <v>801.15</v>
      </c>
      <c r="I29" s="182">
        <f>H29*G29</f>
        <v>4.1659799999999994</v>
      </c>
      <c r="J29" s="86">
        <f t="shared" si="0"/>
        <v>0</v>
      </c>
      <c r="K29" s="183">
        <f>IF(ISERROR(J29/F29), "", J29/F29)</f>
        <v>0</v>
      </c>
    </row>
    <row r="30" spans="2:11" ht="26.4" x14ac:dyDescent="0.3">
      <c r="B30" s="202" t="s">
        <v>200</v>
      </c>
      <c r="C30" s="188"/>
      <c r="D30" s="204"/>
      <c r="E30" s="205"/>
      <c r="F30" s="206">
        <f>SUM(F27:F29)</f>
        <v>48.025772500000002</v>
      </c>
      <c r="G30" s="207"/>
      <c r="H30" s="193"/>
      <c r="I30" s="206">
        <f>SUM(I27:I29)</f>
        <v>48.025772500000002</v>
      </c>
      <c r="J30" s="194">
        <f t="shared" si="0"/>
        <v>0</v>
      </c>
      <c r="K30" s="195">
        <f>IF((F30)=0,"",(J30/F30))</f>
        <v>0</v>
      </c>
    </row>
    <row r="31" spans="2:11" ht="26.4" x14ac:dyDescent="0.3">
      <c r="B31" s="113" t="s">
        <v>201</v>
      </c>
      <c r="C31" s="177"/>
      <c r="D31" s="184">
        <v>3.4000000000000002E-3</v>
      </c>
      <c r="E31" s="196">
        <f>C4*C6</f>
        <v>801.15</v>
      </c>
      <c r="F31" s="210">
        <f t="shared" ref="F31:F37" si="4">E31*D31</f>
        <v>2.7239100000000001</v>
      </c>
      <c r="G31" s="185">
        <f>'[1]17. Regulatory Charges'!$E$15+'[1]17. Regulatory Charges'!$E$16</f>
        <v>3.4000000000000002E-3</v>
      </c>
      <c r="H31" s="197">
        <f>C4*C7</f>
        <v>801.15</v>
      </c>
      <c r="I31" s="182">
        <f t="shared" ref="I31:I37" si="5">H31*G31</f>
        <v>2.7239100000000001</v>
      </c>
      <c r="J31" s="86">
        <f t="shared" si="0"/>
        <v>0</v>
      </c>
      <c r="K31" s="183">
        <f t="shared" ref="K31:K39" si="6">IF(ISERROR(J31/F31), "", J31/F31)</f>
        <v>0</v>
      </c>
    </row>
    <row r="32" spans="2:11" ht="26.4" x14ac:dyDescent="0.3">
      <c r="B32" s="113" t="s">
        <v>202</v>
      </c>
      <c r="C32" s="177"/>
      <c r="D32" s="184">
        <v>5.0000000000000001E-4</v>
      </c>
      <c r="E32" s="196">
        <f>C4*C6</f>
        <v>801.15</v>
      </c>
      <c r="F32" s="210">
        <f t="shared" si="4"/>
        <v>0.40057500000000001</v>
      </c>
      <c r="G32" s="185">
        <f>'[1]17. Regulatory Charges'!$E$17</f>
        <v>5.0000000000000001E-4</v>
      </c>
      <c r="H32" s="197">
        <f>C4*C7</f>
        <v>801.15</v>
      </c>
      <c r="I32" s="182">
        <f t="shared" si="5"/>
        <v>0.40057500000000001</v>
      </c>
      <c r="J32" s="86">
        <f t="shared" si="0"/>
        <v>0</v>
      </c>
      <c r="K32" s="183">
        <f t="shared" si="6"/>
        <v>0</v>
      </c>
    </row>
    <row r="33" spans="2:11" x14ac:dyDescent="0.3">
      <c r="B33" s="114" t="s">
        <v>203</v>
      </c>
      <c r="C33" s="177"/>
      <c r="D33" s="200">
        <v>0.25</v>
      </c>
      <c r="E33" s="82">
        <v>1</v>
      </c>
      <c r="F33" s="210">
        <f t="shared" si="4"/>
        <v>0.25</v>
      </c>
      <c r="G33" s="201">
        <f>'[1]17. Regulatory Charges'!$E$18</f>
        <v>0.25</v>
      </c>
      <c r="H33" s="181">
        <v>1</v>
      </c>
      <c r="I33" s="182">
        <f t="shared" si="5"/>
        <v>0.25</v>
      </c>
      <c r="J33" s="86">
        <f t="shared" si="0"/>
        <v>0</v>
      </c>
      <c r="K33" s="183">
        <f t="shared" si="6"/>
        <v>0</v>
      </c>
    </row>
    <row r="34" spans="2:11" ht="26.4" x14ac:dyDescent="0.3">
      <c r="B34" s="113" t="s">
        <v>249</v>
      </c>
      <c r="C34" s="177"/>
      <c r="D34" s="184"/>
      <c r="E34" s="196"/>
      <c r="F34" s="210"/>
      <c r="G34" s="185"/>
      <c r="H34" s="197"/>
      <c r="I34" s="182"/>
      <c r="J34" s="86"/>
      <c r="K34" s="183"/>
    </row>
    <row r="35" spans="2:11" x14ac:dyDescent="0.3">
      <c r="B35" s="114" t="s">
        <v>204</v>
      </c>
      <c r="C35" s="177"/>
      <c r="D35" s="211">
        <f>OffPeak</f>
        <v>6.5000000000000002E-2</v>
      </c>
      <c r="E35" s="212">
        <f>IF(AND(C4*12&gt;=150000),0.65*C4*C6,0.65*C4)</f>
        <v>487.5</v>
      </c>
      <c r="F35" s="210">
        <f t="shared" si="4"/>
        <v>31.6875</v>
      </c>
      <c r="G35" s="213">
        <f>OffPeak</f>
        <v>6.5000000000000002E-2</v>
      </c>
      <c r="H35" s="214">
        <f>IF(AND(C4*12&gt;=150000),0.65*C4*C7,0.65*C4)</f>
        <v>487.5</v>
      </c>
      <c r="I35" s="182">
        <f t="shared" si="5"/>
        <v>31.6875</v>
      </c>
      <c r="J35" s="86">
        <f>I35-F35</f>
        <v>0</v>
      </c>
      <c r="K35" s="183">
        <f t="shared" si="6"/>
        <v>0</v>
      </c>
    </row>
    <row r="36" spans="2:11" x14ac:dyDescent="0.3">
      <c r="B36" s="114" t="s">
        <v>205</v>
      </c>
      <c r="C36" s="177"/>
      <c r="D36" s="211">
        <f>MidPeak</f>
        <v>9.4E-2</v>
      </c>
      <c r="E36" s="212">
        <f>IF(AND(C4*12&gt;=150000),0.17*C4*C6,0.17*C4)</f>
        <v>127.50000000000001</v>
      </c>
      <c r="F36" s="210">
        <f t="shared" si="4"/>
        <v>11.985000000000001</v>
      </c>
      <c r="G36" s="213">
        <f>MidPeak</f>
        <v>9.4E-2</v>
      </c>
      <c r="H36" s="214">
        <f>IF(AND(C4*12&gt;=150000),0.17*C4*C7,0.17*C4)</f>
        <v>127.50000000000001</v>
      </c>
      <c r="I36" s="182">
        <f t="shared" si="5"/>
        <v>11.985000000000001</v>
      </c>
      <c r="J36" s="86">
        <f>I36-F36</f>
        <v>0</v>
      </c>
      <c r="K36" s="183">
        <f t="shared" si="6"/>
        <v>0</v>
      </c>
    </row>
    <row r="37" spans="2:11" ht="15" thickBot="1" x14ac:dyDescent="0.35">
      <c r="B37" s="63" t="s">
        <v>206</v>
      </c>
      <c r="C37" s="177"/>
      <c r="D37" s="211">
        <f>OnPeak</f>
        <v>0.13400000000000001</v>
      </c>
      <c r="E37" s="212">
        <f>IF(AND(C4*12&gt;=150000),0.18*C4*C6,0.18*C4)</f>
        <v>135</v>
      </c>
      <c r="F37" s="210">
        <f t="shared" si="4"/>
        <v>18.09</v>
      </c>
      <c r="G37" s="213">
        <f>OnPeak</f>
        <v>0.13400000000000001</v>
      </c>
      <c r="H37" s="214">
        <f>IF(AND(C4*12&gt;=150000),0.18*C4*C7,0.18*C4)</f>
        <v>135</v>
      </c>
      <c r="I37" s="182">
        <f t="shared" si="5"/>
        <v>18.09</v>
      </c>
      <c r="J37" s="86">
        <f>I37-F37</f>
        <v>0</v>
      </c>
      <c r="K37" s="183">
        <f t="shared" si="6"/>
        <v>0</v>
      </c>
    </row>
    <row r="38" spans="2:11" hidden="1" x14ac:dyDescent="0.3">
      <c r="B38" s="114" t="s">
        <v>250</v>
      </c>
      <c r="C38" s="177"/>
      <c r="D38" s="215">
        <v>0.1101</v>
      </c>
      <c r="E38" s="212">
        <f>IF(AND(C4*12&gt;=150000),C4*C6,C4)</f>
        <v>750</v>
      </c>
      <c r="F38" s="210">
        <f>E38*D38</f>
        <v>82.575000000000003</v>
      </c>
      <c r="G38" s="216">
        <f>D38</f>
        <v>0.1101</v>
      </c>
      <c r="H38" s="214">
        <f>IF(AND(C4*12&gt;=150000),C4*C7,C4)</f>
        <v>750</v>
      </c>
      <c r="I38" s="182">
        <f>H38*G38</f>
        <v>82.575000000000003</v>
      </c>
      <c r="J38" s="86">
        <f>I38-F38</f>
        <v>0</v>
      </c>
      <c r="K38" s="183">
        <f t="shared" si="6"/>
        <v>0</v>
      </c>
    </row>
    <row r="39" spans="2:11" ht="15" hidden="1" thickBot="1" x14ac:dyDescent="0.35">
      <c r="B39" s="114" t="s">
        <v>214</v>
      </c>
      <c r="C39" s="177"/>
      <c r="D39" s="215">
        <v>0.1101</v>
      </c>
      <c r="E39" s="212">
        <f>IF(AND(C4*12&gt;=150000),C4*C6,C4)</f>
        <v>750</v>
      </c>
      <c r="F39" s="210">
        <f>E39*D39</f>
        <v>82.575000000000003</v>
      </c>
      <c r="G39" s="216">
        <f>D39</f>
        <v>0.1101</v>
      </c>
      <c r="H39" s="214">
        <f>IF(AND(C4*12&gt;=150000),C4*C7,C4)</f>
        <v>750</v>
      </c>
      <c r="I39" s="182">
        <f>H39*G39</f>
        <v>82.575000000000003</v>
      </c>
      <c r="J39" s="86">
        <f>I39-F39</f>
        <v>0</v>
      </c>
      <c r="K39" s="183">
        <f t="shared" si="6"/>
        <v>0</v>
      </c>
    </row>
    <row r="40" spans="2:11" ht="15" thickBot="1" x14ac:dyDescent="0.35">
      <c r="B40" s="217"/>
      <c r="C40" s="218"/>
      <c r="D40" s="219"/>
      <c r="E40" s="220"/>
      <c r="F40" s="221"/>
      <c r="G40" s="219"/>
      <c r="H40" s="222"/>
      <c r="I40" s="221"/>
      <c r="J40" s="223"/>
      <c r="K40" s="224"/>
    </row>
    <row r="41" spans="2:11" x14ac:dyDescent="0.3">
      <c r="B41" s="125" t="s">
        <v>207</v>
      </c>
      <c r="C41" s="114"/>
      <c r="D41" s="126"/>
      <c r="E41" s="127"/>
      <c r="F41" s="128">
        <f>SUM(F31:F37,F30)</f>
        <v>113.1627575</v>
      </c>
      <c r="G41" s="129"/>
      <c r="H41" s="129"/>
      <c r="I41" s="128">
        <f>SUM(I31:I37,I30)</f>
        <v>113.1627575</v>
      </c>
      <c r="J41" s="130">
        <f>I41-F41</f>
        <v>0</v>
      </c>
      <c r="K41" s="131">
        <f>IF((F41)=0,"",(J41/F41))</f>
        <v>0</v>
      </c>
    </row>
    <row r="42" spans="2:11" x14ac:dyDescent="0.3">
      <c r="B42" s="132" t="s">
        <v>208</v>
      </c>
      <c r="C42" s="114"/>
      <c r="D42" s="126">
        <v>0.13</v>
      </c>
      <c r="E42" s="133"/>
      <c r="F42" s="134">
        <f>F41*D42</f>
        <v>14.711158475</v>
      </c>
      <c r="G42" s="135">
        <v>0.13</v>
      </c>
      <c r="H42" s="82"/>
      <c r="I42" s="134">
        <f>I41*G42</f>
        <v>14.711158475</v>
      </c>
      <c r="J42" s="86">
        <f>I42-F42</f>
        <v>0</v>
      </c>
      <c r="K42" s="136">
        <f>IF((F42)=0,"",(J42/F42))</f>
        <v>0</v>
      </c>
    </row>
    <row r="43" spans="2:11" x14ac:dyDescent="0.3">
      <c r="B43" s="132" t="s">
        <v>209</v>
      </c>
      <c r="C43" s="114"/>
      <c r="D43" s="126">
        <v>0.08</v>
      </c>
      <c r="E43" s="133"/>
      <c r="F43" s="134">
        <f>F41*-D43</f>
        <v>-9.0530206</v>
      </c>
      <c r="G43" s="126">
        <v>0.08</v>
      </c>
      <c r="H43" s="82"/>
      <c r="I43" s="134">
        <f>I41*-G43</f>
        <v>-9.0530206</v>
      </c>
      <c r="J43" s="86">
        <f>I43-F43</f>
        <v>0</v>
      </c>
      <c r="K43" s="136"/>
    </row>
    <row r="44" spans="2:11" x14ac:dyDescent="0.3">
      <c r="B44" s="328" t="s">
        <v>210</v>
      </c>
      <c r="C44" s="328"/>
      <c r="D44" s="225"/>
      <c r="E44" s="226"/>
      <c r="F44" s="227">
        <f>F41+F42+F43</f>
        <v>118.82089537500001</v>
      </c>
      <c r="G44" s="228"/>
      <c r="H44" s="228"/>
      <c r="I44" s="229">
        <f>I41+I42+I43</f>
        <v>118.82089537500001</v>
      </c>
      <c r="J44" s="230">
        <f>I44-F44</f>
        <v>0</v>
      </c>
      <c r="K44" s="231">
        <f>IF((F44)=0,"",(J44/F44))</f>
        <v>0</v>
      </c>
    </row>
    <row r="45" spans="2:11" ht="15" hidden="1" thickBot="1" x14ac:dyDescent="0.35">
      <c r="B45" s="217"/>
      <c r="C45" s="218"/>
      <c r="D45" s="219"/>
      <c r="E45" s="220"/>
      <c r="F45" s="221"/>
      <c r="G45" s="219"/>
      <c r="H45" s="222"/>
      <c r="I45" s="221"/>
      <c r="J45" s="223"/>
      <c r="K45" s="224"/>
    </row>
    <row r="46" spans="2:11" hidden="1" x14ac:dyDescent="0.3">
      <c r="B46" s="125" t="s">
        <v>251</v>
      </c>
      <c r="C46" s="114"/>
      <c r="D46" s="126"/>
      <c r="E46" s="127"/>
      <c r="F46" s="128">
        <f>SUM(F38,F31:F34,F30)</f>
        <v>133.9752575</v>
      </c>
      <c r="G46" s="129"/>
      <c r="H46" s="129"/>
      <c r="I46" s="128">
        <f>SUM(I38,I31:I34,I30)</f>
        <v>133.9752575</v>
      </c>
      <c r="J46" s="130">
        <f>I46-F46</f>
        <v>0</v>
      </c>
      <c r="K46" s="131">
        <f>IF((F46)=0,"",(J46/F46))</f>
        <v>0</v>
      </c>
    </row>
    <row r="47" spans="2:11" hidden="1" x14ac:dyDescent="0.3">
      <c r="B47" s="132" t="s">
        <v>208</v>
      </c>
      <c r="C47" s="114"/>
      <c r="D47" s="126">
        <v>0.13</v>
      </c>
      <c r="E47" s="127"/>
      <c r="F47" s="134">
        <f>F46*D47</f>
        <v>17.416783474999999</v>
      </c>
      <c r="G47" s="126">
        <v>0.13</v>
      </c>
      <c r="H47" s="135"/>
      <c r="I47" s="134">
        <f>I46*G47</f>
        <v>17.416783474999999</v>
      </c>
      <c r="J47" s="86">
        <f>I47-F47</f>
        <v>0</v>
      </c>
      <c r="K47" s="136">
        <f>IF((F47)=0,"",(J47/F47))</f>
        <v>0</v>
      </c>
    </row>
    <row r="48" spans="2:11" hidden="1" x14ac:dyDescent="0.3">
      <c r="B48" s="132" t="s">
        <v>209</v>
      </c>
      <c r="C48" s="114"/>
      <c r="D48" s="126">
        <v>0.08</v>
      </c>
      <c r="E48" s="127"/>
      <c r="F48" s="134"/>
      <c r="G48" s="126">
        <v>0.08</v>
      </c>
      <c r="H48" s="135"/>
      <c r="I48" s="134"/>
      <c r="J48" s="86"/>
      <c r="K48" s="136"/>
    </row>
    <row r="49" spans="2:11" ht="15" hidden="1" thickBot="1" x14ac:dyDescent="0.35">
      <c r="B49" s="328" t="s">
        <v>251</v>
      </c>
      <c r="C49" s="328"/>
      <c r="D49" s="232"/>
      <c r="E49" s="233"/>
      <c r="F49" s="227">
        <f>SUM(F46,F47)</f>
        <v>151.39204097499999</v>
      </c>
      <c r="G49" s="234"/>
      <c r="H49" s="234"/>
      <c r="I49" s="227">
        <f>SUM(I46,I47)</f>
        <v>151.39204097499999</v>
      </c>
      <c r="J49" s="235">
        <f>I49-F49</f>
        <v>0</v>
      </c>
      <c r="K49" s="236">
        <f>IF((F49)=0,"",(J49/F49))</f>
        <v>0</v>
      </c>
    </row>
    <row r="50" spans="2:11" ht="15" hidden="1" thickBot="1" x14ac:dyDescent="0.35">
      <c r="B50" s="217"/>
      <c r="C50" s="218"/>
      <c r="D50" s="237"/>
      <c r="E50" s="238"/>
      <c r="F50" s="239"/>
      <c r="G50" s="237"/>
      <c r="H50" s="220"/>
      <c r="I50" s="239"/>
      <c r="J50" s="240"/>
      <c r="K50" s="224"/>
    </row>
    <row r="51" spans="2:11" hidden="1" x14ac:dyDescent="0.3">
      <c r="B51" s="125" t="s">
        <v>215</v>
      </c>
      <c r="C51" s="114"/>
      <c r="D51" s="126"/>
      <c r="E51" s="127"/>
      <c r="F51" s="128">
        <f>SUM(F39,F31:F34,F30)</f>
        <v>133.9752575</v>
      </c>
      <c r="G51" s="129"/>
      <c r="H51" s="129"/>
      <c r="I51" s="128">
        <f>SUM(I39,I31:I34,I30)</f>
        <v>133.9752575</v>
      </c>
      <c r="J51" s="130">
        <f>I51-F51</f>
        <v>0</v>
      </c>
      <c r="K51" s="131">
        <f>IF((F51)=0,"",(J51/F51))</f>
        <v>0</v>
      </c>
    </row>
    <row r="52" spans="2:11" hidden="1" x14ac:dyDescent="0.3">
      <c r="B52" s="132" t="s">
        <v>208</v>
      </c>
      <c r="C52" s="114"/>
      <c r="D52" s="126">
        <v>0.13</v>
      </c>
      <c r="E52" s="127"/>
      <c r="F52" s="134">
        <f>F51*D52</f>
        <v>17.416783474999999</v>
      </c>
      <c r="G52" s="126">
        <v>0.13</v>
      </c>
      <c r="H52" s="135"/>
      <c r="I52" s="134">
        <f>I51*G52</f>
        <v>17.416783474999999</v>
      </c>
      <c r="J52" s="86">
        <f>I52-F52</f>
        <v>0</v>
      </c>
      <c r="K52" s="136">
        <f>IF((F52)=0,"",(J52/F52))</f>
        <v>0</v>
      </c>
    </row>
    <row r="53" spans="2:11" hidden="1" x14ac:dyDescent="0.3">
      <c r="B53" s="132" t="s">
        <v>209</v>
      </c>
      <c r="C53" s="114"/>
      <c r="D53" s="126">
        <v>0.08</v>
      </c>
      <c r="E53" s="127"/>
      <c r="F53" s="134"/>
      <c r="G53" s="126">
        <v>0.08</v>
      </c>
      <c r="H53" s="135"/>
      <c r="I53" s="134"/>
      <c r="J53" s="86"/>
      <c r="K53" s="136"/>
    </row>
    <row r="54" spans="2:11" ht="15" hidden="1" thickBot="1" x14ac:dyDescent="0.35">
      <c r="B54" s="328" t="s">
        <v>215</v>
      </c>
      <c r="C54" s="328"/>
      <c r="D54" s="232"/>
      <c r="E54" s="233"/>
      <c r="F54" s="227">
        <f>SUM(F51,F52)</f>
        <v>151.39204097499999</v>
      </c>
      <c r="G54" s="234"/>
      <c r="H54" s="234"/>
      <c r="I54" s="227">
        <f>SUM(I51,I52)</f>
        <v>151.39204097499999</v>
      </c>
      <c r="J54" s="235">
        <f>I54-F54</f>
        <v>0</v>
      </c>
      <c r="K54" s="236">
        <f>IF((F54)=0,"",(J54/F54))</f>
        <v>0</v>
      </c>
    </row>
    <row r="55" spans="2:11" ht="15" hidden="1" thickBot="1" x14ac:dyDescent="0.35">
      <c r="B55" s="217"/>
      <c r="C55" s="218"/>
      <c r="D55" s="237"/>
      <c r="E55" s="238"/>
      <c r="F55" s="239"/>
      <c r="G55" s="237"/>
      <c r="H55" s="220"/>
      <c r="I55" s="239"/>
      <c r="J55" s="240"/>
      <c r="K55" s="224"/>
    </row>
    <row r="56" spans="2:11" x14ac:dyDescent="0.3">
      <c r="B56" s="63"/>
      <c r="C56" s="63"/>
      <c r="D56" s="63"/>
      <c r="E56" s="63"/>
      <c r="F56" s="63"/>
      <c r="G56" s="63"/>
      <c r="H56" s="63"/>
      <c r="I56" s="63"/>
      <c r="J56" s="63"/>
      <c r="K56" s="63"/>
    </row>
    <row r="57" spans="2:11" x14ac:dyDescent="0.3">
      <c r="B57" s="63"/>
      <c r="C57" s="63"/>
      <c r="D57" s="63"/>
      <c r="E57" s="63"/>
      <c r="F57" s="63"/>
      <c r="G57" s="63"/>
      <c r="H57" s="63"/>
      <c r="I57" s="63"/>
      <c r="J57" s="63"/>
      <c r="K57" s="63"/>
    </row>
    <row r="58" spans="2:11" x14ac:dyDescent="0.3">
      <c r="B58" s="64" t="s">
        <v>168</v>
      </c>
      <c r="C58" s="307" t="s">
        <v>76</v>
      </c>
      <c r="D58" s="307"/>
      <c r="E58" s="307"/>
      <c r="F58" s="307"/>
      <c r="G58" s="307"/>
      <c r="H58" s="307"/>
      <c r="I58" s="63"/>
      <c r="J58" s="63"/>
      <c r="K58" s="63"/>
    </row>
    <row r="59" spans="2:11" x14ac:dyDescent="0.3">
      <c r="B59" s="64" t="s">
        <v>169</v>
      </c>
      <c r="C59" s="329" t="s">
        <v>170</v>
      </c>
      <c r="D59" s="329"/>
      <c r="E59" s="329"/>
      <c r="F59" s="173"/>
      <c r="G59" s="173"/>
      <c r="H59" s="63"/>
      <c r="I59" s="63"/>
      <c r="J59" s="63"/>
      <c r="K59" s="63"/>
    </row>
    <row r="60" spans="2:11" ht="15.6" x14ac:dyDescent="0.3">
      <c r="B60" s="64" t="s">
        <v>171</v>
      </c>
      <c r="C60" s="174">
        <v>2000</v>
      </c>
      <c r="D60" s="67" t="s">
        <v>1</v>
      </c>
      <c r="E60" s="63"/>
      <c r="F60" s="63"/>
      <c r="G60" s="63"/>
      <c r="H60" s="175"/>
      <c r="I60" s="175"/>
      <c r="J60" s="175"/>
      <c r="K60" s="175"/>
    </row>
    <row r="61" spans="2:11" ht="15.6" x14ac:dyDescent="0.3">
      <c r="B61" s="64" t="s">
        <v>172</v>
      </c>
      <c r="C61" s="174">
        <v>0</v>
      </c>
      <c r="D61" s="69" t="s">
        <v>2</v>
      </c>
      <c r="E61" s="70"/>
      <c r="F61" s="71"/>
      <c r="G61" s="71"/>
      <c r="H61" s="71"/>
      <c r="I61" s="63"/>
      <c r="J61" s="63"/>
      <c r="K61" s="63"/>
    </row>
    <row r="62" spans="2:11" x14ac:dyDescent="0.3">
      <c r="B62" s="64" t="s">
        <v>173</v>
      </c>
      <c r="C62" s="176">
        <f>$C$6</f>
        <v>1.0682</v>
      </c>
      <c r="D62" s="63"/>
      <c r="E62" s="63"/>
      <c r="F62" s="63"/>
      <c r="G62" s="63"/>
      <c r="H62" s="63"/>
      <c r="I62" s="63"/>
      <c r="J62" s="63"/>
      <c r="K62" s="63"/>
    </row>
    <row r="63" spans="2:11" x14ac:dyDescent="0.3">
      <c r="B63" s="64" t="s">
        <v>174</v>
      </c>
      <c r="C63" s="176">
        <f>$C$7</f>
        <v>1.0682</v>
      </c>
      <c r="D63" s="63"/>
      <c r="E63" s="63"/>
      <c r="F63" s="63"/>
      <c r="G63" s="63"/>
      <c r="H63" s="63"/>
      <c r="I63" s="63"/>
      <c r="J63" s="63"/>
      <c r="K63" s="63"/>
    </row>
    <row r="64" spans="2:11" x14ac:dyDescent="0.3">
      <c r="B64" s="63"/>
      <c r="C64" s="63"/>
      <c r="D64" s="63"/>
      <c r="E64" s="63"/>
      <c r="F64" s="63"/>
      <c r="G64" s="63"/>
      <c r="H64" s="63"/>
      <c r="I64" s="63"/>
      <c r="J64" s="63"/>
      <c r="K64" s="63"/>
    </row>
    <row r="65" spans="2:11" x14ac:dyDescent="0.3">
      <c r="B65" s="63"/>
      <c r="C65" s="67"/>
      <c r="D65" s="304" t="s">
        <v>175</v>
      </c>
      <c r="E65" s="305"/>
      <c r="F65" s="306"/>
      <c r="G65" s="304" t="s">
        <v>176</v>
      </c>
      <c r="H65" s="305"/>
      <c r="I65" s="306"/>
      <c r="J65" s="304" t="s">
        <v>177</v>
      </c>
      <c r="K65" s="306"/>
    </row>
    <row r="66" spans="2:11" x14ac:dyDescent="0.3">
      <c r="B66" s="63"/>
      <c r="C66" s="320"/>
      <c r="D66" s="73" t="s">
        <v>178</v>
      </c>
      <c r="E66" s="73" t="s">
        <v>179</v>
      </c>
      <c r="F66" s="74" t="s">
        <v>180</v>
      </c>
      <c r="G66" s="73" t="s">
        <v>178</v>
      </c>
      <c r="H66" s="75" t="s">
        <v>179</v>
      </c>
      <c r="I66" s="74" t="s">
        <v>180</v>
      </c>
      <c r="J66" s="316" t="s">
        <v>181</v>
      </c>
      <c r="K66" s="318" t="s">
        <v>182</v>
      </c>
    </row>
    <row r="67" spans="2:11" x14ac:dyDescent="0.3">
      <c r="B67" s="63"/>
      <c r="C67" s="321"/>
      <c r="D67" s="76" t="s">
        <v>183</v>
      </c>
      <c r="E67" s="76"/>
      <c r="F67" s="77" t="s">
        <v>183</v>
      </c>
      <c r="G67" s="76" t="s">
        <v>183</v>
      </c>
      <c r="H67" s="77"/>
      <c r="I67" s="77" t="s">
        <v>183</v>
      </c>
      <c r="J67" s="317"/>
      <c r="K67" s="319"/>
    </row>
    <row r="68" spans="2:11" x14ac:dyDescent="0.3">
      <c r="B68" s="79" t="s">
        <v>184</v>
      </c>
      <c r="C68" s="177"/>
      <c r="D68" s="178">
        <v>23.03</v>
      </c>
      <c r="E68" s="82">
        <v>1</v>
      </c>
      <c r="F68" s="179">
        <f>E68*D68</f>
        <v>23.03</v>
      </c>
      <c r="G68" s="180">
        <f>D68</f>
        <v>23.03</v>
      </c>
      <c r="H68" s="181">
        <f>E68</f>
        <v>1</v>
      </c>
      <c r="I68" s="182">
        <f>H68*G68</f>
        <v>23.03</v>
      </c>
      <c r="J68" s="86">
        <f t="shared" ref="J68:J89" si="7">I68-F68</f>
        <v>0</v>
      </c>
      <c r="K68" s="183">
        <f>IF(ISERROR(J68/F68), "", J68/F68)</f>
        <v>0</v>
      </c>
    </row>
    <row r="69" spans="2:11" x14ac:dyDescent="0.3">
      <c r="B69" s="79" t="s">
        <v>79</v>
      </c>
      <c r="C69" s="177"/>
      <c r="D69" s="184">
        <v>1.7000000000000001E-2</v>
      </c>
      <c r="E69" s="82">
        <f>IF($C61&gt;0, $C61, $C60)</f>
        <v>2000</v>
      </c>
      <c r="F69" s="179">
        <f t="shared" ref="F69:F81" si="8">E69*D69</f>
        <v>34</v>
      </c>
      <c r="G69" s="185">
        <f>D69</f>
        <v>1.7000000000000001E-2</v>
      </c>
      <c r="H69" s="181">
        <f>IF($C61&gt;0, $C61, $C60)</f>
        <v>2000</v>
      </c>
      <c r="I69" s="182">
        <f>H69*G69</f>
        <v>34</v>
      </c>
      <c r="J69" s="86">
        <f t="shared" si="7"/>
        <v>0</v>
      </c>
      <c r="K69" s="183">
        <f t="shared" ref="K69:K79" si="9">IF(ISERROR(J69/F69), "", J69/F69)</f>
        <v>0</v>
      </c>
    </row>
    <row r="70" spans="2:11" hidden="1" x14ac:dyDescent="0.3">
      <c r="B70" s="79" t="s">
        <v>247</v>
      </c>
      <c r="C70" s="177"/>
      <c r="D70" s="184"/>
      <c r="E70" s="82">
        <f>IF($C61&gt;0, $C61, $C60)</f>
        <v>2000</v>
      </c>
      <c r="F70" s="179">
        <v>0</v>
      </c>
      <c r="G70" s="185"/>
      <c r="H70" s="181">
        <f>IF($C61&gt;0, $C61, $C60)</f>
        <v>2000</v>
      </c>
      <c r="I70" s="182">
        <v>0</v>
      </c>
      <c r="J70" s="86"/>
      <c r="K70" s="183"/>
    </row>
    <row r="71" spans="2:11" hidden="1" x14ac:dyDescent="0.3">
      <c r="B71" s="79" t="s">
        <v>248</v>
      </c>
      <c r="C71" s="177"/>
      <c r="D71" s="184"/>
      <c r="E71" s="82">
        <f>IF($C61&gt;0, $C61, $C60)</f>
        <v>2000</v>
      </c>
      <c r="F71" s="179">
        <v>0</v>
      </c>
      <c r="G71" s="185"/>
      <c r="H71" s="186">
        <f>IF($C61&gt;0, $C61, $C60)</f>
        <v>2000</v>
      </c>
      <c r="I71" s="182">
        <v>0</v>
      </c>
      <c r="J71" s="86">
        <f>I71-F71</f>
        <v>0</v>
      </c>
      <c r="K71" s="183" t="str">
        <f>IF(ISERROR(J71/F71), "", J71/F71)</f>
        <v/>
      </c>
    </row>
    <row r="72" spans="2:11" x14ac:dyDescent="0.3">
      <c r="B72" s="79" t="s">
        <v>185</v>
      </c>
      <c r="C72" s="177"/>
      <c r="D72" s="178">
        <v>0</v>
      </c>
      <c r="E72" s="82">
        <v>1</v>
      </c>
      <c r="F72" s="179">
        <f t="shared" si="8"/>
        <v>0</v>
      </c>
      <c r="G72" s="180">
        <v>0</v>
      </c>
      <c r="H72" s="181">
        <f>E72</f>
        <v>1</v>
      </c>
      <c r="I72" s="182">
        <f t="shared" ref="I72:I79" si="10">H72*G72</f>
        <v>0</v>
      </c>
      <c r="J72" s="86">
        <f t="shared" si="7"/>
        <v>0</v>
      </c>
      <c r="K72" s="183" t="str">
        <f t="shared" si="9"/>
        <v/>
      </c>
    </row>
    <row r="73" spans="2:11" x14ac:dyDescent="0.3">
      <c r="B73" s="79" t="s">
        <v>186</v>
      </c>
      <c r="C73" s="177"/>
      <c r="D73" s="184">
        <v>-1.8E-3</v>
      </c>
      <c r="E73" s="82">
        <f>IF($C61&gt;0, $C61, $C60)</f>
        <v>2000</v>
      </c>
      <c r="F73" s="179">
        <f t="shared" si="8"/>
        <v>-3.6</v>
      </c>
      <c r="G73" s="185">
        <f>D73</f>
        <v>-1.8E-3</v>
      </c>
      <c r="H73" s="181">
        <f>IF($C61&gt;0, $C61, $C60)</f>
        <v>2000</v>
      </c>
      <c r="I73" s="182">
        <f t="shared" si="10"/>
        <v>-3.6</v>
      </c>
      <c r="J73" s="86">
        <f t="shared" si="7"/>
        <v>0</v>
      </c>
      <c r="K73" s="183">
        <f t="shared" si="9"/>
        <v>0</v>
      </c>
    </row>
    <row r="74" spans="2:11" x14ac:dyDescent="0.3">
      <c r="B74" s="187" t="s">
        <v>187</v>
      </c>
      <c r="C74" s="188"/>
      <c r="D74" s="189"/>
      <c r="E74" s="190"/>
      <c r="F74" s="191">
        <f>SUM(F68:F73)</f>
        <v>53.43</v>
      </c>
      <c r="G74" s="192"/>
      <c r="H74" s="193"/>
      <c r="I74" s="191">
        <f>SUM(I68:I73)</f>
        <v>53.43</v>
      </c>
      <c r="J74" s="194">
        <f t="shared" si="7"/>
        <v>0</v>
      </c>
      <c r="K74" s="195">
        <f>IF((F74)=0,"",(J74/F74))</f>
        <v>0</v>
      </c>
    </row>
    <row r="75" spans="2:11" x14ac:dyDescent="0.3">
      <c r="B75" s="100" t="s">
        <v>188</v>
      </c>
      <c r="C75" s="177"/>
      <c r="D75" s="184">
        <f>IF((C60*12&gt;=150000), 0, IF(C59="RPP",(D91*0.65+D92*0.17+D93*0.18),IF(C59="Non-RPP (Retailer)",D94,D95)))</f>
        <v>8.2350000000000007E-2</v>
      </c>
      <c r="E75" s="196">
        <f>IF(D75=0, 0, $C60*C62-C60)</f>
        <v>136.40000000000009</v>
      </c>
      <c r="F75" s="179">
        <f>E75*D75</f>
        <v>11.232540000000009</v>
      </c>
      <c r="G75" s="185">
        <f>IF((C60*12&gt;=150000), 0, IF(C59="RPP",(G91*0.65+G92*0.17+G93*0.18),IF(C59="Non-RPP (Retailer)",G94,G95)))</f>
        <v>8.2350000000000007E-2</v>
      </c>
      <c r="H75" s="197">
        <f>IF(G75=0, 0, C60*C63-C60)</f>
        <v>136.40000000000009</v>
      </c>
      <c r="I75" s="182">
        <f>H75*G75</f>
        <v>11.232540000000009</v>
      </c>
      <c r="J75" s="86">
        <f>I75-F75</f>
        <v>0</v>
      </c>
      <c r="K75" s="183">
        <f>IF(ISERROR(J75/F75), "", J75/F75)</f>
        <v>0</v>
      </c>
    </row>
    <row r="76" spans="2:11" ht="26.4" x14ac:dyDescent="0.3">
      <c r="B76" s="100" t="s">
        <v>190</v>
      </c>
      <c r="C76" s="177"/>
      <c r="D76" s="184">
        <v>6.9999999999999999E-4</v>
      </c>
      <c r="E76" s="198">
        <f>IF($C61&gt;0, $C61, $C60)</f>
        <v>2000</v>
      </c>
      <c r="F76" s="179">
        <f t="shared" si="8"/>
        <v>1.4</v>
      </c>
      <c r="G76" s="185">
        <f>D76</f>
        <v>6.9999999999999999E-4</v>
      </c>
      <c r="H76" s="199">
        <f>IF($C61&gt;0, $C61, $C60)</f>
        <v>2000</v>
      </c>
      <c r="I76" s="182">
        <f t="shared" si="10"/>
        <v>1.4</v>
      </c>
      <c r="J76" s="86">
        <f t="shared" si="7"/>
        <v>0</v>
      </c>
      <c r="K76" s="183">
        <f t="shared" si="9"/>
        <v>0</v>
      </c>
    </row>
    <row r="77" spans="2:11" x14ac:dyDescent="0.3">
      <c r="B77" s="100" t="s">
        <v>191</v>
      </c>
      <c r="C77" s="177"/>
      <c r="D77" s="184">
        <v>0</v>
      </c>
      <c r="E77" s="198">
        <f>IF($C61&gt;0, $C61, $C60)</f>
        <v>2000</v>
      </c>
      <c r="F77" s="179">
        <f>E77*D77</f>
        <v>0</v>
      </c>
      <c r="G77" s="185">
        <v>0</v>
      </c>
      <c r="H77" s="199">
        <f>IF($C61&gt;0, $C61, $C60)</f>
        <v>2000</v>
      </c>
      <c r="I77" s="182">
        <f>H77*G77</f>
        <v>0</v>
      </c>
      <c r="J77" s="86">
        <f t="shared" si="7"/>
        <v>0</v>
      </c>
      <c r="K77" s="183" t="str">
        <f t="shared" si="9"/>
        <v/>
      </c>
    </row>
    <row r="78" spans="2:11" x14ac:dyDescent="0.3">
      <c r="B78" s="100" t="s">
        <v>192</v>
      </c>
      <c r="C78" s="177"/>
      <c r="D78" s="184">
        <v>0</v>
      </c>
      <c r="E78" s="198">
        <f>C60</f>
        <v>2000</v>
      </c>
      <c r="F78" s="179">
        <f>E78*D78</f>
        <v>0</v>
      </c>
      <c r="G78" s="185">
        <v>0</v>
      </c>
      <c r="H78" s="199">
        <f>C60</f>
        <v>2000</v>
      </c>
      <c r="I78" s="182">
        <f t="shared" si="10"/>
        <v>0</v>
      </c>
      <c r="J78" s="86">
        <f t="shared" si="7"/>
        <v>0</v>
      </c>
      <c r="K78" s="183" t="str">
        <f t="shared" si="9"/>
        <v/>
      </c>
    </row>
    <row r="79" spans="2:11" x14ac:dyDescent="0.3">
      <c r="B79" s="79" t="s">
        <v>193</v>
      </c>
      <c r="C79" s="177"/>
      <c r="D79" s="184">
        <v>1.8E-3</v>
      </c>
      <c r="E79" s="198">
        <f>IF($C61&gt;0, $C61, $C60)</f>
        <v>2000</v>
      </c>
      <c r="F79" s="179">
        <f t="shared" si="8"/>
        <v>3.6</v>
      </c>
      <c r="G79" s="185">
        <v>1.8E-3</v>
      </c>
      <c r="H79" s="199">
        <f>IF($C61&gt;0, $C61, $C60)</f>
        <v>2000</v>
      </c>
      <c r="I79" s="182">
        <f t="shared" si="10"/>
        <v>3.6</v>
      </c>
      <c r="J79" s="86">
        <f t="shared" si="7"/>
        <v>0</v>
      </c>
      <c r="K79" s="183">
        <f t="shared" si="9"/>
        <v>0</v>
      </c>
    </row>
    <row r="80" spans="2:11" x14ac:dyDescent="0.3">
      <c r="B80" s="100" t="s">
        <v>194</v>
      </c>
      <c r="C80" s="177"/>
      <c r="D80" s="200">
        <f>IF(OR(ISNUMBER(SEARCH("RESIDENTIAL", C58))=TRUE, ISNUMBER(SEARCH("GENERAL SERVICE LESS THAN 50", C58))=TRUE), SME, 0)</f>
        <v>0.56999999999999995</v>
      </c>
      <c r="E80" s="82">
        <v>1</v>
      </c>
      <c r="F80" s="179">
        <f>E80*D80</f>
        <v>0.56999999999999995</v>
      </c>
      <c r="G80" s="201">
        <f>IF(OR(ISNUMBER(SEARCH("RESIDENTIAL", C58))=TRUE, ISNUMBER(SEARCH("GENERAL SERVICE LESS THAN 50", C58))=TRUE), SME, 0)</f>
        <v>0.56999999999999995</v>
      </c>
      <c r="H80" s="186">
        <v>1</v>
      </c>
      <c r="I80" s="182">
        <f>H80*G80</f>
        <v>0.56999999999999995</v>
      </c>
      <c r="J80" s="86">
        <f t="shared" si="7"/>
        <v>0</v>
      </c>
      <c r="K80" s="183">
        <f>IF(ISERROR(J80/F80), "", J80/F80)</f>
        <v>0</v>
      </c>
    </row>
    <row r="81" spans="2:11" x14ac:dyDescent="0.3">
      <c r="B81" s="79" t="s">
        <v>195</v>
      </c>
      <c r="C81" s="177"/>
      <c r="D81" s="178">
        <v>0</v>
      </c>
      <c r="E81" s="82">
        <v>1</v>
      </c>
      <c r="F81" s="179">
        <f t="shared" si="8"/>
        <v>0</v>
      </c>
      <c r="G81" s="180">
        <v>0</v>
      </c>
      <c r="H81" s="186">
        <v>1</v>
      </c>
      <c r="I81" s="182">
        <f>H81*G81</f>
        <v>0</v>
      </c>
      <c r="J81" s="86">
        <f>I81-F81</f>
        <v>0</v>
      </c>
      <c r="K81" s="183" t="str">
        <f>IF(ISERROR(J81/F81), "", J81/F81)</f>
        <v/>
      </c>
    </row>
    <row r="82" spans="2:11" x14ac:dyDescent="0.3">
      <c r="B82" s="79" t="s">
        <v>196</v>
      </c>
      <c r="C82" s="177"/>
      <c r="D82" s="184"/>
      <c r="E82" s="198">
        <f>IF($C61&gt;0, $C61, $C60)</f>
        <v>2000</v>
      </c>
      <c r="F82" s="179">
        <f>E82*D82</f>
        <v>0</v>
      </c>
      <c r="G82" s="185">
        <v>0</v>
      </c>
      <c r="H82" s="199">
        <f>IF($C61&gt;0, $C61, $C60)</f>
        <v>2000</v>
      </c>
      <c r="I82" s="182">
        <f>H82*G82</f>
        <v>0</v>
      </c>
      <c r="J82" s="86">
        <f t="shared" si="7"/>
        <v>0</v>
      </c>
      <c r="K82" s="183" t="str">
        <f>IF(ISERROR(J82/F82), "", J82/F82)</f>
        <v/>
      </c>
    </row>
    <row r="83" spans="2:11" ht="26.4" x14ac:dyDescent="0.3">
      <c r="B83" s="202" t="s">
        <v>197</v>
      </c>
      <c r="C83" s="203"/>
      <c r="D83" s="204"/>
      <c r="E83" s="205"/>
      <c r="F83" s="206">
        <f>SUM(F74:F82)</f>
        <v>70.23254</v>
      </c>
      <c r="G83" s="207"/>
      <c r="H83" s="208"/>
      <c r="I83" s="206">
        <f>SUM(I74:I82)</f>
        <v>70.23254</v>
      </c>
      <c r="J83" s="194">
        <f t="shared" si="7"/>
        <v>0</v>
      </c>
      <c r="K83" s="195">
        <f>IF((F83)=0,"",(J83/F83))</f>
        <v>0</v>
      </c>
    </row>
    <row r="84" spans="2:11" x14ac:dyDescent="0.3">
      <c r="B84" s="111" t="s">
        <v>198</v>
      </c>
      <c r="C84" s="177"/>
      <c r="D84" s="184">
        <v>5.8999999999999999E-3</v>
      </c>
      <c r="E84" s="196">
        <f>IF($C61&gt;0, $C61, $C60*$C62)</f>
        <v>2136.4</v>
      </c>
      <c r="F84" s="179">
        <f>E84*D84</f>
        <v>12.604760000000001</v>
      </c>
      <c r="G84" s="209">
        <f>D84</f>
        <v>5.8999999999999999E-3</v>
      </c>
      <c r="H84" s="197">
        <f>IF($C61&gt;0, $C61, $C60*$C63)</f>
        <v>2136.4</v>
      </c>
      <c r="I84" s="182">
        <f>H84*G84</f>
        <v>12.604760000000001</v>
      </c>
      <c r="J84" s="86">
        <f t="shared" si="7"/>
        <v>0</v>
      </c>
      <c r="K84" s="183">
        <f>IF(ISERROR(J84/F84), "", J84/F84)</f>
        <v>0</v>
      </c>
    </row>
    <row r="85" spans="2:11" ht="26.4" x14ac:dyDescent="0.3">
      <c r="B85" s="112" t="s">
        <v>199</v>
      </c>
      <c r="C85" s="177"/>
      <c r="D85" s="184">
        <v>4.7999999999999996E-3</v>
      </c>
      <c r="E85" s="196">
        <f>IF($C61&gt;0, $C61, $C60*$C62)</f>
        <v>2136.4</v>
      </c>
      <c r="F85" s="179">
        <f>E85*D85</f>
        <v>10.254719999999999</v>
      </c>
      <c r="G85" s="209">
        <f>D85</f>
        <v>4.7999999999999996E-3</v>
      </c>
      <c r="H85" s="197">
        <f>IF($C61&gt;0, $C61, $C60*$C63)</f>
        <v>2136.4</v>
      </c>
      <c r="I85" s="182">
        <f>H85*G85</f>
        <v>10.254719999999999</v>
      </c>
      <c r="J85" s="86">
        <f t="shared" si="7"/>
        <v>0</v>
      </c>
      <c r="K85" s="183">
        <f>IF(ISERROR(J85/F85), "", J85/F85)</f>
        <v>0</v>
      </c>
    </row>
    <row r="86" spans="2:11" ht="26.4" x14ac:dyDescent="0.3">
      <c r="B86" s="202" t="s">
        <v>200</v>
      </c>
      <c r="C86" s="188"/>
      <c r="D86" s="204"/>
      <c r="E86" s="205"/>
      <c r="F86" s="206">
        <f>SUM(F83:F85)</f>
        <v>93.092019999999991</v>
      </c>
      <c r="G86" s="207"/>
      <c r="H86" s="193"/>
      <c r="I86" s="206">
        <f>SUM(I83:I85)</f>
        <v>93.092019999999991</v>
      </c>
      <c r="J86" s="194">
        <f t="shared" si="7"/>
        <v>0</v>
      </c>
      <c r="K86" s="195">
        <f>IF((F86)=0,"",(J86/F86))</f>
        <v>0</v>
      </c>
    </row>
    <row r="87" spans="2:11" ht="26.4" x14ac:dyDescent="0.3">
      <c r="B87" s="113" t="s">
        <v>201</v>
      </c>
      <c r="C87" s="177"/>
      <c r="D87" s="184">
        <v>3.4000000000000002E-3</v>
      </c>
      <c r="E87" s="196">
        <f>C60*C62</f>
        <v>2136.4</v>
      </c>
      <c r="F87" s="210">
        <f t="shared" ref="F87:F93" si="11">E87*D87</f>
        <v>7.2637600000000004</v>
      </c>
      <c r="G87" s="185">
        <f>'[1]17. Regulatory Charges'!$E$15+'[1]17. Regulatory Charges'!$E$16</f>
        <v>3.4000000000000002E-3</v>
      </c>
      <c r="H87" s="197">
        <f>C60*C63</f>
        <v>2136.4</v>
      </c>
      <c r="I87" s="182">
        <f t="shared" ref="I87:I93" si="12">H87*G87</f>
        <v>7.2637600000000004</v>
      </c>
      <c r="J87" s="86">
        <f t="shared" si="7"/>
        <v>0</v>
      </c>
      <c r="K87" s="183">
        <f t="shared" ref="K87:K95" si="13">IF(ISERROR(J87/F87), "", J87/F87)</f>
        <v>0</v>
      </c>
    </row>
    <row r="88" spans="2:11" ht="26.4" x14ac:dyDescent="0.3">
      <c r="B88" s="113" t="s">
        <v>202</v>
      </c>
      <c r="C88" s="177"/>
      <c r="D88" s="184">
        <v>5.0000000000000001E-4</v>
      </c>
      <c r="E88" s="196">
        <f>C60*C62</f>
        <v>2136.4</v>
      </c>
      <c r="F88" s="210">
        <f t="shared" si="11"/>
        <v>1.0682</v>
      </c>
      <c r="G88" s="185">
        <f>'[1]17. Regulatory Charges'!$E$17</f>
        <v>5.0000000000000001E-4</v>
      </c>
      <c r="H88" s="197">
        <f>C60*C63</f>
        <v>2136.4</v>
      </c>
      <c r="I88" s="182">
        <f t="shared" si="12"/>
        <v>1.0682</v>
      </c>
      <c r="J88" s="86">
        <f t="shared" si="7"/>
        <v>0</v>
      </c>
      <c r="K88" s="183">
        <f t="shared" si="13"/>
        <v>0</v>
      </c>
    </row>
    <row r="89" spans="2:11" x14ac:dyDescent="0.3">
      <c r="B89" s="114" t="s">
        <v>203</v>
      </c>
      <c r="C89" s="177"/>
      <c r="D89" s="200">
        <v>0.25</v>
      </c>
      <c r="E89" s="82">
        <v>1</v>
      </c>
      <c r="F89" s="210">
        <f t="shared" si="11"/>
        <v>0.25</v>
      </c>
      <c r="G89" s="201">
        <f>'[1]17. Regulatory Charges'!$E$18</f>
        <v>0.25</v>
      </c>
      <c r="H89" s="181">
        <v>1</v>
      </c>
      <c r="I89" s="182">
        <f t="shared" si="12"/>
        <v>0.25</v>
      </c>
      <c r="J89" s="86">
        <f t="shared" si="7"/>
        <v>0</v>
      </c>
      <c r="K89" s="183">
        <f t="shared" si="13"/>
        <v>0</v>
      </c>
    </row>
    <row r="90" spans="2:11" ht="26.4" x14ac:dyDescent="0.3">
      <c r="B90" s="113" t="s">
        <v>249</v>
      </c>
      <c r="C90" s="177"/>
      <c r="D90" s="184"/>
      <c r="E90" s="196"/>
      <c r="F90" s="210"/>
      <c r="G90" s="185"/>
      <c r="H90" s="197"/>
      <c r="I90" s="182"/>
      <c r="J90" s="86"/>
      <c r="K90" s="183"/>
    </row>
    <row r="91" spans="2:11" x14ac:dyDescent="0.3">
      <c r="B91" s="114" t="s">
        <v>204</v>
      </c>
      <c r="C91" s="177"/>
      <c r="D91" s="211">
        <f>OffPeak</f>
        <v>6.5000000000000002E-2</v>
      </c>
      <c r="E91" s="212">
        <f>IF(AND(C60*12&gt;=150000),0.65*C60*C62,0.65*C60)</f>
        <v>1300</v>
      </c>
      <c r="F91" s="210">
        <f t="shared" si="11"/>
        <v>84.5</v>
      </c>
      <c r="G91" s="213">
        <f>OffPeak</f>
        <v>6.5000000000000002E-2</v>
      </c>
      <c r="H91" s="214">
        <f>IF(AND(C60*12&gt;=150000),0.65*C60*C63,0.65*C60)</f>
        <v>1300</v>
      </c>
      <c r="I91" s="182">
        <f t="shared" si="12"/>
        <v>84.5</v>
      </c>
      <c r="J91" s="86">
        <f>I91-F91</f>
        <v>0</v>
      </c>
      <c r="K91" s="183">
        <f t="shared" si="13"/>
        <v>0</v>
      </c>
    </row>
    <row r="92" spans="2:11" x14ac:dyDescent="0.3">
      <c r="B92" s="114" t="s">
        <v>205</v>
      </c>
      <c r="C92" s="177"/>
      <c r="D92" s="211">
        <f>MidPeak</f>
        <v>9.4E-2</v>
      </c>
      <c r="E92" s="212">
        <f>IF(AND(C60*12&gt;=150000),0.17*C60*C62,0.17*C60)</f>
        <v>340</v>
      </c>
      <c r="F92" s="210">
        <f t="shared" si="11"/>
        <v>31.96</v>
      </c>
      <c r="G92" s="213">
        <f>MidPeak</f>
        <v>9.4E-2</v>
      </c>
      <c r="H92" s="214">
        <f>IF(AND(C60*12&gt;=150000),0.17*C60*C63,0.17*C60)</f>
        <v>340</v>
      </c>
      <c r="I92" s="182">
        <f t="shared" si="12"/>
        <v>31.96</v>
      </c>
      <c r="J92" s="86">
        <f>I92-F92</f>
        <v>0</v>
      </c>
      <c r="K92" s="183">
        <f t="shared" si="13"/>
        <v>0</v>
      </c>
    </row>
    <row r="93" spans="2:11" ht="15" thickBot="1" x14ac:dyDescent="0.35">
      <c r="B93" s="63" t="s">
        <v>206</v>
      </c>
      <c r="C93" s="177"/>
      <c r="D93" s="211">
        <f>OnPeak</f>
        <v>0.13400000000000001</v>
      </c>
      <c r="E93" s="212">
        <f>IF(AND(C60*12&gt;=150000),0.18*C60*C62,0.18*C60)</f>
        <v>360</v>
      </c>
      <c r="F93" s="210">
        <f t="shared" si="11"/>
        <v>48.24</v>
      </c>
      <c r="G93" s="213">
        <f>OnPeak</f>
        <v>0.13400000000000001</v>
      </c>
      <c r="H93" s="214">
        <f>IF(AND(C60*12&gt;=150000),0.18*C60*C63,0.18*C60)</f>
        <v>360</v>
      </c>
      <c r="I93" s="182">
        <f t="shared" si="12"/>
        <v>48.24</v>
      </c>
      <c r="J93" s="86">
        <f>I93-F93</f>
        <v>0</v>
      </c>
      <c r="K93" s="183">
        <f t="shared" si="13"/>
        <v>0</v>
      </c>
    </row>
    <row r="94" spans="2:11" hidden="1" x14ac:dyDescent="0.3">
      <c r="B94" s="114" t="s">
        <v>250</v>
      </c>
      <c r="C94" s="177"/>
      <c r="D94" s="215">
        <v>0.1101</v>
      </c>
      <c r="E94" s="212">
        <f>IF(AND(C60*12&gt;=150000),C60*C62,C60)</f>
        <v>2000</v>
      </c>
      <c r="F94" s="210">
        <f>E94*D94</f>
        <v>220.20000000000002</v>
      </c>
      <c r="G94" s="216">
        <f>D94</f>
        <v>0.1101</v>
      </c>
      <c r="H94" s="214">
        <f>IF(AND(C60*12&gt;=150000),C60*C63,C60)</f>
        <v>2000</v>
      </c>
      <c r="I94" s="182">
        <f>H94*G94</f>
        <v>220.20000000000002</v>
      </c>
      <c r="J94" s="86">
        <f>I94-F94</f>
        <v>0</v>
      </c>
      <c r="K94" s="183">
        <f t="shared" si="13"/>
        <v>0</v>
      </c>
    </row>
    <row r="95" spans="2:11" ht="15" hidden="1" thickBot="1" x14ac:dyDescent="0.35">
      <c r="B95" s="114" t="s">
        <v>214</v>
      </c>
      <c r="C95" s="177"/>
      <c r="D95" s="215">
        <v>0.1101</v>
      </c>
      <c r="E95" s="212">
        <f>IF(AND(C60*12&gt;=150000),C60*C62,C60)</f>
        <v>2000</v>
      </c>
      <c r="F95" s="210">
        <f>E95*D95</f>
        <v>220.20000000000002</v>
      </c>
      <c r="G95" s="216">
        <f>D95</f>
        <v>0.1101</v>
      </c>
      <c r="H95" s="214">
        <f>IF(AND(C60*12&gt;=150000),C60*C63,C60)</f>
        <v>2000</v>
      </c>
      <c r="I95" s="182">
        <f>H95*G95</f>
        <v>220.20000000000002</v>
      </c>
      <c r="J95" s="86">
        <f>I95-F95</f>
        <v>0</v>
      </c>
      <c r="K95" s="183">
        <f t="shared" si="13"/>
        <v>0</v>
      </c>
    </row>
    <row r="96" spans="2:11" ht="15" thickBot="1" x14ac:dyDescent="0.35">
      <c r="B96" s="217"/>
      <c r="C96" s="218"/>
      <c r="D96" s="219"/>
      <c r="E96" s="220"/>
      <c r="F96" s="221"/>
      <c r="G96" s="219"/>
      <c r="H96" s="222"/>
      <c r="I96" s="221"/>
      <c r="J96" s="223"/>
      <c r="K96" s="224"/>
    </row>
    <row r="97" spans="2:11" x14ac:dyDescent="0.3">
      <c r="B97" s="125" t="s">
        <v>207</v>
      </c>
      <c r="C97" s="114"/>
      <c r="D97" s="126"/>
      <c r="E97" s="127"/>
      <c r="F97" s="128">
        <f>SUM(F87:F93,F86)</f>
        <v>266.37397999999996</v>
      </c>
      <c r="G97" s="129"/>
      <c r="H97" s="129"/>
      <c r="I97" s="128">
        <f>SUM(I87:I93,I86)</f>
        <v>266.37397999999996</v>
      </c>
      <c r="J97" s="130">
        <f>I97-F97</f>
        <v>0</v>
      </c>
      <c r="K97" s="131">
        <f>IF((F97)=0,"",(J97/F97))</f>
        <v>0</v>
      </c>
    </row>
    <row r="98" spans="2:11" x14ac:dyDescent="0.3">
      <c r="B98" s="132" t="s">
        <v>208</v>
      </c>
      <c r="C98" s="114"/>
      <c r="D98" s="126">
        <v>0.13</v>
      </c>
      <c r="E98" s="133"/>
      <c r="F98" s="134">
        <f>F97*D98</f>
        <v>34.628617399999996</v>
      </c>
      <c r="G98" s="135">
        <v>0.13</v>
      </c>
      <c r="H98" s="82"/>
      <c r="I98" s="134">
        <f>I97*G98</f>
        <v>34.628617399999996</v>
      </c>
      <c r="J98" s="86">
        <f>I98-F98</f>
        <v>0</v>
      </c>
      <c r="K98" s="136">
        <f>IF((F98)=0,"",(J98/F98))</f>
        <v>0</v>
      </c>
    </row>
    <row r="99" spans="2:11" x14ac:dyDescent="0.3">
      <c r="B99" s="132" t="s">
        <v>209</v>
      </c>
      <c r="C99" s="114"/>
      <c r="D99" s="126">
        <v>0.08</v>
      </c>
      <c r="E99" s="133"/>
      <c r="F99" s="134">
        <f>F97*-D99</f>
        <v>-21.309918399999997</v>
      </c>
      <c r="G99" s="126">
        <v>0.08</v>
      </c>
      <c r="H99" s="82"/>
      <c r="I99" s="134">
        <f>I97*-G99</f>
        <v>-21.309918399999997</v>
      </c>
      <c r="J99" s="86">
        <f>I99-F99</f>
        <v>0</v>
      </c>
      <c r="K99" s="136"/>
    </row>
    <row r="100" spans="2:11" ht="15" thickBot="1" x14ac:dyDescent="0.35">
      <c r="B100" s="328" t="s">
        <v>210</v>
      </c>
      <c r="C100" s="328"/>
      <c r="D100" s="225"/>
      <c r="E100" s="226"/>
      <c r="F100" s="227">
        <f>F97+F98+F99</f>
        <v>279.69267899999994</v>
      </c>
      <c r="G100" s="228"/>
      <c r="H100" s="228"/>
      <c r="I100" s="229">
        <f>I97+I98+I99</f>
        <v>279.69267899999994</v>
      </c>
      <c r="J100" s="230">
        <f>I100-F100</f>
        <v>0</v>
      </c>
      <c r="K100" s="231">
        <f>IF((F100)=0,"",(J100/F100))</f>
        <v>0</v>
      </c>
    </row>
    <row r="101" spans="2:11" ht="15" thickBot="1" x14ac:dyDescent="0.35">
      <c r="B101" s="217"/>
      <c r="C101" s="218"/>
      <c r="D101" s="219"/>
      <c r="E101" s="220"/>
      <c r="F101" s="221"/>
      <c r="G101" s="219"/>
      <c r="H101" s="222"/>
      <c r="I101" s="221"/>
      <c r="J101" s="223"/>
      <c r="K101" s="224"/>
    </row>
    <row r="102" spans="2:11" hidden="1" x14ac:dyDescent="0.3">
      <c r="B102" s="125" t="s">
        <v>251</v>
      </c>
      <c r="C102" s="114"/>
      <c r="D102" s="126"/>
      <c r="E102" s="127"/>
      <c r="F102" s="128">
        <f>SUM(F94,F87:F90,F86)</f>
        <v>321.87397999999996</v>
      </c>
      <c r="G102" s="129"/>
      <c r="H102" s="129"/>
      <c r="I102" s="128">
        <f>SUM(I94,I87:I90,I86)</f>
        <v>321.87397999999996</v>
      </c>
      <c r="J102" s="130">
        <f>I102-F102</f>
        <v>0</v>
      </c>
      <c r="K102" s="131">
        <f>IF((F102)=0,"",(J102/F102))</f>
        <v>0</v>
      </c>
    </row>
    <row r="103" spans="2:11" hidden="1" x14ac:dyDescent="0.3">
      <c r="B103" s="132" t="s">
        <v>208</v>
      </c>
      <c r="C103" s="114"/>
      <c r="D103" s="126">
        <v>0.13</v>
      </c>
      <c r="E103" s="127"/>
      <c r="F103" s="134">
        <f>F102*D103</f>
        <v>41.843617399999999</v>
      </c>
      <c r="G103" s="126">
        <v>0.13</v>
      </c>
      <c r="H103" s="135"/>
      <c r="I103" s="134">
        <f>I102*G103</f>
        <v>41.843617399999999</v>
      </c>
      <c r="J103" s="86">
        <f>I103-F103</f>
        <v>0</v>
      </c>
      <c r="K103" s="136">
        <f>IF((F103)=0,"",(J103/F103))</f>
        <v>0</v>
      </c>
    </row>
    <row r="104" spans="2:11" hidden="1" x14ac:dyDescent="0.3">
      <c r="B104" s="132" t="s">
        <v>209</v>
      </c>
      <c r="C104" s="114"/>
      <c r="D104" s="126">
        <v>0.08</v>
      </c>
      <c r="E104" s="127"/>
      <c r="F104" s="134"/>
      <c r="G104" s="126">
        <v>0.08</v>
      </c>
      <c r="H104" s="135"/>
      <c r="I104" s="134"/>
      <c r="J104" s="86"/>
      <c r="K104" s="136"/>
    </row>
    <row r="105" spans="2:11" ht="15" hidden="1" thickBot="1" x14ac:dyDescent="0.35">
      <c r="B105" s="328" t="s">
        <v>251</v>
      </c>
      <c r="C105" s="328"/>
      <c r="D105" s="232"/>
      <c r="E105" s="233"/>
      <c r="F105" s="227">
        <f>SUM(F102,F103)</f>
        <v>363.71759739999993</v>
      </c>
      <c r="G105" s="234"/>
      <c r="H105" s="234"/>
      <c r="I105" s="227">
        <f>SUM(I102,I103)</f>
        <v>363.71759739999993</v>
      </c>
      <c r="J105" s="235">
        <f>I105-F105</f>
        <v>0</v>
      </c>
      <c r="K105" s="236">
        <f>IF((F105)=0,"",(J105/F105))</f>
        <v>0</v>
      </c>
    </row>
    <row r="106" spans="2:11" ht="15" hidden="1" thickBot="1" x14ac:dyDescent="0.35">
      <c r="B106" s="217"/>
      <c r="C106" s="218"/>
      <c r="D106" s="237"/>
      <c r="E106" s="238"/>
      <c r="F106" s="239"/>
      <c r="G106" s="237"/>
      <c r="H106" s="220"/>
      <c r="I106" s="239"/>
      <c r="J106" s="240"/>
      <c r="K106" s="224"/>
    </row>
    <row r="107" spans="2:11" hidden="1" x14ac:dyDescent="0.3">
      <c r="B107" s="125" t="s">
        <v>215</v>
      </c>
      <c r="C107" s="114"/>
      <c r="D107" s="126"/>
      <c r="E107" s="127"/>
      <c r="F107" s="128">
        <f>SUM(F95,F87:F90,F86)</f>
        <v>321.87397999999996</v>
      </c>
      <c r="G107" s="129"/>
      <c r="H107" s="129"/>
      <c r="I107" s="128">
        <f>SUM(I95,I87:I90,I86)</f>
        <v>321.87397999999996</v>
      </c>
      <c r="J107" s="130">
        <f>I107-F107</f>
        <v>0</v>
      </c>
      <c r="K107" s="131">
        <f>IF((F107)=0,"",(J107/F107))</f>
        <v>0</v>
      </c>
    </row>
    <row r="108" spans="2:11" hidden="1" x14ac:dyDescent="0.3">
      <c r="B108" s="132" t="s">
        <v>208</v>
      </c>
      <c r="C108" s="114"/>
      <c r="D108" s="126">
        <v>0.13</v>
      </c>
      <c r="E108" s="127"/>
      <c r="F108" s="134">
        <f>F107*D108</f>
        <v>41.843617399999999</v>
      </c>
      <c r="G108" s="126">
        <v>0.13</v>
      </c>
      <c r="H108" s="135"/>
      <c r="I108" s="134">
        <f>I107*G108</f>
        <v>41.843617399999999</v>
      </c>
      <c r="J108" s="86">
        <f>I108-F108</f>
        <v>0</v>
      </c>
      <c r="K108" s="136">
        <f>IF((F108)=0,"",(J108/F108))</f>
        <v>0</v>
      </c>
    </row>
    <row r="109" spans="2:11" hidden="1" x14ac:dyDescent="0.3">
      <c r="B109" s="132" t="s">
        <v>209</v>
      </c>
      <c r="C109" s="114"/>
      <c r="D109" s="126">
        <v>0.08</v>
      </c>
      <c r="E109" s="127"/>
      <c r="F109" s="134"/>
      <c r="G109" s="126">
        <v>0.08</v>
      </c>
      <c r="H109" s="135"/>
      <c r="I109" s="134"/>
      <c r="J109" s="86"/>
      <c r="K109" s="136"/>
    </row>
    <row r="110" spans="2:11" ht="15" hidden="1" thickBot="1" x14ac:dyDescent="0.35">
      <c r="B110" s="328" t="s">
        <v>215</v>
      </c>
      <c r="C110" s="328"/>
      <c r="D110" s="232"/>
      <c r="E110" s="233"/>
      <c r="F110" s="227">
        <f>SUM(F107,F108)</f>
        <v>363.71759739999993</v>
      </c>
      <c r="G110" s="234"/>
      <c r="H110" s="234"/>
      <c r="I110" s="227">
        <f>SUM(I107,I108)</f>
        <v>363.71759739999993</v>
      </c>
      <c r="J110" s="235">
        <f>I110-F110</f>
        <v>0</v>
      </c>
      <c r="K110" s="236">
        <f>IF((F110)=0,"",(J110/F110))</f>
        <v>0</v>
      </c>
    </row>
    <row r="111" spans="2:11" ht="15" hidden="1" thickBot="1" x14ac:dyDescent="0.35">
      <c r="B111" s="217"/>
      <c r="C111" s="218"/>
      <c r="D111" s="237"/>
      <c r="E111" s="238"/>
      <c r="F111" s="239"/>
      <c r="G111" s="237"/>
      <c r="H111" s="220"/>
      <c r="I111" s="239"/>
      <c r="J111" s="240"/>
      <c r="K111" s="224"/>
    </row>
    <row r="112" spans="2:11" x14ac:dyDescent="0.3">
      <c r="B112" s="63"/>
      <c r="C112" s="63"/>
      <c r="D112" s="63"/>
      <c r="E112" s="63"/>
      <c r="F112" s="63"/>
      <c r="G112" s="63"/>
      <c r="H112" s="63"/>
      <c r="I112" s="63"/>
      <c r="J112" s="63"/>
      <c r="K112" s="63"/>
    </row>
    <row r="113" spans="2:11" x14ac:dyDescent="0.3">
      <c r="B113" s="63"/>
      <c r="C113" s="63"/>
      <c r="D113" s="63"/>
      <c r="E113" s="63"/>
      <c r="F113" s="63"/>
      <c r="G113" s="63"/>
      <c r="H113" s="63"/>
      <c r="I113" s="63"/>
      <c r="J113" s="63"/>
      <c r="K113" s="63"/>
    </row>
    <row r="114" spans="2:11" x14ac:dyDescent="0.3">
      <c r="B114" s="64" t="s">
        <v>168</v>
      </c>
      <c r="C114" s="330" t="s">
        <v>252</v>
      </c>
      <c r="D114" s="330"/>
      <c r="E114" s="330"/>
      <c r="F114" s="330"/>
      <c r="G114" s="330"/>
      <c r="H114" s="330"/>
      <c r="I114" s="63"/>
      <c r="J114" s="63"/>
      <c r="K114" s="63"/>
    </row>
    <row r="115" spans="2:11" x14ac:dyDescent="0.3">
      <c r="B115" s="64" t="s">
        <v>169</v>
      </c>
      <c r="C115" s="329" t="s">
        <v>213</v>
      </c>
      <c r="D115" s="329"/>
      <c r="E115" s="329"/>
      <c r="F115" s="173"/>
      <c r="G115" s="173"/>
      <c r="H115" s="63"/>
      <c r="I115" s="63"/>
      <c r="J115" s="63"/>
      <c r="K115" s="63"/>
    </row>
    <row r="116" spans="2:11" ht="15.6" x14ac:dyDescent="0.3">
      <c r="B116" s="64" t="s">
        <v>171</v>
      </c>
      <c r="C116" s="174">
        <v>210000</v>
      </c>
      <c r="D116" s="67" t="s">
        <v>1</v>
      </c>
      <c r="E116" s="63"/>
      <c r="F116" s="63"/>
      <c r="G116" s="63"/>
      <c r="H116" s="175"/>
      <c r="I116" s="175"/>
      <c r="J116" s="175"/>
      <c r="K116" s="175"/>
    </row>
    <row r="117" spans="2:11" ht="15.6" x14ac:dyDescent="0.3">
      <c r="B117" s="64" t="s">
        <v>172</v>
      </c>
      <c r="C117" s="174">
        <v>500</v>
      </c>
      <c r="D117" s="69" t="s">
        <v>2</v>
      </c>
      <c r="E117" s="70"/>
      <c r="F117" s="71"/>
      <c r="G117" s="71"/>
      <c r="H117" s="71"/>
      <c r="I117" s="63"/>
      <c r="J117" s="63"/>
      <c r="K117" s="63"/>
    </row>
    <row r="118" spans="2:11" x14ac:dyDescent="0.3">
      <c r="B118" s="64" t="s">
        <v>173</v>
      </c>
      <c r="C118" s="176">
        <f>$C$6</f>
        <v>1.0682</v>
      </c>
      <c r="D118" s="63"/>
      <c r="E118" s="63"/>
      <c r="F118" s="63"/>
      <c r="G118" s="63"/>
      <c r="H118" s="63"/>
      <c r="I118" s="63"/>
      <c r="J118" s="63"/>
      <c r="K118" s="63"/>
    </row>
    <row r="119" spans="2:11" x14ac:dyDescent="0.3">
      <c r="B119" s="64" t="s">
        <v>174</v>
      </c>
      <c r="C119" s="176">
        <f>$C$7</f>
        <v>1.0682</v>
      </c>
      <c r="D119" s="63"/>
      <c r="E119" s="63"/>
      <c r="F119" s="63"/>
      <c r="G119" s="63"/>
      <c r="H119" s="63"/>
      <c r="I119" s="63"/>
      <c r="J119" s="63"/>
      <c r="K119" s="63"/>
    </row>
    <row r="120" spans="2:11" x14ac:dyDescent="0.3">
      <c r="B120" s="63"/>
      <c r="C120" s="63"/>
      <c r="D120" s="63"/>
      <c r="E120" s="63"/>
      <c r="F120" s="63"/>
      <c r="G120" s="63"/>
      <c r="H120" s="63"/>
      <c r="I120" s="63"/>
      <c r="J120" s="63"/>
      <c r="K120" s="63"/>
    </row>
    <row r="121" spans="2:11" x14ac:dyDescent="0.3">
      <c r="B121" s="63"/>
      <c r="C121" s="67"/>
      <c r="D121" s="304" t="s">
        <v>175</v>
      </c>
      <c r="E121" s="305"/>
      <c r="F121" s="306"/>
      <c r="G121" s="304" t="s">
        <v>176</v>
      </c>
      <c r="H121" s="305"/>
      <c r="I121" s="306"/>
      <c r="J121" s="304" t="s">
        <v>177</v>
      </c>
      <c r="K121" s="306"/>
    </row>
    <row r="122" spans="2:11" x14ac:dyDescent="0.3">
      <c r="B122" s="63"/>
      <c r="C122" s="320"/>
      <c r="D122" s="73" t="s">
        <v>178</v>
      </c>
      <c r="E122" s="73" t="s">
        <v>179</v>
      </c>
      <c r="F122" s="74" t="s">
        <v>180</v>
      </c>
      <c r="G122" s="73" t="s">
        <v>178</v>
      </c>
      <c r="H122" s="75" t="s">
        <v>179</v>
      </c>
      <c r="I122" s="74" t="s">
        <v>180</v>
      </c>
      <c r="J122" s="316" t="s">
        <v>181</v>
      </c>
      <c r="K122" s="318" t="s">
        <v>182</v>
      </c>
    </row>
    <row r="123" spans="2:11" x14ac:dyDescent="0.3">
      <c r="B123" s="63"/>
      <c r="C123" s="321"/>
      <c r="D123" s="76" t="s">
        <v>183</v>
      </c>
      <c r="E123" s="76"/>
      <c r="F123" s="77" t="s">
        <v>183</v>
      </c>
      <c r="G123" s="76" t="s">
        <v>183</v>
      </c>
      <c r="H123" s="77"/>
      <c r="I123" s="77" t="s">
        <v>183</v>
      </c>
      <c r="J123" s="317"/>
      <c r="K123" s="319"/>
    </row>
    <row r="124" spans="2:11" x14ac:dyDescent="0.3">
      <c r="B124" s="79" t="s">
        <v>184</v>
      </c>
      <c r="C124" s="177"/>
      <c r="D124" s="178">
        <v>65.09</v>
      </c>
      <c r="E124" s="82">
        <v>1</v>
      </c>
      <c r="F124" s="179">
        <f>E124*D124</f>
        <v>65.09</v>
      </c>
      <c r="G124" s="180">
        <f>D124</f>
        <v>65.09</v>
      </c>
      <c r="H124" s="181">
        <f>E124</f>
        <v>1</v>
      </c>
      <c r="I124" s="182">
        <f>H124*G124</f>
        <v>65.09</v>
      </c>
      <c r="J124" s="86">
        <f t="shared" ref="J124:J145" si="14">I124-F124</f>
        <v>0</v>
      </c>
      <c r="K124" s="183">
        <f>IF(ISERROR(J124/F124), "", J124/F124)</f>
        <v>0</v>
      </c>
    </row>
    <row r="125" spans="2:11" x14ac:dyDescent="0.3">
      <c r="B125" s="79" t="s">
        <v>79</v>
      </c>
      <c r="C125" s="177"/>
      <c r="D125" s="184">
        <v>3.3170000000000002</v>
      </c>
      <c r="E125" s="82">
        <f>IF($C117&gt;0, $C117, $C116)</f>
        <v>500</v>
      </c>
      <c r="F125" s="179">
        <f t="shared" ref="F125:F137" si="15">E125*D125</f>
        <v>1658.5</v>
      </c>
      <c r="G125" s="185">
        <f>D125</f>
        <v>3.3170000000000002</v>
      </c>
      <c r="H125" s="181">
        <f>IF($C117&gt;0, $C117, $C116)</f>
        <v>500</v>
      </c>
      <c r="I125" s="182">
        <f>H125*G125</f>
        <v>1658.5</v>
      </c>
      <c r="J125" s="86">
        <f t="shared" si="14"/>
        <v>0</v>
      </c>
      <c r="K125" s="183">
        <f t="shared" ref="K125:K135" si="16">IF(ISERROR(J125/F125), "", J125/F125)</f>
        <v>0</v>
      </c>
    </row>
    <row r="126" spans="2:11" hidden="1" x14ac:dyDescent="0.3">
      <c r="B126" s="79" t="s">
        <v>247</v>
      </c>
      <c r="C126" s="177"/>
      <c r="D126" s="184"/>
      <c r="E126" s="82">
        <f>IF($C117&gt;0, $C117, $C116)</f>
        <v>500</v>
      </c>
      <c r="F126" s="179">
        <v>0</v>
      </c>
      <c r="G126" s="185"/>
      <c r="H126" s="181">
        <f>IF($C117&gt;0, $C117, $C116)</f>
        <v>500</v>
      </c>
      <c r="I126" s="182">
        <v>0</v>
      </c>
      <c r="J126" s="86"/>
      <c r="K126" s="183"/>
    </row>
    <row r="127" spans="2:11" hidden="1" x14ac:dyDescent="0.3">
      <c r="B127" s="79" t="s">
        <v>248</v>
      </c>
      <c r="C127" s="177"/>
      <c r="D127" s="184"/>
      <c r="E127" s="82">
        <f>IF($C117&gt;0, $C117, $C116)</f>
        <v>500</v>
      </c>
      <c r="F127" s="179">
        <v>0</v>
      </c>
      <c r="G127" s="185"/>
      <c r="H127" s="186">
        <f>IF($C117&gt;0, $C117, $C116)</f>
        <v>500</v>
      </c>
      <c r="I127" s="182">
        <v>0</v>
      </c>
      <c r="J127" s="86">
        <f>I127-F127</f>
        <v>0</v>
      </c>
      <c r="K127" s="183" t="str">
        <f>IF(ISERROR(J127/F127), "", J127/F127)</f>
        <v/>
      </c>
    </row>
    <row r="128" spans="2:11" x14ac:dyDescent="0.3">
      <c r="B128" s="79" t="s">
        <v>185</v>
      </c>
      <c r="C128" s="177"/>
      <c r="D128" s="178">
        <v>0</v>
      </c>
      <c r="E128" s="82">
        <v>1</v>
      </c>
      <c r="F128" s="179">
        <f t="shared" si="15"/>
        <v>0</v>
      </c>
      <c r="G128" s="180">
        <v>0</v>
      </c>
      <c r="H128" s="181">
        <f>E128</f>
        <v>1</v>
      </c>
      <c r="I128" s="182">
        <f t="shared" ref="I128:I135" si="17">H128*G128</f>
        <v>0</v>
      </c>
      <c r="J128" s="86">
        <f t="shared" si="14"/>
        <v>0</v>
      </c>
      <c r="K128" s="183" t="str">
        <f t="shared" si="16"/>
        <v/>
      </c>
    </row>
    <row r="129" spans="2:11" x14ac:dyDescent="0.3">
      <c r="B129" s="79" t="s">
        <v>186</v>
      </c>
      <c r="C129" s="177"/>
      <c r="D129" s="184">
        <v>0.30059999999999998</v>
      </c>
      <c r="E129" s="82">
        <f>IF($C117&gt;0, $C117, $C116)</f>
        <v>500</v>
      </c>
      <c r="F129" s="179">
        <f t="shared" si="15"/>
        <v>150.29999999999998</v>
      </c>
      <c r="G129" s="185">
        <v>0.30059999999999998</v>
      </c>
      <c r="H129" s="181">
        <f>IF($C117&gt;0, $C117, $C116)</f>
        <v>500</v>
      </c>
      <c r="I129" s="182">
        <f t="shared" si="17"/>
        <v>150.29999999999998</v>
      </c>
      <c r="J129" s="86">
        <f t="shared" si="14"/>
        <v>0</v>
      </c>
      <c r="K129" s="183">
        <f t="shared" si="16"/>
        <v>0</v>
      </c>
    </row>
    <row r="130" spans="2:11" x14ac:dyDescent="0.3">
      <c r="B130" s="187" t="s">
        <v>187</v>
      </c>
      <c r="C130" s="188"/>
      <c r="D130" s="189"/>
      <c r="E130" s="190"/>
      <c r="F130" s="191">
        <f>SUM(F124:F129)</f>
        <v>1873.8899999999999</v>
      </c>
      <c r="G130" s="192"/>
      <c r="H130" s="193"/>
      <c r="I130" s="191">
        <f>SUM(I124:I129)</f>
        <v>1873.8899999999999</v>
      </c>
      <c r="J130" s="194">
        <f t="shared" si="14"/>
        <v>0</v>
      </c>
      <c r="K130" s="195">
        <f>IF((F130)=0,"",(J130/F130))</f>
        <v>0</v>
      </c>
    </row>
    <row r="131" spans="2:11" x14ac:dyDescent="0.3">
      <c r="B131" s="100" t="s">
        <v>188</v>
      </c>
      <c r="C131" s="177"/>
      <c r="D131" s="184">
        <f>IF((C116*12&gt;=150000), 0, IF(C115="RPP",(D147*0.65+D148*0.17+D149*0.18),IF(C115="Non-RPP (Retailer)",D150,D151)))</f>
        <v>0</v>
      </c>
      <c r="E131" s="196">
        <f>IF(D131=0, 0, $C116*C118-C116)</f>
        <v>0</v>
      </c>
      <c r="F131" s="179">
        <f>E131*D131</f>
        <v>0</v>
      </c>
      <c r="G131" s="185">
        <f>IF((C116*12&gt;=150000), 0, IF(C115="RPP",(G147*0.65+G148*0.17+G149*0.18),IF(C115="Non-RPP (Retailer)",G150,G151)))</f>
        <v>0</v>
      </c>
      <c r="H131" s="197">
        <f>IF(G131=0, 0, C116*C119-C116)</f>
        <v>0</v>
      </c>
      <c r="I131" s="182">
        <f>H131*G131</f>
        <v>0</v>
      </c>
      <c r="J131" s="86">
        <f>I131-F131</f>
        <v>0</v>
      </c>
      <c r="K131" s="183" t="str">
        <f>IF(ISERROR(J131/F131), "", J131/F131)</f>
        <v/>
      </c>
    </row>
    <row r="132" spans="2:11" ht="26.4" x14ac:dyDescent="0.3">
      <c r="B132" s="100" t="s">
        <v>190</v>
      </c>
      <c r="C132" s="177"/>
      <c r="D132" s="184">
        <v>0.29820000000000002</v>
      </c>
      <c r="E132" s="198">
        <f>IF($C117&gt;0, $C117, $C116)</f>
        <v>500</v>
      </c>
      <c r="F132" s="179">
        <f t="shared" si="15"/>
        <v>149.10000000000002</v>
      </c>
      <c r="G132" s="185">
        <f>D132</f>
        <v>0.29820000000000002</v>
      </c>
      <c r="H132" s="199">
        <f>IF($C117&gt;0, $C117, $C116)</f>
        <v>500</v>
      </c>
      <c r="I132" s="182">
        <f t="shared" si="17"/>
        <v>149.10000000000002</v>
      </c>
      <c r="J132" s="86">
        <f t="shared" si="14"/>
        <v>0</v>
      </c>
      <c r="K132" s="183">
        <f t="shared" si="16"/>
        <v>0</v>
      </c>
    </row>
    <row r="133" spans="2:11" x14ac:dyDescent="0.3">
      <c r="B133" s="100" t="s">
        <v>191</v>
      </c>
      <c r="C133" s="177"/>
      <c r="D133" s="184">
        <v>0</v>
      </c>
      <c r="E133" s="198">
        <f>IF($C117&gt;0, $C117, $C116)</f>
        <v>500</v>
      </c>
      <c r="F133" s="179">
        <f>E133*D133</f>
        <v>0</v>
      </c>
      <c r="G133" s="185">
        <v>0</v>
      </c>
      <c r="H133" s="199">
        <f>IF($C117&gt;0, $C117, $C116)</f>
        <v>500</v>
      </c>
      <c r="I133" s="182">
        <f>H133*G133</f>
        <v>0</v>
      </c>
      <c r="J133" s="86">
        <f t="shared" si="14"/>
        <v>0</v>
      </c>
      <c r="K133" s="183" t="str">
        <f t="shared" si="16"/>
        <v/>
      </c>
    </row>
    <row r="134" spans="2:11" x14ac:dyDescent="0.3">
      <c r="B134" s="100" t="s">
        <v>192</v>
      </c>
      <c r="C134" s="177"/>
      <c r="D134" s="184">
        <v>2.7000000000000001E-3</v>
      </c>
      <c r="E134" s="198">
        <f>C116</f>
        <v>210000</v>
      </c>
      <c r="F134" s="179">
        <f>E134*D134</f>
        <v>567</v>
      </c>
      <c r="G134" s="185">
        <f>D134</f>
        <v>2.7000000000000001E-3</v>
      </c>
      <c r="H134" s="199">
        <f>C116</f>
        <v>210000</v>
      </c>
      <c r="I134" s="182">
        <f t="shared" si="17"/>
        <v>567</v>
      </c>
      <c r="J134" s="86">
        <f t="shared" si="14"/>
        <v>0</v>
      </c>
      <c r="K134" s="183">
        <f t="shared" si="16"/>
        <v>0</v>
      </c>
    </row>
    <row r="135" spans="2:11" x14ac:dyDescent="0.3">
      <c r="B135" s="79" t="s">
        <v>193</v>
      </c>
      <c r="C135" s="177"/>
      <c r="D135" s="184">
        <v>0.72819999999999996</v>
      </c>
      <c r="E135" s="198">
        <f>IF($C117&gt;0, $C117, $C116)</f>
        <v>500</v>
      </c>
      <c r="F135" s="179">
        <f t="shared" si="15"/>
        <v>364.09999999999997</v>
      </c>
      <c r="G135" s="185">
        <v>0.72819999999999996</v>
      </c>
      <c r="H135" s="199">
        <f>IF($C117&gt;0, $C117, $C116)</f>
        <v>500</v>
      </c>
      <c r="I135" s="182">
        <f t="shared" si="17"/>
        <v>364.09999999999997</v>
      </c>
      <c r="J135" s="86">
        <f t="shared" si="14"/>
        <v>0</v>
      </c>
      <c r="K135" s="183">
        <f t="shared" si="16"/>
        <v>0</v>
      </c>
    </row>
    <row r="136" spans="2:11" x14ac:dyDescent="0.3">
      <c r="B136" s="100" t="s">
        <v>194</v>
      </c>
      <c r="C136" s="177"/>
      <c r="D136" s="200">
        <f>IF(OR(ISNUMBER(SEARCH("RESIDENTIAL", C114))=TRUE, ISNUMBER(SEARCH("GENERAL SERVICE LESS THAN 50", C114))=TRUE), SME, 0)</f>
        <v>0</v>
      </c>
      <c r="E136" s="82">
        <v>1</v>
      </c>
      <c r="F136" s="179">
        <f>E136*D136</f>
        <v>0</v>
      </c>
      <c r="G136" s="201">
        <f>IF(OR(ISNUMBER(SEARCH("RESIDENTIAL", C114))=TRUE, ISNUMBER(SEARCH("GENERAL SERVICE LESS THAN 50", C114))=TRUE), SME, 0)</f>
        <v>0</v>
      </c>
      <c r="H136" s="186">
        <v>1</v>
      </c>
      <c r="I136" s="182">
        <f>H136*G136</f>
        <v>0</v>
      </c>
      <c r="J136" s="86">
        <f t="shared" si="14"/>
        <v>0</v>
      </c>
      <c r="K136" s="183" t="str">
        <f>IF(ISERROR(J136/F136), "", J136/F136)</f>
        <v/>
      </c>
    </row>
    <row r="137" spans="2:11" x14ac:dyDescent="0.3">
      <c r="B137" s="79" t="s">
        <v>195</v>
      </c>
      <c r="C137" s="177"/>
      <c r="D137" s="178">
        <v>0</v>
      </c>
      <c r="E137" s="82">
        <v>1</v>
      </c>
      <c r="F137" s="179">
        <f t="shared" si="15"/>
        <v>0</v>
      </c>
      <c r="G137" s="180">
        <v>0</v>
      </c>
      <c r="H137" s="186">
        <v>1</v>
      </c>
      <c r="I137" s="182">
        <f>H137*G137</f>
        <v>0</v>
      </c>
      <c r="J137" s="86">
        <f>I137-F137</f>
        <v>0</v>
      </c>
      <c r="K137" s="183" t="str">
        <f>IF(ISERROR(J137/F137), "", J137/F137)</f>
        <v/>
      </c>
    </row>
    <row r="138" spans="2:11" x14ac:dyDescent="0.3">
      <c r="B138" s="79" t="s">
        <v>196</v>
      </c>
      <c r="C138" s="177"/>
      <c r="D138" s="184"/>
      <c r="E138" s="198">
        <f>IF($C117&gt;0, $C117, $C116)</f>
        <v>500</v>
      </c>
      <c r="F138" s="179">
        <f>E138*D138</f>
        <v>0</v>
      </c>
      <c r="G138" s="185">
        <v>0</v>
      </c>
      <c r="H138" s="199">
        <f>IF($C117&gt;0, $C117, $C116)</f>
        <v>500</v>
      </c>
      <c r="I138" s="182">
        <f>H138*G138</f>
        <v>0</v>
      </c>
      <c r="J138" s="86">
        <f t="shared" si="14"/>
        <v>0</v>
      </c>
      <c r="K138" s="183" t="str">
        <f>IF(ISERROR(J138/F138), "", J138/F138)</f>
        <v/>
      </c>
    </row>
    <row r="139" spans="2:11" ht="26.4" x14ac:dyDescent="0.3">
      <c r="B139" s="202" t="s">
        <v>197</v>
      </c>
      <c r="C139" s="203"/>
      <c r="D139" s="204"/>
      <c r="E139" s="205"/>
      <c r="F139" s="206">
        <f>SUM(F130:F138)</f>
        <v>2954.0899999999997</v>
      </c>
      <c r="G139" s="207"/>
      <c r="H139" s="208"/>
      <c r="I139" s="206">
        <f>SUM(I130:I138)</f>
        <v>2954.0899999999997</v>
      </c>
      <c r="J139" s="194">
        <f t="shared" si="14"/>
        <v>0</v>
      </c>
      <c r="K139" s="195">
        <f>IF((F139)=0,"",(J139/F139))</f>
        <v>0</v>
      </c>
    </row>
    <row r="140" spans="2:11" x14ac:dyDescent="0.3">
      <c r="B140" s="111" t="s">
        <v>198</v>
      </c>
      <c r="C140" s="177"/>
      <c r="D140" s="184">
        <v>2.4186999999999999</v>
      </c>
      <c r="E140" s="196">
        <f>IF($C117&gt;0, $C117, $C116*$C118)</f>
        <v>500</v>
      </c>
      <c r="F140" s="179">
        <f>E140*D140</f>
        <v>1209.3499999999999</v>
      </c>
      <c r="G140" s="209">
        <f>D140</f>
        <v>2.4186999999999999</v>
      </c>
      <c r="H140" s="197">
        <f>IF($C117&gt;0, $C117, $C116*$C119)</f>
        <v>500</v>
      </c>
      <c r="I140" s="182">
        <f>H140*G140</f>
        <v>1209.3499999999999</v>
      </c>
      <c r="J140" s="86">
        <f t="shared" si="14"/>
        <v>0</v>
      </c>
      <c r="K140" s="183">
        <f>IF(ISERROR(J140/F140), "", J140/F140)</f>
        <v>0</v>
      </c>
    </row>
    <row r="141" spans="2:11" ht="26.4" x14ac:dyDescent="0.3">
      <c r="B141" s="112" t="s">
        <v>199</v>
      </c>
      <c r="C141" s="177"/>
      <c r="D141" s="184">
        <v>1.8945000000000001</v>
      </c>
      <c r="E141" s="196">
        <f>IF($C117&gt;0, $C117, $C116*$C118)</f>
        <v>500</v>
      </c>
      <c r="F141" s="179">
        <f>E141*D141</f>
        <v>947.25</v>
      </c>
      <c r="G141" s="209">
        <f>D141</f>
        <v>1.8945000000000001</v>
      </c>
      <c r="H141" s="197">
        <f>IF($C117&gt;0, $C117, $C116*$C119)</f>
        <v>500</v>
      </c>
      <c r="I141" s="182">
        <f>H141*G141</f>
        <v>947.25</v>
      </c>
      <c r="J141" s="86">
        <f t="shared" si="14"/>
        <v>0</v>
      </c>
      <c r="K141" s="183">
        <f>IF(ISERROR(J141/F141), "", J141/F141)</f>
        <v>0</v>
      </c>
    </row>
    <row r="142" spans="2:11" ht="26.4" x14ac:dyDescent="0.3">
      <c r="B142" s="202" t="s">
        <v>200</v>
      </c>
      <c r="C142" s="188"/>
      <c r="D142" s="204"/>
      <c r="E142" s="205"/>
      <c r="F142" s="206">
        <f>SUM(F139:F141)</f>
        <v>5110.6899999999996</v>
      </c>
      <c r="G142" s="207"/>
      <c r="H142" s="193"/>
      <c r="I142" s="206">
        <f>SUM(I139:I141)</f>
        <v>5110.6899999999996</v>
      </c>
      <c r="J142" s="194">
        <f t="shared" si="14"/>
        <v>0</v>
      </c>
      <c r="K142" s="195">
        <f>IF((F142)=0,"",(J142/F142))</f>
        <v>0</v>
      </c>
    </row>
    <row r="143" spans="2:11" ht="26.4" x14ac:dyDescent="0.3">
      <c r="B143" s="113" t="s">
        <v>201</v>
      </c>
      <c r="C143" s="177"/>
      <c r="D143" s="184">
        <v>3.4000000000000002E-3</v>
      </c>
      <c r="E143" s="196">
        <f>C116*C118</f>
        <v>224322</v>
      </c>
      <c r="F143" s="210">
        <f t="shared" ref="F143:F149" si="18">E143*D143</f>
        <v>762.6948000000001</v>
      </c>
      <c r="G143" s="185">
        <f>'[1]17. Regulatory Charges'!$E$15+'[1]17. Regulatory Charges'!$E$16</f>
        <v>3.4000000000000002E-3</v>
      </c>
      <c r="H143" s="197">
        <f>C116*C119</f>
        <v>224322</v>
      </c>
      <c r="I143" s="182">
        <f t="shared" ref="I143:I149" si="19">H143*G143</f>
        <v>762.6948000000001</v>
      </c>
      <c r="J143" s="86">
        <f t="shared" si="14"/>
        <v>0</v>
      </c>
      <c r="K143" s="183">
        <f t="shared" ref="K143:K151" si="20">IF(ISERROR(J143/F143), "", J143/F143)</f>
        <v>0</v>
      </c>
    </row>
    <row r="144" spans="2:11" ht="26.4" x14ac:dyDescent="0.3">
      <c r="B144" s="113" t="s">
        <v>202</v>
      </c>
      <c r="C144" s="177"/>
      <c r="D144" s="184">
        <v>5.0000000000000001E-4</v>
      </c>
      <c r="E144" s="196">
        <f>C116*C118</f>
        <v>224322</v>
      </c>
      <c r="F144" s="210">
        <f t="shared" si="18"/>
        <v>112.161</v>
      </c>
      <c r="G144" s="185">
        <f>'[1]17. Regulatory Charges'!$E$17</f>
        <v>5.0000000000000001E-4</v>
      </c>
      <c r="H144" s="197">
        <f>C116*C119</f>
        <v>224322</v>
      </c>
      <c r="I144" s="182">
        <f t="shared" si="19"/>
        <v>112.161</v>
      </c>
      <c r="J144" s="86">
        <f t="shared" si="14"/>
        <v>0</v>
      </c>
      <c r="K144" s="183">
        <f t="shared" si="20"/>
        <v>0</v>
      </c>
    </row>
    <row r="145" spans="2:11" x14ac:dyDescent="0.3">
      <c r="B145" s="114" t="s">
        <v>203</v>
      </c>
      <c r="C145" s="177"/>
      <c r="D145" s="200">
        <v>0.25</v>
      </c>
      <c r="E145" s="82">
        <v>1</v>
      </c>
      <c r="F145" s="210">
        <f t="shared" si="18"/>
        <v>0.25</v>
      </c>
      <c r="G145" s="201">
        <f>'[1]17. Regulatory Charges'!$E$18</f>
        <v>0.25</v>
      </c>
      <c r="H145" s="181">
        <v>1</v>
      </c>
      <c r="I145" s="182">
        <f t="shared" si="19"/>
        <v>0.25</v>
      </c>
      <c r="J145" s="86">
        <f t="shared" si="14"/>
        <v>0</v>
      </c>
      <c r="K145" s="183">
        <f t="shared" si="20"/>
        <v>0</v>
      </c>
    </row>
    <row r="146" spans="2:11" ht="26.4" hidden="1" x14ac:dyDescent="0.3">
      <c r="B146" s="113" t="s">
        <v>249</v>
      </c>
      <c r="C146" s="177"/>
      <c r="D146" s="184"/>
      <c r="E146" s="196"/>
      <c r="F146" s="210"/>
      <c r="G146" s="185"/>
      <c r="H146" s="197"/>
      <c r="I146" s="182"/>
      <c r="J146" s="86"/>
      <c r="K146" s="183"/>
    </row>
    <row r="147" spans="2:11" hidden="1" x14ac:dyDescent="0.3">
      <c r="B147" s="114" t="s">
        <v>204</v>
      </c>
      <c r="C147" s="177"/>
      <c r="D147" s="211">
        <f>OffPeak</f>
        <v>6.5000000000000002E-2</v>
      </c>
      <c r="E147" s="212">
        <f>IF(AND(C116*12&gt;=150000),0.65*C116*C118,0.65*C116)</f>
        <v>145809.30000000002</v>
      </c>
      <c r="F147" s="210">
        <f t="shared" si="18"/>
        <v>9477.6045000000013</v>
      </c>
      <c r="G147" s="213">
        <f>OffPeak</f>
        <v>6.5000000000000002E-2</v>
      </c>
      <c r="H147" s="214">
        <f>IF(AND(C116*12&gt;=150000),0.65*C116*C119,0.65*C116)</f>
        <v>145809.30000000002</v>
      </c>
      <c r="I147" s="182">
        <f t="shared" si="19"/>
        <v>9477.6045000000013</v>
      </c>
      <c r="J147" s="86">
        <f>I147-F147</f>
        <v>0</v>
      </c>
      <c r="K147" s="183">
        <f t="shared" si="20"/>
        <v>0</v>
      </c>
    </row>
    <row r="148" spans="2:11" hidden="1" x14ac:dyDescent="0.3">
      <c r="B148" s="114" t="s">
        <v>205</v>
      </c>
      <c r="C148" s="177"/>
      <c r="D148" s="211">
        <f>MidPeak</f>
        <v>9.4E-2</v>
      </c>
      <c r="E148" s="212">
        <f>IF(AND(C116*12&gt;=150000),0.17*C116*C118,0.17*C116)</f>
        <v>38134.74</v>
      </c>
      <c r="F148" s="210">
        <f t="shared" si="18"/>
        <v>3584.6655599999999</v>
      </c>
      <c r="G148" s="213">
        <f>MidPeak</f>
        <v>9.4E-2</v>
      </c>
      <c r="H148" s="214">
        <f>IF(AND(C116*12&gt;=150000),0.17*C116*C119,0.17*C116)</f>
        <v>38134.74</v>
      </c>
      <c r="I148" s="182">
        <f t="shared" si="19"/>
        <v>3584.6655599999999</v>
      </c>
      <c r="J148" s="86">
        <f>I148-F148</f>
        <v>0</v>
      </c>
      <c r="K148" s="183">
        <f t="shared" si="20"/>
        <v>0</v>
      </c>
    </row>
    <row r="149" spans="2:11" hidden="1" x14ac:dyDescent="0.3">
      <c r="B149" s="63" t="s">
        <v>206</v>
      </c>
      <c r="C149" s="177"/>
      <c r="D149" s="211">
        <f>OnPeak</f>
        <v>0.13400000000000001</v>
      </c>
      <c r="E149" s="212">
        <f>IF(AND(C116*12&gt;=150000),0.18*C116*C118,0.18*C116)</f>
        <v>40377.96</v>
      </c>
      <c r="F149" s="210">
        <f t="shared" si="18"/>
        <v>5410.6466399999999</v>
      </c>
      <c r="G149" s="213">
        <f>OnPeak</f>
        <v>0.13400000000000001</v>
      </c>
      <c r="H149" s="214">
        <f>IF(AND(C116*12&gt;=150000),0.18*C116*C119,0.18*C116)</f>
        <v>40377.96</v>
      </c>
      <c r="I149" s="182">
        <f t="shared" si="19"/>
        <v>5410.6466399999999</v>
      </c>
      <c r="J149" s="86">
        <f>I149-F149</f>
        <v>0</v>
      </c>
      <c r="K149" s="183">
        <f t="shared" si="20"/>
        <v>0</v>
      </c>
    </row>
    <row r="150" spans="2:11" hidden="1" x14ac:dyDescent="0.3">
      <c r="B150" s="114" t="s">
        <v>250</v>
      </c>
      <c r="C150" s="177"/>
      <c r="D150" s="215">
        <v>0.1101</v>
      </c>
      <c r="E150" s="212">
        <f>IF(AND(C116*12&gt;=150000),C116*C118,C116)</f>
        <v>224322</v>
      </c>
      <c r="F150" s="210">
        <f>E150*D150</f>
        <v>24697.852200000001</v>
      </c>
      <c r="G150" s="216">
        <f>D150</f>
        <v>0.1101</v>
      </c>
      <c r="H150" s="214">
        <f>IF(AND(C116*12&gt;=150000),C116*C119,C116)</f>
        <v>224322</v>
      </c>
      <c r="I150" s="182">
        <f>H150*G150</f>
        <v>24697.852200000001</v>
      </c>
      <c r="J150" s="86">
        <f>I150-F150</f>
        <v>0</v>
      </c>
      <c r="K150" s="183">
        <f t="shared" si="20"/>
        <v>0</v>
      </c>
    </row>
    <row r="151" spans="2:11" ht="15" thickBot="1" x14ac:dyDescent="0.35">
      <c r="B151" s="114" t="s">
        <v>214</v>
      </c>
      <c r="C151" s="177"/>
      <c r="D151" s="215">
        <v>0.1101</v>
      </c>
      <c r="E151" s="212">
        <f>IF(AND(C116*12&gt;=150000),C116*C118,C116)</f>
        <v>224322</v>
      </c>
      <c r="F151" s="210">
        <f>E151*D151</f>
        <v>24697.852200000001</v>
      </c>
      <c r="G151" s="216">
        <f>D151</f>
        <v>0.1101</v>
      </c>
      <c r="H151" s="214">
        <f>IF(AND(C116*12&gt;=150000),C116*C119,C116)</f>
        <v>224322</v>
      </c>
      <c r="I151" s="182">
        <f>H151*G151</f>
        <v>24697.852200000001</v>
      </c>
      <c r="J151" s="86">
        <f>I151-F151</f>
        <v>0</v>
      </c>
      <c r="K151" s="183">
        <f t="shared" si="20"/>
        <v>0</v>
      </c>
    </row>
    <row r="152" spans="2:11" ht="15" thickBot="1" x14ac:dyDescent="0.35">
      <c r="B152" s="217"/>
      <c r="C152" s="218"/>
      <c r="D152" s="219"/>
      <c r="E152" s="220"/>
      <c r="F152" s="221"/>
      <c r="G152" s="219"/>
      <c r="H152" s="222"/>
      <c r="I152" s="221"/>
      <c r="J152" s="223"/>
      <c r="K152" s="224"/>
    </row>
    <row r="153" spans="2:11" hidden="1" x14ac:dyDescent="0.3">
      <c r="B153" s="125" t="s">
        <v>207</v>
      </c>
      <c r="C153" s="114"/>
      <c r="D153" s="126"/>
      <c r="E153" s="127"/>
      <c r="F153" s="128">
        <f>SUM(F143:F149,F142)</f>
        <v>24458.712499999998</v>
      </c>
      <c r="G153" s="129"/>
      <c r="H153" s="129"/>
      <c r="I153" s="128">
        <f>SUM(I143:I149,I142)</f>
        <v>24458.712499999998</v>
      </c>
      <c r="J153" s="130">
        <f>I153-F153</f>
        <v>0</v>
      </c>
      <c r="K153" s="131">
        <f>IF((F153)=0,"",(J153/F153))</f>
        <v>0</v>
      </c>
    </row>
    <row r="154" spans="2:11" hidden="1" x14ac:dyDescent="0.3">
      <c r="B154" s="132" t="s">
        <v>208</v>
      </c>
      <c r="C154" s="114"/>
      <c r="D154" s="126">
        <v>0.13</v>
      </c>
      <c r="E154" s="133"/>
      <c r="F154" s="134">
        <f>F153*D154</f>
        <v>3179.6326249999997</v>
      </c>
      <c r="G154" s="135">
        <v>0.13</v>
      </c>
      <c r="H154" s="82"/>
      <c r="I154" s="134">
        <f>I153*G154</f>
        <v>3179.6326249999997</v>
      </c>
      <c r="J154" s="86">
        <f>I154-F154</f>
        <v>0</v>
      </c>
      <c r="K154" s="136">
        <f>IF((F154)=0,"",(J154/F154))</f>
        <v>0</v>
      </c>
    </row>
    <row r="155" spans="2:11" hidden="1" x14ac:dyDescent="0.3">
      <c r="B155" s="132" t="s">
        <v>209</v>
      </c>
      <c r="C155" s="114"/>
      <c r="D155" s="126">
        <v>0.08</v>
      </c>
      <c r="E155" s="133"/>
      <c r="F155" s="134">
        <v>0</v>
      </c>
      <c r="G155" s="126">
        <v>0.08</v>
      </c>
      <c r="H155" s="82"/>
      <c r="I155" s="134">
        <v>0</v>
      </c>
      <c r="J155" s="86">
        <f>I155-F155</f>
        <v>0</v>
      </c>
      <c r="K155" s="136"/>
    </row>
    <row r="156" spans="2:11" ht="15" hidden="1" thickBot="1" x14ac:dyDescent="0.35">
      <c r="B156" s="328" t="s">
        <v>210</v>
      </c>
      <c r="C156" s="328"/>
      <c r="D156" s="225"/>
      <c r="E156" s="226"/>
      <c r="F156" s="227">
        <f>F153+F154+F155</f>
        <v>27638.345124999996</v>
      </c>
      <c r="G156" s="228"/>
      <c r="H156" s="228"/>
      <c r="I156" s="229">
        <f>I153+I154+I155</f>
        <v>27638.345124999996</v>
      </c>
      <c r="J156" s="230">
        <f>I156-F156</f>
        <v>0</v>
      </c>
      <c r="K156" s="231">
        <f>IF((F156)=0,"",(J156/F156))</f>
        <v>0</v>
      </c>
    </row>
    <row r="157" spans="2:11" ht="15" hidden="1" thickBot="1" x14ac:dyDescent="0.35">
      <c r="B157" s="217"/>
      <c r="C157" s="218"/>
      <c r="D157" s="219"/>
      <c r="E157" s="220"/>
      <c r="F157" s="221"/>
      <c r="G157" s="219"/>
      <c r="H157" s="222"/>
      <c r="I157" s="221"/>
      <c r="J157" s="223"/>
      <c r="K157" s="224"/>
    </row>
    <row r="158" spans="2:11" hidden="1" x14ac:dyDescent="0.3">
      <c r="B158" s="125" t="s">
        <v>251</v>
      </c>
      <c r="C158" s="114"/>
      <c r="D158" s="126"/>
      <c r="E158" s="127"/>
      <c r="F158" s="128">
        <f>SUM(F150,F143:F146,F142)</f>
        <v>30683.648000000001</v>
      </c>
      <c r="G158" s="129"/>
      <c r="H158" s="129"/>
      <c r="I158" s="128">
        <f>SUM(I150,I143:I146,I142)</f>
        <v>30683.648000000001</v>
      </c>
      <c r="J158" s="130">
        <f>I158-F158</f>
        <v>0</v>
      </c>
      <c r="K158" s="131">
        <f>IF((F158)=0,"",(J158/F158))</f>
        <v>0</v>
      </c>
    </row>
    <row r="159" spans="2:11" hidden="1" x14ac:dyDescent="0.3">
      <c r="B159" s="132" t="s">
        <v>208</v>
      </c>
      <c r="C159" s="114"/>
      <c r="D159" s="126">
        <v>0.13</v>
      </c>
      <c r="E159" s="127"/>
      <c r="F159" s="134">
        <f>F158*D159</f>
        <v>3988.8742400000001</v>
      </c>
      <c r="G159" s="126">
        <v>0.13</v>
      </c>
      <c r="H159" s="135"/>
      <c r="I159" s="134">
        <f>I158*G159</f>
        <v>3988.8742400000001</v>
      </c>
      <c r="J159" s="86">
        <f>I159-F159</f>
        <v>0</v>
      </c>
      <c r="K159" s="136">
        <f>IF((F159)=0,"",(J159/F159))</f>
        <v>0</v>
      </c>
    </row>
    <row r="160" spans="2:11" hidden="1" x14ac:dyDescent="0.3">
      <c r="B160" s="132" t="s">
        <v>209</v>
      </c>
      <c r="C160" s="114"/>
      <c r="D160" s="126">
        <v>0.08</v>
      </c>
      <c r="E160" s="127"/>
      <c r="F160" s="134">
        <v>0</v>
      </c>
      <c r="G160" s="126">
        <v>0.08</v>
      </c>
      <c r="H160" s="135"/>
      <c r="I160" s="134">
        <v>0</v>
      </c>
      <c r="J160" s="86"/>
      <c r="K160" s="136"/>
    </row>
    <row r="161" spans="2:11" ht="15" hidden="1" thickBot="1" x14ac:dyDescent="0.35">
      <c r="B161" s="328" t="s">
        <v>251</v>
      </c>
      <c r="C161" s="328"/>
      <c r="D161" s="232"/>
      <c r="E161" s="233"/>
      <c r="F161" s="227">
        <f>SUM(F158,F159)</f>
        <v>34672.522239999998</v>
      </c>
      <c r="G161" s="234"/>
      <c r="H161" s="234"/>
      <c r="I161" s="227">
        <f>SUM(I158,I159)</f>
        <v>34672.522239999998</v>
      </c>
      <c r="J161" s="235">
        <f>I161-F161</f>
        <v>0</v>
      </c>
      <c r="K161" s="236">
        <f>IF((F161)=0,"",(J161/F161))</f>
        <v>0</v>
      </c>
    </row>
    <row r="162" spans="2:11" ht="15" hidden="1" thickBot="1" x14ac:dyDescent="0.35">
      <c r="B162" s="217"/>
      <c r="C162" s="218"/>
      <c r="D162" s="237"/>
      <c r="E162" s="238"/>
      <c r="F162" s="239"/>
      <c r="G162" s="237"/>
      <c r="H162" s="220"/>
      <c r="I162" s="239"/>
      <c r="J162" s="240"/>
      <c r="K162" s="224"/>
    </row>
    <row r="163" spans="2:11" x14ac:dyDescent="0.3">
      <c r="B163" s="125" t="s">
        <v>215</v>
      </c>
      <c r="C163" s="114"/>
      <c r="D163" s="126"/>
      <c r="E163" s="127"/>
      <c r="F163" s="128">
        <f>SUM(F151,F143:F146,F142)</f>
        <v>30683.648000000001</v>
      </c>
      <c r="G163" s="129"/>
      <c r="H163" s="129"/>
      <c r="I163" s="128">
        <f>SUM(I151,I143:I146,I142)</f>
        <v>30683.648000000001</v>
      </c>
      <c r="J163" s="130">
        <f>I163-F163</f>
        <v>0</v>
      </c>
      <c r="K163" s="131">
        <f>IF((F163)=0,"",(J163/F163))</f>
        <v>0</v>
      </c>
    </row>
    <row r="164" spans="2:11" x14ac:dyDescent="0.3">
      <c r="B164" s="132" t="s">
        <v>208</v>
      </c>
      <c r="C164" s="114"/>
      <c r="D164" s="126">
        <v>0.13</v>
      </c>
      <c r="E164" s="127"/>
      <c r="F164" s="134">
        <f>F163*D164</f>
        <v>3988.8742400000001</v>
      </c>
      <c r="G164" s="126">
        <v>0.13</v>
      </c>
      <c r="H164" s="135"/>
      <c r="I164" s="134">
        <f>I163*G164</f>
        <v>3988.8742400000001</v>
      </c>
      <c r="J164" s="86">
        <f>I164-F164</f>
        <v>0</v>
      </c>
      <c r="K164" s="136">
        <f>IF((F164)=0,"",(J164/F164))</f>
        <v>0</v>
      </c>
    </row>
    <row r="165" spans="2:11" x14ac:dyDescent="0.3">
      <c r="B165" s="132" t="s">
        <v>209</v>
      </c>
      <c r="C165" s="114"/>
      <c r="D165" s="126">
        <v>0.08</v>
      </c>
      <c r="E165" s="127"/>
      <c r="F165" s="134">
        <v>0</v>
      </c>
      <c r="G165" s="126">
        <v>0.08</v>
      </c>
      <c r="H165" s="135"/>
      <c r="I165" s="134">
        <v>0</v>
      </c>
      <c r="J165" s="86"/>
      <c r="K165" s="136"/>
    </row>
    <row r="166" spans="2:11" ht="15" thickBot="1" x14ac:dyDescent="0.35">
      <c r="B166" s="328" t="s">
        <v>215</v>
      </c>
      <c r="C166" s="328"/>
      <c r="D166" s="232"/>
      <c r="E166" s="233"/>
      <c r="F166" s="227">
        <f>SUM(F163,F164)</f>
        <v>34672.522239999998</v>
      </c>
      <c r="G166" s="234"/>
      <c r="H166" s="234"/>
      <c r="I166" s="227">
        <f>SUM(I163,I164)</f>
        <v>34672.522239999998</v>
      </c>
      <c r="J166" s="235">
        <f>I166-F166</f>
        <v>0</v>
      </c>
      <c r="K166" s="236">
        <f>IF((F166)=0,"",(J166/F166))</f>
        <v>0</v>
      </c>
    </row>
    <row r="167" spans="2:11" ht="15" thickBot="1" x14ac:dyDescent="0.35">
      <c r="B167" s="217"/>
      <c r="C167" s="218"/>
      <c r="D167" s="237"/>
      <c r="E167" s="238"/>
      <c r="F167" s="239"/>
      <c r="G167" s="237"/>
      <c r="H167" s="220"/>
      <c r="I167" s="239"/>
      <c r="J167" s="240"/>
      <c r="K167" s="224"/>
    </row>
    <row r="168" spans="2:11" x14ac:dyDescent="0.3">
      <c r="B168" s="63"/>
      <c r="C168" s="63"/>
      <c r="D168" s="63"/>
      <c r="E168" s="63"/>
      <c r="F168" s="63"/>
      <c r="G168" s="63"/>
      <c r="H168" s="63"/>
      <c r="I168" s="63"/>
      <c r="J168" s="63"/>
      <c r="K168" s="63"/>
    </row>
    <row r="169" spans="2:11" x14ac:dyDescent="0.3">
      <c r="B169" s="63"/>
      <c r="C169" s="63"/>
      <c r="D169" s="63"/>
      <c r="E169" s="63"/>
      <c r="F169" s="63"/>
      <c r="G169" s="63"/>
      <c r="H169" s="63"/>
      <c r="I169" s="63"/>
      <c r="J169" s="63"/>
      <c r="K169" s="63"/>
    </row>
    <row r="170" spans="2:11" x14ac:dyDescent="0.3">
      <c r="B170" s="64" t="s">
        <v>168</v>
      </c>
      <c r="C170" s="330" t="s">
        <v>91</v>
      </c>
      <c r="D170" s="330"/>
      <c r="E170" s="330"/>
      <c r="F170" s="330"/>
      <c r="G170" s="330"/>
      <c r="H170" s="330"/>
      <c r="I170" s="63"/>
      <c r="J170" s="63"/>
      <c r="K170" s="63"/>
    </row>
    <row r="171" spans="2:11" x14ac:dyDescent="0.3">
      <c r="B171" s="64" t="s">
        <v>169</v>
      </c>
      <c r="C171" s="329" t="s">
        <v>170</v>
      </c>
      <c r="D171" s="329"/>
      <c r="E171" s="329"/>
      <c r="F171" s="173"/>
      <c r="G171" s="173"/>
      <c r="H171" s="63"/>
      <c r="I171" s="63"/>
      <c r="J171" s="63"/>
      <c r="K171" s="63"/>
    </row>
    <row r="172" spans="2:11" ht="15.6" x14ac:dyDescent="0.3">
      <c r="B172" s="64" t="s">
        <v>171</v>
      </c>
      <c r="C172" s="174">
        <v>275</v>
      </c>
      <c r="D172" s="67" t="s">
        <v>1</v>
      </c>
      <c r="E172" s="63"/>
      <c r="F172" s="63"/>
      <c r="G172" s="63"/>
      <c r="H172" s="175"/>
      <c r="I172" s="175"/>
      <c r="J172" s="175"/>
      <c r="K172" s="175"/>
    </row>
    <row r="173" spans="2:11" ht="15.6" x14ac:dyDescent="0.3">
      <c r="B173" s="64" t="s">
        <v>172</v>
      </c>
      <c r="C173" s="174">
        <v>0</v>
      </c>
      <c r="D173" s="69" t="s">
        <v>2</v>
      </c>
      <c r="E173" s="70"/>
      <c r="F173" s="71"/>
      <c r="G173" s="71"/>
      <c r="H173" s="71"/>
      <c r="I173" s="63"/>
      <c r="J173" s="63"/>
      <c r="K173" s="63"/>
    </row>
    <row r="174" spans="2:11" x14ac:dyDescent="0.3">
      <c r="B174" s="64" t="s">
        <v>173</v>
      </c>
      <c r="C174" s="176">
        <f>$C$6</f>
        <v>1.0682</v>
      </c>
      <c r="D174" s="63"/>
      <c r="E174" s="63"/>
      <c r="F174" s="63"/>
      <c r="G174" s="63"/>
      <c r="H174" s="63"/>
      <c r="I174" s="63"/>
      <c r="J174" s="63"/>
      <c r="K174" s="63"/>
    </row>
    <row r="175" spans="2:11" x14ac:dyDescent="0.3">
      <c r="B175" s="64" t="s">
        <v>174</v>
      </c>
      <c r="C175" s="176">
        <f>$C$7</f>
        <v>1.0682</v>
      </c>
      <c r="D175" s="63"/>
      <c r="E175" s="63"/>
      <c r="F175" s="63"/>
      <c r="G175" s="63"/>
      <c r="H175" s="63"/>
      <c r="I175" s="63"/>
      <c r="J175" s="63"/>
      <c r="K175" s="63"/>
    </row>
    <row r="176" spans="2:11" x14ac:dyDescent="0.3">
      <c r="B176" s="63"/>
      <c r="C176" s="63"/>
      <c r="D176" s="63"/>
      <c r="E176" s="63"/>
      <c r="F176" s="63"/>
      <c r="G176" s="63"/>
      <c r="H176" s="63"/>
      <c r="I176" s="63"/>
      <c r="J176" s="63"/>
      <c r="K176" s="63"/>
    </row>
    <row r="177" spans="2:11" x14ac:dyDescent="0.3">
      <c r="B177" s="63"/>
      <c r="C177" s="67"/>
      <c r="D177" s="304" t="s">
        <v>175</v>
      </c>
      <c r="E177" s="305"/>
      <c r="F177" s="306"/>
      <c r="G177" s="304" t="s">
        <v>176</v>
      </c>
      <c r="H177" s="305"/>
      <c r="I177" s="306"/>
      <c r="J177" s="304" t="s">
        <v>177</v>
      </c>
      <c r="K177" s="306"/>
    </row>
    <row r="178" spans="2:11" x14ac:dyDescent="0.3">
      <c r="B178" s="63"/>
      <c r="C178" s="320"/>
      <c r="D178" s="73" t="s">
        <v>178</v>
      </c>
      <c r="E178" s="73" t="s">
        <v>179</v>
      </c>
      <c r="F178" s="74" t="s">
        <v>180</v>
      </c>
      <c r="G178" s="73" t="s">
        <v>178</v>
      </c>
      <c r="H178" s="75" t="s">
        <v>179</v>
      </c>
      <c r="I178" s="74" t="s">
        <v>180</v>
      </c>
      <c r="J178" s="316" t="s">
        <v>181</v>
      </c>
      <c r="K178" s="318" t="s">
        <v>182</v>
      </c>
    </row>
    <row r="179" spans="2:11" x14ac:dyDescent="0.3">
      <c r="B179" s="63"/>
      <c r="C179" s="321"/>
      <c r="D179" s="76" t="s">
        <v>183</v>
      </c>
      <c r="E179" s="76"/>
      <c r="F179" s="77" t="s">
        <v>183</v>
      </c>
      <c r="G179" s="76" t="s">
        <v>183</v>
      </c>
      <c r="H179" s="77"/>
      <c r="I179" s="77" t="s">
        <v>183</v>
      </c>
      <c r="J179" s="317"/>
      <c r="K179" s="319"/>
    </row>
    <row r="180" spans="2:11" x14ac:dyDescent="0.3">
      <c r="B180" s="79" t="s">
        <v>184</v>
      </c>
      <c r="C180" s="177"/>
      <c r="D180" s="178">
        <v>10.65</v>
      </c>
      <c r="E180" s="82"/>
      <c r="F180" s="179">
        <f>E180*D180</f>
        <v>0</v>
      </c>
      <c r="G180" s="180">
        <f>D180</f>
        <v>10.65</v>
      </c>
      <c r="H180" s="181"/>
      <c r="I180" s="182">
        <f>H180*G180</f>
        <v>0</v>
      </c>
      <c r="J180" s="86">
        <f t="shared" ref="J180:J201" si="21">I180-F180</f>
        <v>0</v>
      </c>
      <c r="K180" s="183" t="str">
        <f>IF(ISERROR(J180/F180), "", J180/F180)</f>
        <v/>
      </c>
    </row>
    <row r="181" spans="2:11" x14ac:dyDescent="0.3">
      <c r="B181" s="79" t="s">
        <v>79</v>
      </c>
      <c r="C181" s="177"/>
      <c r="D181" s="184">
        <v>1.14E-2</v>
      </c>
      <c r="E181" s="82">
        <f>IF($C173&gt;0, $C173, $C172)</f>
        <v>275</v>
      </c>
      <c r="F181" s="179">
        <f t="shared" ref="F181:F193" si="22">E181*D181</f>
        <v>3.1350000000000002</v>
      </c>
      <c r="G181" s="185">
        <f>D181</f>
        <v>1.14E-2</v>
      </c>
      <c r="H181" s="181">
        <f>IF($C173&gt;0, $C173, $C172)</f>
        <v>275</v>
      </c>
      <c r="I181" s="182">
        <f>H181*G181</f>
        <v>3.1350000000000002</v>
      </c>
      <c r="J181" s="86">
        <f t="shared" si="21"/>
        <v>0</v>
      </c>
      <c r="K181" s="183">
        <f t="shared" ref="K181:K191" si="23">IF(ISERROR(J181/F181), "", J181/F181)</f>
        <v>0</v>
      </c>
    </row>
    <row r="182" spans="2:11" hidden="1" x14ac:dyDescent="0.3">
      <c r="B182" s="79" t="s">
        <v>247</v>
      </c>
      <c r="C182" s="177"/>
      <c r="D182" s="184"/>
      <c r="E182" s="82">
        <f>IF($C173&gt;0, $C173, $C172)</f>
        <v>275</v>
      </c>
      <c r="F182" s="179">
        <v>0</v>
      </c>
      <c r="G182" s="185"/>
      <c r="H182" s="181">
        <f>IF($C173&gt;0, $C173, $C172)</f>
        <v>275</v>
      </c>
      <c r="I182" s="182">
        <v>0</v>
      </c>
      <c r="J182" s="86"/>
      <c r="K182" s="183"/>
    </row>
    <row r="183" spans="2:11" hidden="1" x14ac:dyDescent="0.3">
      <c r="B183" s="79" t="s">
        <v>248</v>
      </c>
      <c r="C183" s="177"/>
      <c r="D183" s="184"/>
      <c r="E183" s="82">
        <f>IF($C173&gt;0, $C173, $C172)</f>
        <v>275</v>
      </c>
      <c r="F183" s="179">
        <v>0</v>
      </c>
      <c r="G183" s="185"/>
      <c r="H183" s="186">
        <f>IF($C173&gt;0, $C173, $C172)</f>
        <v>275</v>
      </c>
      <c r="I183" s="182">
        <v>0</v>
      </c>
      <c r="J183" s="86">
        <f>I183-F183</f>
        <v>0</v>
      </c>
      <c r="K183" s="183" t="str">
        <f>IF(ISERROR(J183/F183), "", J183/F183)</f>
        <v/>
      </c>
    </row>
    <row r="184" spans="2:11" x14ac:dyDescent="0.3">
      <c r="B184" s="79" t="s">
        <v>185</v>
      </c>
      <c r="C184" s="177"/>
      <c r="D184" s="178">
        <v>0</v>
      </c>
      <c r="E184" s="82"/>
      <c r="F184" s="179">
        <f t="shared" si="22"/>
        <v>0</v>
      </c>
      <c r="G184" s="180">
        <v>0</v>
      </c>
      <c r="H184" s="181"/>
      <c r="I184" s="182">
        <f t="shared" ref="I184:I191" si="24">H184*G184</f>
        <v>0</v>
      </c>
      <c r="J184" s="86">
        <f t="shared" si="21"/>
        <v>0</v>
      </c>
      <c r="K184" s="183" t="str">
        <f t="shared" si="23"/>
        <v/>
      </c>
    </row>
    <row r="185" spans="2:11" x14ac:dyDescent="0.3">
      <c r="B185" s="79" t="s">
        <v>186</v>
      </c>
      <c r="C185" s="177"/>
      <c r="D185" s="184">
        <v>0</v>
      </c>
      <c r="E185" s="82">
        <f>IF($C173&gt;0, $C173, $C172)</f>
        <v>275</v>
      </c>
      <c r="F185" s="179">
        <f t="shared" si="22"/>
        <v>0</v>
      </c>
      <c r="G185" s="185">
        <v>0</v>
      </c>
      <c r="H185" s="181">
        <f>IF($C173&gt;0, $C173, $C172)</f>
        <v>275</v>
      </c>
      <c r="I185" s="182">
        <f t="shared" si="24"/>
        <v>0</v>
      </c>
      <c r="J185" s="86">
        <f t="shared" si="21"/>
        <v>0</v>
      </c>
      <c r="K185" s="183" t="str">
        <f t="shared" si="23"/>
        <v/>
      </c>
    </row>
    <row r="186" spans="2:11" x14ac:dyDescent="0.3">
      <c r="B186" s="187" t="s">
        <v>187</v>
      </c>
      <c r="C186" s="188"/>
      <c r="D186" s="189"/>
      <c r="E186" s="190"/>
      <c r="F186" s="191">
        <f>SUM(F180:F185)</f>
        <v>3.1350000000000002</v>
      </c>
      <c r="G186" s="192"/>
      <c r="H186" s="193"/>
      <c r="I186" s="191">
        <f>SUM(I180:I185)</f>
        <v>3.1350000000000002</v>
      </c>
      <c r="J186" s="194">
        <f t="shared" si="21"/>
        <v>0</v>
      </c>
      <c r="K186" s="195">
        <f>IF((F186)=0,"",(J186/F186))</f>
        <v>0</v>
      </c>
    </row>
    <row r="187" spans="2:11" x14ac:dyDescent="0.3">
      <c r="B187" s="100" t="s">
        <v>188</v>
      </c>
      <c r="C187" s="177"/>
      <c r="D187" s="184">
        <f>IF((C172*12&gt;=150000), 0, IF(C171="RPP",(D203*0.65+D204*0.17+D205*0.18),IF(C171="Non-RPP (Retailer)",D206,D207)))</f>
        <v>8.2350000000000007E-2</v>
      </c>
      <c r="E187" s="196">
        <f>IF(D187=0, 0, $C172*C174-C172)</f>
        <v>18.754999999999995</v>
      </c>
      <c r="F187" s="179">
        <f>E187*D187</f>
        <v>1.5444742499999997</v>
      </c>
      <c r="G187" s="185">
        <f>IF((C172*12&gt;=150000), 0, IF(C171="RPP",(G203*0.65+G204*0.17+G205*0.18),IF(C171="Non-RPP (Retailer)",G206,G207)))</f>
        <v>8.2350000000000007E-2</v>
      </c>
      <c r="H187" s="197">
        <f>IF(G187=0, 0, C172*C175-C172)</f>
        <v>18.754999999999995</v>
      </c>
      <c r="I187" s="182">
        <f>H187*G187</f>
        <v>1.5444742499999997</v>
      </c>
      <c r="J187" s="86">
        <f>I187-F187</f>
        <v>0</v>
      </c>
      <c r="K187" s="183">
        <f>IF(ISERROR(J187/F187), "", J187/F187)</f>
        <v>0</v>
      </c>
    </row>
    <row r="188" spans="2:11" ht="26.4" x14ac:dyDescent="0.3">
      <c r="B188" s="100" t="s">
        <v>190</v>
      </c>
      <c r="C188" s="177"/>
      <c r="D188" s="184">
        <v>6.9999999999999999E-4</v>
      </c>
      <c r="E188" s="198">
        <f>IF($C173&gt;0, $C173, $C172)</f>
        <v>275</v>
      </c>
      <c r="F188" s="179">
        <f t="shared" si="22"/>
        <v>0.1925</v>
      </c>
      <c r="G188" s="185">
        <f>D188</f>
        <v>6.9999999999999999E-4</v>
      </c>
      <c r="H188" s="199">
        <f>IF($C173&gt;0, $C173, $C172)</f>
        <v>275</v>
      </c>
      <c r="I188" s="182">
        <f t="shared" si="24"/>
        <v>0.1925</v>
      </c>
      <c r="J188" s="86">
        <f t="shared" si="21"/>
        <v>0</v>
      </c>
      <c r="K188" s="183">
        <f t="shared" si="23"/>
        <v>0</v>
      </c>
    </row>
    <row r="189" spans="2:11" x14ac:dyDescent="0.3">
      <c r="B189" s="100" t="s">
        <v>191</v>
      </c>
      <c r="C189" s="177"/>
      <c r="D189" s="184">
        <v>0</v>
      </c>
      <c r="E189" s="198">
        <f>IF($C173&gt;0, $C173, $C172)</f>
        <v>275</v>
      </c>
      <c r="F189" s="179">
        <f>E189*D189</f>
        <v>0</v>
      </c>
      <c r="G189" s="185">
        <v>0</v>
      </c>
      <c r="H189" s="199">
        <f>IF($C173&gt;0, $C173, $C172)</f>
        <v>275</v>
      </c>
      <c r="I189" s="182">
        <f>H189*G189</f>
        <v>0</v>
      </c>
      <c r="J189" s="86">
        <f t="shared" si="21"/>
        <v>0</v>
      </c>
      <c r="K189" s="183" t="str">
        <f t="shared" si="23"/>
        <v/>
      </c>
    </row>
    <row r="190" spans="2:11" x14ac:dyDescent="0.3">
      <c r="B190" s="100" t="s">
        <v>192</v>
      </c>
      <c r="C190" s="177"/>
      <c r="D190" s="184">
        <v>0</v>
      </c>
      <c r="E190" s="198">
        <f>C172</f>
        <v>275</v>
      </c>
      <c r="F190" s="179">
        <f>E190*D190</f>
        <v>0</v>
      </c>
      <c r="G190" s="185">
        <v>0</v>
      </c>
      <c r="H190" s="199">
        <f>C172</f>
        <v>275</v>
      </c>
      <c r="I190" s="182">
        <f t="shared" si="24"/>
        <v>0</v>
      </c>
      <c r="J190" s="86">
        <f t="shared" si="21"/>
        <v>0</v>
      </c>
      <c r="K190" s="183" t="str">
        <f t="shared" si="23"/>
        <v/>
      </c>
    </row>
    <row r="191" spans="2:11" x14ac:dyDescent="0.3">
      <c r="B191" s="79" t="s">
        <v>193</v>
      </c>
      <c r="C191" s="177"/>
      <c r="D191" s="184">
        <v>1.8E-3</v>
      </c>
      <c r="E191" s="198">
        <f>IF($C173&gt;0, $C173, $C172)</f>
        <v>275</v>
      </c>
      <c r="F191" s="179">
        <f t="shared" si="22"/>
        <v>0.495</v>
      </c>
      <c r="G191" s="185">
        <v>1.8E-3</v>
      </c>
      <c r="H191" s="199">
        <f>IF($C173&gt;0, $C173, $C172)</f>
        <v>275</v>
      </c>
      <c r="I191" s="182">
        <f t="shared" si="24"/>
        <v>0.495</v>
      </c>
      <c r="J191" s="86">
        <f t="shared" si="21"/>
        <v>0</v>
      </c>
      <c r="K191" s="183">
        <f t="shared" si="23"/>
        <v>0</v>
      </c>
    </row>
    <row r="192" spans="2:11" x14ac:dyDescent="0.3">
      <c r="B192" s="100" t="s">
        <v>194</v>
      </c>
      <c r="C192" s="177"/>
      <c r="D192" s="200">
        <f>IF(OR(ISNUMBER(SEARCH("RESIDENTIAL", C170))=TRUE, ISNUMBER(SEARCH("GENERAL SERVICE LESS THAN 50", C170))=TRUE), SME, 0)</f>
        <v>0</v>
      </c>
      <c r="E192" s="82">
        <v>1</v>
      </c>
      <c r="F192" s="179">
        <f>E192*D192</f>
        <v>0</v>
      </c>
      <c r="G192" s="201">
        <f>IF(OR(ISNUMBER(SEARCH("RESIDENTIAL", C170))=TRUE, ISNUMBER(SEARCH("GENERAL SERVICE LESS THAN 50", C170))=TRUE), SME, 0)</f>
        <v>0</v>
      </c>
      <c r="H192" s="186">
        <v>1</v>
      </c>
      <c r="I192" s="182">
        <f>H192*G192</f>
        <v>0</v>
      </c>
      <c r="J192" s="86">
        <f t="shared" si="21"/>
        <v>0</v>
      </c>
      <c r="K192" s="183" t="str">
        <f>IF(ISERROR(J192/F192), "", J192/F192)</f>
        <v/>
      </c>
    </row>
    <row r="193" spans="2:11" x14ac:dyDescent="0.3">
      <c r="B193" s="79" t="s">
        <v>195</v>
      </c>
      <c r="C193" s="177"/>
      <c r="D193" s="178">
        <v>0</v>
      </c>
      <c r="E193" s="82">
        <v>1</v>
      </c>
      <c r="F193" s="179">
        <f t="shared" si="22"/>
        <v>0</v>
      </c>
      <c r="G193" s="180">
        <v>0</v>
      </c>
      <c r="H193" s="186">
        <v>1</v>
      </c>
      <c r="I193" s="182">
        <f>H193*G193</f>
        <v>0</v>
      </c>
      <c r="J193" s="86">
        <f>I193-F193</f>
        <v>0</v>
      </c>
      <c r="K193" s="183" t="str">
        <f>IF(ISERROR(J193/F193), "", J193/F193)</f>
        <v/>
      </c>
    </row>
    <row r="194" spans="2:11" x14ac:dyDescent="0.3">
      <c r="B194" s="79" t="s">
        <v>196</v>
      </c>
      <c r="C194" s="177"/>
      <c r="D194" s="184"/>
      <c r="E194" s="198">
        <f>IF($C173&gt;0, $C173, $C172)</f>
        <v>275</v>
      </c>
      <c r="F194" s="179">
        <f>E194*D194</f>
        <v>0</v>
      </c>
      <c r="G194" s="185">
        <v>0</v>
      </c>
      <c r="H194" s="199">
        <f>IF($C173&gt;0, $C173, $C172)</f>
        <v>275</v>
      </c>
      <c r="I194" s="182">
        <f>H194*G194</f>
        <v>0</v>
      </c>
      <c r="J194" s="86">
        <f t="shared" si="21"/>
        <v>0</v>
      </c>
      <c r="K194" s="183" t="str">
        <f>IF(ISERROR(J194/F194), "", J194/F194)</f>
        <v/>
      </c>
    </row>
    <row r="195" spans="2:11" ht="26.4" x14ac:dyDescent="0.3">
      <c r="B195" s="202" t="s">
        <v>197</v>
      </c>
      <c r="C195" s="203"/>
      <c r="D195" s="204"/>
      <c r="E195" s="205"/>
      <c r="F195" s="206">
        <f>SUM(F186:F194)</f>
        <v>5.3669742500000002</v>
      </c>
      <c r="G195" s="207"/>
      <c r="H195" s="208"/>
      <c r="I195" s="206">
        <f>SUM(I186:I194)</f>
        <v>5.3669742500000002</v>
      </c>
      <c r="J195" s="194">
        <f t="shared" si="21"/>
        <v>0</v>
      </c>
      <c r="K195" s="195">
        <f>IF((F195)=0,"",(J195/F195))</f>
        <v>0</v>
      </c>
    </row>
    <row r="196" spans="2:11" x14ac:dyDescent="0.3">
      <c r="B196" s="111" t="s">
        <v>198</v>
      </c>
      <c r="C196" s="177"/>
      <c r="D196" s="184">
        <v>5.8999999999999999E-3</v>
      </c>
      <c r="E196" s="196">
        <f>IF($C173&gt;0, $C173, $C172*$C174)</f>
        <v>293.755</v>
      </c>
      <c r="F196" s="179">
        <f>E196*D196</f>
        <v>1.7331544999999999</v>
      </c>
      <c r="G196" s="209">
        <f>D196</f>
        <v>5.8999999999999999E-3</v>
      </c>
      <c r="H196" s="197">
        <f>IF($C173&gt;0, $C173, $C172*$C175)</f>
        <v>293.755</v>
      </c>
      <c r="I196" s="182">
        <f>H196*G196</f>
        <v>1.7331544999999999</v>
      </c>
      <c r="J196" s="86">
        <f t="shared" si="21"/>
        <v>0</v>
      </c>
      <c r="K196" s="183">
        <f>IF(ISERROR(J196/F196), "", J196/F196)</f>
        <v>0</v>
      </c>
    </row>
    <row r="197" spans="2:11" ht="26.4" x14ac:dyDescent="0.3">
      <c r="B197" s="112" t="s">
        <v>199</v>
      </c>
      <c r="C197" s="177"/>
      <c r="D197" s="184">
        <v>4.7999999999999996E-3</v>
      </c>
      <c r="E197" s="196">
        <f>IF($C173&gt;0, $C173, $C172*$C174)</f>
        <v>293.755</v>
      </c>
      <c r="F197" s="179">
        <f>E197*D197</f>
        <v>1.4100239999999999</v>
      </c>
      <c r="G197" s="209">
        <f>D197</f>
        <v>4.7999999999999996E-3</v>
      </c>
      <c r="H197" s="197">
        <f>IF($C173&gt;0, $C173, $C172*$C175)</f>
        <v>293.755</v>
      </c>
      <c r="I197" s="182">
        <f>H197*G197</f>
        <v>1.4100239999999999</v>
      </c>
      <c r="J197" s="86">
        <f t="shared" si="21"/>
        <v>0</v>
      </c>
      <c r="K197" s="183">
        <f>IF(ISERROR(J197/F197), "", J197/F197)</f>
        <v>0</v>
      </c>
    </row>
    <row r="198" spans="2:11" ht="26.4" x14ac:dyDescent="0.3">
      <c r="B198" s="202" t="s">
        <v>200</v>
      </c>
      <c r="C198" s="188"/>
      <c r="D198" s="204"/>
      <c r="E198" s="205"/>
      <c r="F198" s="206">
        <f>SUM(F195:F197)</f>
        <v>8.5101527499999996</v>
      </c>
      <c r="G198" s="207"/>
      <c r="H198" s="193"/>
      <c r="I198" s="206">
        <f>SUM(I195:I197)</f>
        <v>8.5101527499999996</v>
      </c>
      <c r="J198" s="194">
        <f t="shared" si="21"/>
        <v>0</v>
      </c>
      <c r="K198" s="195">
        <f>IF((F198)=0,"",(J198/F198))</f>
        <v>0</v>
      </c>
    </row>
    <row r="199" spans="2:11" ht="26.4" x14ac:dyDescent="0.3">
      <c r="B199" s="113" t="s">
        <v>201</v>
      </c>
      <c r="C199" s="177"/>
      <c r="D199" s="184">
        <v>3.4000000000000002E-3</v>
      </c>
      <c r="E199" s="196">
        <f>C172*C174</f>
        <v>293.755</v>
      </c>
      <c r="F199" s="210">
        <f t="shared" ref="F199:F205" si="25">E199*D199</f>
        <v>0.99876700000000007</v>
      </c>
      <c r="G199" s="185">
        <f>'[1]17. Regulatory Charges'!$E$15+'[1]17. Regulatory Charges'!$E$16</f>
        <v>3.4000000000000002E-3</v>
      </c>
      <c r="H199" s="197">
        <f>C172*C175</f>
        <v>293.755</v>
      </c>
      <c r="I199" s="182">
        <f t="shared" ref="I199:I205" si="26">H199*G199</f>
        <v>0.99876700000000007</v>
      </c>
      <c r="J199" s="86">
        <f t="shared" si="21"/>
        <v>0</v>
      </c>
      <c r="K199" s="183">
        <f t="shared" ref="K199:K207" si="27">IF(ISERROR(J199/F199), "", J199/F199)</f>
        <v>0</v>
      </c>
    </row>
    <row r="200" spans="2:11" ht="26.4" x14ac:dyDescent="0.3">
      <c r="B200" s="113" t="s">
        <v>202</v>
      </c>
      <c r="C200" s="177"/>
      <c r="D200" s="184">
        <v>5.0000000000000001E-4</v>
      </c>
      <c r="E200" s="196">
        <f>C172*C174</f>
        <v>293.755</v>
      </c>
      <c r="F200" s="210">
        <f t="shared" si="25"/>
        <v>0.14687749999999999</v>
      </c>
      <c r="G200" s="185">
        <f>'[1]17. Regulatory Charges'!$E$17</f>
        <v>5.0000000000000001E-4</v>
      </c>
      <c r="H200" s="197">
        <f>C172*C175</f>
        <v>293.755</v>
      </c>
      <c r="I200" s="182">
        <f t="shared" si="26"/>
        <v>0.14687749999999999</v>
      </c>
      <c r="J200" s="86">
        <f t="shared" si="21"/>
        <v>0</v>
      </c>
      <c r="K200" s="183">
        <f t="shared" si="27"/>
        <v>0</v>
      </c>
    </row>
    <row r="201" spans="2:11" x14ac:dyDescent="0.3">
      <c r="B201" s="114" t="s">
        <v>203</v>
      </c>
      <c r="C201" s="177"/>
      <c r="D201" s="200">
        <v>0.25</v>
      </c>
      <c r="E201" s="82"/>
      <c r="F201" s="210">
        <f t="shared" si="25"/>
        <v>0</v>
      </c>
      <c r="G201" s="201">
        <f>'[1]17. Regulatory Charges'!$E$18</f>
        <v>0.25</v>
      </c>
      <c r="H201" s="181"/>
      <c r="I201" s="182">
        <f t="shared" si="26"/>
        <v>0</v>
      </c>
      <c r="J201" s="86">
        <f t="shared" si="21"/>
        <v>0</v>
      </c>
      <c r="K201" s="183" t="str">
        <f t="shared" si="27"/>
        <v/>
      </c>
    </row>
    <row r="202" spans="2:11" ht="26.4" x14ac:dyDescent="0.3">
      <c r="B202" s="113" t="s">
        <v>249</v>
      </c>
      <c r="C202" s="177"/>
      <c r="D202" s="184"/>
      <c r="E202" s="196"/>
      <c r="F202" s="210"/>
      <c r="G202" s="185"/>
      <c r="H202" s="197"/>
      <c r="I202" s="182"/>
      <c r="J202" s="86"/>
      <c r="K202" s="183"/>
    </row>
    <row r="203" spans="2:11" x14ac:dyDescent="0.3">
      <c r="B203" s="114" t="s">
        <v>204</v>
      </c>
      <c r="C203" s="177"/>
      <c r="D203" s="211">
        <f>OffPeak</f>
        <v>6.5000000000000002E-2</v>
      </c>
      <c r="E203" s="212">
        <f>IF(AND(C172*12&gt;=150000),0.65*C172*C174,0.65*C172)</f>
        <v>178.75</v>
      </c>
      <c r="F203" s="210">
        <f t="shared" si="25"/>
        <v>11.61875</v>
      </c>
      <c r="G203" s="213">
        <f>OffPeak</f>
        <v>6.5000000000000002E-2</v>
      </c>
      <c r="H203" s="214">
        <f>IF(AND(C172*12&gt;=150000),0.65*C172*C175,0.65*C172)</f>
        <v>178.75</v>
      </c>
      <c r="I203" s="182">
        <f t="shared" si="26"/>
        <v>11.61875</v>
      </c>
      <c r="J203" s="86">
        <f>I203-F203</f>
        <v>0</v>
      </c>
      <c r="K203" s="183">
        <f t="shared" si="27"/>
        <v>0</v>
      </c>
    </row>
    <row r="204" spans="2:11" x14ac:dyDescent="0.3">
      <c r="B204" s="114" t="s">
        <v>205</v>
      </c>
      <c r="C204" s="177"/>
      <c r="D204" s="211">
        <f>MidPeak</f>
        <v>9.4E-2</v>
      </c>
      <c r="E204" s="212">
        <f>IF(AND(C172*12&gt;=150000),0.17*C172*C174,0.17*C172)</f>
        <v>46.75</v>
      </c>
      <c r="F204" s="210">
        <f t="shared" si="25"/>
        <v>4.3944999999999999</v>
      </c>
      <c r="G204" s="213">
        <f>MidPeak</f>
        <v>9.4E-2</v>
      </c>
      <c r="H204" s="214">
        <f>IF(AND(C172*12&gt;=150000),0.17*C172*C175,0.17*C172)</f>
        <v>46.75</v>
      </c>
      <c r="I204" s="182">
        <f t="shared" si="26"/>
        <v>4.3944999999999999</v>
      </c>
      <c r="J204" s="86">
        <f>I204-F204</f>
        <v>0</v>
      </c>
      <c r="K204" s="183">
        <f t="shared" si="27"/>
        <v>0</v>
      </c>
    </row>
    <row r="205" spans="2:11" ht="15" thickBot="1" x14ac:dyDescent="0.35">
      <c r="B205" s="63" t="s">
        <v>206</v>
      </c>
      <c r="C205" s="177"/>
      <c r="D205" s="211">
        <f>OnPeak</f>
        <v>0.13400000000000001</v>
      </c>
      <c r="E205" s="212">
        <f>IF(AND(C172*12&gt;=150000),0.18*C172*C174,0.18*C172)</f>
        <v>49.5</v>
      </c>
      <c r="F205" s="210">
        <f t="shared" si="25"/>
        <v>6.633</v>
      </c>
      <c r="G205" s="213">
        <f>OnPeak</f>
        <v>0.13400000000000001</v>
      </c>
      <c r="H205" s="214">
        <f>IF(AND(C172*12&gt;=150000),0.18*C172*C175,0.18*C172)</f>
        <v>49.5</v>
      </c>
      <c r="I205" s="182">
        <f t="shared" si="26"/>
        <v>6.633</v>
      </c>
      <c r="J205" s="86">
        <f>I205-F205</f>
        <v>0</v>
      </c>
      <c r="K205" s="183">
        <f t="shared" si="27"/>
        <v>0</v>
      </c>
    </row>
    <row r="206" spans="2:11" hidden="1" x14ac:dyDescent="0.3">
      <c r="B206" s="114" t="s">
        <v>250</v>
      </c>
      <c r="C206" s="177"/>
      <c r="D206" s="215">
        <v>0.1101</v>
      </c>
      <c r="E206" s="212">
        <f>IF(AND(C172*12&gt;=150000),C172*C174,C172)</f>
        <v>275</v>
      </c>
      <c r="F206" s="210">
        <f>E206*D206</f>
        <v>30.2775</v>
      </c>
      <c r="G206" s="216">
        <f>D206</f>
        <v>0.1101</v>
      </c>
      <c r="H206" s="214">
        <f>IF(AND(C172*12&gt;=150000),C172*C175,C172)</f>
        <v>275</v>
      </c>
      <c r="I206" s="182">
        <f>H206*G206</f>
        <v>30.2775</v>
      </c>
      <c r="J206" s="86">
        <f>I206-F206</f>
        <v>0</v>
      </c>
      <c r="K206" s="183">
        <f t="shared" si="27"/>
        <v>0</v>
      </c>
    </row>
    <row r="207" spans="2:11" ht="15" hidden="1" thickBot="1" x14ac:dyDescent="0.35">
      <c r="B207" s="114" t="s">
        <v>214</v>
      </c>
      <c r="C207" s="177"/>
      <c r="D207" s="215">
        <v>0.1101</v>
      </c>
      <c r="E207" s="212">
        <f>IF(AND(C172*12&gt;=150000),C172*C174,C172)</f>
        <v>275</v>
      </c>
      <c r="F207" s="210">
        <f>E207*D207</f>
        <v>30.2775</v>
      </c>
      <c r="G207" s="216">
        <f>D207</f>
        <v>0.1101</v>
      </c>
      <c r="H207" s="214">
        <f>IF(AND(C172*12&gt;=150000),C172*C175,C172)</f>
        <v>275</v>
      </c>
      <c r="I207" s="182">
        <f>H207*G207</f>
        <v>30.2775</v>
      </c>
      <c r="J207" s="86">
        <f>I207-F207</f>
        <v>0</v>
      </c>
      <c r="K207" s="183">
        <f t="shared" si="27"/>
        <v>0</v>
      </c>
    </row>
    <row r="208" spans="2:11" ht="15" thickBot="1" x14ac:dyDescent="0.35">
      <c r="B208" s="217"/>
      <c r="C208" s="218"/>
      <c r="D208" s="219"/>
      <c r="E208" s="220"/>
      <c r="F208" s="221"/>
      <c r="G208" s="219"/>
      <c r="H208" s="222"/>
      <c r="I208" s="221"/>
      <c r="J208" s="223"/>
      <c r="K208" s="224"/>
    </row>
    <row r="209" spans="2:11" x14ac:dyDescent="0.3">
      <c r="B209" s="125" t="s">
        <v>207</v>
      </c>
      <c r="C209" s="114"/>
      <c r="D209" s="126"/>
      <c r="E209" s="127"/>
      <c r="F209" s="128">
        <f>SUM(F199:F205,F198)</f>
        <v>32.302047250000001</v>
      </c>
      <c r="G209" s="129"/>
      <c r="H209" s="129"/>
      <c r="I209" s="128">
        <f>SUM(I199:I205,I198)</f>
        <v>32.302047250000001</v>
      </c>
      <c r="J209" s="130">
        <f>I209-F209</f>
        <v>0</v>
      </c>
      <c r="K209" s="131">
        <f>IF((F209)=0,"",(J209/F209))</f>
        <v>0</v>
      </c>
    </row>
    <row r="210" spans="2:11" x14ac:dyDescent="0.3">
      <c r="B210" s="132" t="s">
        <v>208</v>
      </c>
      <c r="C210" s="114"/>
      <c r="D210" s="126">
        <v>0.13</v>
      </c>
      <c r="E210" s="133"/>
      <c r="F210" s="134">
        <f>F209*D210</f>
        <v>4.1992661425</v>
      </c>
      <c r="G210" s="135">
        <v>0.13</v>
      </c>
      <c r="H210" s="82"/>
      <c r="I210" s="134">
        <f>I209*G210</f>
        <v>4.1992661425</v>
      </c>
      <c r="J210" s="86">
        <f>I210-F210</f>
        <v>0</v>
      </c>
      <c r="K210" s="136">
        <f>IF((F210)=0,"",(J210/F210))</f>
        <v>0</v>
      </c>
    </row>
    <row r="211" spans="2:11" x14ac:dyDescent="0.3">
      <c r="B211" s="132" t="s">
        <v>209</v>
      </c>
      <c r="C211" s="114"/>
      <c r="D211" s="126">
        <v>0.08</v>
      </c>
      <c r="E211" s="133"/>
      <c r="F211" s="134">
        <v>0</v>
      </c>
      <c r="G211" s="126">
        <v>0.08</v>
      </c>
      <c r="H211" s="82"/>
      <c r="I211" s="134">
        <v>0</v>
      </c>
      <c r="J211" s="86">
        <f>I211-F211</f>
        <v>0</v>
      </c>
      <c r="K211" s="136"/>
    </row>
    <row r="212" spans="2:11" ht="15" thickBot="1" x14ac:dyDescent="0.35">
      <c r="B212" s="328" t="s">
        <v>210</v>
      </c>
      <c r="C212" s="328"/>
      <c r="D212" s="225"/>
      <c r="E212" s="226"/>
      <c r="F212" s="227">
        <f>F209+F210+F211</f>
        <v>36.501313392500002</v>
      </c>
      <c r="G212" s="228"/>
      <c r="H212" s="228"/>
      <c r="I212" s="229">
        <f>I209+I210+I211</f>
        <v>36.501313392500002</v>
      </c>
      <c r="J212" s="230">
        <f>I212-F212</f>
        <v>0</v>
      </c>
      <c r="K212" s="231">
        <f>IF((F212)=0,"",(J212/F212))</f>
        <v>0</v>
      </c>
    </row>
    <row r="213" spans="2:11" ht="15" thickBot="1" x14ac:dyDescent="0.35">
      <c r="B213" s="217"/>
      <c r="C213" s="218"/>
      <c r="D213" s="219"/>
      <c r="E213" s="220"/>
      <c r="F213" s="221"/>
      <c r="G213" s="219"/>
      <c r="H213" s="222"/>
      <c r="I213" s="221"/>
      <c r="J213" s="223"/>
      <c r="K213" s="224"/>
    </row>
    <row r="214" spans="2:11" hidden="1" x14ac:dyDescent="0.3">
      <c r="B214" s="125" t="s">
        <v>251</v>
      </c>
      <c r="C214" s="114"/>
      <c r="D214" s="126"/>
      <c r="E214" s="127"/>
      <c r="F214" s="128">
        <f>SUM(F206,F199:F202,F198)</f>
        <v>39.933297249999995</v>
      </c>
      <c r="G214" s="129"/>
      <c r="H214" s="129"/>
      <c r="I214" s="128">
        <f>SUM(I206,I199:I202,I198)</f>
        <v>39.933297249999995</v>
      </c>
      <c r="J214" s="130">
        <f>I214-F214</f>
        <v>0</v>
      </c>
      <c r="K214" s="131">
        <f>IF((F214)=0,"",(J214/F214))</f>
        <v>0</v>
      </c>
    </row>
    <row r="215" spans="2:11" hidden="1" x14ac:dyDescent="0.3">
      <c r="B215" s="132" t="s">
        <v>208</v>
      </c>
      <c r="C215" s="114"/>
      <c r="D215" s="126">
        <v>0.13</v>
      </c>
      <c r="E215" s="127"/>
      <c r="F215" s="134">
        <f>F214*D215</f>
        <v>5.1913286424999994</v>
      </c>
      <c r="G215" s="126">
        <v>0.13</v>
      </c>
      <c r="H215" s="135"/>
      <c r="I215" s="134">
        <f>I214*G215</f>
        <v>5.1913286424999994</v>
      </c>
      <c r="J215" s="86">
        <f>I215-F215</f>
        <v>0</v>
      </c>
      <c r="K215" s="136">
        <f>IF((F215)=0,"",(J215/F215))</f>
        <v>0</v>
      </c>
    </row>
    <row r="216" spans="2:11" hidden="1" x14ac:dyDescent="0.3">
      <c r="B216" s="132" t="s">
        <v>209</v>
      </c>
      <c r="C216" s="114"/>
      <c r="D216" s="126">
        <v>0.08</v>
      </c>
      <c r="E216" s="127"/>
      <c r="F216" s="134">
        <v>0</v>
      </c>
      <c r="G216" s="126">
        <v>0.08</v>
      </c>
      <c r="H216" s="135"/>
      <c r="I216" s="134">
        <v>0</v>
      </c>
      <c r="J216" s="86"/>
      <c r="K216" s="136"/>
    </row>
    <row r="217" spans="2:11" ht="15" hidden="1" thickBot="1" x14ac:dyDescent="0.35">
      <c r="B217" s="328" t="s">
        <v>251</v>
      </c>
      <c r="C217" s="328"/>
      <c r="D217" s="232"/>
      <c r="E217" s="233"/>
      <c r="F217" s="227">
        <f>SUM(F214,F215)</f>
        <v>45.124625892499992</v>
      </c>
      <c r="G217" s="234"/>
      <c r="H217" s="234"/>
      <c r="I217" s="227">
        <f>SUM(I214,I215)</f>
        <v>45.124625892499992</v>
      </c>
      <c r="J217" s="235">
        <f>I217-F217</f>
        <v>0</v>
      </c>
      <c r="K217" s="236">
        <f>IF((F217)=0,"",(J217/F217))</f>
        <v>0</v>
      </c>
    </row>
    <row r="218" spans="2:11" ht="15" hidden="1" thickBot="1" x14ac:dyDescent="0.35">
      <c r="B218" s="217"/>
      <c r="C218" s="218"/>
      <c r="D218" s="237"/>
      <c r="E218" s="238"/>
      <c r="F218" s="239"/>
      <c r="G218" s="237"/>
      <c r="H218" s="220"/>
      <c r="I218" s="239"/>
      <c r="J218" s="240"/>
      <c r="K218" s="224"/>
    </row>
    <row r="219" spans="2:11" hidden="1" x14ac:dyDescent="0.3">
      <c r="B219" s="125" t="s">
        <v>215</v>
      </c>
      <c r="C219" s="114"/>
      <c r="D219" s="126"/>
      <c r="E219" s="127"/>
      <c r="F219" s="128">
        <f>SUM(F207,F199:F202,F198)</f>
        <v>39.933297249999995</v>
      </c>
      <c r="G219" s="129"/>
      <c r="H219" s="129"/>
      <c r="I219" s="128">
        <f>SUM(I207,I199:I202,I198)</f>
        <v>39.933297249999995</v>
      </c>
      <c r="J219" s="130">
        <f>I219-F219</f>
        <v>0</v>
      </c>
      <c r="K219" s="131">
        <f>IF((F219)=0,"",(J219/F219))</f>
        <v>0</v>
      </c>
    </row>
    <row r="220" spans="2:11" hidden="1" x14ac:dyDescent="0.3">
      <c r="B220" s="132" t="s">
        <v>208</v>
      </c>
      <c r="C220" s="114"/>
      <c r="D220" s="126">
        <v>0.13</v>
      </c>
      <c r="E220" s="127"/>
      <c r="F220" s="134">
        <f>F219*D220</f>
        <v>5.1913286424999994</v>
      </c>
      <c r="G220" s="126">
        <v>0.13</v>
      </c>
      <c r="H220" s="135"/>
      <c r="I220" s="134">
        <f>I219*G220</f>
        <v>5.1913286424999994</v>
      </c>
      <c r="J220" s="86">
        <f>I220-F220</f>
        <v>0</v>
      </c>
      <c r="K220" s="136">
        <f>IF((F220)=0,"",(J220/F220))</f>
        <v>0</v>
      </c>
    </row>
    <row r="221" spans="2:11" hidden="1" x14ac:dyDescent="0.3">
      <c r="B221" s="132" t="s">
        <v>209</v>
      </c>
      <c r="C221" s="114"/>
      <c r="D221" s="126">
        <v>0.08</v>
      </c>
      <c r="E221" s="127"/>
      <c r="F221" s="134">
        <v>0</v>
      </c>
      <c r="G221" s="126">
        <v>0.08</v>
      </c>
      <c r="H221" s="135"/>
      <c r="I221" s="134">
        <v>0</v>
      </c>
      <c r="J221" s="86"/>
      <c r="K221" s="136"/>
    </row>
    <row r="222" spans="2:11" ht="15" hidden="1" thickBot="1" x14ac:dyDescent="0.35">
      <c r="B222" s="328" t="s">
        <v>215</v>
      </c>
      <c r="C222" s="328"/>
      <c r="D222" s="232"/>
      <c r="E222" s="233"/>
      <c r="F222" s="227">
        <f>SUM(F219,F220)</f>
        <v>45.124625892499992</v>
      </c>
      <c r="G222" s="234"/>
      <c r="H222" s="234"/>
      <c r="I222" s="227">
        <f>SUM(I219,I220)</f>
        <v>45.124625892499992</v>
      </c>
      <c r="J222" s="235">
        <f>I222-F222</f>
        <v>0</v>
      </c>
      <c r="K222" s="236">
        <f>IF((F222)=0,"",(J222/F222))</f>
        <v>0</v>
      </c>
    </row>
    <row r="223" spans="2:11" ht="15" hidden="1" thickBot="1" x14ac:dyDescent="0.35">
      <c r="B223" s="217"/>
      <c r="C223" s="218"/>
      <c r="D223" s="237"/>
      <c r="E223" s="238"/>
      <c r="F223" s="239"/>
      <c r="G223" s="237"/>
      <c r="H223" s="220"/>
      <c r="I223" s="239"/>
      <c r="J223" s="240"/>
      <c r="K223" s="224"/>
    </row>
    <row r="224" spans="2:11" x14ac:dyDescent="0.3">
      <c r="B224" s="63"/>
      <c r="C224" s="63"/>
      <c r="D224" s="63"/>
      <c r="E224" s="63"/>
      <c r="F224" s="63"/>
      <c r="G224" s="63"/>
      <c r="H224" s="63"/>
      <c r="I224" s="63"/>
      <c r="J224" s="63"/>
      <c r="K224" s="63"/>
    </row>
    <row r="225" spans="2:11" x14ac:dyDescent="0.3">
      <c r="B225" s="63"/>
      <c r="C225" s="63"/>
      <c r="D225" s="63"/>
      <c r="E225" s="63"/>
      <c r="F225" s="63"/>
      <c r="G225" s="63"/>
      <c r="H225" s="63"/>
      <c r="I225" s="63"/>
      <c r="J225" s="63"/>
      <c r="K225" s="63"/>
    </row>
    <row r="226" spans="2:11" x14ac:dyDescent="0.3">
      <c r="B226" s="64" t="s">
        <v>168</v>
      </c>
      <c r="C226" s="330" t="s">
        <v>97</v>
      </c>
      <c r="D226" s="330"/>
      <c r="E226" s="330"/>
      <c r="F226" s="330"/>
      <c r="G226" s="330"/>
      <c r="H226" s="330"/>
      <c r="I226" s="63"/>
      <c r="J226" s="63"/>
      <c r="K226" s="63"/>
    </row>
    <row r="227" spans="2:11" x14ac:dyDescent="0.3">
      <c r="B227" s="64" t="s">
        <v>169</v>
      </c>
      <c r="C227" s="329" t="s">
        <v>213</v>
      </c>
      <c r="D227" s="329"/>
      <c r="E227" s="329"/>
      <c r="F227" s="173"/>
      <c r="G227" s="173"/>
      <c r="H227" s="63"/>
      <c r="I227" s="63"/>
      <c r="J227" s="63"/>
      <c r="K227" s="63"/>
    </row>
    <row r="228" spans="2:11" ht="15.6" x14ac:dyDescent="0.3">
      <c r="B228" s="64" t="s">
        <v>171</v>
      </c>
      <c r="C228" s="174">
        <v>46300</v>
      </c>
      <c r="D228" s="67" t="s">
        <v>1</v>
      </c>
      <c r="E228" s="63"/>
      <c r="F228" s="63"/>
      <c r="G228" s="63"/>
      <c r="H228" s="175"/>
      <c r="I228" s="175"/>
      <c r="J228" s="175"/>
      <c r="K228" s="175"/>
    </row>
    <row r="229" spans="2:11" ht="15.6" x14ac:dyDescent="0.3">
      <c r="B229" s="64" t="s">
        <v>172</v>
      </c>
      <c r="C229" s="174">
        <v>115</v>
      </c>
      <c r="D229" s="69" t="s">
        <v>2</v>
      </c>
      <c r="E229" s="70"/>
      <c r="F229" s="71"/>
      <c r="G229" s="71"/>
      <c r="H229" s="71"/>
      <c r="I229" s="63"/>
      <c r="J229" s="63"/>
      <c r="K229" s="63"/>
    </row>
    <row r="230" spans="2:11" x14ac:dyDescent="0.3">
      <c r="B230" s="64" t="s">
        <v>173</v>
      </c>
      <c r="C230" s="176">
        <f>$C$6</f>
        <v>1.0682</v>
      </c>
      <c r="D230" s="63"/>
      <c r="E230" s="63"/>
      <c r="F230" s="63"/>
      <c r="G230" s="63"/>
      <c r="H230" s="63"/>
      <c r="I230" s="63"/>
      <c r="J230" s="63"/>
      <c r="K230" s="63"/>
    </row>
    <row r="231" spans="2:11" x14ac:dyDescent="0.3">
      <c r="B231" s="64" t="s">
        <v>174</v>
      </c>
      <c r="C231" s="176">
        <f>$C$7</f>
        <v>1.0682</v>
      </c>
      <c r="D231" s="63"/>
      <c r="E231" s="63"/>
      <c r="F231" s="63"/>
      <c r="G231" s="63"/>
      <c r="H231" s="63"/>
      <c r="I231" s="63"/>
      <c r="J231" s="63"/>
      <c r="K231" s="63"/>
    </row>
    <row r="232" spans="2:11" x14ac:dyDescent="0.3">
      <c r="B232" s="63"/>
      <c r="C232" s="63"/>
      <c r="D232" s="63"/>
      <c r="E232" s="63"/>
      <c r="F232" s="63"/>
      <c r="G232" s="63"/>
      <c r="H232" s="63"/>
      <c r="I232" s="63"/>
      <c r="J232" s="63"/>
      <c r="K232" s="63"/>
    </row>
    <row r="233" spans="2:11" x14ac:dyDescent="0.3">
      <c r="B233" s="63"/>
      <c r="C233" s="67"/>
      <c r="D233" s="304" t="s">
        <v>175</v>
      </c>
      <c r="E233" s="305"/>
      <c r="F233" s="306"/>
      <c r="G233" s="304" t="s">
        <v>176</v>
      </c>
      <c r="H233" s="305"/>
      <c r="I233" s="306"/>
      <c r="J233" s="304" t="s">
        <v>177</v>
      </c>
      <c r="K233" s="306"/>
    </row>
    <row r="234" spans="2:11" x14ac:dyDescent="0.3">
      <c r="B234" s="63"/>
      <c r="C234" s="320"/>
      <c r="D234" s="73" t="s">
        <v>178</v>
      </c>
      <c r="E234" s="73" t="s">
        <v>179</v>
      </c>
      <c r="F234" s="74" t="s">
        <v>180</v>
      </c>
      <c r="G234" s="73" t="s">
        <v>178</v>
      </c>
      <c r="H234" s="75" t="s">
        <v>179</v>
      </c>
      <c r="I234" s="74" t="s">
        <v>180</v>
      </c>
      <c r="J234" s="316" t="s">
        <v>181</v>
      </c>
      <c r="K234" s="318" t="s">
        <v>182</v>
      </c>
    </row>
    <row r="235" spans="2:11" x14ac:dyDescent="0.3">
      <c r="B235" s="63"/>
      <c r="C235" s="321"/>
      <c r="D235" s="76" t="s">
        <v>183</v>
      </c>
      <c r="E235" s="76"/>
      <c r="F235" s="77" t="s">
        <v>183</v>
      </c>
      <c r="G235" s="76" t="s">
        <v>183</v>
      </c>
      <c r="H235" s="77"/>
      <c r="I235" s="77" t="s">
        <v>183</v>
      </c>
      <c r="J235" s="317"/>
      <c r="K235" s="319"/>
    </row>
    <row r="236" spans="2:11" x14ac:dyDescent="0.3">
      <c r="B236" s="79" t="s">
        <v>184</v>
      </c>
      <c r="C236" s="177"/>
      <c r="D236" s="178">
        <v>3.94</v>
      </c>
      <c r="E236" s="82"/>
      <c r="F236" s="179">
        <f>E236*D236</f>
        <v>0</v>
      </c>
      <c r="G236" s="180">
        <f>D236</f>
        <v>3.94</v>
      </c>
      <c r="H236" s="181"/>
      <c r="I236" s="182">
        <f>H236*G236</f>
        <v>0</v>
      </c>
      <c r="J236" s="86">
        <f t="shared" ref="J236:J257" si="28">I236-F236</f>
        <v>0</v>
      </c>
      <c r="K236" s="183" t="str">
        <f>IF(ISERROR(J236/F236), "", J236/F236)</f>
        <v/>
      </c>
    </row>
    <row r="237" spans="2:11" x14ac:dyDescent="0.3">
      <c r="B237" s="79" t="s">
        <v>79</v>
      </c>
      <c r="C237" s="177"/>
      <c r="D237" s="184">
        <v>9.0935000000000006</v>
      </c>
      <c r="E237" s="82">
        <f>IF($C229&gt;0, $C229, $C228)</f>
        <v>115</v>
      </c>
      <c r="F237" s="179">
        <f t="shared" ref="F237:F249" si="29">E237*D237</f>
        <v>1045.7525000000001</v>
      </c>
      <c r="G237" s="185">
        <f>D237</f>
        <v>9.0935000000000006</v>
      </c>
      <c r="H237" s="181">
        <f>IF($C229&gt;0, $C229, $C228)</f>
        <v>115</v>
      </c>
      <c r="I237" s="182">
        <f>H237*G237</f>
        <v>1045.7525000000001</v>
      </c>
      <c r="J237" s="86">
        <f t="shared" si="28"/>
        <v>0</v>
      </c>
      <c r="K237" s="183">
        <f t="shared" ref="K237:K247" si="30">IF(ISERROR(J237/F237), "", J237/F237)</f>
        <v>0</v>
      </c>
    </row>
    <row r="238" spans="2:11" x14ac:dyDescent="0.3">
      <c r="B238" s="79" t="s">
        <v>247</v>
      </c>
      <c r="C238" s="177"/>
      <c r="D238" s="184"/>
      <c r="E238" s="82">
        <f>IF($C229&gt;0, $C229, $C228)</f>
        <v>115</v>
      </c>
      <c r="F238" s="179">
        <v>0</v>
      </c>
      <c r="G238" s="185"/>
      <c r="H238" s="181">
        <f>IF($C229&gt;0, $C229, $C228)</f>
        <v>115</v>
      </c>
      <c r="I238" s="182">
        <v>0</v>
      </c>
      <c r="J238" s="86"/>
      <c r="K238" s="183"/>
    </row>
    <row r="239" spans="2:11" x14ac:dyDescent="0.3">
      <c r="B239" s="79" t="s">
        <v>248</v>
      </c>
      <c r="C239" s="177"/>
      <c r="D239" s="184"/>
      <c r="E239" s="82">
        <f>IF($C229&gt;0, $C229, $C228)</f>
        <v>115</v>
      </c>
      <c r="F239" s="179">
        <v>0</v>
      </c>
      <c r="G239" s="185"/>
      <c r="H239" s="186">
        <f>IF($C229&gt;0, $C229, $C228)</f>
        <v>115</v>
      </c>
      <c r="I239" s="182">
        <v>0</v>
      </c>
      <c r="J239" s="86">
        <f>I239-F239</f>
        <v>0</v>
      </c>
      <c r="K239" s="183" t="str">
        <f>IF(ISERROR(J239/F239), "", J239/F239)</f>
        <v/>
      </c>
    </row>
    <row r="240" spans="2:11" x14ac:dyDescent="0.3">
      <c r="B240" s="79" t="s">
        <v>185</v>
      </c>
      <c r="C240" s="177"/>
      <c r="D240" s="178">
        <v>0</v>
      </c>
      <c r="E240" s="82"/>
      <c r="F240" s="179">
        <f t="shared" si="29"/>
        <v>0</v>
      </c>
      <c r="G240" s="180">
        <v>0</v>
      </c>
      <c r="H240" s="181"/>
      <c r="I240" s="182">
        <f t="shared" ref="I240:I247" si="31">H240*G240</f>
        <v>0</v>
      </c>
      <c r="J240" s="86">
        <f t="shared" si="28"/>
        <v>0</v>
      </c>
      <c r="K240" s="183" t="str">
        <f t="shared" si="30"/>
        <v/>
      </c>
    </row>
    <row r="241" spans="2:11" x14ac:dyDescent="0.3">
      <c r="B241" s="79" t="s">
        <v>186</v>
      </c>
      <c r="C241" s="177"/>
      <c r="D241" s="184">
        <v>0.41399999999999998</v>
      </c>
      <c r="E241" s="82">
        <f>IF($C229&gt;0, $C229, $C228)</f>
        <v>115</v>
      </c>
      <c r="F241" s="179">
        <f t="shared" si="29"/>
        <v>47.61</v>
      </c>
      <c r="G241" s="185">
        <v>0.41399999999999998</v>
      </c>
      <c r="H241" s="181">
        <f>IF($C229&gt;0, $C229, $C228)</f>
        <v>115</v>
      </c>
      <c r="I241" s="182">
        <f t="shared" si="31"/>
        <v>47.61</v>
      </c>
      <c r="J241" s="86">
        <f t="shared" si="28"/>
        <v>0</v>
      </c>
      <c r="K241" s="183">
        <f t="shared" si="30"/>
        <v>0</v>
      </c>
    </row>
    <row r="242" spans="2:11" x14ac:dyDescent="0.3">
      <c r="B242" s="187" t="s">
        <v>187</v>
      </c>
      <c r="C242" s="188"/>
      <c r="D242" s="189"/>
      <c r="E242" s="190"/>
      <c r="F242" s="191">
        <f>SUM(F236:F241)</f>
        <v>1093.3625</v>
      </c>
      <c r="G242" s="192"/>
      <c r="H242" s="193"/>
      <c r="I242" s="191">
        <f>SUM(I236:I241)</f>
        <v>1093.3625</v>
      </c>
      <c r="J242" s="194">
        <f t="shared" si="28"/>
        <v>0</v>
      </c>
      <c r="K242" s="195">
        <f>IF((F242)=0,"",(J242/F242))</f>
        <v>0</v>
      </c>
    </row>
    <row r="243" spans="2:11" x14ac:dyDescent="0.3">
      <c r="B243" s="100" t="s">
        <v>188</v>
      </c>
      <c r="C243" s="177"/>
      <c r="D243" s="184">
        <f>IF((C228*12&gt;=150000), 0, IF(C227="RPP",(D259*0.65+D260*0.17+D261*0.18),IF(C227="Non-RPP (Retailer)",D262,D263)))</f>
        <v>0</v>
      </c>
      <c r="E243" s="196">
        <f>IF(D243=0, 0, $C228*C230-C228)</f>
        <v>0</v>
      </c>
      <c r="F243" s="179">
        <f>E243*D243</f>
        <v>0</v>
      </c>
      <c r="G243" s="185">
        <f>IF((C228*12&gt;=150000), 0, IF(C227="RPP",(G259*0.65+G260*0.17+G261*0.18),IF(C227="Non-RPP (Retailer)",G262,G263)))</f>
        <v>0</v>
      </c>
      <c r="H243" s="197">
        <f>IF(G243=0, 0, C228*C231-C228)</f>
        <v>0</v>
      </c>
      <c r="I243" s="182">
        <f>H243*G243</f>
        <v>0</v>
      </c>
      <c r="J243" s="86">
        <f>I243-F243</f>
        <v>0</v>
      </c>
      <c r="K243" s="183" t="str">
        <f>IF(ISERROR(J243/F243), "", J243/F243)</f>
        <v/>
      </c>
    </row>
    <row r="244" spans="2:11" ht="26.4" x14ac:dyDescent="0.3">
      <c r="B244" s="100" t="s">
        <v>190</v>
      </c>
      <c r="C244" s="177"/>
      <c r="D244" s="184">
        <v>0.32779999999999998</v>
      </c>
      <c r="E244" s="198">
        <f>IF($C229&gt;0, $C229, $C228)</f>
        <v>115</v>
      </c>
      <c r="F244" s="179">
        <f t="shared" si="29"/>
        <v>37.696999999999996</v>
      </c>
      <c r="G244" s="185">
        <f>D244</f>
        <v>0.32779999999999998</v>
      </c>
      <c r="H244" s="199">
        <f>IF($C229&gt;0, $C229, $C228)</f>
        <v>115</v>
      </c>
      <c r="I244" s="182">
        <f t="shared" si="31"/>
        <v>37.696999999999996</v>
      </c>
      <c r="J244" s="86">
        <f t="shared" si="28"/>
        <v>0</v>
      </c>
      <c r="K244" s="183">
        <f t="shared" si="30"/>
        <v>0</v>
      </c>
    </row>
    <row r="245" spans="2:11" x14ac:dyDescent="0.3">
      <c r="B245" s="100" t="s">
        <v>191</v>
      </c>
      <c r="C245" s="177"/>
      <c r="D245" s="184">
        <v>0</v>
      </c>
      <c r="E245" s="198">
        <f>IF($C229&gt;0, $C229, $C228)</f>
        <v>115</v>
      </c>
      <c r="F245" s="179">
        <f>E245*D245</f>
        <v>0</v>
      </c>
      <c r="G245" s="185">
        <v>0</v>
      </c>
      <c r="H245" s="199">
        <f>IF($C229&gt;0, $C229, $C228)</f>
        <v>115</v>
      </c>
      <c r="I245" s="182">
        <f>H245*G245</f>
        <v>0</v>
      </c>
      <c r="J245" s="86">
        <f t="shared" si="28"/>
        <v>0</v>
      </c>
      <c r="K245" s="183" t="str">
        <f t="shared" si="30"/>
        <v/>
      </c>
    </row>
    <row r="246" spans="2:11" x14ac:dyDescent="0.3">
      <c r="B246" s="100" t="s">
        <v>192</v>
      </c>
      <c r="C246" s="177"/>
      <c r="D246" s="184">
        <v>2.7000000000000001E-3</v>
      </c>
      <c r="E246" s="198">
        <f>C228</f>
        <v>46300</v>
      </c>
      <c r="F246" s="179">
        <f>E246*D246</f>
        <v>125.01</v>
      </c>
      <c r="G246" s="185">
        <f>D246</f>
        <v>2.7000000000000001E-3</v>
      </c>
      <c r="H246" s="199">
        <f>C228</f>
        <v>46300</v>
      </c>
      <c r="I246" s="182">
        <f t="shared" si="31"/>
        <v>125.01</v>
      </c>
      <c r="J246" s="86">
        <f t="shared" si="28"/>
        <v>0</v>
      </c>
      <c r="K246" s="183">
        <f t="shared" si="30"/>
        <v>0</v>
      </c>
    </row>
    <row r="247" spans="2:11" x14ac:dyDescent="0.3">
      <c r="B247" s="79" t="s">
        <v>193</v>
      </c>
      <c r="C247" s="177"/>
      <c r="D247" s="184">
        <v>0.56289999999999996</v>
      </c>
      <c r="E247" s="198">
        <f>IF($C229&gt;0, $C229, $C228)</f>
        <v>115</v>
      </c>
      <c r="F247" s="179">
        <f t="shared" si="29"/>
        <v>64.733499999999992</v>
      </c>
      <c r="G247" s="185">
        <v>0.56289999999999996</v>
      </c>
      <c r="H247" s="199">
        <f>IF($C229&gt;0, $C229, $C228)</f>
        <v>115</v>
      </c>
      <c r="I247" s="182">
        <f t="shared" si="31"/>
        <v>64.733499999999992</v>
      </c>
      <c r="J247" s="86">
        <f t="shared" si="28"/>
        <v>0</v>
      </c>
      <c r="K247" s="183">
        <f t="shared" si="30"/>
        <v>0</v>
      </c>
    </row>
    <row r="248" spans="2:11" x14ac:dyDescent="0.3">
      <c r="B248" s="100" t="s">
        <v>194</v>
      </c>
      <c r="C248" s="177"/>
      <c r="D248" s="200">
        <f>IF(OR(ISNUMBER(SEARCH("RESIDENTIAL", C226))=TRUE, ISNUMBER(SEARCH("GENERAL SERVICE LESS THAN 50", C226))=TRUE), SME, 0)</f>
        <v>0</v>
      </c>
      <c r="E248" s="82">
        <v>1</v>
      </c>
      <c r="F248" s="179">
        <f>E248*D248</f>
        <v>0</v>
      </c>
      <c r="G248" s="201">
        <f>IF(OR(ISNUMBER(SEARCH("RESIDENTIAL", C226))=TRUE, ISNUMBER(SEARCH("GENERAL SERVICE LESS THAN 50", C226))=TRUE), SME, 0)</f>
        <v>0</v>
      </c>
      <c r="H248" s="186">
        <v>1</v>
      </c>
      <c r="I248" s="182">
        <f>H248*G248</f>
        <v>0</v>
      </c>
      <c r="J248" s="86">
        <f t="shared" si="28"/>
        <v>0</v>
      </c>
      <c r="K248" s="183" t="str">
        <f>IF(ISERROR(J248/F248), "", J248/F248)</f>
        <v/>
      </c>
    </row>
    <row r="249" spans="2:11" x14ac:dyDescent="0.3">
      <c r="B249" s="79" t="s">
        <v>195</v>
      </c>
      <c r="C249" s="177"/>
      <c r="D249" s="178">
        <v>0</v>
      </c>
      <c r="E249" s="82">
        <v>1</v>
      </c>
      <c r="F249" s="179">
        <f t="shared" si="29"/>
        <v>0</v>
      </c>
      <c r="G249" s="180">
        <v>0</v>
      </c>
      <c r="H249" s="186">
        <v>1</v>
      </c>
      <c r="I249" s="182">
        <f>H249*G249</f>
        <v>0</v>
      </c>
      <c r="J249" s="86">
        <f>I249-F249</f>
        <v>0</v>
      </c>
      <c r="K249" s="183" t="str">
        <f>IF(ISERROR(J249/F249), "", J249/F249)</f>
        <v/>
      </c>
    </row>
    <row r="250" spans="2:11" x14ac:dyDescent="0.3">
      <c r="B250" s="79" t="s">
        <v>196</v>
      </c>
      <c r="C250" s="177"/>
      <c r="D250" s="184"/>
      <c r="E250" s="198">
        <f>IF($C229&gt;0, $C229, $C228)</f>
        <v>115</v>
      </c>
      <c r="F250" s="179">
        <f>E250*D250</f>
        <v>0</v>
      </c>
      <c r="G250" s="185">
        <v>0</v>
      </c>
      <c r="H250" s="199">
        <f>IF($C229&gt;0, $C229, $C228)</f>
        <v>115</v>
      </c>
      <c r="I250" s="182">
        <f>H250*G250</f>
        <v>0</v>
      </c>
      <c r="J250" s="86">
        <f t="shared" si="28"/>
        <v>0</v>
      </c>
      <c r="K250" s="183" t="str">
        <f>IF(ISERROR(J250/F250), "", J250/F250)</f>
        <v/>
      </c>
    </row>
    <row r="251" spans="2:11" ht="26.4" x14ac:dyDescent="0.3">
      <c r="B251" s="202" t="s">
        <v>197</v>
      </c>
      <c r="C251" s="203"/>
      <c r="D251" s="204"/>
      <c r="E251" s="205"/>
      <c r="F251" s="206">
        <f>SUM(F242:F250)</f>
        <v>1320.8029999999999</v>
      </c>
      <c r="G251" s="207"/>
      <c r="H251" s="208"/>
      <c r="I251" s="206">
        <f>SUM(I242:I250)</f>
        <v>1320.8029999999999</v>
      </c>
      <c r="J251" s="194">
        <f t="shared" si="28"/>
        <v>0</v>
      </c>
      <c r="K251" s="195">
        <f>IF((F251)=0,"",(J251/F251))</f>
        <v>0</v>
      </c>
    </row>
    <row r="252" spans="2:11" x14ac:dyDescent="0.3">
      <c r="B252" s="111" t="s">
        <v>198</v>
      </c>
      <c r="C252" s="177"/>
      <c r="D252" s="184">
        <v>1.8243</v>
      </c>
      <c r="E252" s="196">
        <f>IF($C229&gt;0, $C229, $C228*$C230)</f>
        <v>115</v>
      </c>
      <c r="F252" s="179">
        <f>E252*D252</f>
        <v>209.7945</v>
      </c>
      <c r="G252" s="209">
        <f>D252</f>
        <v>1.8243</v>
      </c>
      <c r="H252" s="197">
        <f>IF($C229&gt;0, $C229, $C228*$C231)</f>
        <v>115</v>
      </c>
      <c r="I252" s="182">
        <f>H252*G252</f>
        <v>209.7945</v>
      </c>
      <c r="J252" s="86">
        <f t="shared" si="28"/>
        <v>0</v>
      </c>
      <c r="K252" s="183">
        <f>IF(ISERROR(J252/F252), "", J252/F252)</f>
        <v>0</v>
      </c>
    </row>
    <row r="253" spans="2:11" ht="26.4" x14ac:dyDescent="0.3">
      <c r="B253" s="112" t="s">
        <v>199</v>
      </c>
      <c r="C253" s="177"/>
      <c r="D253" s="184">
        <v>1.4645999999999999</v>
      </c>
      <c r="E253" s="196">
        <f>IF($C229&gt;0, $C229, $C228*$C230)</f>
        <v>115</v>
      </c>
      <c r="F253" s="179">
        <f>E253*D253</f>
        <v>168.429</v>
      </c>
      <c r="G253" s="209">
        <f>D253</f>
        <v>1.4645999999999999</v>
      </c>
      <c r="H253" s="197">
        <f>IF($C229&gt;0, $C229, $C228*$C231)</f>
        <v>115</v>
      </c>
      <c r="I253" s="182">
        <f>H253*G253</f>
        <v>168.429</v>
      </c>
      <c r="J253" s="86">
        <f t="shared" si="28"/>
        <v>0</v>
      </c>
      <c r="K253" s="183">
        <f>IF(ISERROR(J253/F253), "", J253/F253)</f>
        <v>0</v>
      </c>
    </row>
    <row r="254" spans="2:11" ht="26.4" x14ac:dyDescent="0.3">
      <c r="B254" s="202" t="s">
        <v>200</v>
      </c>
      <c r="C254" s="188"/>
      <c r="D254" s="204"/>
      <c r="E254" s="205"/>
      <c r="F254" s="206">
        <f>SUM(F251:F253)</f>
        <v>1699.0264999999999</v>
      </c>
      <c r="G254" s="207"/>
      <c r="H254" s="193"/>
      <c r="I254" s="206">
        <f>SUM(I251:I253)</f>
        <v>1699.0264999999999</v>
      </c>
      <c r="J254" s="194">
        <f t="shared" si="28"/>
        <v>0</v>
      </c>
      <c r="K254" s="195">
        <f>IF((F254)=0,"",(J254/F254))</f>
        <v>0</v>
      </c>
    </row>
    <row r="255" spans="2:11" ht="26.4" x14ac:dyDescent="0.3">
      <c r="B255" s="113" t="s">
        <v>201</v>
      </c>
      <c r="C255" s="177"/>
      <c r="D255" s="184">
        <v>3.4000000000000002E-3</v>
      </c>
      <c r="E255" s="196">
        <f>C228*C230</f>
        <v>49457.66</v>
      </c>
      <c r="F255" s="210">
        <f t="shared" ref="F255:F261" si="32">E255*D255</f>
        <v>168.15604400000004</v>
      </c>
      <c r="G255" s="185">
        <f>'[1]17. Regulatory Charges'!$E$15+'[1]17. Regulatory Charges'!$E$16</f>
        <v>3.4000000000000002E-3</v>
      </c>
      <c r="H255" s="197">
        <f>C228*C231</f>
        <v>49457.66</v>
      </c>
      <c r="I255" s="182">
        <f t="shared" ref="I255:I261" si="33">H255*G255</f>
        <v>168.15604400000004</v>
      </c>
      <c r="J255" s="86">
        <f t="shared" si="28"/>
        <v>0</v>
      </c>
      <c r="K255" s="183">
        <f t="shared" ref="K255:K263" si="34">IF(ISERROR(J255/F255), "", J255/F255)</f>
        <v>0</v>
      </c>
    </row>
    <row r="256" spans="2:11" ht="26.4" x14ac:dyDescent="0.3">
      <c r="B256" s="113" t="s">
        <v>202</v>
      </c>
      <c r="C256" s="177"/>
      <c r="D256" s="184">
        <v>5.0000000000000001E-4</v>
      </c>
      <c r="E256" s="196">
        <f>C228*C230</f>
        <v>49457.66</v>
      </c>
      <c r="F256" s="210">
        <f t="shared" si="32"/>
        <v>24.728830000000002</v>
      </c>
      <c r="G256" s="185">
        <f>'[1]17. Regulatory Charges'!$E$17</f>
        <v>5.0000000000000001E-4</v>
      </c>
      <c r="H256" s="197">
        <f>C228*C231</f>
        <v>49457.66</v>
      </c>
      <c r="I256" s="182">
        <f t="shared" si="33"/>
        <v>24.728830000000002</v>
      </c>
      <c r="J256" s="86">
        <f t="shared" si="28"/>
        <v>0</v>
      </c>
      <c r="K256" s="183">
        <f t="shared" si="34"/>
        <v>0</v>
      </c>
    </row>
    <row r="257" spans="2:11" x14ac:dyDescent="0.3">
      <c r="B257" s="114" t="s">
        <v>203</v>
      </c>
      <c r="C257" s="177"/>
      <c r="D257" s="200">
        <v>0.25</v>
      </c>
      <c r="E257" s="82"/>
      <c r="F257" s="210">
        <f t="shared" si="32"/>
        <v>0</v>
      </c>
      <c r="G257" s="201">
        <f>'[1]17. Regulatory Charges'!$E$18</f>
        <v>0.25</v>
      </c>
      <c r="H257" s="181"/>
      <c r="I257" s="182">
        <f t="shared" si="33"/>
        <v>0</v>
      </c>
      <c r="J257" s="86">
        <f t="shared" si="28"/>
        <v>0</v>
      </c>
      <c r="K257" s="183" t="str">
        <f t="shared" si="34"/>
        <v/>
      </c>
    </row>
    <row r="258" spans="2:11" ht="26.4" hidden="1" x14ac:dyDescent="0.3">
      <c r="B258" s="113" t="s">
        <v>249</v>
      </c>
      <c r="C258" s="177"/>
      <c r="D258" s="184"/>
      <c r="E258" s="196"/>
      <c r="F258" s="210"/>
      <c r="G258" s="185"/>
      <c r="H258" s="197"/>
      <c r="I258" s="182"/>
      <c r="J258" s="86"/>
      <c r="K258" s="183"/>
    </row>
    <row r="259" spans="2:11" hidden="1" x14ac:dyDescent="0.3">
      <c r="B259" s="114" t="s">
        <v>204</v>
      </c>
      <c r="C259" s="177"/>
      <c r="D259" s="211">
        <f>OffPeak</f>
        <v>6.5000000000000002E-2</v>
      </c>
      <c r="E259" s="212">
        <f>IF(AND(C228*12&gt;=150000),0.65*C228*C230,0.65*C228)</f>
        <v>32147.478999999999</v>
      </c>
      <c r="F259" s="210">
        <f t="shared" si="32"/>
        <v>2089.586135</v>
      </c>
      <c r="G259" s="213">
        <f>OffPeak</f>
        <v>6.5000000000000002E-2</v>
      </c>
      <c r="H259" s="214">
        <f>IF(AND(C228*12&gt;=150000),0.65*C228*C231,0.65*C228)</f>
        <v>32147.478999999999</v>
      </c>
      <c r="I259" s="182">
        <f t="shared" si="33"/>
        <v>2089.586135</v>
      </c>
      <c r="J259" s="86">
        <f>I259-F259</f>
        <v>0</v>
      </c>
      <c r="K259" s="183">
        <f t="shared" si="34"/>
        <v>0</v>
      </c>
    </row>
    <row r="260" spans="2:11" hidden="1" x14ac:dyDescent="0.3">
      <c r="B260" s="114" t="s">
        <v>205</v>
      </c>
      <c r="C260" s="177"/>
      <c r="D260" s="211">
        <f>MidPeak</f>
        <v>9.4E-2</v>
      </c>
      <c r="E260" s="212">
        <f>IF(AND(C228*12&gt;=150000),0.17*C228*C230,0.17*C228)</f>
        <v>8407.8022000000019</v>
      </c>
      <c r="F260" s="210">
        <f t="shared" si="32"/>
        <v>790.33340680000015</v>
      </c>
      <c r="G260" s="213">
        <f>MidPeak</f>
        <v>9.4E-2</v>
      </c>
      <c r="H260" s="214">
        <f>IF(AND(C228*12&gt;=150000),0.17*C228*C231,0.17*C228)</f>
        <v>8407.8022000000019</v>
      </c>
      <c r="I260" s="182">
        <f t="shared" si="33"/>
        <v>790.33340680000015</v>
      </c>
      <c r="J260" s="86">
        <f>I260-F260</f>
        <v>0</v>
      </c>
      <c r="K260" s="183">
        <f t="shared" si="34"/>
        <v>0</v>
      </c>
    </row>
    <row r="261" spans="2:11" hidden="1" x14ac:dyDescent="0.3">
      <c r="B261" s="63" t="s">
        <v>206</v>
      </c>
      <c r="C261" s="177"/>
      <c r="D261" s="211">
        <f>OnPeak</f>
        <v>0.13400000000000001</v>
      </c>
      <c r="E261" s="212">
        <f>IF(AND(C228*12&gt;=150000),0.18*C228*C230,0.18*C228)</f>
        <v>8902.3788000000004</v>
      </c>
      <c r="F261" s="210">
        <f t="shared" si="32"/>
        <v>1192.9187592000001</v>
      </c>
      <c r="G261" s="213">
        <f>OnPeak</f>
        <v>0.13400000000000001</v>
      </c>
      <c r="H261" s="214">
        <f>IF(AND(C228*12&gt;=150000),0.18*C228*C231,0.18*C228)</f>
        <v>8902.3788000000004</v>
      </c>
      <c r="I261" s="182">
        <f t="shared" si="33"/>
        <v>1192.9187592000001</v>
      </c>
      <c r="J261" s="86">
        <f>I261-F261</f>
        <v>0</v>
      </c>
      <c r="K261" s="183">
        <f t="shared" si="34"/>
        <v>0</v>
      </c>
    </row>
    <row r="262" spans="2:11" hidden="1" x14ac:dyDescent="0.3">
      <c r="B262" s="114" t="s">
        <v>250</v>
      </c>
      <c r="C262" s="177"/>
      <c r="D262" s="215">
        <v>0.1101</v>
      </c>
      <c r="E262" s="212">
        <f>IF(AND(C228*12&gt;=150000),C228*C230,C228)</f>
        <v>49457.66</v>
      </c>
      <c r="F262" s="210">
        <f>E262*D262</f>
        <v>5445.2883660000007</v>
      </c>
      <c r="G262" s="216">
        <f>D262</f>
        <v>0.1101</v>
      </c>
      <c r="H262" s="214">
        <f>IF(AND(C228*12&gt;=150000),C228*C231,C228)</f>
        <v>49457.66</v>
      </c>
      <c r="I262" s="182">
        <f>H262*G262</f>
        <v>5445.2883660000007</v>
      </c>
      <c r="J262" s="86">
        <f>I262-F262</f>
        <v>0</v>
      </c>
      <c r="K262" s="183">
        <f t="shared" si="34"/>
        <v>0</v>
      </c>
    </row>
    <row r="263" spans="2:11" ht="15" thickBot="1" x14ac:dyDescent="0.35">
      <c r="B263" s="114" t="s">
        <v>214</v>
      </c>
      <c r="C263" s="177"/>
      <c r="D263" s="215">
        <v>0.1101</v>
      </c>
      <c r="E263" s="212">
        <f>IF(AND(C228*12&gt;=150000),C228*C230,C228)</f>
        <v>49457.66</v>
      </c>
      <c r="F263" s="210">
        <f>E263*D263</f>
        <v>5445.2883660000007</v>
      </c>
      <c r="G263" s="216">
        <f>D263</f>
        <v>0.1101</v>
      </c>
      <c r="H263" s="214">
        <f>IF(AND(C228*12&gt;=150000),C228*C231,C228)</f>
        <v>49457.66</v>
      </c>
      <c r="I263" s="182">
        <f>H263*G263</f>
        <v>5445.2883660000007</v>
      </c>
      <c r="J263" s="86">
        <f>I263-F263</f>
        <v>0</v>
      </c>
      <c r="K263" s="183">
        <f t="shared" si="34"/>
        <v>0</v>
      </c>
    </row>
    <row r="264" spans="2:11" ht="15" hidden="1" thickBot="1" x14ac:dyDescent="0.35">
      <c r="B264" s="217"/>
      <c r="C264" s="218"/>
      <c r="D264" s="219"/>
      <c r="E264" s="220"/>
      <c r="F264" s="221"/>
      <c r="G264" s="219"/>
      <c r="H264" s="222"/>
      <c r="I264" s="221"/>
      <c r="J264" s="223"/>
      <c r="K264" s="224"/>
    </row>
    <row r="265" spans="2:11" hidden="1" x14ac:dyDescent="0.3">
      <c r="B265" s="125" t="s">
        <v>207</v>
      </c>
      <c r="C265" s="114"/>
      <c r="D265" s="126"/>
      <c r="E265" s="127"/>
      <c r="F265" s="128">
        <f>SUM(F255:F261,F254)</f>
        <v>5964.749675</v>
      </c>
      <c r="G265" s="129"/>
      <c r="H265" s="129"/>
      <c r="I265" s="128">
        <f>SUM(I255:I261,I254)</f>
        <v>5964.749675</v>
      </c>
      <c r="J265" s="130">
        <f>I265-F265</f>
        <v>0</v>
      </c>
      <c r="K265" s="131">
        <f>IF((F265)=0,"",(J265/F265))</f>
        <v>0</v>
      </c>
    </row>
    <row r="266" spans="2:11" hidden="1" x14ac:dyDescent="0.3">
      <c r="B266" s="132" t="s">
        <v>208</v>
      </c>
      <c r="C266" s="114"/>
      <c r="D266" s="126">
        <v>0.13</v>
      </c>
      <c r="E266" s="133"/>
      <c r="F266" s="134">
        <f>F265*D266</f>
        <v>775.41745775000004</v>
      </c>
      <c r="G266" s="135">
        <v>0.13</v>
      </c>
      <c r="H266" s="82"/>
      <c r="I266" s="134">
        <f>I265*G266</f>
        <v>775.41745775000004</v>
      </c>
      <c r="J266" s="86">
        <f>I266-F266</f>
        <v>0</v>
      </c>
      <c r="K266" s="136">
        <f>IF((F266)=0,"",(J266/F266))</f>
        <v>0</v>
      </c>
    </row>
    <row r="267" spans="2:11" hidden="1" x14ac:dyDescent="0.3">
      <c r="B267" s="132" t="s">
        <v>209</v>
      </c>
      <c r="C267" s="114"/>
      <c r="D267" s="126">
        <v>0.08</v>
      </c>
      <c r="E267" s="133"/>
      <c r="F267" s="134">
        <v>0</v>
      </c>
      <c r="G267" s="126">
        <v>0.08</v>
      </c>
      <c r="H267" s="82"/>
      <c r="I267" s="134">
        <v>0</v>
      </c>
      <c r="J267" s="86">
        <f>I267-F267</f>
        <v>0</v>
      </c>
      <c r="K267" s="136"/>
    </row>
    <row r="268" spans="2:11" ht="15" hidden="1" thickBot="1" x14ac:dyDescent="0.35">
      <c r="B268" s="328" t="s">
        <v>210</v>
      </c>
      <c r="C268" s="328"/>
      <c r="D268" s="225"/>
      <c r="E268" s="226"/>
      <c r="F268" s="227">
        <f>F265+F266+F267</f>
        <v>6740.1671327499998</v>
      </c>
      <c r="G268" s="228"/>
      <c r="H268" s="228"/>
      <c r="I268" s="229">
        <f>I265+I266+I267</f>
        <v>6740.1671327499998</v>
      </c>
      <c r="J268" s="230">
        <f>I268-F268</f>
        <v>0</v>
      </c>
      <c r="K268" s="231">
        <f>IF((F268)=0,"",(J268/F268))</f>
        <v>0</v>
      </c>
    </row>
    <row r="269" spans="2:11" ht="15" hidden="1" thickBot="1" x14ac:dyDescent="0.35">
      <c r="B269" s="217"/>
      <c r="C269" s="218"/>
      <c r="D269" s="219"/>
      <c r="E269" s="220"/>
      <c r="F269" s="221"/>
      <c r="G269" s="219"/>
      <c r="H269" s="222"/>
      <c r="I269" s="221"/>
      <c r="J269" s="223"/>
      <c r="K269" s="224"/>
    </row>
    <row r="270" spans="2:11" hidden="1" x14ac:dyDescent="0.3">
      <c r="B270" s="125" t="s">
        <v>251</v>
      </c>
      <c r="C270" s="114"/>
      <c r="D270" s="126"/>
      <c r="E270" s="127"/>
      <c r="F270" s="128">
        <f>SUM(F262,F255:F258,F254)</f>
        <v>7337.1997400000009</v>
      </c>
      <c r="G270" s="129"/>
      <c r="H270" s="129"/>
      <c r="I270" s="128">
        <f>SUM(I262,I255:I258,I254)</f>
        <v>7337.1997400000009</v>
      </c>
      <c r="J270" s="130">
        <f>I270-F270</f>
        <v>0</v>
      </c>
      <c r="K270" s="131">
        <f>IF((F270)=0,"",(J270/F270))</f>
        <v>0</v>
      </c>
    </row>
    <row r="271" spans="2:11" hidden="1" x14ac:dyDescent="0.3">
      <c r="B271" s="132" t="s">
        <v>208</v>
      </c>
      <c r="C271" s="114"/>
      <c r="D271" s="126">
        <v>0.13</v>
      </c>
      <c r="E271" s="127"/>
      <c r="F271" s="134">
        <f>F270*D271</f>
        <v>953.83596620000014</v>
      </c>
      <c r="G271" s="126">
        <v>0.13</v>
      </c>
      <c r="H271" s="135"/>
      <c r="I271" s="134">
        <f>I270*G271</f>
        <v>953.83596620000014</v>
      </c>
      <c r="J271" s="86">
        <f>I271-F271</f>
        <v>0</v>
      </c>
      <c r="K271" s="136">
        <f>IF((F271)=0,"",(J271/F271))</f>
        <v>0</v>
      </c>
    </row>
    <row r="272" spans="2:11" hidden="1" x14ac:dyDescent="0.3">
      <c r="B272" s="132" t="s">
        <v>209</v>
      </c>
      <c r="C272" s="114"/>
      <c r="D272" s="126">
        <v>0.08</v>
      </c>
      <c r="E272" s="127"/>
      <c r="F272" s="134">
        <v>0</v>
      </c>
      <c r="G272" s="126">
        <v>0.08</v>
      </c>
      <c r="H272" s="135"/>
      <c r="I272" s="134">
        <v>0</v>
      </c>
      <c r="J272" s="86"/>
      <c r="K272" s="136"/>
    </row>
    <row r="273" spans="2:11" ht="15" hidden="1" thickBot="1" x14ac:dyDescent="0.35">
      <c r="B273" s="328" t="s">
        <v>251</v>
      </c>
      <c r="C273" s="328"/>
      <c r="D273" s="232"/>
      <c r="E273" s="233"/>
      <c r="F273" s="227">
        <f>SUM(F270,F271)</f>
        <v>8291.0357062000003</v>
      </c>
      <c r="G273" s="234"/>
      <c r="H273" s="234"/>
      <c r="I273" s="227">
        <f>SUM(I270,I271)</f>
        <v>8291.0357062000003</v>
      </c>
      <c r="J273" s="235">
        <f>I273-F273</f>
        <v>0</v>
      </c>
      <c r="K273" s="236">
        <f>IF((F273)=0,"",(J273/F273))</f>
        <v>0</v>
      </c>
    </row>
    <row r="274" spans="2:11" ht="15" thickBot="1" x14ac:dyDescent="0.35">
      <c r="B274" s="217"/>
      <c r="C274" s="218"/>
      <c r="D274" s="237"/>
      <c r="E274" s="238"/>
      <c r="F274" s="239"/>
      <c r="G274" s="237"/>
      <c r="H274" s="220"/>
      <c r="I274" s="239"/>
      <c r="J274" s="240"/>
      <c r="K274" s="224"/>
    </row>
    <row r="275" spans="2:11" x14ac:dyDescent="0.3">
      <c r="B275" s="125" t="s">
        <v>215</v>
      </c>
      <c r="C275" s="114"/>
      <c r="D275" s="126"/>
      <c r="E275" s="127"/>
      <c r="F275" s="128">
        <f>SUM(F263,F255:F258,F254)</f>
        <v>7337.1997400000009</v>
      </c>
      <c r="G275" s="129"/>
      <c r="H275" s="129"/>
      <c r="I275" s="128">
        <f>SUM(I263,I255:I258,I254)</f>
        <v>7337.1997400000009</v>
      </c>
      <c r="J275" s="130">
        <f>I275-F275</f>
        <v>0</v>
      </c>
      <c r="K275" s="131">
        <f>IF((F275)=0,"",(J275/F275))</f>
        <v>0</v>
      </c>
    </row>
    <row r="276" spans="2:11" x14ac:dyDescent="0.3">
      <c r="B276" s="132" t="s">
        <v>208</v>
      </c>
      <c r="C276" s="114"/>
      <c r="D276" s="126">
        <v>0.13</v>
      </c>
      <c r="E276" s="127"/>
      <c r="F276" s="134">
        <f>F275*D276</f>
        <v>953.83596620000014</v>
      </c>
      <c r="G276" s="126">
        <v>0.13</v>
      </c>
      <c r="H276" s="135"/>
      <c r="I276" s="134">
        <f>I275*G276</f>
        <v>953.83596620000014</v>
      </c>
      <c r="J276" s="86">
        <f>I276-F276</f>
        <v>0</v>
      </c>
      <c r="K276" s="136">
        <f>IF((F276)=0,"",(J276/F276))</f>
        <v>0</v>
      </c>
    </row>
    <row r="277" spans="2:11" x14ac:dyDescent="0.3">
      <c r="B277" s="132" t="s">
        <v>209</v>
      </c>
      <c r="C277" s="114"/>
      <c r="D277" s="126">
        <v>0.08</v>
      </c>
      <c r="E277" s="127"/>
      <c r="F277" s="134">
        <v>0</v>
      </c>
      <c r="G277" s="126">
        <v>0.08</v>
      </c>
      <c r="H277" s="135"/>
      <c r="I277" s="134">
        <v>0</v>
      </c>
      <c r="J277" s="86"/>
      <c r="K277" s="136"/>
    </row>
    <row r="278" spans="2:11" ht="15" thickBot="1" x14ac:dyDescent="0.35">
      <c r="B278" s="328" t="s">
        <v>215</v>
      </c>
      <c r="C278" s="328"/>
      <c r="D278" s="232"/>
      <c r="E278" s="233"/>
      <c r="F278" s="227">
        <f>SUM(F275,F276)</f>
        <v>8291.0357062000003</v>
      </c>
      <c r="G278" s="234"/>
      <c r="H278" s="234"/>
      <c r="I278" s="227">
        <f>SUM(I275,I276)</f>
        <v>8291.0357062000003</v>
      </c>
      <c r="J278" s="235">
        <f>I278-F278</f>
        <v>0</v>
      </c>
      <c r="K278" s="236">
        <f>IF((F278)=0,"",(J278/F278))</f>
        <v>0</v>
      </c>
    </row>
    <row r="279" spans="2:11" ht="15" thickBot="1" x14ac:dyDescent="0.35">
      <c r="B279" s="217"/>
      <c r="C279" s="218"/>
      <c r="D279" s="237"/>
      <c r="E279" s="238"/>
      <c r="F279" s="239"/>
      <c r="G279" s="237"/>
      <c r="H279" s="220"/>
      <c r="I279" s="239"/>
      <c r="J279" s="240"/>
      <c r="K279" s="224"/>
    </row>
    <row r="280" spans="2:11" x14ac:dyDescent="0.3">
      <c r="B280" s="63"/>
      <c r="C280" s="63"/>
      <c r="D280" s="63"/>
      <c r="E280" s="63"/>
      <c r="F280" s="63"/>
      <c r="G280" s="63"/>
      <c r="H280" s="63"/>
      <c r="I280" s="63"/>
      <c r="J280" s="63"/>
      <c r="K280" s="63"/>
    </row>
    <row r="281" spans="2:11" x14ac:dyDescent="0.3">
      <c r="B281" s="63"/>
      <c r="C281" s="63"/>
      <c r="D281" s="63"/>
      <c r="E281" s="63"/>
      <c r="F281" s="63"/>
      <c r="G281" s="63"/>
      <c r="H281" s="63"/>
      <c r="I281" s="63"/>
      <c r="J281" s="63"/>
      <c r="K281" s="63"/>
    </row>
    <row r="282" spans="2:11" x14ac:dyDescent="0.3">
      <c r="B282" s="64" t="s">
        <v>168</v>
      </c>
      <c r="C282" s="330" t="s">
        <v>51</v>
      </c>
      <c r="D282" s="330"/>
      <c r="E282" s="330"/>
      <c r="F282" s="330"/>
      <c r="G282" s="330"/>
      <c r="H282" s="330"/>
      <c r="I282" s="63"/>
      <c r="J282" s="63"/>
      <c r="K282" s="63"/>
    </row>
    <row r="283" spans="2:11" x14ac:dyDescent="0.3">
      <c r="B283" s="64" t="s">
        <v>169</v>
      </c>
      <c r="C283" s="329" t="s">
        <v>170</v>
      </c>
      <c r="D283" s="329"/>
      <c r="E283" s="329"/>
      <c r="F283" s="173"/>
      <c r="G283" s="173"/>
      <c r="H283" s="63"/>
      <c r="I283" s="63"/>
      <c r="J283" s="63"/>
      <c r="K283" s="63"/>
    </row>
    <row r="284" spans="2:11" ht="15.6" x14ac:dyDescent="0.3">
      <c r="B284" s="64" t="s">
        <v>171</v>
      </c>
      <c r="C284" s="174">
        <v>281</v>
      </c>
      <c r="D284" s="67" t="s">
        <v>1</v>
      </c>
      <c r="E284" s="63"/>
      <c r="F284" s="63"/>
      <c r="G284" s="63"/>
      <c r="H284" s="175"/>
      <c r="I284" s="175"/>
      <c r="J284" s="175"/>
      <c r="K284" s="175"/>
    </row>
    <row r="285" spans="2:11" ht="15.6" x14ac:dyDescent="0.3">
      <c r="B285" s="64" t="s">
        <v>172</v>
      </c>
      <c r="C285" s="174">
        <v>0</v>
      </c>
      <c r="D285" s="69" t="s">
        <v>2</v>
      </c>
      <c r="E285" s="70"/>
      <c r="F285" s="71"/>
      <c r="G285" s="71"/>
      <c r="H285" s="71"/>
      <c r="I285" s="63"/>
      <c r="J285" s="63"/>
      <c r="K285" s="63"/>
    </row>
    <row r="286" spans="2:11" x14ac:dyDescent="0.3">
      <c r="B286" s="64" t="s">
        <v>173</v>
      </c>
      <c r="C286" s="176">
        <f>$C$6</f>
        <v>1.0682</v>
      </c>
      <c r="D286" s="63"/>
      <c r="E286" s="63"/>
      <c r="F286" s="63"/>
      <c r="G286" s="63"/>
      <c r="H286" s="63"/>
      <c r="I286" s="63"/>
      <c r="J286" s="63"/>
      <c r="K286" s="63"/>
    </row>
    <row r="287" spans="2:11" x14ac:dyDescent="0.3">
      <c r="B287" s="64" t="s">
        <v>174</v>
      </c>
      <c r="C287" s="176">
        <f>$C$7</f>
        <v>1.0682</v>
      </c>
      <c r="D287" s="63"/>
      <c r="E287" s="63"/>
      <c r="F287" s="63"/>
      <c r="G287" s="63"/>
      <c r="H287" s="63"/>
      <c r="I287" s="63"/>
      <c r="J287" s="63"/>
      <c r="K287" s="63"/>
    </row>
    <row r="288" spans="2:11" x14ac:dyDescent="0.3">
      <c r="B288" s="63"/>
      <c r="C288" s="63"/>
      <c r="D288" s="63"/>
      <c r="E288" s="63"/>
      <c r="F288" s="63"/>
      <c r="G288" s="63"/>
      <c r="H288" s="63"/>
      <c r="I288" s="63"/>
      <c r="J288" s="63"/>
      <c r="K288" s="63"/>
    </row>
    <row r="289" spans="2:11" x14ac:dyDescent="0.3">
      <c r="B289" s="63"/>
      <c r="C289" s="67"/>
      <c r="D289" s="304" t="s">
        <v>175</v>
      </c>
      <c r="E289" s="305"/>
      <c r="F289" s="306"/>
      <c r="G289" s="304" t="s">
        <v>176</v>
      </c>
      <c r="H289" s="305"/>
      <c r="I289" s="306"/>
      <c r="J289" s="304" t="s">
        <v>177</v>
      </c>
      <c r="K289" s="306"/>
    </row>
    <row r="290" spans="2:11" x14ac:dyDescent="0.3">
      <c r="B290" s="63"/>
      <c r="C290" s="320"/>
      <c r="D290" s="73" t="s">
        <v>178</v>
      </c>
      <c r="E290" s="73" t="s">
        <v>179</v>
      </c>
      <c r="F290" s="74" t="s">
        <v>180</v>
      </c>
      <c r="G290" s="73" t="s">
        <v>178</v>
      </c>
      <c r="H290" s="75" t="s">
        <v>179</v>
      </c>
      <c r="I290" s="74" t="s">
        <v>180</v>
      </c>
      <c r="J290" s="316" t="s">
        <v>181</v>
      </c>
      <c r="K290" s="318" t="s">
        <v>182</v>
      </c>
    </row>
    <row r="291" spans="2:11" x14ac:dyDescent="0.3">
      <c r="B291" s="63"/>
      <c r="C291" s="321"/>
      <c r="D291" s="76" t="s">
        <v>183</v>
      </c>
      <c r="E291" s="76"/>
      <c r="F291" s="77" t="s">
        <v>183</v>
      </c>
      <c r="G291" s="76" t="s">
        <v>183</v>
      </c>
      <c r="H291" s="77"/>
      <c r="I291" s="77" t="s">
        <v>183</v>
      </c>
      <c r="J291" s="317"/>
      <c r="K291" s="319"/>
    </row>
    <row r="292" spans="2:11" x14ac:dyDescent="0.3">
      <c r="B292" s="79" t="s">
        <v>184</v>
      </c>
      <c r="C292" s="177"/>
      <c r="D292" s="178">
        <v>30.94</v>
      </c>
      <c r="E292" s="82">
        <v>1</v>
      </c>
      <c r="F292" s="179">
        <f>E292*D292</f>
        <v>30.94</v>
      </c>
      <c r="G292" s="180">
        <f>D292</f>
        <v>30.94</v>
      </c>
      <c r="H292" s="181">
        <f>E292</f>
        <v>1</v>
      </c>
      <c r="I292" s="182">
        <f>H292*G292</f>
        <v>30.94</v>
      </c>
      <c r="J292" s="86">
        <f t="shared" ref="J292:J312" si="35">I292-F292</f>
        <v>0</v>
      </c>
      <c r="K292" s="183">
        <f>IF(ISERROR(J292/F292), "", J292/F292)</f>
        <v>0</v>
      </c>
    </row>
    <row r="293" spans="2:11" x14ac:dyDescent="0.3">
      <c r="B293" s="79" t="s">
        <v>79</v>
      </c>
      <c r="C293" s="177"/>
      <c r="D293" s="184">
        <v>0</v>
      </c>
      <c r="E293" s="82">
        <f>IF($C285&gt;0, $C285, $C284)</f>
        <v>281</v>
      </c>
      <c r="F293" s="179">
        <f t="shared" ref="F293:F305" si="36">E293*D293</f>
        <v>0</v>
      </c>
      <c r="G293" s="185">
        <v>0</v>
      </c>
      <c r="H293" s="181">
        <f>IF($C285&gt;0, $C285, $C284)</f>
        <v>281</v>
      </c>
      <c r="I293" s="182">
        <f>H293*G293</f>
        <v>0</v>
      </c>
      <c r="J293" s="86">
        <f t="shared" si="35"/>
        <v>0</v>
      </c>
      <c r="K293" s="183" t="str">
        <f t="shared" ref="K293:K303" si="37">IF(ISERROR(J293/F293), "", J293/F293)</f>
        <v/>
      </c>
    </row>
    <row r="294" spans="2:11" hidden="1" x14ac:dyDescent="0.3">
      <c r="B294" s="79" t="s">
        <v>247</v>
      </c>
      <c r="C294" s="177"/>
      <c r="D294" s="184"/>
      <c r="E294" s="82">
        <f>IF($C285&gt;0, $C285, $C284)</f>
        <v>281</v>
      </c>
      <c r="F294" s="179">
        <v>0</v>
      </c>
      <c r="G294" s="185"/>
      <c r="H294" s="181">
        <f>IF($C285&gt;0, $C285, $C284)</f>
        <v>281</v>
      </c>
      <c r="I294" s="182">
        <v>0</v>
      </c>
      <c r="J294" s="86"/>
      <c r="K294" s="183"/>
    </row>
    <row r="295" spans="2:11" hidden="1" x14ac:dyDescent="0.3">
      <c r="B295" s="79" t="s">
        <v>248</v>
      </c>
      <c r="C295" s="177"/>
      <c r="D295" s="184"/>
      <c r="E295" s="82">
        <f>IF($C285&gt;0, $C285, $C284)</f>
        <v>281</v>
      </c>
      <c r="F295" s="179">
        <v>0</v>
      </c>
      <c r="G295" s="185"/>
      <c r="H295" s="186">
        <f>IF($C285&gt;0, $C285, $C284)</f>
        <v>281</v>
      </c>
      <c r="I295" s="182">
        <v>0</v>
      </c>
      <c r="J295" s="86">
        <f>I295-F295</f>
        <v>0</v>
      </c>
      <c r="K295" s="183" t="str">
        <f>IF(ISERROR(J295/F295), "", J295/F295)</f>
        <v/>
      </c>
    </row>
    <row r="296" spans="2:11" x14ac:dyDescent="0.3">
      <c r="B296" s="79" t="s">
        <v>185</v>
      </c>
      <c r="C296" s="177"/>
      <c r="D296" s="178">
        <v>0</v>
      </c>
      <c r="E296" s="82">
        <v>1</v>
      </c>
      <c r="F296" s="179">
        <f t="shared" si="36"/>
        <v>0</v>
      </c>
      <c r="G296" s="180">
        <v>0</v>
      </c>
      <c r="H296" s="181">
        <f>E296</f>
        <v>1</v>
      </c>
      <c r="I296" s="182">
        <f t="shared" ref="I296:I303" si="38">H296*G296</f>
        <v>0</v>
      </c>
      <c r="J296" s="86">
        <f t="shared" si="35"/>
        <v>0</v>
      </c>
      <c r="K296" s="183" t="str">
        <f t="shared" si="37"/>
        <v/>
      </c>
    </row>
    <row r="297" spans="2:11" x14ac:dyDescent="0.3">
      <c r="B297" s="79" t="s">
        <v>186</v>
      </c>
      <c r="C297" s="177"/>
      <c r="D297" s="184">
        <v>1.1999999999999999E-3</v>
      </c>
      <c r="E297" s="82">
        <f>IF($C285&gt;0, $C285, $C284)</f>
        <v>281</v>
      </c>
      <c r="F297" s="179">
        <f t="shared" si="36"/>
        <v>0.33719999999999994</v>
      </c>
      <c r="G297" s="185">
        <v>1.1999999999999999E-3</v>
      </c>
      <c r="H297" s="181">
        <f>IF($C285&gt;0, $C285, $C284)</f>
        <v>281</v>
      </c>
      <c r="I297" s="182">
        <f t="shared" si="38"/>
        <v>0.33719999999999994</v>
      </c>
      <c r="J297" s="86">
        <f t="shared" si="35"/>
        <v>0</v>
      </c>
      <c r="K297" s="183">
        <f t="shared" si="37"/>
        <v>0</v>
      </c>
    </row>
    <row r="298" spans="2:11" x14ac:dyDescent="0.3">
      <c r="B298" s="187" t="s">
        <v>187</v>
      </c>
      <c r="C298" s="188"/>
      <c r="D298" s="189"/>
      <c r="E298" s="190"/>
      <c r="F298" s="191">
        <f>SUM(F292:F297)</f>
        <v>31.277200000000001</v>
      </c>
      <c r="G298" s="192"/>
      <c r="H298" s="193"/>
      <c r="I298" s="191">
        <f>SUM(I292:I297)</f>
        <v>31.277200000000001</v>
      </c>
      <c r="J298" s="194">
        <f t="shared" si="35"/>
        <v>0</v>
      </c>
      <c r="K298" s="195">
        <f>IF((F298)=0,"",(J298/F298))</f>
        <v>0</v>
      </c>
    </row>
    <row r="299" spans="2:11" x14ac:dyDescent="0.3">
      <c r="B299" s="100" t="s">
        <v>188</v>
      </c>
      <c r="C299" s="177"/>
      <c r="D299" s="184">
        <f>IF((C284*12&gt;=150000), 0, IF(C283="RPP",(D315*0.65+D316*0.17+D317*0.18),IF(C283="Non-RPP (Retailer)",D318,D319)))</f>
        <v>8.2350000000000007E-2</v>
      </c>
      <c r="E299" s="196">
        <f>IF(D299=0, 0, $C284*C286-C284)</f>
        <v>19.164199999999994</v>
      </c>
      <c r="F299" s="179">
        <f>E299*D299</f>
        <v>1.5781718699999996</v>
      </c>
      <c r="G299" s="185">
        <f>IF((C284*12&gt;=150000), 0, IF(C283="RPP",(G315*0.65+G316*0.17+G317*0.18),IF(C283="Non-RPP (Retailer)",G318,G319)))</f>
        <v>8.2350000000000007E-2</v>
      </c>
      <c r="H299" s="197">
        <f>IF(G299=0, 0, C284*C287-C284)</f>
        <v>19.164199999999994</v>
      </c>
      <c r="I299" s="182">
        <f>H299*G299</f>
        <v>1.5781718699999996</v>
      </c>
      <c r="J299" s="86">
        <f>I299-F299</f>
        <v>0</v>
      </c>
      <c r="K299" s="183">
        <f>IF(ISERROR(J299/F299), "", J299/F299)</f>
        <v>0</v>
      </c>
    </row>
    <row r="300" spans="2:11" ht="26.4" x14ac:dyDescent="0.3">
      <c r="B300" s="100" t="s">
        <v>190</v>
      </c>
      <c r="C300" s="177"/>
      <c r="D300" s="184">
        <v>5.9999999999999995E-4</v>
      </c>
      <c r="E300" s="198">
        <f>IF($C285&gt;0, $C285, $C284)</f>
        <v>281</v>
      </c>
      <c r="F300" s="179">
        <f t="shared" si="36"/>
        <v>0.16859999999999997</v>
      </c>
      <c r="G300" s="185">
        <f>D300</f>
        <v>5.9999999999999995E-4</v>
      </c>
      <c r="H300" s="199">
        <f>IF($C285&gt;0, $C285, $C284)</f>
        <v>281</v>
      </c>
      <c r="I300" s="182">
        <f t="shared" si="38"/>
        <v>0.16859999999999997</v>
      </c>
      <c r="J300" s="86">
        <f t="shared" si="35"/>
        <v>0</v>
      </c>
      <c r="K300" s="183">
        <f t="shared" si="37"/>
        <v>0</v>
      </c>
    </row>
    <row r="301" spans="2:11" x14ac:dyDescent="0.3">
      <c r="B301" s="100" t="s">
        <v>191</v>
      </c>
      <c r="C301" s="177"/>
      <c r="D301" s="184">
        <v>0</v>
      </c>
      <c r="E301" s="198">
        <f>IF($C285&gt;0, $C285, $C284)</f>
        <v>281</v>
      </c>
      <c r="F301" s="179">
        <f>E301*D301</f>
        <v>0</v>
      </c>
      <c r="G301" s="185">
        <v>0</v>
      </c>
      <c r="H301" s="199">
        <f>IF($C285&gt;0, $C285, $C284)</f>
        <v>281</v>
      </c>
      <c r="I301" s="182">
        <f>H301*G301</f>
        <v>0</v>
      </c>
      <c r="J301" s="86">
        <f t="shared" si="35"/>
        <v>0</v>
      </c>
      <c r="K301" s="183" t="str">
        <f t="shared" si="37"/>
        <v/>
      </c>
    </row>
    <row r="302" spans="2:11" x14ac:dyDescent="0.3">
      <c r="B302" s="100" t="s">
        <v>192</v>
      </c>
      <c r="C302" s="177"/>
      <c r="D302" s="184">
        <v>0</v>
      </c>
      <c r="E302" s="198">
        <f>C284</f>
        <v>281</v>
      </c>
      <c r="F302" s="179">
        <f>E302*D302</f>
        <v>0</v>
      </c>
      <c r="G302" s="185">
        <f>D302</f>
        <v>0</v>
      </c>
      <c r="H302" s="199">
        <f>C284</f>
        <v>281</v>
      </c>
      <c r="I302" s="182">
        <f t="shared" si="38"/>
        <v>0</v>
      </c>
      <c r="J302" s="86">
        <f t="shared" si="35"/>
        <v>0</v>
      </c>
      <c r="K302" s="183" t="str">
        <f t="shared" si="37"/>
        <v/>
      </c>
    </row>
    <row r="303" spans="2:11" x14ac:dyDescent="0.3">
      <c r="B303" s="79" t="s">
        <v>193</v>
      </c>
      <c r="C303" s="177"/>
      <c r="D303" s="184">
        <v>2E-3</v>
      </c>
      <c r="E303" s="198">
        <f>IF($C285&gt;0, $C285, $C284)</f>
        <v>281</v>
      </c>
      <c r="F303" s="179">
        <f t="shared" si="36"/>
        <v>0.56200000000000006</v>
      </c>
      <c r="G303" s="185">
        <v>2E-3</v>
      </c>
      <c r="H303" s="199">
        <f>IF($C285&gt;0, $C285, $C284)</f>
        <v>281</v>
      </c>
      <c r="I303" s="182">
        <f t="shared" si="38"/>
        <v>0.56200000000000006</v>
      </c>
      <c r="J303" s="86">
        <f t="shared" si="35"/>
        <v>0</v>
      </c>
      <c r="K303" s="183">
        <f t="shared" si="37"/>
        <v>0</v>
      </c>
    </row>
    <row r="304" spans="2:11" x14ac:dyDescent="0.3">
      <c r="B304" s="100" t="s">
        <v>194</v>
      </c>
      <c r="C304" s="177"/>
      <c r="D304" s="200">
        <f>IF(OR(ISNUMBER(SEARCH("RESIDENTIAL", C282))=TRUE, ISNUMBER(SEARCH("GENERAL SERVICE LESS THAN 50", C282))=TRUE), SME, 0)</f>
        <v>0.56999999999999995</v>
      </c>
      <c r="E304" s="82">
        <v>1</v>
      </c>
      <c r="F304" s="179">
        <f>E304*D304</f>
        <v>0.56999999999999995</v>
      </c>
      <c r="G304" s="201">
        <f>IF(OR(ISNUMBER(SEARCH("RESIDENTIAL", C282))=TRUE, ISNUMBER(SEARCH("GENERAL SERVICE LESS THAN 50", C282))=TRUE), SME, 0)</f>
        <v>0.56999999999999995</v>
      </c>
      <c r="H304" s="186">
        <v>1</v>
      </c>
      <c r="I304" s="182">
        <f>H304*G304</f>
        <v>0.56999999999999995</v>
      </c>
      <c r="J304" s="86">
        <f t="shared" si="35"/>
        <v>0</v>
      </c>
      <c r="K304" s="183">
        <f>IF(ISERROR(J304/F304), "", J304/F304)</f>
        <v>0</v>
      </c>
    </row>
    <row r="305" spans="2:11" x14ac:dyDescent="0.3">
      <c r="B305" s="79" t="s">
        <v>195</v>
      </c>
      <c r="C305" s="177"/>
      <c r="D305" s="178">
        <v>0</v>
      </c>
      <c r="E305" s="82">
        <v>1</v>
      </c>
      <c r="F305" s="179">
        <f t="shared" si="36"/>
        <v>0</v>
      </c>
      <c r="G305" s="180">
        <v>0</v>
      </c>
      <c r="H305" s="186">
        <v>1</v>
      </c>
      <c r="I305" s="182">
        <f>H305*G305</f>
        <v>0</v>
      </c>
      <c r="J305" s="86">
        <f>I305-F305</f>
        <v>0</v>
      </c>
      <c r="K305" s="183" t="str">
        <f>IF(ISERROR(J305/F305), "", J305/F305)</f>
        <v/>
      </c>
    </row>
    <row r="306" spans="2:11" x14ac:dyDescent="0.3">
      <c r="B306" s="79" t="s">
        <v>196</v>
      </c>
      <c r="C306" s="177"/>
      <c r="D306" s="184"/>
      <c r="E306" s="198">
        <f>IF($C285&gt;0, $C285, $C284)</f>
        <v>281</v>
      </c>
      <c r="F306" s="179">
        <f>E306*D306</f>
        <v>0</v>
      </c>
      <c r="G306" s="185">
        <v>0</v>
      </c>
      <c r="H306" s="199">
        <f>IF($C285&gt;0, $C285, $C284)</f>
        <v>281</v>
      </c>
      <c r="I306" s="182">
        <f>H306*G306</f>
        <v>0</v>
      </c>
      <c r="J306" s="86">
        <f t="shared" si="35"/>
        <v>0</v>
      </c>
      <c r="K306" s="183" t="str">
        <f>IF(ISERROR(J306/F306), "", J306/F306)</f>
        <v/>
      </c>
    </row>
    <row r="307" spans="2:11" ht="26.4" x14ac:dyDescent="0.3">
      <c r="B307" s="202" t="s">
        <v>197</v>
      </c>
      <c r="C307" s="203"/>
      <c r="D307" s="204"/>
      <c r="E307" s="205"/>
      <c r="F307" s="206">
        <f>SUM(F298:F306)</f>
        <v>34.155971869999995</v>
      </c>
      <c r="G307" s="207"/>
      <c r="H307" s="208"/>
      <c r="I307" s="206">
        <f>SUM(I298:I306)</f>
        <v>34.155971869999995</v>
      </c>
      <c r="J307" s="194">
        <f t="shared" si="35"/>
        <v>0</v>
      </c>
      <c r="K307" s="195">
        <f>IF((F307)=0,"",(J307/F307))</f>
        <v>0</v>
      </c>
    </row>
    <row r="308" spans="2:11" x14ac:dyDescent="0.3">
      <c r="B308" s="111" t="s">
        <v>198</v>
      </c>
      <c r="C308" s="177"/>
      <c r="D308" s="184">
        <v>6.6E-3</v>
      </c>
      <c r="E308" s="196">
        <f>IF($C285&gt;0, $C285, $C284*$C286)</f>
        <v>300.16419999999999</v>
      </c>
      <c r="F308" s="179">
        <f>E308*D308</f>
        <v>1.98108372</v>
      </c>
      <c r="G308" s="209">
        <f>D308</f>
        <v>6.6E-3</v>
      </c>
      <c r="H308" s="197">
        <f>IF($C285&gt;0, $C285, $C284*$C287)</f>
        <v>300.16419999999999</v>
      </c>
      <c r="I308" s="182">
        <f>H308*G308</f>
        <v>1.98108372</v>
      </c>
      <c r="J308" s="86">
        <f t="shared" si="35"/>
        <v>0</v>
      </c>
      <c r="K308" s="183">
        <f>IF(ISERROR(J308/F308), "", J308/F308)</f>
        <v>0</v>
      </c>
    </row>
    <row r="309" spans="2:11" ht="26.4" x14ac:dyDescent="0.3">
      <c r="B309" s="112" t="s">
        <v>199</v>
      </c>
      <c r="C309" s="177"/>
      <c r="D309" s="184">
        <v>5.1999999999999998E-3</v>
      </c>
      <c r="E309" s="196">
        <f>IF($C285&gt;0, $C285, $C284*$C286)</f>
        <v>300.16419999999999</v>
      </c>
      <c r="F309" s="179">
        <f>E309*D309</f>
        <v>1.5608538399999998</v>
      </c>
      <c r="G309" s="209">
        <f>D309</f>
        <v>5.1999999999999998E-3</v>
      </c>
      <c r="H309" s="197">
        <f>IF($C285&gt;0, $C285, $C284*$C287)</f>
        <v>300.16419999999999</v>
      </c>
      <c r="I309" s="182">
        <f>H309*G309</f>
        <v>1.5608538399999998</v>
      </c>
      <c r="J309" s="86">
        <f t="shared" si="35"/>
        <v>0</v>
      </c>
      <c r="K309" s="183">
        <f>IF(ISERROR(J309/F309), "", J309/F309)</f>
        <v>0</v>
      </c>
    </row>
    <row r="310" spans="2:11" ht="26.4" x14ac:dyDescent="0.3">
      <c r="B310" s="202" t="s">
        <v>200</v>
      </c>
      <c r="C310" s="188"/>
      <c r="D310" s="204"/>
      <c r="E310" s="205"/>
      <c r="F310" s="206">
        <f>SUM(F307:F309)</f>
        <v>37.697909429999996</v>
      </c>
      <c r="G310" s="207"/>
      <c r="H310" s="193"/>
      <c r="I310" s="206">
        <f>SUM(I307:I309)</f>
        <v>37.697909429999996</v>
      </c>
      <c r="J310" s="194">
        <f t="shared" si="35"/>
        <v>0</v>
      </c>
      <c r="K310" s="195">
        <f>IF((F310)=0,"",(J310/F310))</f>
        <v>0</v>
      </c>
    </row>
    <row r="311" spans="2:11" ht="26.4" x14ac:dyDescent="0.3">
      <c r="B311" s="113" t="s">
        <v>201</v>
      </c>
      <c r="C311" s="177"/>
      <c r="D311" s="184">
        <v>3.4000000000000002E-3</v>
      </c>
      <c r="E311" s="196">
        <f>C284*C286</f>
        <v>300.16419999999999</v>
      </c>
      <c r="F311" s="210">
        <f t="shared" ref="F311:F317" si="39">E311*D311</f>
        <v>1.0205582800000002</v>
      </c>
      <c r="G311" s="185">
        <f>'[1]17. Regulatory Charges'!$E$15+'[1]17. Regulatory Charges'!$E$16</f>
        <v>3.4000000000000002E-3</v>
      </c>
      <c r="H311" s="197">
        <f>C284*C287</f>
        <v>300.16419999999999</v>
      </c>
      <c r="I311" s="182">
        <f t="shared" ref="I311:I317" si="40">H311*G311</f>
        <v>1.0205582800000002</v>
      </c>
      <c r="J311" s="86">
        <f t="shared" si="35"/>
        <v>0</v>
      </c>
      <c r="K311" s="183">
        <f t="shared" ref="K311:K319" si="41">IF(ISERROR(J311/F311), "", J311/F311)</f>
        <v>0</v>
      </c>
    </row>
    <row r="312" spans="2:11" ht="26.4" x14ac:dyDescent="0.3">
      <c r="B312" s="113" t="s">
        <v>202</v>
      </c>
      <c r="C312" s="177"/>
      <c r="D312" s="184">
        <v>5.0000000000000001E-4</v>
      </c>
      <c r="E312" s="196">
        <f>C284*C286</f>
        <v>300.16419999999999</v>
      </c>
      <c r="F312" s="210">
        <f t="shared" si="39"/>
        <v>0.1500821</v>
      </c>
      <c r="G312" s="185">
        <f>'[1]17. Regulatory Charges'!$E$17</f>
        <v>5.0000000000000001E-4</v>
      </c>
      <c r="H312" s="197">
        <f>C284*C287</f>
        <v>300.16419999999999</v>
      </c>
      <c r="I312" s="182">
        <f t="shared" si="40"/>
        <v>0.1500821</v>
      </c>
      <c r="J312" s="86">
        <f t="shared" si="35"/>
        <v>0</v>
      </c>
      <c r="K312" s="183">
        <f t="shared" si="41"/>
        <v>0</v>
      </c>
    </row>
    <row r="313" spans="2:11" x14ac:dyDescent="0.3">
      <c r="B313" s="114" t="s">
        <v>203</v>
      </c>
      <c r="C313" s="80"/>
      <c r="D313" s="241">
        <v>0.25</v>
      </c>
      <c r="E313" s="82">
        <v>1</v>
      </c>
      <c r="F313" s="210">
        <f t="shared" si="39"/>
        <v>0.25</v>
      </c>
      <c r="G313" s="242">
        <f>D313</f>
        <v>0.25</v>
      </c>
      <c r="H313" s="181">
        <v>1</v>
      </c>
      <c r="I313" s="182">
        <f t="shared" si="40"/>
        <v>0.25</v>
      </c>
      <c r="J313" s="86"/>
      <c r="K313" s="87"/>
    </row>
    <row r="314" spans="2:11" ht="26.4" hidden="1" x14ac:dyDescent="0.3">
      <c r="B314" s="113" t="s">
        <v>249</v>
      </c>
      <c r="C314" s="177"/>
      <c r="D314" s="184"/>
      <c r="E314" s="196"/>
      <c r="F314" s="210"/>
      <c r="G314" s="185"/>
      <c r="H314" s="197"/>
      <c r="I314" s="182"/>
      <c r="J314" s="86"/>
      <c r="K314" s="183"/>
    </row>
    <row r="315" spans="2:11" x14ac:dyDescent="0.3">
      <c r="B315" s="114" t="s">
        <v>204</v>
      </c>
      <c r="C315" s="177"/>
      <c r="D315" s="211">
        <f>OffPeak</f>
        <v>6.5000000000000002E-2</v>
      </c>
      <c r="E315" s="212">
        <f>IF(AND(C284*12&gt;=150000),0.65*C284*C286,0.65*C284)</f>
        <v>182.65</v>
      </c>
      <c r="F315" s="210">
        <f t="shared" si="39"/>
        <v>11.872250000000001</v>
      </c>
      <c r="G315" s="213">
        <f>OffPeak</f>
        <v>6.5000000000000002E-2</v>
      </c>
      <c r="H315" s="214">
        <f>IF(AND(C284*12&gt;=150000),0.65*C284*C287,0.65*C284)</f>
        <v>182.65</v>
      </c>
      <c r="I315" s="182">
        <f t="shared" si="40"/>
        <v>11.872250000000001</v>
      </c>
      <c r="J315" s="86">
        <f>I315-F315</f>
        <v>0</v>
      </c>
      <c r="K315" s="183">
        <f t="shared" si="41"/>
        <v>0</v>
      </c>
    </row>
    <row r="316" spans="2:11" x14ac:dyDescent="0.3">
      <c r="B316" s="114" t="s">
        <v>205</v>
      </c>
      <c r="C316" s="177"/>
      <c r="D316" s="211">
        <f>MidPeak</f>
        <v>9.4E-2</v>
      </c>
      <c r="E316" s="212">
        <f>IF(AND(C284*12&gt;=150000),0.17*C284*C286,0.17*C284)</f>
        <v>47.77</v>
      </c>
      <c r="F316" s="210">
        <f t="shared" si="39"/>
        <v>4.49038</v>
      </c>
      <c r="G316" s="213">
        <f>MidPeak</f>
        <v>9.4E-2</v>
      </c>
      <c r="H316" s="214">
        <f>IF(AND(C284*12&gt;=150000),0.17*C284*C287,0.17*C284)</f>
        <v>47.77</v>
      </c>
      <c r="I316" s="182">
        <f t="shared" si="40"/>
        <v>4.49038</v>
      </c>
      <c r="J316" s="86">
        <f>I316-F316</f>
        <v>0</v>
      </c>
      <c r="K316" s="183">
        <f t="shared" si="41"/>
        <v>0</v>
      </c>
    </row>
    <row r="317" spans="2:11" ht="15" thickBot="1" x14ac:dyDescent="0.35">
      <c r="B317" s="63" t="s">
        <v>206</v>
      </c>
      <c r="C317" s="177"/>
      <c r="D317" s="211">
        <f>OnPeak</f>
        <v>0.13400000000000001</v>
      </c>
      <c r="E317" s="212">
        <f>IF(AND(C284*12&gt;=150000),0.18*C284*C286,0.18*C284)</f>
        <v>50.58</v>
      </c>
      <c r="F317" s="210">
        <f t="shared" si="39"/>
        <v>6.7777200000000004</v>
      </c>
      <c r="G317" s="213">
        <f>OnPeak</f>
        <v>0.13400000000000001</v>
      </c>
      <c r="H317" s="214">
        <f>IF(AND(C284*12&gt;=150000),0.18*C284*C287,0.18*C284)</f>
        <v>50.58</v>
      </c>
      <c r="I317" s="182">
        <f t="shared" si="40"/>
        <v>6.7777200000000004</v>
      </c>
      <c r="J317" s="86">
        <f>I317-F317</f>
        <v>0</v>
      </c>
      <c r="K317" s="183">
        <f t="shared" si="41"/>
        <v>0</v>
      </c>
    </row>
    <row r="318" spans="2:11" hidden="1" x14ac:dyDescent="0.3">
      <c r="B318" s="114" t="s">
        <v>250</v>
      </c>
      <c r="C318" s="177"/>
      <c r="D318" s="215">
        <v>0.1101</v>
      </c>
      <c r="E318" s="212">
        <f>IF(AND(C284*12&gt;=150000),C284*C286,C284)</f>
        <v>281</v>
      </c>
      <c r="F318" s="210">
        <f>E318*D318</f>
        <v>30.938100000000002</v>
      </c>
      <c r="G318" s="216">
        <f>D318</f>
        <v>0.1101</v>
      </c>
      <c r="H318" s="214">
        <f>IF(AND(C284*12&gt;=150000),C284*C287,C284)</f>
        <v>281</v>
      </c>
      <c r="I318" s="182">
        <f>H318*G318</f>
        <v>30.938100000000002</v>
      </c>
      <c r="J318" s="86">
        <f>I318-F318</f>
        <v>0</v>
      </c>
      <c r="K318" s="183">
        <f t="shared" si="41"/>
        <v>0</v>
      </c>
    </row>
    <row r="319" spans="2:11" ht="15" hidden="1" thickBot="1" x14ac:dyDescent="0.35">
      <c r="B319" s="114" t="s">
        <v>214</v>
      </c>
      <c r="C319" s="177"/>
      <c r="D319" s="215">
        <v>0.1101</v>
      </c>
      <c r="E319" s="212">
        <f>IF(AND(C284*12&gt;=150000),C284*C286,C284)</f>
        <v>281</v>
      </c>
      <c r="F319" s="210">
        <f>E319*D319</f>
        <v>30.938100000000002</v>
      </c>
      <c r="G319" s="216">
        <f>D319</f>
        <v>0.1101</v>
      </c>
      <c r="H319" s="214">
        <f>IF(AND(C284*12&gt;=150000),C284*C287,C284)</f>
        <v>281</v>
      </c>
      <c r="I319" s="182">
        <f>H319*G319</f>
        <v>30.938100000000002</v>
      </c>
      <c r="J319" s="86">
        <f>I319-F319</f>
        <v>0</v>
      </c>
      <c r="K319" s="183">
        <f t="shared" si="41"/>
        <v>0</v>
      </c>
    </row>
    <row r="320" spans="2:11" ht="15" thickBot="1" x14ac:dyDescent="0.35">
      <c r="B320" s="217"/>
      <c r="C320" s="218"/>
      <c r="D320" s="219"/>
      <c r="E320" s="220"/>
      <c r="F320" s="221"/>
      <c r="G320" s="219"/>
      <c r="H320" s="222"/>
      <c r="I320" s="221"/>
      <c r="J320" s="223"/>
      <c r="K320" s="224"/>
    </row>
    <row r="321" spans="2:11" x14ac:dyDescent="0.3">
      <c r="B321" s="125" t="s">
        <v>207</v>
      </c>
      <c r="C321" s="114"/>
      <c r="D321" s="126"/>
      <c r="E321" s="127"/>
      <c r="F321" s="128">
        <f>SUM(F311:F317,F310)</f>
        <v>62.258899809999996</v>
      </c>
      <c r="G321" s="129"/>
      <c r="H321" s="129"/>
      <c r="I321" s="128">
        <f>SUM(I311:I317,I310)</f>
        <v>62.258899809999996</v>
      </c>
      <c r="J321" s="130">
        <f>I321-F321</f>
        <v>0</v>
      </c>
      <c r="K321" s="131">
        <f>IF((F321)=0,"",(J321/F321))</f>
        <v>0</v>
      </c>
    </row>
    <row r="322" spans="2:11" x14ac:dyDescent="0.3">
      <c r="B322" s="132" t="s">
        <v>208</v>
      </c>
      <c r="C322" s="114"/>
      <c r="D322" s="126">
        <v>0.13</v>
      </c>
      <c r="E322" s="133"/>
      <c r="F322" s="134">
        <f>F321*D322</f>
        <v>8.0936569753000001</v>
      </c>
      <c r="G322" s="135">
        <v>0.13</v>
      </c>
      <c r="H322" s="82"/>
      <c r="I322" s="134">
        <f>I321*G322</f>
        <v>8.0936569753000001</v>
      </c>
      <c r="J322" s="86">
        <f>I322-F322</f>
        <v>0</v>
      </c>
      <c r="K322" s="136">
        <f>IF((F322)=0,"",(J322/F322))</f>
        <v>0</v>
      </c>
    </row>
    <row r="323" spans="2:11" x14ac:dyDescent="0.3">
      <c r="B323" s="132" t="s">
        <v>209</v>
      </c>
      <c r="C323" s="114"/>
      <c r="D323" s="126">
        <v>0.08</v>
      </c>
      <c r="E323" s="133"/>
      <c r="F323" s="134">
        <f>F321*-D323</f>
        <v>-4.9807119848000001</v>
      </c>
      <c r="G323" s="126">
        <v>0.08</v>
      </c>
      <c r="H323" s="82"/>
      <c r="I323" s="134">
        <f>I321*-G323</f>
        <v>-4.9807119848000001</v>
      </c>
      <c r="J323" s="86">
        <f>I323-F323</f>
        <v>0</v>
      </c>
      <c r="K323" s="136"/>
    </row>
    <row r="324" spans="2:11" ht="15" thickBot="1" x14ac:dyDescent="0.35">
      <c r="B324" s="328" t="s">
        <v>210</v>
      </c>
      <c r="C324" s="328"/>
      <c r="D324" s="225"/>
      <c r="E324" s="226"/>
      <c r="F324" s="227">
        <f>F321+F322+F323</f>
        <v>65.3718448005</v>
      </c>
      <c r="G324" s="228"/>
      <c r="H324" s="228"/>
      <c r="I324" s="229">
        <f>I321+I322+I323</f>
        <v>65.3718448005</v>
      </c>
      <c r="J324" s="230">
        <f>I324-F324</f>
        <v>0</v>
      </c>
      <c r="K324" s="231">
        <f>IF((F324)=0,"",(J324/F324))</f>
        <v>0</v>
      </c>
    </row>
    <row r="325" spans="2:11" ht="15" thickBot="1" x14ac:dyDescent="0.35">
      <c r="B325" s="217"/>
      <c r="C325" s="218"/>
      <c r="D325" s="219"/>
      <c r="E325" s="220"/>
      <c r="F325" s="221"/>
      <c r="G325" s="219"/>
      <c r="H325" s="222"/>
      <c r="I325" s="221"/>
      <c r="J325" s="223"/>
      <c r="K325" s="224"/>
    </row>
    <row r="326" spans="2:11" hidden="1" x14ac:dyDescent="0.3">
      <c r="B326" s="125" t="s">
        <v>251</v>
      </c>
      <c r="C326" s="114"/>
      <c r="D326" s="126"/>
      <c r="E326" s="127"/>
      <c r="F326" s="128">
        <f>SUM(F318,F311:F314,F310)</f>
        <v>70.056649809999996</v>
      </c>
      <c r="G326" s="129"/>
      <c r="H326" s="129"/>
      <c r="I326" s="128">
        <f>SUM(I318,I311:I314,I310)</f>
        <v>70.056649809999996</v>
      </c>
      <c r="J326" s="130">
        <f>I326-F326</f>
        <v>0</v>
      </c>
      <c r="K326" s="131">
        <f>IF((F326)=0,"",(J326/F326))</f>
        <v>0</v>
      </c>
    </row>
    <row r="327" spans="2:11" hidden="1" x14ac:dyDescent="0.3">
      <c r="B327" s="132" t="s">
        <v>208</v>
      </c>
      <c r="C327" s="114"/>
      <c r="D327" s="126">
        <v>0.13</v>
      </c>
      <c r="E327" s="127"/>
      <c r="F327" s="134">
        <f>F326*D327</f>
        <v>9.1073644752999989</v>
      </c>
      <c r="G327" s="126">
        <v>0.13</v>
      </c>
      <c r="H327" s="135"/>
      <c r="I327" s="134">
        <f>I326*G327</f>
        <v>9.1073644752999989</v>
      </c>
      <c r="J327" s="86">
        <f>I327-F327</f>
        <v>0</v>
      </c>
      <c r="K327" s="136">
        <f>IF((F327)=0,"",(J327/F327))</f>
        <v>0</v>
      </c>
    </row>
    <row r="328" spans="2:11" hidden="1" x14ac:dyDescent="0.3">
      <c r="B328" s="132" t="s">
        <v>209</v>
      </c>
      <c r="C328" s="114"/>
      <c r="D328" s="126">
        <v>0.08</v>
      </c>
      <c r="E328" s="127"/>
      <c r="F328" s="134"/>
      <c r="G328" s="126">
        <v>0.08</v>
      </c>
      <c r="H328" s="135"/>
      <c r="I328" s="134"/>
      <c r="J328" s="86"/>
      <c r="K328" s="136"/>
    </row>
    <row r="329" spans="2:11" ht="15" hidden="1" thickBot="1" x14ac:dyDescent="0.35">
      <c r="B329" s="328" t="s">
        <v>251</v>
      </c>
      <c r="C329" s="328"/>
      <c r="D329" s="232"/>
      <c r="E329" s="233"/>
      <c r="F329" s="227">
        <f>SUM(F326,F327)</f>
        <v>79.164014285299999</v>
      </c>
      <c r="G329" s="234"/>
      <c r="H329" s="234"/>
      <c r="I329" s="227">
        <f>SUM(I326,I327)</f>
        <v>79.164014285299999</v>
      </c>
      <c r="J329" s="235">
        <f>I329-F329</f>
        <v>0</v>
      </c>
      <c r="K329" s="236">
        <f>IF((F329)=0,"",(J329/F329))</f>
        <v>0</v>
      </c>
    </row>
    <row r="330" spans="2:11" ht="15" hidden="1" thickBot="1" x14ac:dyDescent="0.35">
      <c r="B330" s="217"/>
      <c r="C330" s="218"/>
      <c r="D330" s="237"/>
      <c r="E330" s="238"/>
      <c r="F330" s="239"/>
      <c r="G330" s="237"/>
      <c r="H330" s="220"/>
      <c r="I330" s="239"/>
      <c r="J330" s="240"/>
      <c r="K330" s="224"/>
    </row>
    <row r="331" spans="2:11" hidden="1" x14ac:dyDescent="0.3">
      <c r="B331" s="125" t="s">
        <v>215</v>
      </c>
      <c r="C331" s="114"/>
      <c r="D331" s="126"/>
      <c r="E331" s="127"/>
      <c r="F331" s="128">
        <f>SUM(F319,F311:F314,F310)</f>
        <v>70.056649809999996</v>
      </c>
      <c r="G331" s="129"/>
      <c r="H331" s="129"/>
      <c r="I331" s="128">
        <f>SUM(I319,I311:I314,I310)</f>
        <v>70.056649809999996</v>
      </c>
      <c r="J331" s="130">
        <f>I331-F331</f>
        <v>0</v>
      </c>
      <c r="K331" s="131">
        <f>IF((F331)=0,"",(J331/F331))</f>
        <v>0</v>
      </c>
    </row>
    <row r="332" spans="2:11" hidden="1" x14ac:dyDescent="0.3">
      <c r="B332" s="132" t="s">
        <v>208</v>
      </c>
      <c r="C332" s="114"/>
      <c r="D332" s="126">
        <v>0.13</v>
      </c>
      <c r="E332" s="127"/>
      <c r="F332" s="134">
        <f>F331*D332</f>
        <v>9.1073644752999989</v>
      </c>
      <c r="G332" s="126">
        <v>0.13</v>
      </c>
      <c r="H332" s="135"/>
      <c r="I332" s="134">
        <f>I331*G332</f>
        <v>9.1073644752999989</v>
      </c>
      <c r="J332" s="86">
        <f>I332-F332</f>
        <v>0</v>
      </c>
      <c r="K332" s="136">
        <f>IF((F332)=0,"",(J332/F332))</f>
        <v>0</v>
      </c>
    </row>
    <row r="333" spans="2:11" hidden="1" x14ac:dyDescent="0.3">
      <c r="B333" s="132" t="s">
        <v>209</v>
      </c>
      <c r="C333" s="114"/>
      <c r="D333" s="126">
        <v>0.08</v>
      </c>
      <c r="E333" s="127"/>
      <c r="F333" s="134"/>
      <c r="G333" s="126">
        <v>0.08</v>
      </c>
      <c r="H333" s="135"/>
      <c r="I333" s="134"/>
      <c r="J333" s="86"/>
      <c r="K333" s="136"/>
    </row>
    <row r="334" spans="2:11" ht="15" hidden="1" thickBot="1" x14ac:dyDescent="0.35">
      <c r="B334" s="328" t="s">
        <v>215</v>
      </c>
      <c r="C334" s="328"/>
      <c r="D334" s="232"/>
      <c r="E334" s="233"/>
      <c r="F334" s="227">
        <f>SUM(F331,F332)</f>
        <v>79.164014285299999</v>
      </c>
      <c r="G334" s="234"/>
      <c r="H334" s="234"/>
      <c r="I334" s="227">
        <f>SUM(I331,I332)</f>
        <v>79.164014285299999</v>
      </c>
      <c r="J334" s="235">
        <f>I334-F334</f>
        <v>0</v>
      </c>
      <c r="K334" s="236">
        <f>IF((F334)=0,"",(J334/F334))</f>
        <v>0</v>
      </c>
    </row>
    <row r="335" spans="2:11" ht="15" hidden="1" thickBot="1" x14ac:dyDescent="0.35">
      <c r="B335" s="217"/>
      <c r="C335" s="218"/>
      <c r="D335" s="237"/>
      <c r="E335" s="238"/>
      <c r="F335" s="239"/>
      <c r="G335" s="237"/>
      <c r="H335" s="220"/>
      <c r="I335" s="239"/>
      <c r="J335" s="240"/>
      <c r="K335" s="224"/>
    </row>
    <row r="336" spans="2:11" x14ac:dyDescent="0.3">
      <c r="B336" s="63"/>
      <c r="C336" s="63"/>
      <c r="D336" s="63"/>
      <c r="E336" s="63"/>
      <c r="F336" s="63"/>
      <c r="G336" s="63"/>
      <c r="H336" s="63"/>
      <c r="I336" s="63"/>
      <c r="J336" s="63"/>
      <c r="K336" s="63"/>
    </row>
    <row r="337" spans="2:11" x14ac:dyDescent="0.3">
      <c r="B337" s="63"/>
      <c r="C337" s="63"/>
      <c r="D337" s="63"/>
      <c r="E337" s="63"/>
      <c r="F337" s="63"/>
      <c r="G337" s="63"/>
      <c r="H337" s="63"/>
      <c r="I337" s="63"/>
      <c r="J337" s="63"/>
      <c r="K337" s="63"/>
    </row>
  </sheetData>
  <mergeCells count="66">
    <mergeCell ref="J290:J291"/>
    <mergeCell ref="K290:K291"/>
    <mergeCell ref="B324:C324"/>
    <mergeCell ref="B329:C329"/>
    <mergeCell ref="B334:C334"/>
    <mergeCell ref="C290:C291"/>
    <mergeCell ref="J289:K289"/>
    <mergeCell ref="J233:K233"/>
    <mergeCell ref="C234:C235"/>
    <mergeCell ref="J234:J235"/>
    <mergeCell ref="K234:K235"/>
    <mergeCell ref="B268:C268"/>
    <mergeCell ref="B273:C273"/>
    <mergeCell ref="D233:F233"/>
    <mergeCell ref="G233:I233"/>
    <mergeCell ref="B278:C278"/>
    <mergeCell ref="C282:H282"/>
    <mergeCell ref="C283:E283"/>
    <mergeCell ref="D289:F289"/>
    <mergeCell ref="G289:I289"/>
    <mergeCell ref="B212:C212"/>
    <mergeCell ref="B217:C217"/>
    <mergeCell ref="B222:C222"/>
    <mergeCell ref="C226:H226"/>
    <mergeCell ref="C227:E227"/>
    <mergeCell ref="C178:C179"/>
    <mergeCell ref="J178:J179"/>
    <mergeCell ref="K178:K179"/>
    <mergeCell ref="C122:C123"/>
    <mergeCell ref="J122:J123"/>
    <mergeCell ref="K122:K123"/>
    <mergeCell ref="B156:C156"/>
    <mergeCell ref="B161:C161"/>
    <mergeCell ref="B166:C166"/>
    <mergeCell ref="C170:H170"/>
    <mergeCell ref="C171:E171"/>
    <mergeCell ref="D177:F177"/>
    <mergeCell ref="G177:I177"/>
    <mergeCell ref="J177:K177"/>
    <mergeCell ref="J121:K121"/>
    <mergeCell ref="J65:K65"/>
    <mergeCell ref="C66:C67"/>
    <mergeCell ref="J66:J67"/>
    <mergeCell ref="K66:K67"/>
    <mergeCell ref="B100:C100"/>
    <mergeCell ref="B105:C105"/>
    <mergeCell ref="D65:F65"/>
    <mergeCell ref="G65:I65"/>
    <mergeCell ref="B110:C110"/>
    <mergeCell ref="C114:H114"/>
    <mergeCell ref="C115:E115"/>
    <mergeCell ref="D121:F121"/>
    <mergeCell ref="G121:I121"/>
    <mergeCell ref="B44:C44"/>
    <mergeCell ref="B49:C49"/>
    <mergeCell ref="B54:C54"/>
    <mergeCell ref="C58:H58"/>
    <mergeCell ref="C59:E59"/>
    <mergeCell ref="C10:C11"/>
    <mergeCell ref="J10:J11"/>
    <mergeCell ref="K10:K11"/>
    <mergeCell ref="C2:H2"/>
    <mergeCell ref="C3:E3"/>
    <mergeCell ref="D9:F9"/>
    <mergeCell ref="G9:I9"/>
    <mergeCell ref="J9:K9"/>
  </mergeCells>
  <dataValidations disablePrompts="1" count="1">
    <dataValidation type="list" allowBlank="1" showInputMessage="1" showErrorMessage="1" prompt="Select Charge Unit - monthly, per kWh, per kW" sqref="C45 C50 C55 C40 C101 C106 C111 C96 C157 C162 C167 C152 C213 C218 C223 C208 C269 C274 C279 C264 C325 C330 C335 C320" xr:uid="{8B7E94DA-57EA-4B88-A6BD-EABE873B6D1C}">
      <formula1>"Monthly, per kWh, per kW"</formula1>
    </dataValidation>
  </dataValidations>
  <pageMargins left="0.17" right="0.17" top="0.36" bottom="0.39" header="0.17" footer="0.17"/>
  <pageSetup scale="78" orientation="landscape" r:id="rId1"/>
  <rowBreaks count="5" manualBreakCount="5">
    <brk id="57" min="1" max="10" man="1"/>
    <brk id="113" min="1" max="10" man="1"/>
    <brk id="169" min="1" max="10" man="1"/>
    <brk id="225" min="1" max="10" man="1"/>
    <brk id="281"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workbookViewId="0">
      <selection activeCell="A4" sqref="A4:K20"/>
    </sheetView>
  </sheetViews>
  <sheetFormatPr defaultRowHeight="14.4" x14ac:dyDescent="0.3"/>
  <cols>
    <col min="1" max="1" width="43.21875" bestFit="1" customWidth="1"/>
    <col min="2" max="2" width="7.88671875" bestFit="1" customWidth="1"/>
    <col min="3" max="3" width="8.5546875" bestFit="1" customWidth="1"/>
    <col min="4" max="4" width="7.88671875" bestFit="1" customWidth="1"/>
    <col min="5" max="7" width="8.88671875" bestFit="1" customWidth="1"/>
    <col min="8" max="8" width="7.77734375" bestFit="1" customWidth="1"/>
    <col min="9" max="9" width="13.44140625" bestFit="1" customWidth="1"/>
    <col min="10" max="10" width="12.21875" customWidth="1"/>
    <col min="11" max="11" width="6" bestFit="1" customWidth="1"/>
    <col min="12" max="12" width="12" customWidth="1"/>
    <col min="13" max="13" width="12.33203125" customWidth="1"/>
    <col min="14" max="14" width="12" bestFit="1" customWidth="1"/>
    <col min="15" max="15" width="11.5546875" bestFit="1" customWidth="1"/>
    <col min="16" max="16" width="12.6640625" bestFit="1" customWidth="1"/>
    <col min="17" max="17" width="12.5546875" customWidth="1"/>
    <col min="18" max="18" width="12.33203125" customWidth="1"/>
  </cols>
  <sheetData>
    <row r="1" spans="1:11" ht="18" x14ac:dyDescent="0.35">
      <c r="A1" s="1" t="s">
        <v>262</v>
      </c>
    </row>
    <row r="4" spans="1:11" ht="15.6" x14ac:dyDescent="0.3">
      <c r="A4" s="262" t="s">
        <v>256</v>
      </c>
      <c r="B4" s="262"/>
      <c r="C4" s="262"/>
      <c r="D4" s="262"/>
      <c r="E4" s="262"/>
      <c r="F4" s="262"/>
      <c r="G4" s="262"/>
      <c r="H4" s="262"/>
      <c r="I4" s="262"/>
      <c r="J4" s="262"/>
      <c r="K4" s="262"/>
    </row>
    <row r="5" spans="1:11" x14ac:dyDescent="0.3">
      <c r="A5" s="250"/>
      <c r="B5" s="265" t="s">
        <v>17</v>
      </c>
      <c r="C5" s="266"/>
      <c r="D5" s="267"/>
      <c r="E5" s="265" t="s">
        <v>21</v>
      </c>
      <c r="F5" s="266"/>
      <c r="G5" s="267"/>
      <c r="H5" s="265" t="s">
        <v>285</v>
      </c>
      <c r="I5" s="266"/>
      <c r="J5" s="266"/>
      <c r="K5" s="267"/>
    </row>
    <row r="6" spans="1:11" x14ac:dyDescent="0.3">
      <c r="A6" s="251" t="s">
        <v>16</v>
      </c>
      <c r="B6" s="252" t="s">
        <v>18</v>
      </c>
      <c r="C6" s="252" t="s">
        <v>19</v>
      </c>
      <c r="D6" s="252" t="s">
        <v>20</v>
      </c>
      <c r="E6" s="252" t="s">
        <v>18</v>
      </c>
      <c r="F6" s="252" t="s">
        <v>19</v>
      </c>
      <c r="G6" s="252" t="s">
        <v>20</v>
      </c>
      <c r="H6" s="265" t="s">
        <v>12</v>
      </c>
      <c r="I6" s="267"/>
      <c r="J6" s="265" t="s">
        <v>13</v>
      </c>
      <c r="K6" s="267"/>
    </row>
    <row r="7" spans="1:11" x14ac:dyDescent="0.3">
      <c r="A7" s="11" t="s">
        <v>5</v>
      </c>
      <c r="B7" s="12">
        <v>21.25</v>
      </c>
      <c r="C7" s="12">
        <v>24.36</v>
      </c>
      <c r="D7" s="23">
        <f>B7/12*4+C7/12*8</f>
        <v>23.323333333333331</v>
      </c>
      <c r="E7" s="22">
        <v>7.4999999999999997E-3</v>
      </c>
      <c r="F7" s="22">
        <v>3.8E-3</v>
      </c>
      <c r="G7" s="22">
        <f>E7/12*4+F7/12*8</f>
        <v>5.0333333333333332E-3</v>
      </c>
      <c r="H7" s="26">
        <f>32622</f>
        <v>32622</v>
      </c>
      <c r="I7" s="26" t="s">
        <v>272</v>
      </c>
      <c r="J7" s="26">
        <v>282139763</v>
      </c>
      <c r="K7" s="26" t="s">
        <v>1</v>
      </c>
    </row>
    <row r="8" spans="1:11" x14ac:dyDescent="0.3">
      <c r="A8" s="11" t="s">
        <v>4</v>
      </c>
      <c r="B8" s="12">
        <v>30.55</v>
      </c>
      <c r="C8" s="12">
        <v>30.73</v>
      </c>
      <c r="D8" s="21">
        <f t="shared" ref="D8:D20" si="0">B8/12*4+C8/12*8</f>
        <v>30.67</v>
      </c>
      <c r="E8" s="14">
        <v>0.02</v>
      </c>
      <c r="F8" s="14">
        <v>2.01E-2</v>
      </c>
      <c r="G8" s="14">
        <f t="shared" ref="G8:G14" si="1">E8/12*4+F8/12*8</f>
        <v>2.0066666666666667E-2</v>
      </c>
      <c r="H8" s="27">
        <f>3186</f>
        <v>3186</v>
      </c>
      <c r="I8" s="27" t="s">
        <v>272</v>
      </c>
      <c r="J8" s="27">
        <v>91548982</v>
      </c>
      <c r="K8" s="27" t="s">
        <v>1</v>
      </c>
    </row>
    <row r="9" spans="1:11" x14ac:dyDescent="0.3">
      <c r="A9" s="11" t="s">
        <v>14</v>
      </c>
      <c r="B9" s="12">
        <v>138.54</v>
      </c>
      <c r="C9" s="12">
        <v>139.37</v>
      </c>
      <c r="D9" s="21">
        <f t="shared" si="0"/>
        <v>139.09333333333333</v>
      </c>
      <c r="E9" s="14">
        <v>4.7790999999999997</v>
      </c>
      <c r="F9" s="14">
        <v>4.8078000000000003</v>
      </c>
      <c r="G9" s="14">
        <f t="shared" si="1"/>
        <v>4.7982333333333331</v>
      </c>
      <c r="H9" s="27"/>
      <c r="I9" s="11"/>
      <c r="J9" s="27"/>
      <c r="K9" s="11"/>
    </row>
    <row r="10" spans="1:11" x14ac:dyDescent="0.3">
      <c r="A10" s="11" t="s">
        <v>15</v>
      </c>
      <c r="B10" s="12">
        <v>138.54</v>
      </c>
      <c r="C10" s="12">
        <v>139.37</v>
      </c>
      <c r="D10" s="21">
        <f t="shared" si="0"/>
        <v>139.09333333333333</v>
      </c>
      <c r="E10" s="14">
        <v>4.9127000000000001</v>
      </c>
      <c r="F10" s="14">
        <v>4.9421999999999997</v>
      </c>
      <c r="G10" s="14">
        <f t="shared" si="1"/>
        <v>4.9323666666666668</v>
      </c>
      <c r="H10" s="27"/>
      <c r="I10" s="11"/>
      <c r="J10" s="27"/>
      <c r="K10" s="11"/>
    </row>
    <row r="11" spans="1:11" x14ac:dyDescent="0.3">
      <c r="A11" s="11" t="s">
        <v>261</v>
      </c>
      <c r="B11" s="34" t="s">
        <v>0</v>
      </c>
      <c r="C11" s="12"/>
      <c r="D11" s="21">
        <f>SUM(D9:D10)/2</f>
        <v>139.09333333333333</v>
      </c>
      <c r="E11" s="14"/>
      <c r="F11" s="14"/>
      <c r="G11" s="25">
        <f>SUM(G9:G10)/2</f>
        <v>4.8652999999999995</v>
      </c>
      <c r="H11" s="27">
        <f>384</f>
        <v>384</v>
      </c>
      <c r="I11" s="27" t="s">
        <v>272</v>
      </c>
      <c r="J11" s="27">
        <v>621805</v>
      </c>
      <c r="K11" s="27" t="s">
        <v>2</v>
      </c>
    </row>
    <row r="12" spans="1:11" x14ac:dyDescent="0.3">
      <c r="A12" s="11" t="s">
        <v>6</v>
      </c>
      <c r="B12" s="12">
        <v>3.25</v>
      </c>
      <c r="C12" s="12">
        <v>3.27</v>
      </c>
      <c r="D12" s="21">
        <f t="shared" si="0"/>
        <v>3.2633333333333336</v>
      </c>
      <c r="E12" s="14">
        <v>12.452199999999999</v>
      </c>
      <c r="F12" s="14">
        <v>12.526899999999999</v>
      </c>
      <c r="G12" s="14">
        <f t="shared" si="1"/>
        <v>12.501999999999999</v>
      </c>
      <c r="H12" s="27">
        <f>32</f>
        <v>32</v>
      </c>
      <c r="I12" s="27" t="s">
        <v>272</v>
      </c>
      <c r="J12" s="27">
        <v>764</v>
      </c>
      <c r="K12" s="27" t="s">
        <v>2</v>
      </c>
    </row>
    <row r="13" spans="1:11" x14ac:dyDescent="0.3">
      <c r="A13" s="11" t="s">
        <v>7</v>
      </c>
      <c r="B13" s="12">
        <v>3.19</v>
      </c>
      <c r="C13" s="12">
        <v>3.21</v>
      </c>
      <c r="D13" s="21">
        <f t="shared" si="0"/>
        <v>3.2033333333333331</v>
      </c>
      <c r="E13" s="14">
        <v>15.869899999999999</v>
      </c>
      <c r="F13" s="14">
        <v>15.9651</v>
      </c>
      <c r="G13" s="14">
        <f t="shared" si="1"/>
        <v>15.933366666666666</v>
      </c>
      <c r="H13" s="27">
        <f>9091</f>
        <v>9091</v>
      </c>
      <c r="I13" s="27" t="s">
        <v>273</v>
      </c>
      <c r="J13" s="27">
        <v>6897</v>
      </c>
      <c r="K13" s="27" t="s">
        <v>2</v>
      </c>
    </row>
    <row r="14" spans="1:11" x14ac:dyDescent="0.3">
      <c r="A14" s="11" t="s">
        <v>8</v>
      </c>
      <c r="B14" s="12">
        <v>17.64</v>
      </c>
      <c r="C14" s="12">
        <v>17.75</v>
      </c>
      <c r="D14" s="21">
        <f t="shared" si="0"/>
        <v>17.713333333333335</v>
      </c>
      <c r="E14" s="14">
        <v>2.0299999999999999E-2</v>
      </c>
      <c r="F14" s="14">
        <v>2.0400000000000001E-2</v>
      </c>
      <c r="G14" s="14">
        <f t="shared" si="1"/>
        <v>2.0366666666666668E-2</v>
      </c>
      <c r="H14" s="27">
        <f>46</f>
        <v>46</v>
      </c>
      <c r="I14" s="27" t="s">
        <v>272</v>
      </c>
      <c r="J14" s="27">
        <v>552037</v>
      </c>
      <c r="K14" s="27" t="s">
        <v>1</v>
      </c>
    </row>
    <row r="15" spans="1:11" x14ac:dyDescent="0.3">
      <c r="A15" s="11"/>
      <c r="B15" s="12"/>
      <c r="C15" s="12"/>
      <c r="D15" s="11"/>
      <c r="E15" s="14"/>
      <c r="F15" s="14"/>
      <c r="G15" s="14"/>
      <c r="H15" s="27"/>
      <c r="I15" s="11"/>
      <c r="J15" s="27"/>
      <c r="K15" s="11"/>
    </row>
    <row r="16" spans="1:11" x14ac:dyDescent="0.3">
      <c r="A16" s="11" t="s">
        <v>9</v>
      </c>
      <c r="B16" s="12">
        <v>23.2</v>
      </c>
      <c r="C16" s="12">
        <v>26.99</v>
      </c>
      <c r="D16" s="21">
        <f t="shared" si="0"/>
        <v>25.726666666666667</v>
      </c>
      <c r="E16" s="14">
        <v>1.0699999999999999E-2</v>
      </c>
      <c r="F16" s="14">
        <v>5.4000000000000003E-3</v>
      </c>
      <c r="G16" s="14">
        <f>E16/12*4+F16/12*8</f>
        <v>7.1666666666666667E-3</v>
      </c>
      <c r="H16" s="27">
        <f>6395</f>
        <v>6395</v>
      </c>
      <c r="I16" s="27" t="s">
        <v>272</v>
      </c>
      <c r="J16" s="27">
        <v>50684557</v>
      </c>
      <c r="K16" s="27" t="s">
        <v>1</v>
      </c>
    </row>
    <row r="17" spans="1:12" x14ac:dyDescent="0.3">
      <c r="A17" s="11" t="s">
        <v>10</v>
      </c>
      <c r="B17" s="12">
        <v>22.62</v>
      </c>
      <c r="C17" s="12">
        <v>22.79</v>
      </c>
      <c r="D17" s="21">
        <f t="shared" si="0"/>
        <v>22.733333333333334</v>
      </c>
      <c r="E17" s="14">
        <v>1.67E-2</v>
      </c>
      <c r="F17" s="14">
        <v>1.6799999999999999E-2</v>
      </c>
      <c r="G17" s="14">
        <f>E17/12*4+F17/12*8</f>
        <v>1.6766666666666666E-2</v>
      </c>
      <c r="H17" s="27">
        <f>772</f>
        <v>772</v>
      </c>
      <c r="I17" s="27" t="s">
        <v>272</v>
      </c>
      <c r="J17" s="27">
        <v>24374246</v>
      </c>
      <c r="K17" s="27" t="s">
        <v>1</v>
      </c>
    </row>
    <row r="18" spans="1:12" x14ac:dyDescent="0.3">
      <c r="A18" s="11" t="s">
        <v>11</v>
      </c>
      <c r="B18" s="12">
        <v>63.93</v>
      </c>
      <c r="C18" s="12">
        <v>64.41</v>
      </c>
      <c r="D18" s="21">
        <f t="shared" si="0"/>
        <v>64.25</v>
      </c>
      <c r="E18" s="14">
        <v>3.2581000000000002</v>
      </c>
      <c r="F18" s="14">
        <v>3.2825000000000002</v>
      </c>
      <c r="G18" s="14">
        <f>E18/12*4+F18/12*8</f>
        <v>3.2743666666666669</v>
      </c>
      <c r="H18" s="27">
        <f>108</f>
        <v>108</v>
      </c>
      <c r="I18" s="27" t="s">
        <v>272</v>
      </c>
      <c r="J18" s="27">
        <v>282527</v>
      </c>
      <c r="K18" s="27" t="s">
        <v>2</v>
      </c>
    </row>
    <row r="19" spans="1:12" x14ac:dyDescent="0.3">
      <c r="A19" s="11" t="s">
        <v>283</v>
      </c>
      <c r="B19" s="12">
        <v>3.87</v>
      </c>
      <c r="C19" s="12">
        <v>3.9</v>
      </c>
      <c r="D19" s="21">
        <f t="shared" si="0"/>
        <v>3.89</v>
      </c>
      <c r="E19" s="14">
        <v>8.9320000000000004</v>
      </c>
      <c r="F19" s="14">
        <v>8.9990000000000006</v>
      </c>
      <c r="G19" s="14">
        <f>E19/12*4+F19/12*8</f>
        <v>8.9766666666666666</v>
      </c>
      <c r="H19" s="27">
        <f>1846</f>
        <v>1846</v>
      </c>
      <c r="I19" s="27" t="s">
        <v>273</v>
      </c>
      <c r="J19" s="27">
        <v>1410</v>
      </c>
      <c r="K19" s="27" t="s">
        <v>2</v>
      </c>
    </row>
    <row r="20" spans="1:12" x14ac:dyDescent="0.3">
      <c r="A20" s="15" t="s">
        <v>284</v>
      </c>
      <c r="B20" s="16">
        <v>10.46</v>
      </c>
      <c r="C20" s="16">
        <v>10.54</v>
      </c>
      <c r="D20" s="24">
        <f t="shared" si="0"/>
        <v>10.513333333333334</v>
      </c>
      <c r="E20" s="17">
        <v>1.12E-2</v>
      </c>
      <c r="F20" s="17">
        <v>1.1299999999999999E-2</v>
      </c>
      <c r="G20" s="17">
        <f>E20/12*4+F20/12*8</f>
        <v>1.1266666666666666E-2</v>
      </c>
      <c r="H20" s="28">
        <f>11</f>
        <v>11</v>
      </c>
      <c r="I20" s="28" t="s">
        <v>272</v>
      </c>
      <c r="J20" s="28">
        <v>395009</v>
      </c>
      <c r="K20" s="28" t="s">
        <v>1</v>
      </c>
    </row>
    <row r="21" spans="1:12" x14ac:dyDescent="0.3">
      <c r="K21" s="3"/>
      <c r="L21" s="3"/>
    </row>
    <row r="22" spans="1:12" x14ac:dyDescent="0.3">
      <c r="K22" s="3"/>
      <c r="L22" s="3"/>
    </row>
  </sheetData>
  <mergeCells count="6">
    <mergeCell ref="A4:K4"/>
    <mergeCell ref="B5:D5"/>
    <mergeCell ref="E5:G5"/>
    <mergeCell ref="H5:K5"/>
    <mergeCell ref="H6:I6"/>
    <mergeCell ref="J6:K6"/>
  </mergeCells>
  <pageMargins left="0.2" right="0.2" top="0.34" bottom="0.35" header="0.17" footer="0.17"/>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9656-F252-4D23-A9AF-E7170A405333}">
  <dimension ref="A1:O21"/>
  <sheetViews>
    <sheetView workbookViewId="0">
      <selection activeCell="M6" sqref="M6"/>
    </sheetView>
  </sheetViews>
  <sheetFormatPr defaultRowHeight="14.4" x14ac:dyDescent="0.3"/>
  <cols>
    <col min="1" max="1" width="41.5546875" customWidth="1"/>
    <col min="2" max="2" width="11.5546875" bestFit="1" customWidth="1"/>
    <col min="3" max="3" width="10.44140625" bestFit="1" customWidth="1"/>
    <col min="4" max="4" width="11" bestFit="1" customWidth="1"/>
    <col min="5" max="5" width="11.5546875" bestFit="1" customWidth="1"/>
    <col min="6" max="7" width="10.109375" bestFit="1" customWidth="1"/>
    <col min="8" max="8" width="10.5546875" bestFit="1" customWidth="1"/>
    <col min="9" max="9" width="11.33203125" customWidth="1"/>
    <col min="10" max="10" width="10.44140625" bestFit="1" customWidth="1"/>
    <col min="11" max="11" width="11.21875" customWidth="1"/>
    <col min="12" max="12" width="10.5546875" customWidth="1"/>
    <col min="13" max="13" width="10.109375" bestFit="1" customWidth="1"/>
    <col min="14" max="14" width="8" customWidth="1"/>
    <col min="15" max="15" width="8.88671875" bestFit="1" customWidth="1"/>
    <col min="16" max="16" width="12.6640625" bestFit="1" customWidth="1"/>
    <col min="17" max="17" width="12.5546875" customWidth="1"/>
    <col min="18" max="18" width="12.33203125" customWidth="1"/>
  </cols>
  <sheetData>
    <row r="1" spans="1:15" ht="18" x14ac:dyDescent="0.35">
      <c r="A1" s="1" t="str">
        <f>'Table 9'!$A$1</f>
        <v>Cost Allocation-Nov 2019 submission</v>
      </c>
    </row>
    <row r="3" spans="1:15" x14ac:dyDescent="0.3">
      <c r="K3" s="3"/>
      <c r="L3" s="3"/>
    </row>
    <row r="4" spans="1:15" ht="15.6" x14ac:dyDescent="0.3">
      <c r="A4" s="262" t="s">
        <v>257</v>
      </c>
      <c r="B4" s="262"/>
      <c r="C4" s="262"/>
      <c r="D4" s="262"/>
      <c r="E4" s="262"/>
      <c r="F4" s="262"/>
      <c r="G4" s="262"/>
      <c r="H4" s="262"/>
      <c r="I4" s="262"/>
      <c r="J4" s="262"/>
      <c r="K4" s="262"/>
      <c r="L4" s="262"/>
      <c r="M4" s="262"/>
      <c r="N4" s="262"/>
      <c r="O4" s="262"/>
    </row>
    <row r="5" spans="1:15" x14ac:dyDescent="0.3">
      <c r="A5" s="250"/>
      <c r="B5" s="268" t="s">
        <v>29</v>
      </c>
      <c r="C5" s="268"/>
      <c r="D5" s="268"/>
      <c r="E5" s="268"/>
      <c r="F5" s="268"/>
      <c r="G5" s="268"/>
      <c r="H5" s="268"/>
      <c r="I5" s="268"/>
      <c r="J5" s="268"/>
      <c r="K5" s="268"/>
      <c r="L5" s="268"/>
      <c r="M5" s="268"/>
      <c r="N5" s="268"/>
      <c r="O5" s="268"/>
    </row>
    <row r="6" spans="1:15" ht="57.6" x14ac:dyDescent="0.3">
      <c r="A6" s="253" t="s">
        <v>16</v>
      </c>
      <c r="B6" s="253" t="s">
        <v>40</v>
      </c>
      <c r="C6" s="253" t="s">
        <v>39</v>
      </c>
      <c r="D6" s="253" t="s">
        <v>253</v>
      </c>
      <c r="E6" s="253" t="s">
        <v>254</v>
      </c>
      <c r="F6" s="253" t="s">
        <v>23</v>
      </c>
      <c r="G6" s="253" t="s">
        <v>255</v>
      </c>
      <c r="H6" s="253" t="s">
        <v>25</v>
      </c>
      <c r="I6" s="253" t="s">
        <v>34</v>
      </c>
      <c r="J6" s="253" t="s">
        <v>35</v>
      </c>
      <c r="K6" s="253" t="s">
        <v>36</v>
      </c>
      <c r="L6" s="253" t="s">
        <v>292</v>
      </c>
      <c r="M6" s="253" t="s">
        <v>293</v>
      </c>
      <c r="N6" s="253" t="s">
        <v>287</v>
      </c>
      <c r="O6" s="261" t="s">
        <v>288</v>
      </c>
    </row>
    <row r="7" spans="1:15" x14ac:dyDescent="0.3">
      <c r="A7" s="10" t="s">
        <v>5</v>
      </c>
      <c r="B7" s="26">
        <f>'Table 9'!D7*'Table 9'!H7*12</f>
        <v>9130245.3599999994</v>
      </c>
      <c r="C7" s="26">
        <f>'Table 9'!G7*'Table 9'!J7</f>
        <v>1420103.4737666666</v>
      </c>
      <c r="D7" s="2">
        <v>0</v>
      </c>
      <c r="E7" s="27">
        <f t="shared" ref="E7:E12" si="0">SUM(B7:D7)</f>
        <v>10550348.833766665</v>
      </c>
      <c r="F7" s="31">
        <f t="shared" ref="F7:F12" si="1">B7/$E7</f>
        <v>0.86539748626873947</v>
      </c>
      <c r="G7" s="31">
        <f t="shared" ref="G7:G12" si="2">(C7+D7)/$E7</f>
        <v>0.13460251373126059</v>
      </c>
      <c r="H7" s="2">
        <v>-230005</v>
      </c>
      <c r="I7" s="26">
        <f t="shared" ref="I7:I12" si="3">B7+$H7*B7/SUM($B7:$C7)</f>
        <v>8931199.6111707576</v>
      </c>
      <c r="J7" s="27">
        <f t="shared" ref="J7:J12" si="4">C7+$H7*C7/SUM($B7:$C7)+D7</f>
        <v>1389144.222595908</v>
      </c>
      <c r="K7" s="26">
        <f t="shared" ref="K7:K12" si="5">SUM(I7:J7)</f>
        <v>10320343.833766665</v>
      </c>
      <c r="L7" s="31">
        <f t="shared" ref="L7:M12" si="6">I7/$K7</f>
        <v>0.86539748626873947</v>
      </c>
      <c r="M7" s="31">
        <f t="shared" si="6"/>
        <v>0.13460251373126059</v>
      </c>
      <c r="N7" s="21">
        <f>I7/'Table 9'!H7/12</f>
        <v>22.814868317829376</v>
      </c>
      <c r="O7" s="25">
        <f>J7/'Table 9'!J7</f>
        <v>4.9236031384768267E-3</v>
      </c>
    </row>
    <row r="8" spans="1:15" x14ac:dyDescent="0.3">
      <c r="A8" s="11" t="s">
        <v>4</v>
      </c>
      <c r="B8" s="27">
        <f>'Table 9'!D8*'Table 9'!H8*12</f>
        <v>1172575.4400000002</v>
      </c>
      <c r="C8" s="27">
        <f>'Table 9'!G8*'Table 9'!J8</f>
        <v>1837082.9054666667</v>
      </c>
      <c r="D8" s="2">
        <v>0</v>
      </c>
      <c r="E8" s="27">
        <f t="shared" si="0"/>
        <v>3009658.3454666669</v>
      </c>
      <c r="F8" s="32">
        <f t="shared" si="1"/>
        <v>0.38960416944541421</v>
      </c>
      <c r="G8" s="32">
        <f t="shared" si="2"/>
        <v>0.61039583055458579</v>
      </c>
      <c r="H8" s="2">
        <v>-23248</v>
      </c>
      <c r="I8" s="27">
        <f t="shared" si="3"/>
        <v>1163517.9222687331</v>
      </c>
      <c r="J8" s="27">
        <f t="shared" si="4"/>
        <v>1822892.4231979337</v>
      </c>
      <c r="K8" s="27">
        <f t="shared" si="5"/>
        <v>2986410.3454666669</v>
      </c>
      <c r="L8" s="32">
        <f t="shared" si="6"/>
        <v>0.38960416944541415</v>
      </c>
      <c r="M8" s="32">
        <f t="shared" si="6"/>
        <v>0.61039583055458579</v>
      </c>
      <c r="N8" s="21">
        <f>I8/'Table 9'!H8/12</f>
        <v>30.433090664070235</v>
      </c>
      <c r="O8" s="25">
        <f>J8/'Table 9'!J8</f>
        <v>1.991166240601052E-2</v>
      </c>
    </row>
    <row r="9" spans="1:15" x14ac:dyDescent="0.3">
      <c r="A9" s="11" t="s">
        <v>261</v>
      </c>
      <c r="B9" s="27">
        <f>'Table 9'!D11*'Table 9'!H11*12</f>
        <v>640942.07999999996</v>
      </c>
      <c r="C9" s="27">
        <f>'Table 9'!G11*'Table 9'!J11</f>
        <v>3025267.8664999995</v>
      </c>
      <c r="D9" s="2">
        <v>-28932</v>
      </c>
      <c r="E9" s="27">
        <f t="shared" si="0"/>
        <v>3637277.9464999996</v>
      </c>
      <c r="F9" s="32">
        <f t="shared" si="1"/>
        <v>0.17621476538980246</v>
      </c>
      <c r="G9" s="32">
        <f t="shared" si="2"/>
        <v>0.82378523461019748</v>
      </c>
      <c r="H9" s="2">
        <v>-128401</v>
      </c>
      <c r="I9" s="27">
        <f t="shared" si="3"/>
        <v>618494.48283152725</v>
      </c>
      <c r="J9" s="27">
        <f t="shared" si="4"/>
        <v>2890382.4636684721</v>
      </c>
      <c r="K9" s="27">
        <f t="shared" si="5"/>
        <v>3508876.9464999996</v>
      </c>
      <c r="L9" s="32">
        <f t="shared" si="6"/>
        <v>0.17626565201964609</v>
      </c>
      <c r="M9" s="32">
        <f t="shared" si="6"/>
        <v>0.82373434798035383</v>
      </c>
      <c r="N9" s="21">
        <f>I9/'Table 9'!H11/12</f>
        <v>134.22189297559186</v>
      </c>
      <c r="O9" s="25">
        <f>J9/'Table 9'!J11</f>
        <v>4.6483744319657641</v>
      </c>
    </row>
    <row r="10" spans="1:15" x14ac:dyDescent="0.3">
      <c r="A10" s="11" t="s">
        <v>6</v>
      </c>
      <c r="B10" s="27">
        <f>'Table 9'!D12*'Table 9'!H12*12</f>
        <v>1253.1200000000001</v>
      </c>
      <c r="C10" s="27">
        <f>'Table 9'!G12*'Table 9'!J12</f>
        <v>9551.5279999999984</v>
      </c>
      <c r="D10" s="2">
        <v>0</v>
      </c>
      <c r="E10" s="27">
        <f t="shared" si="0"/>
        <v>10804.647999999999</v>
      </c>
      <c r="F10" s="32">
        <f t="shared" si="1"/>
        <v>0.11597971539655898</v>
      </c>
      <c r="G10" s="32">
        <f t="shared" si="2"/>
        <v>0.88402028460344095</v>
      </c>
      <c r="H10" s="2">
        <v>3259</v>
      </c>
      <c r="I10" s="27">
        <f t="shared" si="3"/>
        <v>1631.0978924773858</v>
      </c>
      <c r="J10" s="27">
        <f t="shared" si="4"/>
        <v>12432.550107522613</v>
      </c>
      <c r="K10" s="27">
        <f t="shared" si="5"/>
        <v>14063.647999999999</v>
      </c>
      <c r="L10" s="32">
        <f t="shared" si="6"/>
        <v>0.11597971539655898</v>
      </c>
      <c r="M10" s="32">
        <f t="shared" si="6"/>
        <v>0.88402028460344095</v>
      </c>
      <c r="N10" s="21">
        <f>I10/'Table 9'!H12/12</f>
        <v>4.2476507616598589</v>
      </c>
      <c r="O10" s="25">
        <f>J10/'Table 9'!J12</f>
        <v>16.272971344924887</v>
      </c>
    </row>
    <row r="11" spans="1:15" x14ac:dyDescent="0.3">
      <c r="A11" s="11" t="s">
        <v>7</v>
      </c>
      <c r="B11" s="27">
        <f>'Table 9'!D13*'Table 9'!H13*12</f>
        <v>349458.04</v>
      </c>
      <c r="C11" s="27">
        <f>'Table 9'!G13*'Table 9'!J13</f>
        <v>109892.4299</v>
      </c>
      <c r="D11" s="2">
        <v>0</v>
      </c>
      <c r="E11" s="27">
        <f t="shared" si="0"/>
        <v>459350.46989999997</v>
      </c>
      <c r="F11" s="32">
        <f t="shared" si="1"/>
        <v>0.76076560904809032</v>
      </c>
      <c r="G11" s="32">
        <f t="shared" si="2"/>
        <v>0.23923439095190965</v>
      </c>
      <c r="H11" s="2">
        <v>52062</v>
      </c>
      <c r="I11" s="27">
        <f t="shared" si="3"/>
        <v>389065.01913826168</v>
      </c>
      <c r="J11" s="27">
        <f t="shared" si="4"/>
        <v>122347.45076173832</v>
      </c>
      <c r="K11" s="27">
        <f t="shared" si="5"/>
        <v>511412.46990000003</v>
      </c>
      <c r="L11" s="32">
        <f t="shared" si="6"/>
        <v>0.76076560904809032</v>
      </c>
      <c r="M11" s="32">
        <f t="shared" si="6"/>
        <v>0.23923439095190963</v>
      </c>
      <c r="N11" s="21">
        <f>I11/'Table 9'!H13/12</f>
        <v>3.56639367816395</v>
      </c>
      <c r="O11" s="25">
        <f>J11/'Table 9'!J13</f>
        <v>17.739227310676863</v>
      </c>
    </row>
    <row r="12" spans="1:15" x14ac:dyDescent="0.3">
      <c r="A12" s="11" t="s">
        <v>8</v>
      </c>
      <c r="B12" s="27">
        <f>'Table 9'!D14*'Table 9'!H14*12</f>
        <v>9777.76</v>
      </c>
      <c r="C12" s="27">
        <f>'Table 9'!G14*'Table 9'!J14</f>
        <v>11243.153566666668</v>
      </c>
      <c r="D12" s="2">
        <v>0</v>
      </c>
      <c r="E12" s="27">
        <f t="shared" si="0"/>
        <v>21020.91356666667</v>
      </c>
      <c r="F12" s="32">
        <f t="shared" si="1"/>
        <v>0.46514438913372497</v>
      </c>
      <c r="G12" s="32">
        <f t="shared" si="2"/>
        <v>0.53485561086627498</v>
      </c>
      <c r="H12" s="2">
        <v>1097</v>
      </c>
      <c r="I12" s="27">
        <f t="shared" si="3"/>
        <v>10288.023394879696</v>
      </c>
      <c r="J12" s="27">
        <f t="shared" si="4"/>
        <v>11829.890171786972</v>
      </c>
      <c r="K12" s="27">
        <f t="shared" si="5"/>
        <v>22117.91356666667</v>
      </c>
      <c r="L12" s="32">
        <f t="shared" si="6"/>
        <v>0.46514438913372497</v>
      </c>
      <c r="M12" s="32">
        <f t="shared" si="6"/>
        <v>0.53485561086627498</v>
      </c>
      <c r="N12" s="21">
        <f>I12/'Table 9'!H14/12</f>
        <v>18.637723541448725</v>
      </c>
      <c r="O12" s="25">
        <f>J12/'Table 9'!J14</f>
        <v>2.1429524056878382E-2</v>
      </c>
    </row>
    <row r="13" spans="1:15" x14ac:dyDescent="0.3">
      <c r="A13" s="11"/>
      <c r="B13" s="27"/>
      <c r="C13" s="27"/>
      <c r="D13" s="2"/>
      <c r="E13" s="27"/>
      <c r="F13" s="11"/>
      <c r="G13" s="11"/>
      <c r="H13" s="2"/>
      <c r="I13" s="27"/>
      <c r="J13" s="27"/>
      <c r="K13" s="27"/>
      <c r="L13" s="11"/>
      <c r="M13" s="11"/>
      <c r="N13" s="11"/>
      <c r="O13" s="11"/>
    </row>
    <row r="14" spans="1:15" x14ac:dyDescent="0.3">
      <c r="A14" s="11" t="s">
        <v>9</v>
      </c>
      <c r="B14" s="27">
        <f>'Table 9'!D16*'Table 9'!H16*12</f>
        <v>1974264.4</v>
      </c>
      <c r="C14" s="27">
        <f>'Table 9'!G16*'Table 9'!J16</f>
        <v>363239.32516666665</v>
      </c>
      <c r="D14" s="2">
        <v>0</v>
      </c>
      <c r="E14" s="27">
        <f>SUM(B14:D14)</f>
        <v>2337503.7251666663</v>
      </c>
      <c r="F14" s="32">
        <f>B14/$E14</f>
        <v>0.84460374490279488</v>
      </c>
      <c r="G14" s="32">
        <f>(C14+D14)/$E14</f>
        <v>0.15539625509720517</v>
      </c>
      <c r="H14" s="2">
        <v>133332.25</v>
      </c>
      <c r="I14" s="27">
        <f>B14+$H14*B14/SUM($B14:$C14)</f>
        <v>2086877.3176663155</v>
      </c>
      <c r="J14" s="27">
        <f>C14+$H14*C14/SUM($B14:$C14)+D14</f>
        <v>383958.65750035096</v>
      </c>
      <c r="K14" s="27">
        <f>SUM(I14:J14)</f>
        <v>2470835.9751666663</v>
      </c>
      <c r="L14" s="32">
        <f t="shared" ref="L14:M18" si="7">I14/$K14</f>
        <v>0.84460374490279488</v>
      </c>
      <c r="M14" s="32">
        <f t="shared" si="7"/>
        <v>0.15539625509720517</v>
      </c>
      <c r="N14" s="21">
        <f>I14/'Table 9'!H16/12</f>
        <v>27.194127152284537</v>
      </c>
      <c r="O14" s="25">
        <f>J14/'Table 9'!J16</f>
        <v>7.5754565143057477E-3</v>
      </c>
    </row>
    <row r="15" spans="1:15" x14ac:dyDescent="0.3">
      <c r="A15" s="11" t="s">
        <v>10</v>
      </c>
      <c r="B15" s="27">
        <f>'Table 9'!D17*'Table 9'!H17*12</f>
        <v>210601.60000000003</v>
      </c>
      <c r="C15" s="27">
        <f>'Table 9'!G17*'Table 9'!J17</f>
        <v>408674.85793333332</v>
      </c>
      <c r="D15" s="2">
        <v>0</v>
      </c>
      <c r="E15" s="27">
        <f>SUM(B15:D15)</f>
        <v>619276.45793333335</v>
      </c>
      <c r="F15" s="32">
        <f>B15/$E15</f>
        <v>0.34007687084186206</v>
      </c>
      <c r="G15" s="32">
        <f>(C15+D15)/$E15</f>
        <v>0.65992312915813789</v>
      </c>
      <c r="H15" s="2">
        <v>-27105.05</v>
      </c>
      <c r="I15" s="27">
        <f>B15+$H15*B15/SUM($B15:$C15)</f>
        <v>201383.79941198783</v>
      </c>
      <c r="J15" s="27">
        <f>C15+$H15*C15/SUM($B15:$C15)+D15</f>
        <v>390787.60852134554</v>
      </c>
      <c r="K15" s="27">
        <f>SUM(I15:J15)</f>
        <v>592171.40793333342</v>
      </c>
      <c r="L15" s="32">
        <f t="shared" si="7"/>
        <v>0.34007687084186206</v>
      </c>
      <c r="M15" s="32">
        <f t="shared" si="7"/>
        <v>0.65992312915813789</v>
      </c>
      <c r="N15" s="21">
        <f>I15/'Table 9'!H17/12</f>
        <v>21.738320316492644</v>
      </c>
      <c r="O15" s="25">
        <f>J15/'Table 9'!J17</f>
        <v>1.6032808092662457E-2</v>
      </c>
    </row>
    <row r="16" spans="1:15" x14ac:dyDescent="0.3">
      <c r="A16" s="11" t="s">
        <v>11</v>
      </c>
      <c r="B16" s="27">
        <f>'Table 9'!D18*'Table 9'!H18*12</f>
        <v>83268</v>
      </c>
      <c r="C16" s="27">
        <f>'Table 9'!G18*'Table 9'!J18</f>
        <v>925096.99123333336</v>
      </c>
      <c r="D16" s="2">
        <v>-116073</v>
      </c>
      <c r="E16" s="27">
        <f>SUM(B16:D16)</f>
        <v>892291.99123333336</v>
      </c>
      <c r="F16" s="32">
        <f>B16/$E16</f>
        <v>9.3319228254986675E-2</v>
      </c>
      <c r="G16" s="32">
        <f>(C16+D16)/$E16</f>
        <v>0.90668077174501338</v>
      </c>
      <c r="H16" s="2">
        <v>103828</v>
      </c>
      <c r="I16" s="27">
        <f>B16+$H16*B16/SUM($B16:$C16)</f>
        <v>91841.829892116351</v>
      </c>
      <c r="J16" s="27">
        <f>C16+$H16*C16/SUM($B16:$C16)+D16</f>
        <v>904278.161341217</v>
      </c>
      <c r="K16" s="27">
        <f>SUM(I16:J16)</f>
        <v>996119.99123333336</v>
      </c>
      <c r="L16" s="32">
        <f t="shared" si="7"/>
        <v>9.2199565012648282E-2</v>
      </c>
      <c r="M16" s="32">
        <f t="shared" si="7"/>
        <v>0.90780043498735175</v>
      </c>
      <c r="N16" s="21">
        <f>I16/'Table 9'!H18/12</f>
        <v>70.865609484657682</v>
      </c>
      <c r="O16" s="25">
        <f>J16/'Table 9'!J18</f>
        <v>3.2006787363374722</v>
      </c>
    </row>
    <row r="17" spans="1:15" x14ac:dyDescent="0.3">
      <c r="A17" s="11" t="s">
        <v>283</v>
      </c>
      <c r="B17" s="27">
        <f>'Table 9'!D19*'Table 9'!H19*12</f>
        <v>86171.28</v>
      </c>
      <c r="C17" s="27">
        <f>'Table 9'!G19*'Table 9'!J19</f>
        <v>12657.1</v>
      </c>
      <c r="D17" s="2">
        <v>0</v>
      </c>
      <c r="E17" s="27">
        <f>SUM(B17:D17)</f>
        <v>98828.38</v>
      </c>
      <c r="F17" s="32">
        <f>B17/$E17</f>
        <v>0.87192848855763894</v>
      </c>
      <c r="G17" s="32">
        <f>(C17+D17)/$E17</f>
        <v>0.12807151144236098</v>
      </c>
      <c r="H17" s="2">
        <v>-16874</v>
      </c>
      <c r="I17" s="27">
        <f>B17+$H17*B17/SUM($B17:$C17)</f>
        <v>71458.358684078397</v>
      </c>
      <c r="J17" s="27">
        <f>C17+$H17*C17/SUM($B17:$C17)+D17</f>
        <v>10496.0213159216</v>
      </c>
      <c r="K17" s="27">
        <f>SUM(I17:J17)</f>
        <v>81954.38</v>
      </c>
      <c r="L17" s="32">
        <f t="shared" si="7"/>
        <v>0.87192848855763894</v>
      </c>
      <c r="M17" s="32">
        <f t="shared" si="7"/>
        <v>0.12807151144236098</v>
      </c>
      <c r="N17" s="21">
        <f>I17/'Table 9'!H19/12</f>
        <v>3.2258197311339107</v>
      </c>
      <c r="O17" s="25">
        <f>J17/'Table 9'!J19</f>
        <v>7.4439867488805671</v>
      </c>
    </row>
    <row r="18" spans="1:15" x14ac:dyDescent="0.3">
      <c r="A18" s="15" t="s">
        <v>284</v>
      </c>
      <c r="B18" s="27">
        <f>'Table 9'!D20*'Table 9'!H20*12</f>
        <v>1387.7600000000002</v>
      </c>
      <c r="C18" s="27">
        <f>'Table 9'!G20*'Table 9'!J20</f>
        <v>4450.4347333333335</v>
      </c>
      <c r="D18" s="2">
        <v>0</v>
      </c>
      <c r="E18" s="27">
        <f>SUM(B18:D18)</f>
        <v>5838.1947333333337</v>
      </c>
      <c r="F18" s="33">
        <f>B18/$E18</f>
        <v>0.23770361616691993</v>
      </c>
      <c r="G18" s="33">
        <f>(C18+D18)/$E18</f>
        <v>0.76229638383308007</v>
      </c>
      <c r="H18" s="2">
        <v>19</v>
      </c>
      <c r="I18" s="28">
        <f>B18+$H18*B18/SUM($B18:$C18)</f>
        <v>1392.2763687071717</v>
      </c>
      <c r="J18" s="27">
        <f>C18+$H18*C18/SUM($B18:$C18)+D18</f>
        <v>4464.9183646261617</v>
      </c>
      <c r="K18" s="28">
        <f>SUM(I18:J18)</f>
        <v>5857.1947333333337</v>
      </c>
      <c r="L18" s="33">
        <f t="shared" si="7"/>
        <v>0.23770361616691993</v>
      </c>
      <c r="M18" s="33">
        <f t="shared" si="7"/>
        <v>0.76229638383308007</v>
      </c>
      <c r="N18" s="24">
        <f>I18/'Table 9'!H20/12</f>
        <v>10.547548247781604</v>
      </c>
      <c r="O18" s="41">
        <f>J18/'Table 9'!J20</f>
        <v>1.130333325221998E-2</v>
      </c>
    </row>
    <row r="19" spans="1:15" x14ac:dyDescent="0.3">
      <c r="A19" s="35" t="s">
        <v>3</v>
      </c>
      <c r="B19" s="36">
        <f>SUM(B7:B18)</f>
        <v>13659944.839999996</v>
      </c>
      <c r="C19" s="36">
        <f>SUM(C7:C18)</f>
        <v>8127260.0662666652</v>
      </c>
      <c r="D19" s="42">
        <f>SUM(D7:D18)</f>
        <v>-145005</v>
      </c>
      <c r="E19" s="36">
        <f>SUM(E7:E18)</f>
        <v>21642199.906266663</v>
      </c>
      <c r="H19" s="42">
        <f>SUM(H7:H18)</f>
        <v>-132035.79999999999</v>
      </c>
      <c r="I19" s="36">
        <f>SUM(I7:I18)</f>
        <v>13567149.73871984</v>
      </c>
      <c r="J19" s="36">
        <f>SUM(J7:J18)</f>
        <v>7943014.3675468238</v>
      </c>
      <c r="K19" s="36">
        <f>SUM(K7:K18)</f>
        <v>21510164.106266662</v>
      </c>
      <c r="L19" s="37"/>
      <c r="M19" s="5"/>
    </row>
    <row r="20" spans="1:15" x14ac:dyDescent="0.3">
      <c r="A20" s="46"/>
      <c r="B20" s="7"/>
    </row>
    <row r="21" spans="1:15" x14ac:dyDescent="0.3">
      <c r="A21" s="46"/>
      <c r="B21" s="7"/>
    </row>
  </sheetData>
  <mergeCells count="2">
    <mergeCell ref="B5:O5"/>
    <mergeCell ref="A4:O4"/>
  </mergeCells>
  <pageMargins left="0.2" right="0.2" top="0.34" bottom="0.35"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3656-E2EF-4436-82CF-FF7A01C31F70}">
  <dimension ref="A1:Q19"/>
  <sheetViews>
    <sheetView workbookViewId="0">
      <selection activeCell="H7" sqref="H7"/>
    </sheetView>
  </sheetViews>
  <sheetFormatPr defaultRowHeight="14.4" x14ac:dyDescent="0.3"/>
  <cols>
    <col min="1" max="1" width="47.5546875" customWidth="1"/>
    <col min="2" max="2" width="10.6640625" customWidth="1"/>
    <col min="3" max="3" width="9.21875" customWidth="1"/>
    <col min="4" max="4" width="8.44140625" customWidth="1"/>
    <col min="5" max="5" width="8.88671875" bestFit="1" customWidth="1"/>
    <col min="6" max="6" width="9.21875" bestFit="1" customWidth="1"/>
    <col min="7" max="7" width="8.88671875" bestFit="1" customWidth="1"/>
    <col min="8" max="8" width="10.21875" customWidth="1"/>
    <col min="9" max="9" width="11.109375" customWidth="1"/>
    <col min="10" max="10" width="11.21875" customWidth="1"/>
    <col min="11" max="11" width="11.44140625" customWidth="1"/>
    <col min="12" max="12" width="10.44140625" bestFit="1" customWidth="1"/>
    <col min="13" max="13" width="12" bestFit="1" customWidth="1"/>
    <col min="14" max="14" width="10.5546875" customWidth="1"/>
    <col min="15" max="15" width="10.33203125" customWidth="1"/>
    <col min="16" max="16" width="6" customWidth="1"/>
    <col min="17" max="17" width="12.33203125" customWidth="1"/>
  </cols>
  <sheetData>
    <row r="1" spans="1:17" ht="18" x14ac:dyDescent="0.35">
      <c r="A1" s="1" t="str">
        <f>'Table 9'!$A$1</f>
        <v>Cost Allocation-Nov 2019 submission</v>
      </c>
    </row>
    <row r="2" spans="1:17" x14ac:dyDescent="0.3">
      <c r="A2" s="46"/>
      <c r="B2" s="7"/>
    </row>
    <row r="3" spans="1:17" x14ac:dyDescent="0.3">
      <c r="A3" s="46"/>
      <c r="B3" s="7"/>
    </row>
    <row r="4" spans="1:17" ht="15.6" x14ac:dyDescent="0.3">
      <c r="A4" s="262" t="s">
        <v>258</v>
      </c>
      <c r="B4" s="262"/>
      <c r="C4" s="262"/>
      <c r="D4" s="262"/>
      <c r="E4" s="262"/>
      <c r="F4" s="262"/>
      <c r="G4" s="262"/>
      <c r="H4" s="262"/>
      <c r="I4" s="262"/>
      <c r="J4" s="262"/>
      <c r="K4" s="262"/>
      <c r="L4" s="262"/>
      <c r="M4" s="262"/>
      <c r="N4" s="262"/>
      <c r="O4" s="262"/>
    </row>
    <row r="5" spans="1:17" x14ac:dyDescent="0.3">
      <c r="A5" s="250"/>
      <c r="B5" s="265" t="s">
        <v>26</v>
      </c>
      <c r="C5" s="266"/>
      <c r="D5" s="267"/>
      <c r="E5" s="265" t="s">
        <v>291</v>
      </c>
      <c r="F5" s="266"/>
      <c r="G5" s="266"/>
      <c r="H5" s="266"/>
      <c r="I5" s="266"/>
      <c r="J5" s="267"/>
      <c r="K5" s="265" t="s">
        <v>46</v>
      </c>
      <c r="L5" s="266"/>
      <c r="M5" s="266"/>
      <c r="N5" s="266"/>
      <c r="O5" s="267"/>
      <c r="Q5" t="s">
        <v>28</v>
      </c>
    </row>
    <row r="6" spans="1:17" ht="57.6" customHeight="1" x14ac:dyDescent="0.3">
      <c r="A6" s="251" t="s">
        <v>16</v>
      </c>
      <c r="B6" s="253" t="s">
        <v>47</v>
      </c>
      <c r="C6" s="253" t="s">
        <v>37</v>
      </c>
      <c r="D6" s="253" t="s">
        <v>38</v>
      </c>
      <c r="E6" s="253" t="s">
        <v>42</v>
      </c>
      <c r="F6" s="253" t="s">
        <v>41</v>
      </c>
      <c r="G6" s="253" t="s">
        <v>287</v>
      </c>
      <c r="H6" s="254" t="s">
        <v>288</v>
      </c>
      <c r="I6" s="253" t="s">
        <v>289</v>
      </c>
      <c r="J6" s="254" t="s">
        <v>290</v>
      </c>
      <c r="K6" s="253" t="s">
        <v>40</v>
      </c>
      <c r="L6" s="253" t="s">
        <v>39</v>
      </c>
      <c r="M6" s="253" t="s">
        <v>43</v>
      </c>
      <c r="N6" s="253" t="s">
        <v>23</v>
      </c>
      <c r="O6" s="253" t="s">
        <v>24</v>
      </c>
      <c r="Q6" s="29" t="s">
        <v>27</v>
      </c>
    </row>
    <row r="7" spans="1:17" x14ac:dyDescent="0.3">
      <c r="A7" s="10" t="s">
        <v>5</v>
      </c>
      <c r="B7" s="243">
        <f>-[2]Summary!$E$15</f>
        <v>363801.8</v>
      </c>
      <c r="C7" s="243">
        <f>B7</f>
        <v>363801.8</v>
      </c>
      <c r="D7" s="243">
        <v>0</v>
      </c>
      <c r="E7" s="246">
        <f>C7/'Table 9'!H7/12</f>
        <v>0.92933654180205583</v>
      </c>
      <c r="F7" s="247">
        <f>D7/'Table 9'!J7</f>
        <v>0</v>
      </c>
      <c r="G7" s="21">
        <f>'Table 10'!I7/'Table 9'!H7/12</f>
        <v>22.814868317829376</v>
      </c>
      <c r="H7" s="25">
        <f>'Table 10'!J7/'Table 9'!J7</f>
        <v>4.9236031384768267E-3</v>
      </c>
      <c r="I7" s="21">
        <f t="shared" ref="I7:J12" si="0">E7+G7</f>
        <v>23.744204859631431</v>
      </c>
      <c r="J7" s="25">
        <f t="shared" si="0"/>
        <v>4.9236031384768267E-3</v>
      </c>
      <c r="K7" s="27">
        <f>I7*'Table 9'!H7*12</f>
        <v>9295001.4111707583</v>
      </c>
      <c r="L7" s="27">
        <f>J7*'Table 9'!J7</f>
        <v>1389144.222595908</v>
      </c>
      <c r="M7" s="27">
        <f t="shared" ref="M7:M12" si="1">SUM(K7:L7)</f>
        <v>10684145.633766666</v>
      </c>
      <c r="N7" s="43">
        <f t="shared" ref="N7:O12" si="2">K7/$M7</f>
        <v>0.86998078552901859</v>
      </c>
      <c r="O7" s="31">
        <f t="shared" si="2"/>
        <v>0.13001921447098144</v>
      </c>
      <c r="Q7" s="4">
        <f>M7-B7-'Table 10'!K7</f>
        <v>0</v>
      </c>
    </row>
    <row r="8" spans="1:17" x14ac:dyDescent="0.3">
      <c r="A8" s="11" t="s">
        <v>4</v>
      </c>
      <c r="B8" s="244">
        <v>0</v>
      </c>
      <c r="C8" s="244">
        <f>B8*'Table 10'!L8</f>
        <v>0</v>
      </c>
      <c r="D8" s="244">
        <f>B8*'Table 10'!M8</f>
        <v>0</v>
      </c>
      <c r="E8" s="246">
        <f>C8/'Table 9'!H8/12</f>
        <v>0</v>
      </c>
      <c r="F8" s="247">
        <f>D8/'Table 9'!J8</f>
        <v>0</v>
      </c>
      <c r="G8" s="21">
        <f>'Table 10'!I8/'Table 9'!H8/12</f>
        <v>30.433090664070235</v>
      </c>
      <c r="H8" s="25">
        <f>'Table 10'!J8/'Table 9'!J8</f>
        <v>1.991166240601052E-2</v>
      </c>
      <c r="I8" s="21">
        <f t="shared" si="0"/>
        <v>30.433090664070235</v>
      </c>
      <c r="J8" s="25">
        <f t="shared" si="0"/>
        <v>1.991166240601052E-2</v>
      </c>
      <c r="K8" s="27">
        <f>I8*'Table 9'!H8*12</f>
        <v>1163517.9222687331</v>
      </c>
      <c r="L8" s="27">
        <f>J8*'Table 9'!J8</f>
        <v>1822892.4231979339</v>
      </c>
      <c r="M8" s="27">
        <f t="shared" si="1"/>
        <v>2986410.3454666669</v>
      </c>
      <c r="N8" s="44">
        <f t="shared" si="2"/>
        <v>0.38960416944541415</v>
      </c>
      <c r="O8" s="32">
        <f t="shared" si="2"/>
        <v>0.61039583055458591</v>
      </c>
      <c r="Q8" s="4">
        <f>M8-B8-'Table 10'!K8</f>
        <v>0</v>
      </c>
    </row>
    <row r="9" spans="1:17" x14ac:dyDescent="0.3">
      <c r="A9" s="11" t="s">
        <v>22</v>
      </c>
      <c r="B9" s="244">
        <v>0</v>
      </c>
      <c r="C9" s="244">
        <f>B9*'Table 10'!L9</f>
        <v>0</v>
      </c>
      <c r="D9" s="244">
        <f>B9*'Table 10'!M9</f>
        <v>0</v>
      </c>
      <c r="E9" s="246">
        <f>C9/'Table 9'!H11/12</f>
        <v>0</v>
      </c>
      <c r="F9" s="247">
        <f>D9/'Table 9'!J11</f>
        <v>0</v>
      </c>
      <c r="G9" s="21">
        <f>'Table 10'!I9/'Table 9'!H11/12</f>
        <v>134.22189297559186</v>
      </c>
      <c r="H9" s="25">
        <f>'Table 10'!J9/'Table 9'!J11</f>
        <v>4.6483744319657641</v>
      </c>
      <c r="I9" s="21">
        <f t="shared" si="0"/>
        <v>134.22189297559186</v>
      </c>
      <c r="J9" s="25">
        <f t="shared" si="0"/>
        <v>4.6483744319657641</v>
      </c>
      <c r="K9" s="27">
        <f>I9*'Table 9'!H11*12</f>
        <v>618494.48283152725</v>
      </c>
      <c r="L9" s="27">
        <f>J9*'Table 9'!J11</f>
        <v>2890382.4636684721</v>
      </c>
      <c r="M9" s="27">
        <f t="shared" si="1"/>
        <v>3508876.9464999996</v>
      </c>
      <c r="N9" s="44">
        <f t="shared" si="2"/>
        <v>0.17626565201964609</v>
      </c>
      <c r="O9" s="32">
        <f t="shared" si="2"/>
        <v>0.82373434798035383</v>
      </c>
      <c r="Q9" s="4">
        <f>M9-B9-'Table 10'!K9</f>
        <v>0</v>
      </c>
    </row>
    <row r="10" spans="1:17" x14ac:dyDescent="0.3">
      <c r="A10" s="11" t="s">
        <v>6</v>
      </c>
      <c r="B10" s="244">
        <f>-[2]Summary!$E$18</f>
        <v>-3312.6000000000004</v>
      </c>
      <c r="C10" s="244">
        <f>B10*'Table 10'!L10</f>
        <v>-384.19440522264131</v>
      </c>
      <c r="D10" s="244">
        <f>B10*'Table 10'!M10</f>
        <v>-2928.4055947773586</v>
      </c>
      <c r="E10" s="246">
        <f>C10/'Table 9'!H12/12</f>
        <v>-1.0005062636006283</v>
      </c>
      <c r="F10" s="247">
        <f>D10/'Table 9'!J12</f>
        <v>-3.8329916162007311</v>
      </c>
      <c r="G10" s="21">
        <f>'Table 10'!I10/'Table 9'!H12/12</f>
        <v>4.2476507616598589</v>
      </c>
      <c r="H10" s="25">
        <f>'Table 10'!J10/'Table 9'!J12</f>
        <v>16.272971344924887</v>
      </c>
      <c r="I10" s="21">
        <f t="shared" si="0"/>
        <v>3.2471444980592308</v>
      </c>
      <c r="J10" s="25">
        <f t="shared" si="0"/>
        <v>12.439979728724156</v>
      </c>
      <c r="K10" s="27">
        <f>I10*'Table 9'!H12*12</f>
        <v>1246.9034872547445</v>
      </c>
      <c r="L10" s="27">
        <f>J10*'Table 9'!J12</f>
        <v>9504.1445127452553</v>
      </c>
      <c r="M10" s="27">
        <f t="shared" si="1"/>
        <v>10751.047999999999</v>
      </c>
      <c r="N10" s="44">
        <f t="shared" si="2"/>
        <v>0.11597971539655898</v>
      </c>
      <c r="O10" s="32">
        <f t="shared" si="2"/>
        <v>0.88402028460344106</v>
      </c>
      <c r="Q10" s="4">
        <f>M10-B10-'Table 10'!K10</f>
        <v>0</v>
      </c>
    </row>
    <row r="11" spans="1:17" x14ac:dyDescent="0.3">
      <c r="A11" s="11" t="s">
        <v>7</v>
      </c>
      <c r="B11" s="244">
        <f>-[2]Summary!$E$19</f>
        <v>-349296</v>
      </c>
      <c r="C11" s="244">
        <f>B11*'Table 10'!L11</f>
        <v>-265732.38417806174</v>
      </c>
      <c r="D11" s="244">
        <f>B11*'Table 10'!M11</f>
        <v>-83563.61582193822</v>
      </c>
      <c r="E11" s="246">
        <f>C11/'Table 9'!H13/12</f>
        <v>-2.4358558297406021</v>
      </c>
      <c r="F11" s="247">
        <f>D11/'Table 9'!J13</f>
        <v>-12.115936758291753</v>
      </c>
      <c r="G11" s="21">
        <f>'Table 10'!I11/'Table 9'!H13/12</f>
        <v>3.56639367816395</v>
      </c>
      <c r="H11" s="25">
        <f>'Table 10'!J11/'Table 9'!J13</f>
        <v>17.739227310676863</v>
      </c>
      <c r="I11" s="21">
        <f t="shared" si="0"/>
        <v>1.1305378484233479</v>
      </c>
      <c r="J11" s="25">
        <f t="shared" si="0"/>
        <v>5.6232905523851109</v>
      </c>
      <c r="K11" s="27">
        <f>I11*'Table 9'!H13*12</f>
        <v>123332.63496019987</v>
      </c>
      <c r="L11" s="27">
        <f>J11*'Table 9'!J13</f>
        <v>38783.834939800108</v>
      </c>
      <c r="M11" s="27">
        <f t="shared" si="1"/>
        <v>162116.46989999997</v>
      </c>
      <c r="N11" s="44">
        <f t="shared" si="2"/>
        <v>0.76076560904809021</v>
      </c>
      <c r="O11" s="32">
        <f t="shared" si="2"/>
        <v>0.23923439095190979</v>
      </c>
      <c r="Q11" s="4">
        <f>M11-B11-'Table 10'!K11</f>
        <v>0</v>
      </c>
    </row>
    <row r="12" spans="1:17" x14ac:dyDescent="0.3">
      <c r="A12" s="11" t="s">
        <v>8</v>
      </c>
      <c r="B12" s="244">
        <f>-[2]Summary!$E$20</f>
        <v>-11193.2</v>
      </c>
      <c r="C12" s="244">
        <f>B12*'Table 10'!L12</f>
        <v>-5206.4541764516107</v>
      </c>
      <c r="D12" s="244">
        <f>B12*'Table 10'!M12</f>
        <v>-5986.7458235483891</v>
      </c>
      <c r="E12" s="246">
        <f>C12/'Table 9'!H14/12</f>
        <v>-9.4319822037166858</v>
      </c>
      <c r="F12" s="247">
        <f>D12/'Table 9'!J14</f>
        <v>-1.084482711040816E-2</v>
      </c>
      <c r="G12" s="21">
        <f>'Table 10'!I12/'Table 9'!H14/12</f>
        <v>18.637723541448725</v>
      </c>
      <c r="H12" s="25">
        <f>'Table 10'!J12/'Table 9'!J14</f>
        <v>2.1429524056878382E-2</v>
      </c>
      <c r="I12" s="21">
        <f t="shared" si="0"/>
        <v>9.2057413377320394</v>
      </c>
      <c r="J12" s="25">
        <f t="shared" si="0"/>
        <v>1.0584696946470223E-2</v>
      </c>
      <c r="K12" s="27">
        <f>I12*'Table 9'!H14*12</f>
        <v>5081.5692184280861</v>
      </c>
      <c r="L12" s="27">
        <f>J12*'Table 9'!J14</f>
        <v>5843.1443482385821</v>
      </c>
      <c r="M12" s="27">
        <f t="shared" si="1"/>
        <v>10924.713566666669</v>
      </c>
      <c r="N12" s="44">
        <f t="shared" si="2"/>
        <v>0.46514438913372502</v>
      </c>
      <c r="O12" s="32">
        <f t="shared" si="2"/>
        <v>0.53485561086627487</v>
      </c>
      <c r="Q12" s="4">
        <f>M12-B12-'Table 10'!K12</f>
        <v>0</v>
      </c>
    </row>
    <row r="13" spans="1:17" x14ac:dyDescent="0.3">
      <c r="A13" s="11"/>
      <c r="B13" s="244"/>
      <c r="C13" s="244"/>
      <c r="D13" s="244"/>
      <c r="E13" s="246"/>
      <c r="F13" s="247"/>
      <c r="G13" s="11"/>
      <c r="H13" s="11"/>
      <c r="I13" s="11"/>
      <c r="J13" s="11"/>
      <c r="K13" s="11"/>
      <c r="L13" s="11"/>
      <c r="M13" s="11"/>
      <c r="N13" s="6"/>
      <c r="O13" s="11"/>
    </row>
    <row r="14" spans="1:17" x14ac:dyDescent="0.3">
      <c r="A14" s="11" t="s">
        <v>9</v>
      </c>
      <c r="B14" s="244">
        <v>0</v>
      </c>
      <c r="C14" s="244">
        <f>B14*'Table 10'!L14</f>
        <v>0</v>
      </c>
      <c r="D14" s="244">
        <f>B14*'Table 10'!M14</f>
        <v>0</v>
      </c>
      <c r="E14" s="246">
        <f>C14/'Table 9'!H16/12</f>
        <v>0</v>
      </c>
      <c r="F14" s="247">
        <f>D14/'Table 9'!J16</f>
        <v>0</v>
      </c>
      <c r="G14" s="21">
        <f>'Table 10'!I14/'Table 9'!H16/12</f>
        <v>27.194127152284537</v>
      </c>
      <c r="H14" s="25">
        <f>'Table 10'!J14/'Table 9'!J16</f>
        <v>7.5754565143057477E-3</v>
      </c>
      <c r="I14" s="21">
        <f t="shared" ref="I14:J18" si="3">E14+G14</f>
        <v>27.194127152284537</v>
      </c>
      <c r="J14" s="25">
        <f t="shared" si="3"/>
        <v>7.5754565143057477E-3</v>
      </c>
      <c r="K14" s="27">
        <f>I14*'Table 9'!H16*12</f>
        <v>2086877.3176663155</v>
      </c>
      <c r="L14" s="27">
        <f>J14*'Table 9'!J16</f>
        <v>383958.65750035096</v>
      </c>
      <c r="M14" s="27">
        <f>SUM(K14:L14)</f>
        <v>2470835.9751666663</v>
      </c>
      <c r="N14" s="44">
        <f t="shared" ref="N14:O18" si="4">K14/$M14</f>
        <v>0.84460374490279488</v>
      </c>
      <c r="O14" s="32">
        <f t="shared" si="4"/>
        <v>0.15539625509720517</v>
      </c>
      <c r="Q14" s="4">
        <f>M14-B14-'Table 10'!K14</f>
        <v>0</v>
      </c>
    </row>
    <row r="15" spans="1:17" x14ac:dyDescent="0.3">
      <c r="A15" s="11" t="s">
        <v>10</v>
      </c>
      <c r="B15" s="244">
        <v>0</v>
      </c>
      <c r="C15" s="244">
        <f>B15*'Table 10'!L15</f>
        <v>0</v>
      </c>
      <c r="D15" s="244">
        <f>B15*'Table 10'!M15</f>
        <v>0</v>
      </c>
      <c r="E15" s="246">
        <f>C15/'Table 9'!H17/12</f>
        <v>0</v>
      </c>
      <c r="F15" s="247">
        <f>D15/'Table 9'!J17</f>
        <v>0</v>
      </c>
      <c r="G15" s="21">
        <f>'Table 10'!I15/'Table 9'!H17/12</f>
        <v>21.738320316492644</v>
      </c>
      <c r="H15" s="25">
        <f>'Table 10'!J15/'Table 9'!J17</f>
        <v>1.6032808092662457E-2</v>
      </c>
      <c r="I15" s="21">
        <f t="shared" si="3"/>
        <v>21.738320316492644</v>
      </c>
      <c r="J15" s="25">
        <f t="shared" si="3"/>
        <v>1.6032808092662457E-2</v>
      </c>
      <c r="K15" s="27">
        <f>I15*'Table 9'!H17*12</f>
        <v>201383.79941198783</v>
      </c>
      <c r="L15" s="27">
        <f>J15*'Table 9'!J17</f>
        <v>390787.60852134554</v>
      </c>
      <c r="M15" s="27">
        <f>SUM(K15:L15)</f>
        <v>592171.40793333342</v>
      </c>
      <c r="N15" s="44">
        <f t="shared" si="4"/>
        <v>0.34007687084186206</v>
      </c>
      <c r="O15" s="32">
        <f t="shared" si="4"/>
        <v>0.65992312915813789</v>
      </c>
      <c r="Q15" s="4">
        <f>M15-B15-'Table 10'!K15</f>
        <v>0</v>
      </c>
    </row>
    <row r="16" spans="1:17" x14ac:dyDescent="0.3">
      <c r="A16" s="11" t="s">
        <v>11</v>
      </c>
      <c r="B16" s="244">
        <v>0</v>
      </c>
      <c r="C16" s="244">
        <f>B16*'Table 10'!L16</f>
        <v>0</v>
      </c>
      <c r="D16" s="244">
        <f>B16*'Table 10'!M16</f>
        <v>0</v>
      </c>
      <c r="E16" s="246">
        <f>C16/'Table 9'!H18/12</f>
        <v>0</v>
      </c>
      <c r="F16" s="247">
        <f>D16/'Table 9'!J18</f>
        <v>0</v>
      </c>
      <c r="G16" s="21">
        <f>'Table 10'!I16/'Table 9'!H18/12</f>
        <v>70.865609484657682</v>
      </c>
      <c r="H16" s="25">
        <f>'Table 10'!J16/'Table 9'!J18</f>
        <v>3.2006787363374722</v>
      </c>
      <c r="I16" s="21">
        <f t="shared" si="3"/>
        <v>70.865609484657682</v>
      </c>
      <c r="J16" s="25">
        <f t="shared" si="3"/>
        <v>3.2006787363374722</v>
      </c>
      <c r="K16" s="27">
        <f>I16*'Table 9'!H18*12</f>
        <v>91841.829892116366</v>
      </c>
      <c r="L16" s="27">
        <f>J16*'Table 9'!J18</f>
        <v>904278.161341217</v>
      </c>
      <c r="M16" s="27">
        <f>SUM(K16:L16)</f>
        <v>996119.99123333336</v>
      </c>
      <c r="N16" s="44">
        <f t="shared" si="4"/>
        <v>9.2199565012648296E-2</v>
      </c>
      <c r="O16" s="32">
        <f t="shared" si="4"/>
        <v>0.90780043498735175</v>
      </c>
      <c r="Q16" s="4">
        <f>M16-B16-'Table 10'!K16</f>
        <v>0</v>
      </c>
    </row>
    <row r="17" spans="1:17" x14ac:dyDescent="0.3">
      <c r="A17" s="11" t="s">
        <v>283</v>
      </c>
      <c r="B17" s="244">
        <v>0</v>
      </c>
      <c r="C17" s="244">
        <f>B17*'Table 10'!L17</f>
        <v>0</v>
      </c>
      <c r="D17" s="244">
        <f>B17*'Table 10'!M17</f>
        <v>0</v>
      </c>
      <c r="E17" s="246">
        <f>C17/'Table 9'!H19/12</f>
        <v>0</v>
      </c>
      <c r="F17" s="247">
        <f>D17/'Table 9'!J19</f>
        <v>0</v>
      </c>
      <c r="G17" s="21">
        <f>'Table 10'!I17/'Table 9'!H19/12</f>
        <v>3.2258197311339107</v>
      </c>
      <c r="H17" s="25">
        <f>'Table 10'!J17/'Table 9'!J19</f>
        <v>7.4439867488805671</v>
      </c>
      <c r="I17" s="21">
        <f t="shared" si="3"/>
        <v>3.2258197311339107</v>
      </c>
      <c r="J17" s="25">
        <f t="shared" si="3"/>
        <v>7.4439867488805671</v>
      </c>
      <c r="K17" s="27">
        <f>I17*'Table 9'!H19*12</f>
        <v>71458.358684078383</v>
      </c>
      <c r="L17" s="27">
        <f>J17*'Table 9'!J19</f>
        <v>10496.0213159216</v>
      </c>
      <c r="M17" s="27">
        <f>SUM(K17:L17)</f>
        <v>81954.379999999976</v>
      </c>
      <c r="N17" s="44">
        <f t="shared" si="4"/>
        <v>0.87192848855763905</v>
      </c>
      <c r="O17" s="32">
        <f t="shared" si="4"/>
        <v>0.12807151144236101</v>
      </c>
      <c r="Q17" s="4">
        <f>M17-B17-'Table 10'!K17</f>
        <v>0</v>
      </c>
    </row>
    <row r="18" spans="1:17" x14ac:dyDescent="0.3">
      <c r="A18" s="15" t="s">
        <v>284</v>
      </c>
      <c r="B18" s="245">
        <v>0</v>
      </c>
      <c r="C18" s="244">
        <f>B18*'Table 10'!L18</f>
        <v>0</v>
      </c>
      <c r="D18" s="244">
        <f>B18*'Table 10'!M18</f>
        <v>0</v>
      </c>
      <c r="E18" s="246">
        <f>C18/'Table 9'!H20/12</f>
        <v>0</v>
      </c>
      <c r="F18" s="247">
        <f>D18/'Table 9'!J20</f>
        <v>0</v>
      </c>
      <c r="G18" s="24">
        <f>'Table 10'!I18/'Table 9'!H20/12</f>
        <v>10.547548247781604</v>
      </c>
      <c r="H18" s="41">
        <f>'Table 10'!J18/'Table 9'!J20</f>
        <v>1.130333325221998E-2</v>
      </c>
      <c r="I18" s="21">
        <f t="shared" si="3"/>
        <v>10.547548247781604</v>
      </c>
      <c r="J18" s="25">
        <f t="shared" si="3"/>
        <v>1.130333325221998E-2</v>
      </c>
      <c r="K18" s="27">
        <f>I18*'Table 9'!H20*12</f>
        <v>1392.2763687071717</v>
      </c>
      <c r="L18" s="27">
        <f>J18*'Table 9'!J20</f>
        <v>4464.9183646261617</v>
      </c>
      <c r="M18" s="27">
        <f>SUM(K18:L18)</f>
        <v>5857.1947333333337</v>
      </c>
      <c r="N18" s="45">
        <f t="shared" si="4"/>
        <v>0.23770361616691993</v>
      </c>
      <c r="O18" s="33">
        <f t="shared" si="4"/>
        <v>0.76229638383308007</v>
      </c>
      <c r="Q18" s="4">
        <f>M18-B18-'Table 10'!K18</f>
        <v>0</v>
      </c>
    </row>
    <row r="19" spans="1:17" x14ac:dyDescent="0.3">
      <c r="A19" s="35" t="s">
        <v>3</v>
      </c>
      <c r="B19" s="42">
        <f>SUM(B7:B18)</f>
        <v>1.0913936421275139E-11</v>
      </c>
      <c r="C19" s="42">
        <f>SUM(C7:C18)</f>
        <v>92478.767240263987</v>
      </c>
      <c r="D19" s="42">
        <f>SUM(D7:D18)</f>
        <v>-92478.767240263973</v>
      </c>
      <c r="E19" s="38"/>
      <c r="F19" s="39"/>
      <c r="I19" s="39"/>
      <c r="J19" s="40"/>
      <c r="K19" s="36">
        <f>SUM(K7:K18)</f>
        <v>13659628.505960107</v>
      </c>
      <c r="L19" s="36">
        <f>SUM(L7:L18)</f>
        <v>7850535.6003065603</v>
      </c>
      <c r="M19" s="36">
        <f>SUM(M7:M18)</f>
        <v>21510164.106266666</v>
      </c>
    </row>
  </sheetData>
  <mergeCells count="5">
    <mergeCell ref="E5:J5"/>
    <mergeCell ref="K5:O5"/>
    <mergeCell ref="A4:K4"/>
    <mergeCell ref="L4:O4"/>
    <mergeCell ref="B5:D5"/>
  </mergeCells>
  <pageMargins left="0.2" right="0.2" top="0.34" bottom="0.35" header="0.17" footer="0.17"/>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workbookViewId="0">
      <selection activeCell="I28" sqref="I28"/>
    </sheetView>
  </sheetViews>
  <sheetFormatPr defaultRowHeight="14.4" x14ac:dyDescent="0.3"/>
  <cols>
    <col min="1" max="1" width="47.5546875" customWidth="1"/>
    <col min="2" max="2" width="7.88671875" bestFit="1" customWidth="1"/>
    <col min="3" max="3" width="8" bestFit="1" customWidth="1"/>
    <col min="4" max="4" width="7.88671875" bestFit="1" customWidth="1"/>
    <col min="5" max="5" width="6.44140625" customWidth="1"/>
    <col min="6" max="6" width="8.88671875" customWidth="1"/>
    <col min="7" max="7" width="7.88671875" bestFit="1" customWidth="1"/>
    <col min="8" max="8" width="9.109375" customWidth="1"/>
    <col min="9" max="9" width="12.6640625" bestFit="1" customWidth="1"/>
    <col min="10" max="10" width="12.5546875" customWidth="1"/>
    <col min="11" max="11" width="12.33203125" customWidth="1"/>
  </cols>
  <sheetData>
    <row r="1" spans="1:8" ht="18" x14ac:dyDescent="0.35">
      <c r="A1" s="1" t="str">
        <f>'Table 9'!$A$1</f>
        <v>Cost Allocation-Nov 2019 submission</v>
      </c>
      <c r="B1" s="1"/>
      <c r="C1" s="1"/>
    </row>
    <row r="4" spans="1:8" ht="15.6" x14ac:dyDescent="0.3">
      <c r="A4" s="269" t="s">
        <v>259</v>
      </c>
      <c r="B4" s="269"/>
      <c r="C4" s="269"/>
      <c r="D4" s="269"/>
      <c r="E4" s="269"/>
      <c r="F4" s="269"/>
      <c r="G4" s="269"/>
      <c r="H4" s="269"/>
    </row>
    <row r="5" spans="1:8" ht="57.6" x14ac:dyDescent="0.3">
      <c r="A5" s="251" t="s">
        <v>16</v>
      </c>
      <c r="B5" s="253" t="s">
        <v>30</v>
      </c>
      <c r="C5" s="253" t="s">
        <v>31</v>
      </c>
      <c r="D5" s="253" t="s">
        <v>295</v>
      </c>
      <c r="E5" s="253" t="s">
        <v>32</v>
      </c>
      <c r="F5" s="253" t="s">
        <v>294</v>
      </c>
      <c r="G5" s="253" t="s">
        <v>33</v>
      </c>
      <c r="H5" s="253" t="s">
        <v>44</v>
      </c>
    </row>
    <row r="6" spans="1:8" x14ac:dyDescent="0.3">
      <c r="A6" s="11" t="s">
        <v>5</v>
      </c>
      <c r="B6" s="11">
        <v>20.11</v>
      </c>
      <c r="C6" s="11">
        <v>5.69</v>
      </c>
      <c r="D6" s="23">
        <f>'Table 11'!G7</f>
        <v>22.814868317829376</v>
      </c>
      <c r="E6" s="246">
        <f>'Table 11'!E7</f>
        <v>0.92933654180205583</v>
      </c>
      <c r="F6" s="30">
        <f t="shared" ref="F6:F12" si="0">D6+E6</f>
        <v>23.744204859631431</v>
      </c>
      <c r="G6" s="30">
        <f>'Table 12'!B23</f>
        <v>27.61</v>
      </c>
      <c r="H6" s="30">
        <f>G6+E6</f>
        <v>28.539336541802054</v>
      </c>
    </row>
    <row r="7" spans="1:8" x14ac:dyDescent="0.3">
      <c r="A7" s="11" t="s">
        <v>4</v>
      </c>
      <c r="B7" s="11">
        <v>18.940000000000001</v>
      </c>
      <c r="C7" s="11">
        <v>6.97</v>
      </c>
      <c r="D7" s="21">
        <f>'Table 11'!G8</f>
        <v>30.433090664070235</v>
      </c>
      <c r="E7" s="246">
        <f>'Table 11'!E8</f>
        <v>0</v>
      </c>
      <c r="F7" s="12">
        <f t="shared" si="0"/>
        <v>30.433090664070235</v>
      </c>
      <c r="G7" s="12">
        <f>'Table 12'!B24</f>
        <v>31.01</v>
      </c>
      <c r="H7" s="12">
        <f t="shared" ref="H7:H17" si="1">G7+E7</f>
        <v>31.01</v>
      </c>
    </row>
    <row r="8" spans="1:8" x14ac:dyDescent="0.3">
      <c r="A8" s="11" t="s">
        <v>14</v>
      </c>
      <c r="B8" s="11">
        <v>79.55</v>
      </c>
      <c r="C8" s="11">
        <v>21.82</v>
      </c>
      <c r="D8" s="21">
        <f>'Table 11'!G9</f>
        <v>134.22189297559186</v>
      </c>
      <c r="E8" s="246">
        <f>'Table 11'!E9</f>
        <v>0</v>
      </c>
      <c r="F8" s="12">
        <f t="shared" si="0"/>
        <v>134.22189297559186</v>
      </c>
      <c r="G8" s="12">
        <f>'Table 12'!B25</f>
        <v>140.62</v>
      </c>
      <c r="H8" s="12">
        <f t="shared" si="1"/>
        <v>140.62</v>
      </c>
    </row>
    <row r="9" spans="1:8" x14ac:dyDescent="0.3">
      <c r="A9" s="11" t="s">
        <v>15</v>
      </c>
      <c r="B9" s="11">
        <v>79.55</v>
      </c>
      <c r="C9" s="11">
        <v>21.82</v>
      </c>
      <c r="D9" s="21">
        <f>D8</f>
        <v>134.22189297559186</v>
      </c>
      <c r="E9" s="246">
        <f>'Table 11'!E9</f>
        <v>0</v>
      </c>
      <c r="F9" s="12">
        <f t="shared" si="0"/>
        <v>134.22189297559186</v>
      </c>
      <c r="G9" s="12">
        <f>'Table 12'!B26</f>
        <v>140.62</v>
      </c>
      <c r="H9" s="12">
        <f t="shared" si="1"/>
        <v>140.62</v>
      </c>
    </row>
    <row r="10" spans="1:8" x14ac:dyDescent="0.3">
      <c r="A10" s="11" t="s">
        <v>6</v>
      </c>
      <c r="B10" s="11">
        <v>8.5399999999999991</v>
      </c>
      <c r="C10" s="11">
        <v>1.21</v>
      </c>
      <c r="D10" s="21">
        <f>'Table 11'!G10</f>
        <v>4.2476507616598589</v>
      </c>
      <c r="E10" s="246">
        <f>'Table 11'!E10</f>
        <v>-1.0005062636006283</v>
      </c>
      <c r="F10" s="12">
        <f t="shared" si="0"/>
        <v>3.2471444980592308</v>
      </c>
      <c r="G10" s="12">
        <f>'Table 12'!B27</f>
        <v>3.3</v>
      </c>
      <c r="H10" s="12">
        <f t="shared" si="1"/>
        <v>2.2994937363993717</v>
      </c>
    </row>
    <row r="11" spans="1:8" x14ac:dyDescent="0.3">
      <c r="A11" s="11" t="s">
        <v>7</v>
      </c>
      <c r="B11" s="11">
        <v>1.24</v>
      </c>
      <c r="C11" s="11">
        <v>0.26</v>
      </c>
      <c r="D11" s="21">
        <f>'Table 11'!G11</f>
        <v>3.56639367816395</v>
      </c>
      <c r="E11" s="246">
        <f>'Table 11'!E11</f>
        <v>-2.4358558297406021</v>
      </c>
      <c r="F11" s="12">
        <f t="shared" si="0"/>
        <v>1.1305378484233479</v>
      </c>
      <c r="G11" s="12">
        <f>'Table 12'!B28</f>
        <v>3.24</v>
      </c>
      <c r="H11" s="12">
        <f t="shared" si="1"/>
        <v>0.80414417025939811</v>
      </c>
    </row>
    <row r="12" spans="1:8" x14ac:dyDescent="0.3">
      <c r="A12" s="11" t="s">
        <v>8</v>
      </c>
      <c r="B12" s="11">
        <v>8.41</v>
      </c>
      <c r="C12" s="11">
        <v>1.06</v>
      </c>
      <c r="D12" s="21">
        <f>'Table 11'!G12</f>
        <v>18.637723541448725</v>
      </c>
      <c r="E12" s="246">
        <f>'Table 11'!E12</f>
        <v>-9.4319822037166858</v>
      </c>
      <c r="F12" s="12">
        <f t="shared" si="0"/>
        <v>9.2057413377320394</v>
      </c>
      <c r="G12" s="12">
        <f>'Table 12'!B29</f>
        <v>17.91</v>
      </c>
      <c r="H12" s="12">
        <f t="shared" si="1"/>
        <v>8.4780177962833143</v>
      </c>
    </row>
    <row r="13" spans="1:8" x14ac:dyDescent="0.3">
      <c r="A13" s="11"/>
      <c r="B13" s="11"/>
      <c r="C13" s="11"/>
      <c r="D13" s="11"/>
      <c r="E13" s="246"/>
      <c r="F13" s="12"/>
      <c r="G13" s="12"/>
      <c r="H13" s="12"/>
    </row>
    <row r="14" spans="1:8" x14ac:dyDescent="0.3">
      <c r="A14" s="11" t="s">
        <v>9</v>
      </c>
      <c r="B14" s="11">
        <v>23.35</v>
      </c>
      <c r="C14" s="11">
        <v>6.86</v>
      </c>
      <c r="D14" s="21">
        <f>'Table 11'!G14</f>
        <v>27.194127152284537</v>
      </c>
      <c r="E14" s="246">
        <f>'Table 11'!E15</f>
        <v>0</v>
      </c>
      <c r="F14" s="12">
        <f>D14+E14</f>
        <v>27.194127152284537</v>
      </c>
      <c r="G14" s="12">
        <f>'Table 12'!B31</f>
        <v>30.94</v>
      </c>
      <c r="H14" s="12">
        <f t="shared" si="1"/>
        <v>30.94</v>
      </c>
    </row>
    <row r="15" spans="1:8" x14ac:dyDescent="0.3">
      <c r="A15" s="11" t="s">
        <v>10</v>
      </c>
      <c r="B15" s="11">
        <v>28.91</v>
      </c>
      <c r="C15" s="11">
        <v>12.38</v>
      </c>
      <c r="D15" s="21">
        <f>'Table 11'!G15</f>
        <v>21.738320316492644</v>
      </c>
      <c r="E15" s="246">
        <f>'Table 11'!E16</f>
        <v>0</v>
      </c>
      <c r="F15" s="12">
        <f>D15+E15</f>
        <v>21.738320316492644</v>
      </c>
      <c r="G15" s="12">
        <f>'Table 12'!B32</f>
        <v>23.03</v>
      </c>
      <c r="H15" s="12">
        <f t="shared" si="1"/>
        <v>23.03</v>
      </c>
    </row>
    <row r="16" spans="1:8" x14ac:dyDescent="0.3">
      <c r="A16" s="11" t="s">
        <v>11</v>
      </c>
      <c r="B16" s="11">
        <v>51.54</v>
      </c>
      <c r="C16" s="11">
        <v>18.510000000000002</v>
      </c>
      <c r="D16" s="21">
        <f>'Table 11'!G16</f>
        <v>70.865609484657682</v>
      </c>
      <c r="E16" s="246">
        <f>'Table 11'!E17</f>
        <v>0</v>
      </c>
      <c r="F16" s="12">
        <f>D16+E16</f>
        <v>70.865609484657682</v>
      </c>
      <c r="G16" s="12">
        <f>'Table 12'!B33</f>
        <v>65.09</v>
      </c>
      <c r="H16" s="12">
        <f t="shared" si="1"/>
        <v>65.09</v>
      </c>
    </row>
    <row r="17" spans="1:8" x14ac:dyDescent="0.3">
      <c r="A17" s="11" t="s">
        <v>283</v>
      </c>
      <c r="B17" s="11">
        <v>3.56</v>
      </c>
      <c r="C17" s="11">
        <v>0.33</v>
      </c>
      <c r="D17" s="21">
        <f>'Table 11'!G17</f>
        <v>3.2258197311339107</v>
      </c>
      <c r="E17" s="246">
        <f>'Table 11'!E18</f>
        <v>0</v>
      </c>
      <c r="F17" s="12">
        <f>D17+E17</f>
        <v>3.2258197311339107</v>
      </c>
      <c r="G17" s="12">
        <f>'Table 12'!B34</f>
        <v>3.94</v>
      </c>
      <c r="H17" s="12">
        <f t="shared" si="1"/>
        <v>3.94</v>
      </c>
    </row>
    <row r="18" spans="1:8" x14ac:dyDescent="0.3">
      <c r="A18" s="15" t="s">
        <v>284</v>
      </c>
      <c r="B18" s="15">
        <v>13.45</v>
      </c>
      <c r="C18" s="15">
        <v>2.17</v>
      </c>
      <c r="D18" s="24">
        <f>'Table 11'!G18</f>
        <v>10.547548247781604</v>
      </c>
      <c r="E18" s="249">
        <f>'Table 11'!E19</f>
        <v>0</v>
      </c>
      <c r="F18" s="16">
        <f>D18+E18</f>
        <v>10.547548247781604</v>
      </c>
      <c r="G18" s="16">
        <f>'Table 12'!B35</f>
        <v>10.65</v>
      </c>
      <c r="H18" s="16">
        <f>G18+E18</f>
        <v>10.65</v>
      </c>
    </row>
    <row r="19" spans="1:8" x14ac:dyDescent="0.3">
      <c r="G19" s="3"/>
    </row>
    <row r="21" spans="1:8" ht="15.6" x14ac:dyDescent="0.3">
      <c r="A21" s="18" t="s">
        <v>45</v>
      </c>
      <c r="B21" s="8"/>
      <c r="C21" s="8"/>
      <c r="D21" s="9"/>
    </row>
    <row r="22" spans="1:8" x14ac:dyDescent="0.3">
      <c r="A22" s="19" t="s">
        <v>16</v>
      </c>
      <c r="B22" s="20" t="s">
        <v>12</v>
      </c>
      <c r="C22" s="20" t="s">
        <v>13</v>
      </c>
      <c r="D22" s="19"/>
    </row>
    <row r="23" spans="1:8" x14ac:dyDescent="0.3">
      <c r="A23" s="11" t="s">
        <v>5</v>
      </c>
      <c r="B23" s="12">
        <v>27.61</v>
      </c>
      <c r="C23" s="13">
        <v>0</v>
      </c>
      <c r="D23" s="11"/>
    </row>
    <row r="24" spans="1:8" x14ac:dyDescent="0.3">
      <c r="A24" s="11" t="s">
        <v>4</v>
      </c>
      <c r="B24" s="12">
        <v>31.01</v>
      </c>
      <c r="C24" s="11">
        <v>2.0299999999999999E-2</v>
      </c>
      <c r="D24" s="11" t="s">
        <v>1</v>
      </c>
    </row>
    <row r="25" spans="1:8" x14ac:dyDescent="0.3">
      <c r="A25" s="11" t="s">
        <v>14</v>
      </c>
      <c r="B25" s="12">
        <v>140.62</v>
      </c>
      <c r="C25" s="11">
        <v>4.8510999999999997</v>
      </c>
      <c r="D25" s="11" t="s">
        <v>2</v>
      </c>
    </row>
    <row r="26" spans="1:8" x14ac:dyDescent="0.3">
      <c r="A26" s="11" t="s">
        <v>15</v>
      </c>
      <c r="B26" s="12">
        <v>140.62</v>
      </c>
      <c r="C26" s="11">
        <v>4.9866999999999999</v>
      </c>
      <c r="D26" s="11" t="s">
        <v>2</v>
      </c>
    </row>
    <row r="27" spans="1:8" x14ac:dyDescent="0.3">
      <c r="A27" s="11" t="s">
        <v>6</v>
      </c>
      <c r="B27" s="12">
        <v>3.3</v>
      </c>
      <c r="C27" s="11">
        <v>12.6396</v>
      </c>
      <c r="D27" s="11" t="s">
        <v>2</v>
      </c>
    </row>
    <row r="28" spans="1:8" x14ac:dyDescent="0.3">
      <c r="A28" s="11" t="s">
        <v>7</v>
      </c>
      <c r="B28" s="12">
        <v>3.24</v>
      </c>
      <c r="C28" s="11">
        <v>16.108799999999999</v>
      </c>
      <c r="D28" s="11" t="s">
        <v>2</v>
      </c>
    </row>
    <row r="29" spans="1:8" x14ac:dyDescent="0.3">
      <c r="A29" s="11" t="s">
        <v>8</v>
      </c>
      <c r="B29" s="12">
        <v>17.91</v>
      </c>
      <c r="C29" s="11">
        <v>2.06E-2</v>
      </c>
      <c r="D29" s="11" t="s">
        <v>1</v>
      </c>
    </row>
    <row r="30" spans="1:8" x14ac:dyDescent="0.3">
      <c r="A30" s="11"/>
      <c r="B30" s="12"/>
      <c r="C30" s="11"/>
      <c r="D30" s="11"/>
    </row>
    <row r="31" spans="1:8" x14ac:dyDescent="0.3">
      <c r="A31" s="11" t="s">
        <v>9</v>
      </c>
      <c r="B31" s="12">
        <v>30.94</v>
      </c>
      <c r="C31" s="14">
        <v>0</v>
      </c>
      <c r="D31" s="11"/>
    </row>
    <row r="32" spans="1:8" x14ac:dyDescent="0.3">
      <c r="A32" s="11" t="s">
        <v>10</v>
      </c>
      <c r="B32" s="12">
        <v>23.03</v>
      </c>
      <c r="C32" s="14">
        <v>1.7000000000000001E-2</v>
      </c>
      <c r="D32" s="11" t="s">
        <v>1</v>
      </c>
    </row>
    <row r="33" spans="1:4" x14ac:dyDescent="0.3">
      <c r="A33" s="11" t="s">
        <v>11</v>
      </c>
      <c r="B33" s="12">
        <v>65.09</v>
      </c>
      <c r="C33" s="14">
        <v>3.3170000000000002</v>
      </c>
      <c r="D33" s="11" t="s">
        <v>2</v>
      </c>
    </row>
    <row r="34" spans="1:4" x14ac:dyDescent="0.3">
      <c r="A34" s="11" t="s">
        <v>283</v>
      </c>
      <c r="B34" s="12">
        <v>3.94</v>
      </c>
      <c r="C34" s="14">
        <v>9.0935000000000006</v>
      </c>
      <c r="D34" s="11" t="s">
        <v>2</v>
      </c>
    </row>
    <row r="35" spans="1:4" x14ac:dyDescent="0.3">
      <c r="A35" s="15" t="s">
        <v>284</v>
      </c>
      <c r="B35" s="16">
        <v>10.65</v>
      </c>
      <c r="C35" s="17">
        <v>1.14E-2</v>
      </c>
      <c r="D35" s="15" t="s">
        <v>1</v>
      </c>
    </row>
  </sheetData>
  <mergeCells count="1">
    <mergeCell ref="A4:H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7251-4251-4299-B712-05C18B551F9F}">
  <dimension ref="A1:F19"/>
  <sheetViews>
    <sheetView workbookViewId="0">
      <selection activeCell="H17" sqref="H17"/>
    </sheetView>
  </sheetViews>
  <sheetFormatPr defaultRowHeight="14.4" x14ac:dyDescent="0.3"/>
  <cols>
    <col min="1" max="1" width="47.5546875" customWidth="1"/>
    <col min="2" max="2" width="11" customWidth="1"/>
    <col min="3" max="3" width="11.21875" customWidth="1"/>
    <col min="4" max="4" width="12.5546875" customWidth="1"/>
    <col min="5" max="5" width="10.6640625" customWidth="1"/>
    <col min="6" max="6" width="12.5546875" customWidth="1"/>
    <col min="7" max="7" width="11.6640625" bestFit="1" customWidth="1"/>
    <col min="8" max="8" width="14.33203125" customWidth="1"/>
    <col min="9" max="9" width="12.6640625" bestFit="1" customWidth="1"/>
    <col min="10" max="10" width="12.5546875" customWidth="1"/>
    <col min="11" max="11" width="12.33203125" customWidth="1"/>
  </cols>
  <sheetData>
    <row r="1" spans="1:6" ht="18" x14ac:dyDescent="0.35">
      <c r="A1" s="1" t="str">
        <f>'Table 9'!$A$1</f>
        <v>Cost Allocation-Nov 2019 submission</v>
      </c>
    </row>
    <row r="4" spans="1:6" ht="15.6" x14ac:dyDescent="0.3">
      <c r="A4" s="269" t="s">
        <v>260</v>
      </c>
      <c r="B4" s="269"/>
      <c r="C4" s="269"/>
      <c r="D4" s="269"/>
      <c r="E4" s="269"/>
      <c r="F4" s="269"/>
    </row>
    <row r="5" spans="1:6" ht="43.2" x14ac:dyDescent="0.3">
      <c r="A5" s="251" t="s">
        <v>16</v>
      </c>
      <c r="B5" s="253" t="s">
        <v>296</v>
      </c>
      <c r="C5" s="253" t="s">
        <v>48</v>
      </c>
      <c r="D5" s="253" t="s">
        <v>294</v>
      </c>
      <c r="E5" s="253" t="s">
        <v>33</v>
      </c>
      <c r="F5" s="253" t="s">
        <v>44</v>
      </c>
    </row>
    <row r="6" spans="1:6" x14ac:dyDescent="0.3">
      <c r="A6" s="11" t="s">
        <v>5</v>
      </c>
      <c r="B6" s="14">
        <f>'Table 11'!H7</f>
        <v>4.9236031384768267E-3</v>
      </c>
      <c r="C6" s="247">
        <f>'Table 11'!F7</f>
        <v>0</v>
      </c>
      <c r="D6" s="22">
        <f t="shared" ref="D6:D12" si="0">B6+C6</f>
        <v>4.9236031384768267E-3</v>
      </c>
      <c r="E6" s="22">
        <f>'Table 12'!C23</f>
        <v>0</v>
      </c>
      <c r="F6" s="22">
        <f>E6+C6</f>
        <v>0</v>
      </c>
    </row>
    <row r="7" spans="1:6" x14ac:dyDescent="0.3">
      <c r="A7" s="11" t="s">
        <v>4</v>
      </c>
      <c r="B7" s="14">
        <f>'Table 11'!H8</f>
        <v>1.991166240601052E-2</v>
      </c>
      <c r="C7" s="247">
        <f>'Table 11'!F8</f>
        <v>0</v>
      </c>
      <c r="D7" s="14">
        <f t="shared" si="0"/>
        <v>1.991166240601052E-2</v>
      </c>
      <c r="E7" s="14">
        <f>'Table 12'!C24</f>
        <v>2.0299999999999999E-2</v>
      </c>
      <c r="F7" s="14">
        <f t="shared" ref="F7:F12" si="1">E7+C7</f>
        <v>2.0299999999999999E-2</v>
      </c>
    </row>
    <row r="8" spans="1:6" x14ac:dyDescent="0.3">
      <c r="A8" s="11" t="s">
        <v>14</v>
      </c>
      <c r="B8" s="14">
        <f>'Table 11'!H9</f>
        <v>4.6483744319657641</v>
      </c>
      <c r="C8" s="247">
        <f>'Table 11'!F9</f>
        <v>0</v>
      </c>
      <c r="D8" s="14">
        <f t="shared" si="0"/>
        <v>4.6483744319657641</v>
      </c>
      <c r="E8" s="14">
        <f>'Table 12'!C25</f>
        <v>4.8510999999999997</v>
      </c>
      <c r="F8" s="14">
        <f t="shared" si="1"/>
        <v>4.8510999999999997</v>
      </c>
    </row>
    <row r="9" spans="1:6" x14ac:dyDescent="0.3">
      <c r="A9" s="11" t="s">
        <v>15</v>
      </c>
      <c r="B9" s="14">
        <f>'Table 11'!H9</f>
        <v>4.6483744319657641</v>
      </c>
      <c r="C9" s="247">
        <f>'Table 11'!F9</f>
        <v>0</v>
      </c>
      <c r="D9" s="14">
        <f t="shared" si="0"/>
        <v>4.6483744319657641</v>
      </c>
      <c r="E9" s="14">
        <f>'Table 12'!C26</f>
        <v>4.9866999999999999</v>
      </c>
      <c r="F9" s="14">
        <f t="shared" si="1"/>
        <v>4.9866999999999999</v>
      </c>
    </row>
    <row r="10" spans="1:6" x14ac:dyDescent="0.3">
      <c r="A10" s="11" t="s">
        <v>6</v>
      </c>
      <c r="B10" s="14">
        <f>'Table 11'!H10</f>
        <v>16.272971344924887</v>
      </c>
      <c r="C10" s="247">
        <f>'Table 11'!F10</f>
        <v>-3.8329916162007311</v>
      </c>
      <c r="D10" s="14">
        <f t="shared" si="0"/>
        <v>12.439979728724156</v>
      </c>
      <c r="E10" s="14">
        <f>'Table 12'!C27</f>
        <v>12.6396</v>
      </c>
      <c r="F10" s="14">
        <f>E10+C10</f>
        <v>8.8066083837992686</v>
      </c>
    </row>
    <row r="11" spans="1:6" x14ac:dyDescent="0.3">
      <c r="A11" s="11" t="s">
        <v>7</v>
      </c>
      <c r="B11" s="14">
        <f>'Table 11'!H11</f>
        <v>17.739227310676863</v>
      </c>
      <c r="C11" s="247">
        <f>'Table 11'!F11</f>
        <v>-12.115936758291753</v>
      </c>
      <c r="D11" s="14">
        <f t="shared" si="0"/>
        <v>5.6232905523851109</v>
      </c>
      <c r="E11" s="14">
        <f>'Table 12'!C28</f>
        <v>16.108799999999999</v>
      </c>
      <c r="F11" s="14">
        <f t="shared" si="1"/>
        <v>3.9928632417082461</v>
      </c>
    </row>
    <row r="12" spans="1:6" x14ac:dyDescent="0.3">
      <c r="A12" s="11" t="s">
        <v>8</v>
      </c>
      <c r="B12" s="14">
        <f>'Table 11'!H12</f>
        <v>2.1429524056878382E-2</v>
      </c>
      <c r="C12" s="247">
        <f>'Table 11'!F12</f>
        <v>-1.084482711040816E-2</v>
      </c>
      <c r="D12" s="14">
        <f t="shared" si="0"/>
        <v>1.0584696946470223E-2</v>
      </c>
      <c r="E12" s="14">
        <f>'Table 12'!C29</f>
        <v>2.06E-2</v>
      </c>
      <c r="F12" s="14">
        <f t="shared" si="1"/>
        <v>9.7551728895918406E-3</v>
      </c>
    </row>
    <row r="13" spans="1:6" x14ac:dyDescent="0.3">
      <c r="A13" s="11"/>
      <c r="B13" s="11"/>
      <c r="C13" s="247"/>
      <c r="D13" s="14"/>
      <c r="E13" s="14"/>
      <c r="F13" s="14"/>
    </row>
    <row r="14" spans="1:6" x14ac:dyDescent="0.3">
      <c r="A14" s="11" t="s">
        <v>9</v>
      </c>
      <c r="B14" s="14">
        <f>'Table 11'!H14</f>
        <v>7.5754565143057477E-3</v>
      </c>
      <c r="C14" s="247">
        <f>'Table 11'!F15</f>
        <v>0</v>
      </c>
      <c r="D14" s="14">
        <f>B14+C14</f>
        <v>7.5754565143057477E-3</v>
      </c>
      <c r="E14" s="14">
        <f>'Table 12'!C31</f>
        <v>0</v>
      </c>
      <c r="F14" s="14">
        <f>E14+C14</f>
        <v>0</v>
      </c>
    </row>
    <row r="15" spans="1:6" x14ac:dyDescent="0.3">
      <c r="A15" s="11" t="s">
        <v>10</v>
      </c>
      <c r="B15" s="14">
        <f>'Table 11'!H15</f>
        <v>1.6032808092662457E-2</v>
      </c>
      <c r="C15" s="247">
        <f>'Table 11'!F16</f>
        <v>0</v>
      </c>
      <c r="D15" s="14">
        <f>B15+C15</f>
        <v>1.6032808092662457E-2</v>
      </c>
      <c r="E15" s="14">
        <f>'Table 12'!C32</f>
        <v>1.7000000000000001E-2</v>
      </c>
      <c r="F15" s="14">
        <f>E15+C15</f>
        <v>1.7000000000000001E-2</v>
      </c>
    </row>
    <row r="16" spans="1:6" x14ac:dyDescent="0.3">
      <c r="A16" s="11" t="s">
        <v>11</v>
      </c>
      <c r="B16" s="14">
        <f>'Table 11'!H16</f>
        <v>3.2006787363374722</v>
      </c>
      <c r="C16" s="247">
        <f>'Table 11'!F17</f>
        <v>0</v>
      </c>
      <c r="D16" s="14">
        <f>B16+C16</f>
        <v>3.2006787363374722</v>
      </c>
      <c r="E16" s="14">
        <f>'Table 12'!C33</f>
        <v>3.3170000000000002</v>
      </c>
      <c r="F16" s="14">
        <f>E16+C16</f>
        <v>3.3170000000000002</v>
      </c>
    </row>
    <row r="17" spans="1:6" x14ac:dyDescent="0.3">
      <c r="A17" s="11" t="s">
        <v>283</v>
      </c>
      <c r="B17" s="14">
        <f>'Table 11'!H17</f>
        <v>7.4439867488805671</v>
      </c>
      <c r="C17" s="247">
        <f>'Table 11'!F18</f>
        <v>0</v>
      </c>
      <c r="D17" s="14">
        <f>B17+C17</f>
        <v>7.4439867488805671</v>
      </c>
      <c r="E17" s="14">
        <f>'Table 12'!C34</f>
        <v>9.0935000000000006</v>
      </c>
      <c r="F17" s="14">
        <f>E17+C17</f>
        <v>9.0935000000000006</v>
      </c>
    </row>
    <row r="18" spans="1:6" x14ac:dyDescent="0.3">
      <c r="A18" s="15" t="s">
        <v>284</v>
      </c>
      <c r="B18" s="17">
        <f>'Table 11'!H18</f>
        <v>1.130333325221998E-2</v>
      </c>
      <c r="C18" s="248">
        <f>'Table 11'!F19</f>
        <v>0</v>
      </c>
      <c r="D18" s="17">
        <f>B18+C18</f>
        <v>1.130333325221998E-2</v>
      </c>
      <c r="E18" s="17">
        <f>'Table 12'!C35</f>
        <v>1.14E-2</v>
      </c>
      <c r="F18" s="17">
        <f>E18+C18</f>
        <v>1.14E-2</v>
      </c>
    </row>
    <row r="19" spans="1:6" x14ac:dyDescent="0.3">
      <c r="D19" s="47"/>
    </row>
  </sheetData>
  <mergeCells count="1">
    <mergeCell ref="A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29B1-7DC8-427F-A7B1-C039A7AC1DD7}">
  <dimension ref="A1:H19"/>
  <sheetViews>
    <sheetView workbookViewId="0">
      <selection activeCell="A4" sqref="A4:H19"/>
    </sheetView>
  </sheetViews>
  <sheetFormatPr defaultRowHeight="14.4" x14ac:dyDescent="0.3"/>
  <cols>
    <col min="1" max="1" width="40.88671875" bestFit="1" customWidth="1"/>
    <col min="2" max="2" width="9.6640625" customWidth="1"/>
    <col min="3" max="3" width="11.33203125" customWidth="1"/>
    <col min="4" max="4" width="13.21875" customWidth="1"/>
    <col min="5" max="5" width="9.6640625" customWidth="1"/>
    <col min="6" max="6" width="10.6640625" bestFit="1" customWidth="1"/>
    <col min="7" max="7" width="13" customWidth="1"/>
    <col min="8" max="8" width="9.109375" customWidth="1"/>
  </cols>
  <sheetData>
    <row r="1" spans="1:8" ht="18" x14ac:dyDescent="0.35">
      <c r="A1" s="1" t="str">
        <f>'Table 9'!$A$1</f>
        <v>Cost Allocation-Nov 2019 submission</v>
      </c>
      <c r="B1" s="1"/>
      <c r="C1" s="1"/>
    </row>
    <row r="4" spans="1:8" ht="15.6" x14ac:dyDescent="0.3">
      <c r="A4" s="262" t="s">
        <v>274</v>
      </c>
      <c r="B4" s="262"/>
      <c r="C4" s="262"/>
      <c r="D4" s="262"/>
      <c r="E4" s="262"/>
      <c r="F4" s="262"/>
      <c r="G4" s="262"/>
      <c r="H4" s="262"/>
    </row>
    <row r="5" spans="1:8" x14ac:dyDescent="0.3">
      <c r="A5" s="251"/>
      <c r="B5" s="263" t="s">
        <v>275</v>
      </c>
      <c r="C5" s="270"/>
      <c r="D5" s="264"/>
      <c r="E5" s="263" t="s">
        <v>276</v>
      </c>
      <c r="F5" s="270"/>
      <c r="G5" s="264"/>
      <c r="H5" s="271" t="s">
        <v>282</v>
      </c>
    </row>
    <row r="6" spans="1:8" ht="28.8" x14ac:dyDescent="0.3">
      <c r="A6" s="251" t="s">
        <v>16</v>
      </c>
      <c r="B6" s="253" t="s">
        <v>277</v>
      </c>
      <c r="C6" s="253" t="s">
        <v>278</v>
      </c>
      <c r="D6" s="253" t="s">
        <v>280</v>
      </c>
      <c r="E6" s="253" t="s">
        <v>277</v>
      </c>
      <c r="F6" s="253" t="s">
        <v>279</v>
      </c>
      <c r="G6" s="253" t="s">
        <v>281</v>
      </c>
      <c r="H6" s="272"/>
    </row>
    <row r="7" spans="1:8" x14ac:dyDescent="0.3">
      <c r="A7" s="11" t="s">
        <v>5</v>
      </c>
      <c r="B7" s="30">
        <f>'Table 12'!B23</f>
        <v>27.61</v>
      </c>
      <c r="C7" s="246">
        <f>'Table 11'!E7</f>
        <v>0.92933654180205583</v>
      </c>
      <c r="D7" s="30">
        <f t="shared" ref="D7:D13" si="0">B7+C7</f>
        <v>28.539336541802054</v>
      </c>
      <c r="E7" s="22">
        <v>0</v>
      </c>
      <c r="F7" s="247">
        <v>0</v>
      </c>
      <c r="G7" s="22">
        <f t="shared" ref="G7:G13" si="1">SUM(E7:F7)</f>
        <v>0</v>
      </c>
      <c r="H7" s="257">
        <v>9.1000000000000004E-3</v>
      </c>
    </row>
    <row r="8" spans="1:8" x14ac:dyDescent="0.3">
      <c r="A8" s="11" t="s">
        <v>4</v>
      </c>
      <c r="B8" s="12">
        <f>'Table 12'!B24</f>
        <v>31.01</v>
      </c>
      <c r="C8" s="246">
        <f>'Table 11'!E8</f>
        <v>0</v>
      </c>
      <c r="D8" s="12">
        <f t="shared" si="0"/>
        <v>31.01</v>
      </c>
      <c r="E8" s="14">
        <v>2.0299999999999999E-2</v>
      </c>
      <c r="F8" s="247">
        <v>0</v>
      </c>
      <c r="G8" s="14">
        <f t="shared" si="1"/>
        <v>2.0299999999999999E-2</v>
      </c>
      <c r="H8" s="257">
        <v>0</v>
      </c>
    </row>
    <row r="9" spans="1:8" x14ac:dyDescent="0.3">
      <c r="A9" s="11" t="s">
        <v>14</v>
      </c>
      <c r="B9" s="12">
        <f>'Table 12'!B25</f>
        <v>140.62</v>
      </c>
      <c r="C9" s="246">
        <f>'Table 11'!E9</f>
        <v>0</v>
      </c>
      <c r="D9" s="12">
        <f t="shared" si="0"/>
        <v>140.62</v>
      </c>
      <c r="E9" s="14">
        <v>4.8510999999999997</v>
      </c>
      <c r="F9" s="247">
        <v>0</v>
      </c>
      <c r="G9" s="14">
        <f t="shared" si="1"/>
        <v>4.8510999999999997</v>
      </c>
      <c r="H9" s="257">
        <v>0</v>
      </c>
    </row>
    <row r="10" spans="1:8" x14ac:dyDescent="0.3">
      <c r="A10" s="11" t="s">
        <v>15</v>
      </c>
      <c r="B10" s="12">
        <f>'Table 12'!B26</f>
        <v>140.62</v>
      </c>
      <c r="C10" s="246">
        <f>'Table 11'!E9</f>
        <v>0</v>
      </c>
      <c r="D10" s="12">
        <f t="shared" si="0"/>
        <v>140.62</v>
      </c>
      <c r="E10" s="14">
        <v>4.9866999999999999</v>
      </c>
      <c r="F10" s="247">
        <v>0</v>
      </c>
      <c r="G10" s="14">
        <f t="shared" si="1"/>
        <v>4.9866999999999999</v>
      </c>
      <c r="H10" s="257">
        <v>0</v>
      </c>
    </row>
    <row r="11" spans="1:8" x14ac:dyDescent="0.3">
      <c r="A11" s="11" t="s">
        <v>6</v>
      </c>
      <c r="B11" s="12">
        <f>'Table 12'!B27</f>
        <v>3.3</v>
      </c>
      <c r="C11" s="246">
        <f>'Table 11'!E10</f>
        <v>-1.0005062636006283</v>
      </c>
      <c r="D11" s="12">
        <f t="shared" si="0"/>
        <v>2.2994937363993717</v>
      </c>
      <c r="E11" s="14">
        <v>12.6396</v>
      </c>
      <c r="F11" s="247">
        <v>-3.8329916162007311</v>
      </c>
      <c r="G11" s="14">
        <f t="shared" si="1"/>
        <v>8.8066083837992686</v>
      </c>
      <c r="H11" s="260">
        <v>-9.0899999999999995E-2</v>
      </c>
    </row>
    <row r="12" spans="1:8" x14ac:dyDescent="0.3">
      <c r="A12" s="11" t="s">
        <v>7</v>
      </c>
      <c r="B12" s="12">
        <f>'Table 12'!B28</f>
        <v>3.24</v>
      </c>
      <c r="C12" s="246">
        <f>'Table 11'!E11</f>
        <v>-2.4358558297406021</v>
      </c>
      <c r="D12" s="12">
        <f t="shared" si="0"/>
        <v>0.80414417025939811</v>
      </c>
      <c r="E12" s="14">
        <v>16.108799999999999</v>
      </c>
      <c r="F12" s="247">
        <v>-12.115936758291753</v>
      </c>
      <c r="G12" s="14">
        <f t="shared" si="1"/>
        <v>3.9928632417082461</v>
      </c>
      <c r="H12" s="260">
        <v>-0.14799999999999999</v>
      </c>
    </row>
    <row r="13" spans="1:8" x14ac:dyDescent="0.3">
      <c r="A13" s="11" t="s">
        <v>8</v>
      </c>
      <c r="B13" s="12">
        <f>'Table 12'!B29</f>
        <v>17.91</v>
      </c>
      <c r="C13" s="246">
        <f>'Table 11'!E12</f>
        <v>-9.4319822037166858</v>
      </c>
      <c r="D13" s="12">
        <f t="shared" si="0"/>
        <v>8.4780177962833143</v>
      </c>
      <c r="E13" s="14">
        <v>2.06E-2</v>
      </c>
      <c r="F13" s="247">
        <v>-1.084482711040816E-2</v>
      </c>
      <c r="G13" s="14">
        <f t="shared" si="1"/>
        <v>9.7551728895918406E-3</v>
      </c>
      <c r="H13" s="260">
        <v>-0.29780000000000001</v>
      </c>
    </row>
    <row r="14" spans="1:8" x14ac:dyDescent="0.3">
      <c r="A14" s="11"/>
      <c r="B14" s="12"/>
      <c r="C14" s="246"/>
      <c r="D14" s="12"/>
      <c r="E14" s="14"/>
      <c r="F14" s="247"/>
      <c r="G14" s="14"/>
      <c r="H14" s="260"/>
    </row>
    <row r="15" spans="1:8" x14ac:dyDescent="0.3">
      <c r="A15" s="11" t="s">
        <v>9</v>
      </c>
      <c r="B15" s="12">
        <f>'Table 12'!B31</f>
        <v>30.94</v>
      </c>
      <c r="C15" s="246">
        <f>'Table 11'!E15</f>
        <v>0</v>
      </c>
      <c r="D15" s="12">
        <f>B15+C15</f>
        <v>30.94</v>
      </c>
      <c r="E15" s="14">
        <v>0</v>
      </c>
      <c r="F15" s="247">
        <v>0</v>
      </c>
      <c r="G15" s="14">
        <f>SUM(E15:F15)</f>
        <v>0</v>
      </c>
      <c r="H15" s="257">
        <v>0</v>
      </c>
    </row>
    <row r="16" spans="1:8" x14ac:dyDescent="0.3">
      <c r="A16" s="11" t="s">
        <v>10</v>
      </c>
      <c r="B16" s="12">
        <f>'Table 12'!B32</f>
        <v>23.03</v>
      </c>
      <c r="C16" s="246">
        <f>'Table 11'!E16</f>
        <v>0</v>
      </c>
      <c r="D16" s="12">
        <f>B16+C16</f>
        <v>23.03</v>
      </c>
      <c r="E16" s="14">
        <v>1.7000000000000001E-2</v>
      </c>
      <c r="F16" s="247">
        <v>0</v>
      </c>
      <c r="G16" s="14">
        <f>SUM(E16:F16)</f>
        <v>1.7000000000000001E-2</v>
      </c>
      <c r="H16" s="257">
        <v>0</v>
      </c>
    </row>
    <row r="17" spans="1:8" x14ac:dyDescent="0.3">
      <c r="A17" s="11" t="s">
        <v>11</v>
      </c>
      <c r="B17" s="12">
        <f>'Table 12'!B33</f>
        <v>65.09</v>
      </c>
      <c r="C17" s="246">
        <f>'Table 11'!E17</f>
        <v>0</v>
      </c>
      <c r="D17" s="12">
        <f>B17+C17</f>
        <v>65.09</v>
      </c>
      <c r="E17" s="14">
        <v>3.3170000000000002</v>
      </c>
      <c r="F17" s="247">
        <v>0</v>
      </c>
      <c r="G17" s="14">
        <f>SUM(E17:F17)</f>
        <v>3.3170000000000002</v>
      </c>
      <c r="H17" s="257">
        <v>0</v>
      </c>
    </row>
    <row r="18" spans="1:8" x14ac:dyDescent="0.3">
      <c r="A18" s="11" t="s">
        <v>283</v>
      </c>
      <c r="B18" s="12">
        <f>'Table 12'!B34</f>
        <v>3.94</v>
      </c>
      <c r="C18" s="246">
        <f>'Table 11'!E18</f>
        <v>0</v>
      </c>
      <c r="D18" s="12">
        <f>B18+C18</f>
        <v>3.94</v>
      </c>
      <c r="E18" s="14">
        <v>9.0935000000000006</v>
      </c>
      <c r="F18" s="247">
        <v>0</v>
      </c>
      <c r="G18" s="14">
        <f>SUM(E18:F18)</f>
        <v>9.0935000000000006</v>
      </c>
      <c r="H18" s="257">
        <v>0</v>
      </c>
    </row>
    <row r="19" spans="1:8" x14ac:dyDescent="0.3">
      <c r="A19" s="15" t="s">
        <v>284</v>
      </c>
      <c r="B19" s="16">
        <f>'Table 12'!B35</f>
        <v>10.65</v>
      </c>
      <c r="C19" s="249">
        <f>'Table 11'!E19</f>
        <v>0</v>
      </c>
      <c r="D19" s="16">
        <f>B19+C19</f>
        <v>10.65</v>
      </c>
      <c r="E19" s="17">
        <v>1.14E-2</v>
      </c>
      <c r="F19" s="248">
        <v>0</v>
      </c>
      <c r="G19" s="17">
        <f>SUM(E19:F19)</f>
        <v>1.14E-2</v>
      </c>
      <c r="H19" s="258">
        <v>0</v>
      </c>
    </row>
  </sheetData>
  <mergeCells count="4">
    <mergeCell ref="E5:G5"/>
    <mergeCell ref="B5:D5"/>
    <mergeCell ref="A4:H4"/>
    <mergeCell ref="H5: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A05D-44DD-40AD-AF34-F1DA293E187F}">
  <dimension ref="A1:D291"/>
  <sheetViews>
    <sheetView topLeftCell="A91" workbookViewId="0">
      <selection sqref="A1:D1"/>
    </sheetView>
  </sheetViews>
  <sheetFormatPr defaultRowHeight="14.4" x14ac:dyDescent="0.3"/>
  <cols>
    <col min="1" max="1" width="71.44140625" customWidth="1"/>
    <col min="2" max="2" width="18.5546875" customWidth="1"/>
    <col min="3" max="3" width="9.88671875" customWidth="1"/>
    <col min="4" max="4" width="8.5546875" customWidth="1"/>
  </cols>
  <sheetData>
    <row r="1" spans="1:4" ht="22.8" x14ac:dyDescent="0.3">
      <c r="A1" s="290" t="s">
        <v>49</v>
      </c>
      <c r="B1" s="290"/>
      <c r="C1" s="290"/>
      <c r="D1" s="290"/>
    </row>
    <row r="2" spans="1:4" ht="22.8" x14ac:dyDescent="0.3">
      <c r="A2" s="290" t="s">
        <v>50</v>
      </c>
      <c r="B2" s="290"/>
      <c r="C2" s="290"/>
      <c r="D2" s="290"/>
    </row>
    <row r="3" spans="1:4" ht="17.399999999999999" x14ac:dyDescent="0.3">
      <c r="A3" s="291" t="s">
        <v>167</v>
      </c>
      <c r="B3" s="291"/>
      <c r="C3" s="291"/>
      <c r="D3" s="291"/>
    </row>
    <row r="4" spans="1:4" ht="15.6" x14ac:dyDescent="0.3">
      <c r="A4" s="292"/>
      <c r="B4" s="292"/>
      <c r="C4" s="292"/>
      <c r="D4" s="292"/>
    </row>
    <row r="5" spans="1:4" x14ac:dyDescent="0.3">
      <c r="A5" s="293"/>
      <c r="B5" s="293"/>
      <c r="C5" s="293"/>
      <c r="D5" s="293"/>
    </row>
    <row r="6" spans="1:4" x14ac:dyDescent="0.3">
      <c r="A6" s="293"/>
      <c r="B6" s="293"/>
      <c r="C6" s="293"/>
      <c r="D6" s="293"/>
    </row>
    <row r="7" spans="1:4" x14ac:dyDescent="0.3">
      <c r="A7" s="289"/>
      <c r="B7" s="289"/>
      <c r="C7" s="289"/>
      <c r="D7" s="289"/>
    </row>
    <row r="8" spans="1:4" x14ac:dyDescent="0.3">
      <c r="A8" s="284" t="s">
        <v>51</v>
      </c>
      <c r="B8" s="279"/>
      <c r="C8" s="279"/>
      <c r="D8" s="279"/>
    </row>
    <row r="9" spans="1:4" ht="64.8" customHeight="1" x14ac:dyDescent="0.3">
      <c r="A9" s="279" t="s">
        <v>52</v>
      </c>
      <c r="B9" s="279"/>
      <c r="C9" s="279"/>
      <c r="D9" s="279"/>
    </row>
    <row r="10" spans="1:4" x14ac:dyDescent="0.3">
      <c r="A10" s="48"/>
      <c r="B10" s="48"/>
      <c r="C10" s="48"/>
      <c r="D10" s="48"/>
    </row>
    <row r="11" spans="1:4" x14ac:dyDescent="0.3">
      <c r="A11" s="286" t="s">
        <v>53</v>
      </c>
      <c r="B11" s="279"/>
      <c r="C11" s="279"/>
      <c r="D11" s="279"/>
    </row>
    <row r="12" spans="1:4" x14ac:dyDescent="0.3">
      <c r="A12" s="49"/>
      <c r="B12" s="48"/>
      <c r="C12" s="48"/>
      <c r="D12" s="48"/>
    </row>
    <row r="13" spans="1:4" ht="28.2" customHeight="1" x14ac:dyDescent="0.3">
      <c r="A13" s="279" t="s">
        <v>54</v>
      </c>
      <c r="B13" s="279"/>
      <c r="C13" s="279"/>
      <c r="D13" s="279"/>
    </row>
    <row r="14" spans="1:4" x14ac:dyDescent="0.3">
      <c r="A14" s="48"/>
      <c r="B14" s="48"/>
      <c r="C14" s="48"/>
      <c r="D14" s="48"/>
    </row>
    <row r="15" spans="1:4" ht="43.8" customHeight="1" x14ac:dyDescent="0.3">
      <c r="A15" s="279" t="s">
        <v>55</v>
      </c>
      <c r="B15" s="279"/>
      <c r="C15" s="279"/>
      <c r="D15" s="279"/>
    </row>
    <row r="16" spans="1:4" x14ac:dyDescent="0.3">
      <c r="A16" s="48"/>
      <c r="B16" s="48"/>
      <c r="C16" s="48"/>
      <c r="D16" s="48"/>
    </row>
    <row r="17" spans="1:4" ht="42" customHeight="1" x14ac:dyDescent="0.3">
      <c r="A17" s="279" t="s">
        <v>56</v>
      </c>
      <c r="B17" s="279"/>
      <c r="C17" s="279"/>
      <c r="D17" s="279"/>
    </row>
    <row r="18" spans="1:4" x14ac:dyDescent="0.3">
      <c r="A18" s="48"/>
      <c r="B18" s="48"/>
      <c r="C18" s="48"/>
      <c r="D18" s="48"/>
    </row>
    <row r="19" spans="1:4" ht="31.8" customHeight="1" x14ac:dyDescent="0.3">
      <c r="A19" s="279" t="s">
        <v>57</v>
      </c>
      <c r="B19" s="279"/>
      <c r="C19" s="279"/>
      <c r="D19" s="279"/>
    </row>
    <row r="20" spans="1:4" x14ac:dyDescent="0.3">
      <c r="A20" s="48"/>
      <c r="B20" s="48"/>
      <c r="C20" s="48"/>
      <c r="D20" s="48"/>
    </row>
    <row r="21" spans="1:4" x14ac:dyDescent="0.3">
      <c r="A21" s="282" t="s">
        <v>58</v>
      </c>
      <c r="B21" s="283"/>
      <c r="C21" s="283"/>
      <c r="D21" s="283"/>
    </row>
    <row r="22" spans="1:4" x14ac:dyDescent="0.3">
      <c r="A22" s="50"/>
      <c r="B22" s="51"/>
      <c r="C22" s="51"/>
      <c r="D22" s="51"/>
    </row>
    <row r="23" spans="1:4" x14ac:dyDescent="0.3">
      <c r="A23" s="273" t="s">
        <v>59</v>
      </c>
      <c r="B23" s="273"/>
      <c r="C23" s="52" t="s">
        <v>60</v>
      </c>
      <c r="D23" s="53">
        <f>'Table 12'!H6</f>
        <v>28.539336541802054</v>
      </c>
    </row>
    <row r="24" spans="1:4" x14ac:dyDescent="0.3">
      <c r="A24" s="273" t="s">
        <v>61</v>
      </c>
      <c r="B24" s="273"/>
      <c r="C24" s="52" t="s">
        <v>60</v>
      </c>
      <c r="D24" s="53">
        <v>-1.74</v>
      </c>
    </row>
    <row r="25" spans="1:4" x14ac:dyDescent="0.3">
      <c r="A25" s="273" t="s">
        <v>62</v>
      </c>
      <c r="B25" s="273"/>
      <c r="C25" s="52" t="s">
        <v>60</v>
      </c>
      <c r="D25" s="53">
        <v>0.56999999999999995</v>
      </c>
    </row>
    <row r="26" spans="1:4" x14ac:dyDescent="0.3">
      <c r="A26" s="273" t="s">
        <v>63</v>
      </c>
      <c r="B26" s="273"/>
      <c r="C26" s="52" t="s">
        <v>60</v>
      </c>
      <c r="D26" s="53">
        <v>-0.06</v>
      </c>
    </row>
    <row r="27" spans="1:4" ht="25.8" customHeight="1" x14ac:dyDescent="0.3">
      <c r="A27" s="273" t="s">
        <v>64</v>
      </c>
      <c r="B27" s="273"/>
      <c r="C27" s="52" t="s">
        <v>65</v>
      </c>
      <c r="D27" s="54">
        <v>5.1999999999999998E-3</v>
      </c>
    </row>
    <row r="28" spans="1:4" x14ac:dyDescent="0.3">
      <c r="A28" s="288" t="s">
        <v>66</v>
      </c>
      <c r="B28" s="288"/>
      <c r="C28" s="52" t="s">
        <v>65</v>
      </c>
      <c r="D28" s="54">
        <v>5.0000000000000001E-4</v>
      </c>
    </row>
    <row r="29" spans="1:4" ht="28.2" customHeight="1" x14ac:dyDescent="0.3">
      <c r="A29" s="273" t="s">
        <v>67</v>
      </c>
      <c r="B29" s="273"/>
      <c r="C29" s="52" t="s">
        <v>65</v>
      </c>
      <c r="D29" s="54">
        <v>-1.6999999999999999E-3</v>
      </c>
    </row>
    <row r="30" spans="1:4" ht="28.8" customHeight="1" x14ac:dyDescent="0.3">
      <c r="A30" s="273" t="s">
        <v>68</v>
      </c>
      <c r="B30" s="273"/>
      <c r="C30" s="52" t="s">
        <v>65</v>
      </c>
      <c r="D30" s="54">
        <v>8.9999999999999998E-4</v>
      </c>
    </row>
    <row r="31" spans="1:4" x14ac:dyDescent="0.3">
      <c r="A31" s="273" t="s">
        <v>69</v>
      </c>
      <c r="B31" s="273"/>
      <c r="C31" s="52" t="s">
        <v>65</v>
      </c>
      <c r="D31" s="54">
        <v>7.4000000000000003E-3</v>
      </c>
    </row>
    <row r="32" spans="1:4" x14ac:dyDescent="0.3">
      <c r="A32" s="273" t="s">
        <v>70</v>
      </c>
      <c r="B32" s="273"/>
      <c r="C32" s="52" t="s">
        <v>65</v>
      </c>
      <c r="D32" s="54">
        <v>6.7999999999999996E-3</v>
      </c>
    </row>
    <row r="33" spans="1:4" x14ac:dyDescent="0.3">
      <c r="A33" s="55"/>
      <c r="B33" s="55"/>
      <c r="C33" s="52"/>
      <c r="D33" s="54"/>
    </row>
    <row r="34" spans="1:4" x14ac:dyDescent="0.3">
      <c r="A34" s="282" t="s">
        <v>71</v>
      </c>
      <c r="B34" s="273"/>
      <c r="C34" s="273"/>
      <c r="D34" s="273"/>
    </row>
    <row r="35" spans="1:4" x14ac:dyDescent="0.3">
      <c r="A35" s="50"/>
      <c r="B35" s="55"/>
      <c r="C35" s="55"/>
      <c r="D35" s="55"/>
    </row>
    <row r="36" spans="1:4" x14ac:dyDescent="0.3">
      <c r="A36" s="273" t="s">
        <v>72</v>
      </c>
      <c r="B36" s="273"/>
      <c r="C36" s="52" t="s">
        <v>65</v>
      </c>
      <c r="D36" s="54">
        <v>3.0000000000000001E-3</v>
      </c>
    </row>
    <row r="37" spans="1:4" x14ac:dyDescent="0.3">
      <c r="A37" s="287" t="s">
        <v>73</v>
      </c>
      <c r="B37" s="287"/>
      <c r="C37" s="52" t="s">
        <v>65</v>
      </c>
      <c r="D37" s="54">
        <v>4.0000000000000002E-4</v>
      </c>
    </row>
    <row r="38" spans="1:4" x14ac:dyDescent="0.3">
      <c r="A38" s="273" t="s">
        <v>74</v>
      </c>
      <c r="B38" s="273"/>
      <c r="C38" s="52" t="s">
        <v>65</v>
      </c>
      <c r="D38" s="54">
        <v>5.0000000000000001E-4</v>
      </c>
    </row>
    <row r="39" spans="1:4" x14ac:dyDescent="0.3">
      <c r="A39" s="273" t="s">
        <v>75</v>
      </c>
      <c r="B39" s="273"/>
      <c r="C39" s="52" t="s">
        <v>60</v>
      </c>
      <c r="D39" s="53">
        <v>0.25</v>
      </c>
    </row>
    <row r="40" spans="1:4" ht="17.399999999999999" x14ac:dyDescent="0.3">
      <c r="A40" s="284" t="s">
        <v>76</v>
      </c>
      <c r="B40" s="285"/>
      <c r="C40" s="285"/>
      <c r="D40" s="285"/>
    </row>
    <row r="41" spans="1:4" ht="43.2" customHeight="1" x14ac:dyDescent="0.3">
      <c r="A41" s="279" t="s">
        <v>77</v>
      </c>
      <c r="B41" s="279"/>
      <c r="C41" s="279"/>
      <c r="D41" s="279"/>
    </row>
    <row r="42" spans="1:4" x14ac:dyDescent="0.3">
      <c r="A42" s="48"/>
      <c r="B42" s="48"/>
      <c r="C42" s="48"/>
      <c r="D42" s="48"/>
    </row>
    <row r="43" spans="1:4" x14ac:dyDescent="0.3">
      <c r="A43" s="286" t="s">
        <v>53</v>
      </c>
      <c r="B43" s="279"/>
      <c r="C43" s="279"/>
      <c r="D43" s="279"/>
    </row>
    <row r="44" spans="1:4" x14ac:dyDescent="0.3">
      <c r="A44" s="49"/>
      <c r="B44" s="48"/>
      <c r="C44" s="48"/>
      <c r="D44" s="48"/>
    </row>
    <row r="45" spans="1:4" ht="29.4" customHeight="1" x14ac:dyDescent="0.3">
      <c r="A45" s="279" t="s">
        <v>78</v>
      </c>
      <c r="B45" s="279"/>
      <c r="C45" s="279"/>
      <c r="D45" s="279"/>
    </row>
    <row r="46" spans="1:4" x14ac:dyDescent="0.3">
      <c r="A46" s="48"/>
      <c r="B46" s="48"/>
      <c r="C46" s="48"/>
      <c r="D46" s="48"/>
    </row>
    <row r="47" spans="1:4" ht="38.4" customHeight="1" x14ac:dyDescent="0.3">
      <c r="A47" s="279" t="s">
        <v>55</v>
      </c>
      <c r="B47" s="279"/>
      <c r="C47" s="279"/>
      <c r="D47" s="279"/>
    </row>
    <row r="48" spans="1:4" x14ac:dyDescent="0.3">
      <c r="A48" s="48"/>
      <c r="B48" s="48"/>
      <c r="C48" s="48"/>
      <c r="D48" s="48"/>
    </row>
    <row r="49" spans="1:4" ht="40.200000000000003" customHeight="1" x14ac:dyDescent="0.3">
      <c r="A49" s="279" t="s">
        <v>56</v>
      </c>
      <c r="B49" s="279"/>
      <c r="C49" s="279"/>
      <c r="D49" s="279"/>
    </row>
    <row r="50" spans="1:4" x14ac:dyDescent="0.3">
      <c r="A50" s="48"/>
      <c r="B50" s="48"/>
      <c r="C50" s="48"/>
      <c r="D50" s="48"/>
    </row>
    <row r="51" spans="1:4" ht="28.2" customHeight="1" x14ac:dyDescent="0.3">
      <c r="A51" s="279" t="s">
        <v>57</v>
      </c>
      <c r="B51" s="279"/>
      <c r="C51" s="279"/>
      <c r="D51" s="279"/>
    </row>
    <row r="52" spans="1:4" x14ac:dyDescent="0.3">
      <c r="A52" s="48"/>
      <c r="B52" s="48"/>
      <c r="C52" s="48"/>
      <c r="D52" s="48"/>
    </row>
    <row r="53" spans="1:4" x14ac:dyDescent="0.3">
      <c r="A53" s="282" t="s">
        <v>58</v>
      </c>
      <c r="B53" s="283"/>
      <c r="C53" s="283"/>
      <c r="D53" s="283"/>
    </row>
    <row r="54" spans="1:4" x14ac:dyDescent="0.3">
      <c r="A54" s="50"/>
      <c r="B54" s="51"/>
      <c r="C54" s="51"/>
      <c r="D54" s="51"/>
    </row>
    <row r="55" spans="1:4" x14ac:dyDescent="0.3">
      <c r="A55" s="273" t="s">
        <v>59</v>
      </c>
      <c r="B55" s="273"/>
      <c r="C55" s="52" t="s">
        <v>60</v>
      </c>
      <c r="D55" s="53">
        <v>31.01</v>
      </c>
    </row>
    <row r="56" spans="1:4" x14ac:dyDescent="0.3">
      <c r="A56" s="273" t="s">
        <v>62</v>
      </c>
      <c r="B56" s="273"/>
      <c r="C56" s="52" t="s">
        <v>60</v>
      </c>
      <c r="D56" s="53">
        <v>0.56999999999999995</v>
      </c>
    </row>
    <row r="57" spans="1:4" x14ac:dyDescent="0.3">
      <c r="A57" s="273" t="s">
        <v>79</v>
      </c>
      <c r="B57" s="273"/>
      <c r="C57" s="52" t="s">
        <v>65</v>
      </c>
      <c r="D57" s="54">
        <v>2.0299999999999999E-2</v>
      </c>
    </row>
    <row r="58" spans="1:4" ht="25.2" customHeight="1" x14ac:dyDescent="0.3">
      <c r="A58" s="273" t="s">
        <v>64</v>
      </c>
      <c r="B58" s="273"/>
      <c r="C58" s="52" t="s">
        <v>65</v>
      </c>
      <c r="D58" s="54">
        <v>5.1999999999999998E-3</v>
      </c>
    </row>
    <row r="59" spans="1:4" ht="24.6" customHeight="1" x14ac:dyDescent="0.3">
      <c r="A59" s="273" t="s">
        <v>80</v>
      </c>
      <c r="B59" s="273"/>
      <c r="C59" s="52" t="s">
        <v>65</v>
      </c>
      <c r="D59" s="54">
        <v>1.5E-3</v>
      </c>
    </row>
    <row r="60" spans="1:4" ht="24" customHeight="1" x14ac:dyDescent="0.3">
      <c r="A60" s="273" t="s">
        <v>67</v>
      </c>
      <c r="B60" s="273"/>
      <c r="C60" s="52" t="s">
        <v>65</v>
      </c>
      <c r="D60" s="54">
        <v>-1.8E-3</v>
      </c>
    </row>
    <row r="61" spans="1:4" ht="25.8" customHeight="1" x14ac:dyDescent="0.3">
      <c r="A61" s="273" t="s">
        <v>68</v>
      </c>
      <c r="B61" s="273"/>
      <c r="C61" s="52" t="s">
        <v>65</v>
      </c>
      <c r="D61" s="54">
        <v>8.9999999999999998E-4</v>
      </c>
    </row>
    <row r="62" spans="1:4" x14ac:dyDescent="0.3">
      <c r="A62" s="273" t="s">
        <v>63</v>
      </c>
      <c r="B62" s="273"/>
      <c r="C62" s="52" t="s">
        <v>65</v>
      </c>
      <c r="D62" s="54">
        <v>-1E-4</v>
      </c>
    </row>
    <row r="63" spans="1:4" x14ac:dyDescent="0.3">
      <c r="A63" s="273" t="s">
        <v>61</v>
      </c>
      <c r="B63" s="273"/>
      <c r="C63" s="52" t="s">
        <v>65</v>
      </c>
      <c r="D63" s="54">
        <v>-2.5999999999999999E-3</v>
      </c>
    </row>
    <row r="64" spans="1:4" x14ac:dyDescent="0.3">
      <c r="A64" s="273" t="s">
        <v>69</v>
      </c>
      <c r="B64" s="273"/>
      <c r="C64" s="52" t="s">
        <v>65</v>
      </c>
      <c r="D64" s="54">
        <v>6.7999999999999996E-3</v>
      </c>
    </row>
    <row r="65" spans="1:4" x14ac:dyDescent="0.3">
      <c r="A65" s="273" t="s">
        <v>70</v>
      </c>
      <c r="B65" s="273"/>
      <c r="C65" s="52" t="s">
        <v>65</v>
      </c>
      <c r="D65" s="54">
        <v>6.1000000000000004E-3</v>
      </c>
    </row>
    <row r="66" spans="1:4" x14ac:dyDescent="0.3">
      <c r="A66" s="55"/>
      <c r="B66" s="55"/>
      <c r="C66" s="52"/>
      <c r="D66" s="54"/>
    </row>
    <row r="67" spans="1:4" x14ac:dyDescent="0.3">
      <c r="A67" s="282" t="s">
        <v>71</v>
      </c>
      <c r="B67" s="273"/>
      <c r="C67" s="273"/>
      <c r="D67" s="273"/>
    </row>
    <row r="68" spans="1:4" x14ac:dyDescent="0.3">
      <c r="A68" s="50"/>
      <c r="B68" s="55"/>
      <c r="C68" s="55"/>
      <c r="D68" s="55"/>
    </row>
    <row r="69" spans="1:4" x14ac:dyDescent="0.3">
      <c r="A69" s="273" t="s">
        <v>72</v>
      </c>
      <c r="B69" s="273"/>
      <c r="C69" s="52" t="s">
        <v>65</v>
      </c>
      <c r="D69" s="54">
        <v>3.0000000000000001E-3</v>
      </c>
    </row>
    <row r="70" spans="1:4" x14ac:dyDescent="0.3">
      <c r="A70" s="287" t="s">
        <v>73</v>
      </c>
      <c r="B70" s="287"/>
      <c r="C70" s="52" t="s">
        <v>65</v>
      </c>
      <c r="D70" s="54">
        <v>4.0000000000000002E-4</v>
      </c>
    </row>
    <row r="71" spans="1:4" x14ac:dyDescent="0.3">
      <c r="A71" s="273" t="s">
        <v>74</v>
      </c>
      <c r="B71" s="273"/>
      <c r="C71" s="52" t="s">
        <v>65</v>
      </c>
      <c r="D71" s="54">
        <v>5.0000000000000001E-4</v>
      </c>
    </row>
    <row r="72" spans="1:4" x14ac:dyDescent="0.3">
      <c r="A72" s="273" t="s">
        <v>75</v>
      </c>
      <c r="B72" s="273"/>
      <c r="C72" s="52" t="s">
        <v>60</v>
      </c>
      <c r="D72" s="53">
        <v>0.25</v>
      </c>
    </row>
    <row r="73" spans="1:4" ht="17.399999999999999" x14ac:dyDescent="0.3">
      <c r="A73" s="284" t="s">
        <v>81</v>
      </c>
      <c r="B73" s="285"/>
      <c r="C73" s="285"/>
      <c r="D73" s="285"/>
    </row>
    <row r="74" spans="1:4" ht="96" customHeight="1" x14ac:dyDescent="0.3">
      <c r="A74" s="279" t="s">
        <v>82</v>
      </c>
      <c r="B74" s="279"/>
      <c r="C74" s="279"/>
      <c r="D74" s="279"/>
    </row>
    <row r="75" spans="1:4" x14ac:dyDescent="0.3">
      <c r="A75" s="48"/>
      <c r="B75" s="48"/>
      <c r="C75" s="48"/>
      <c r="D75" s="48"/>
    </row>
    <row r="76" spans="1:4" x14ac:dyDescent="0.3">
      <c r="A76" s="286" t="s">
        <v>53</v>
      </c>
      <c r="B76" s="279"/>
      <c r="C76" s="279"/>
      <c r="D76" s="279"/>
    </row>
    <row r="77" spans="1:4" x14ac:dyDescent="0.3">
      <c r="A77" s="49"/>
      <c r="B77" s="48"/>
      <c r="C77" s="48"/>
      <c r="D77" s="48"/>
    </row>
    <row r="78" spans="1:4" ht="28.8" customHeight="1" x14ac:dyDescent="0.3">
      <c r="A78" s="279" t="s">
        <v>54</v>
      </c>
      <c r="B78" s="279"/>
      <c r="C78" s="279"/>
      <c r="D78" s="279"/>
    </row>
    <row r="79" spans="1:4" x14ac:dyDescent="0.3">
      <c r="A79" s="48"/>
      <c r="B79" s="48"/>
      <c r="C79" s="48"/>
      <c r="D79" s="48"/>
    </row>
    <row r="80" spans="1:4" ht="34.799999999999997" customHeight="1" x14ac:dyDescent="0.3">
      <c r="A80" s="279" t="s">
        <v>83</v>
      </c>
      <c r="B80" s="279"/>
      <c r="C80" s="279"/>
      <c r="D80" s="279"/>
    </row>
    <row r="81" spans="1:4" x14ac:dyDescent="0.3">
      <c r="A81" s="48"/>
      <c r="B81" s="48"/>
      <c r="C81" s="48"/>
      <c r="D81" s="48"/>
    </row>
    <row r="82" spans="1:4" ht="39.6" customHeight="1" x14ac:dyDescent="0.3">
      <c r="A82" s="279" t="s">
        <v>56</v>
      </c>
      <c r="B82" s="279"/>
      <c r="C82" s="279"/>
      <c r="D82" s="279"/>
    </row>
    <row r="83" spans="1:4" x14ac:dyDescent="0.3">
      <c r="A83" s="48"/>
      <c r="B83" s="48"/>
      <c r="C83" s="48"/>
      <c r="D83" s="48"/>
    </row>
    <row r="84" spans="1:4" ht="59.4" customHeight="1" x14ac:dyDescent="0.3">
      <c r="A84" s="279" t="s">
        <v>84</v>
      </c>
      <c r="B84" s="279"/>
      <c r="C84" s="279"/>
      <c r="D84" s="279"/>
    </row>
    <row r="85" spans="1:4" x14ac:dyDescent="0.3">
      <c r="A85" s="48"/>
      <c r="B85" s="48"/>
      <c r="C85" s="48"/>
      <c r="D85" s="48"/>
    </row>
    <row r="86" spans="1:4" ht="28.8" customHeight="1" x14ac:dyDescent="0.3">
      <c r="A86" s="279" t="s">
        <v>57</v>
      </c>
      <c r="B86" s="279"/>
      <c r="C86" s="279"/>
      <c r="D86" s="279"/>
    </row>
    <row r="87" spans="1:4" x14ac:dyDescent="0.3">
      <c r="A87" s="48"/>
      <c r="B87" s="48"/>
      <c r="C87" s="48"/>
      <c r="D87" s="48"/>
    </row>
    <row r="88" spans="1:4" x14ac:dyDescent="0.3">
      <c r="A88" s="282" t="s">
        <v>58</v>
      </c>
      <c r="B88" s="283"/>
      <c r="C88" s="283"/>
      <c r="D88" s="283"/>
    </row>
    <row r="89" spans="1:4" x14ac:dyDescent="0.3">
      <c r="A89" s="50"/>
      <c r="B89" s="51"/>
      <c r="C89" s="51"/>
      <c r="D89" s="51"/>
    </row>
    <row r="90" spans="1:4" x14ac:dyDescent="0.3">
      <c r="A90" s="273" t="s">
        <v>59</v>
      </c>
      <c r="B90" s="273"/>
      <c r="C90" s="52" t="s">
        <v>60</v>
      </c>
      <c r="D90" s="53">
        <v>140.62</v>
      </c>
    </row>
    <row r="91" spans="1:4" x14ac:dyDescent="0.3">
      <c r="A91" s="273" t="s">
        <v>85</v>
      </c>
      <c r="B91" s="273"/>
      <c r="C91" s="52" t="s">
        <v>86</v>
      </c>
      <c r="D91" s="54">
        <v>4.8510999999999997</v>
      </c>
    </row>
    <row r="92" spans="1:4" x14ac:dyDescent="0.3">
      <c r="A92" s="273" t="s">
        <v>87</v>
      </c>
      <c r="B92" s="273"/>
      <c r="C92" s="52" t="s">
        <v>86</v>
      </c>
      <c r="D92" s="54">
        <v>4.9866999999999999</v>
      </c>
    </row>
    <row r="93" spans="1:4" ht="25.8" customHeight="1" x14ac:dyDescent="0.3">
      <c r="A93" s="273" t="s">
        <v>88</v>
      </c>
      <c r="B93" s="273"/>
      <c r="C93" s="52" t="s">
        <v>65</v>
      </c>
      <c r="D93" s="54">
        <v>5.1999999999999998E-3</v>
      </c>
    </row>
    <row r="94" spans="1:4" ht="25.8" customHeight="1" x14ac:dyDescent="0.3">
      <c r="A94" s="273" t="s">
        <v>80</v>
      </c>
      <c r="B94" s="273"/>
      <c r="C94" s="52" t="s">
        <v>86</v>
      </c>
      <c r="D94" s="54">
        <v>0.23039999999999999</v>
      </c>
    </row>
    <row r="95" spans="1:4" ht="24.6" customHeight="1" x14ac:dyDescent="0.3">
      <c r="A95" s="273" t="s">
        <v>89</v>
      </c>
      <c r="B95" s="273"/>
      <c r="C95" s="52" t="s">
        <v>86</v>
      </c>
      <c r="D95" s="54">
        <v>-1.0680000000000001</v>
      </c>
    </row>
    <row r="96" spans="1:4" ht="23.4" customHeight="1" x14ac:dyDescent="0.3">
      <c r="A96" s="273" t="s">
        <v>67</v>
      </c>
      <c r="B96" s="273"/>
      <c r="C96" s="52" t="s">
        <v>86</v>
      </c>
      <c r="D96" s="54">
        <v>0.39350000000000002</v>
      </c>
    </row>
    <row r="97" spans="1:4" ht="22.8" customHeight="1" x14ac:dyDescent="0.3">
      <c r="A97" s="273" t="s">
        <v>90</v>
      </c>
      <c r="B97" s="273"/>
      <c r="C97" s="52" t="s">
        <v>86</v>
      </c>
      <c r="D97" s="54">
        <v>0.2928</v>
      </c>
    </row>
    <row r="98" spans="1:4" x14ac:dyDescent="0.3">
      <c r="A98" s="273" t="s">
        <v>63</v>
      </c>
      <c r="B98" s="273"/>
      <c r="C98" s="52" t="s">
        <v>86</v>
      </c>
      <c r="D98" s="54">
        <v>-1.38E-2</v>
      </c>
    </row>
    <row r="99" spans="1:4" x14ac:dyDescent="0.3">
      <c r="A99" s="273" t="s">
        <v>61</v>
      </c>
      <c r="B99" s="273"/>
      <c r="C99" s="52" t="s">
        <v>86</v>
      </c>
      <c r="D99" s="54">
        <v>-0.95479999999999998</v>
      </c>
    </row>
    <row r="100" spans="1:4" x14ac:dyDescent="0.3">
      <c r="A100" s="273" t="s">
        <v>69</v>
      </c>
      <c r="B100" s="273"/>
      <c r="C100" s="52" t="s">
        <v>86</v>
      </c>
      <c r="D100" s="54">
        <v>2.7219000000000002</v>
      </c>
    </row>
    <row r="101" spans="1:4" x14ac:dyDescent="0.3">
      <c r="A101" s="273" t="s">
        <v>70</v>
      </c>
      <c r="B101" s="273"/>
      <c r="C101" s="52" t="s">
        <v>86</v>
      </c>
      <c r="D101" s="54">
        <v>2.3864999999999998</v>
      </c>
    </row>
    <row r="102" spans="1:4" x14ac:dyDescent="0.3">
      <c r="A102" s="55"/>
      <c r="B102" s="55"/>
      <c r="C102" s="52"/>
      <c r="D102" s="54"/>
    </row>
    <row r="103" spans="1:4" x14ac:dyDescent="0.3">
      <c r="A103" s="282" t="s">
        <v>71</v>
      </c>
      <c r="B103" s="273"/>
      <c r="C103" s="273"/>
      <c r="D103" s="273"/>
    </row>
    <row r="104" spans="1:4" x14ac:dyDescent="0.3">
      <c r="A104" s="50"/>
      <c r="B104" s="55"/>
      <c r="C104" s="55"/>
      <c r="D104" s="55"/>
    </row>
    <row r="105" spans="1:4" x14ac:dyDescent="0.3">
      <c r="A105" s="273" t="s">
        <v>72</v>
      </c>
      <c r="B105" s="273"/>
      <c r="C105" s="52" t="s">
        <v>65</v>
      </c>
      <c r="D105" s="54">
        <v>3.0000000000000001E-3</v>
      </c>
    </row>
    <row r="106" spans="1:4" x14ac:dyDescent="0.3">
      <c r="A106" s="287" t="s">
        <v>73</v>
      </c>
      <c r="B106" s="287"/>
      <c r="C106" s="52" t="s">
        <v>65</v>
      </c>
      <c r="D106" s="54">
        <v>4.0000000000000002E-4</v>
      </c>
    </row>
    <row r="107" spans="1:4" x14ac:dyDescent="0.3">
      <c r="A107" s="273" t="s">
        <v>74</v>
      </c>
      <c r="B107" s="273"/>
      <c r="C107" s="52" t="s">
        <v>65</v>
      </c>
      <c r="D107" s="54">
        <v>5.0000000000000001E-4</v>
      </c>
    </row>
    <row r="108" spans="1:4" x14ac:dyDescent="0.3">
      <c r="A108" s="273" t="s">
        <v>75</v>
      </c>
      <c r="B108" s="273"/>
      <c r="C108" s="52" t="s">
        <v>60</v>
      </c>
      <c r="D108" s="53">
        <v>0.25</v>
      </c>
    </row>
    <row r="109" spans="1:4" ht="17.399999999999999" x14ac:dyDescent="0.3">
      <c r="A109" s="284" t="s">
        <v>91</v>
      </c>
      <c r="B109" s="285"/>
      <c r="C109" s="285"/>
      <c r="D109" s="285"/>
    </row>
    <row r="110" spans="1:4" ht="64.8" customHeight="1" x14ac:dyDescent="0.3">
      <c r="A110" s="279" t="s">
        <v>92</v>
      </c>
      <c r="B110" s="279"/>
      <c r="C110" s="279"/>
      <c r="D110" s="279"/>
    </row>
    <row r="111" spans="1:4" x14ac:dyDescent="0.3">
      <c r="A111" s="48"/>
      <c r="B111" s="48"/>
      <c r="C111" s="48"/>
      <c r="D111" s="48"/>
    </row>
    <row r="112" spans="1:4" x14ac:dyDescent="0.3">
      <c r="A112" s="286" t="s">
        <v>53</v>
      </c>
      <c r="B112" s="279"/>
      <c r="C112" s="279"/>
      <c r="D112" s="279"/>
    </row>
    <row r="113" spans="1:4" x14ac:dyDescent="0.3">
      <c r="A113" s="49"/>
      <c r="B113" s="48"/>
      <c r="C113" s="48"/>
      <c r="D113" s="48"/>
    </row>
    <row r="114" spans="1:4" ht="28.8" customHeight="1" x14ac:dyDescent="0.3">
      <c r="A114" s="279" t="s">
        <v>78</v>
      </c>
      <c r="B114" s="279"/>
      <c r="C114" s="279"/>
      <c r="D114" s="279"/>
    </row>
    <row r="115" spans="1:4" x14ac:dyDescent="0.3">
      <c r="A115" s="48"/>
      <c r="B115" s="48"/>
      <c r="C115" s="48"/>
      <c r="D115" s="48"/>
    </row>
    <row r="116" spans="1:4" ht="39" customHeight="1" x14ac:dyDescent="0.3">
      <c r="A116" s="279" t="s">
        <v>83</v>
      </c>
      <c r="B116" s="279"/>
      <c r="C116" s="279"/>
      <c r="D116" s="279"/>
    </row>
    <row r="117" spans="1:4" x14ac:dyDescent="0.3">
      <c r="A117" s="48"/>
      <c r="B117" s="48"/>
      <c r="C117" s="48"/>
      <c r="D117" s="48"/>
    </row>
    <row r="118" spans="1:4" ht="39.6" customHeight="1" x14ac:dyDescent="0.3">
      <c r="A118" s="279" t="s">
        <v>56</v>
      </c>
      <c r="B118" s="279"/>
      <c r="C118" s="279"/>
      <c r="D118" s="279"/>
    </row>
    <row r="119" spans="1:4" x14ac:dyDescent="0.3">
      <c r="A119" s="48"/>
      <c r="B119" s="48"/>
      <c r="C119" s="48"/>
      <c r="D119" s="48"/>
    </row>
    <row r="120" spans="1:4" ht="27.6" customHeight="1" x14ac:dyDescent="0.3">
      <c r="A120" s="279" t="s">
        <v>57</v>
      </c>
      <c r="B120" s="279"/>
      <c r="C120" s="279"/>
      <c r="D120" s="279"/>
    </row>
    <row r="121" spans="1:4" x14ac:dyDescent="0.3">
      <c r="A121" s="48"/>
      <c r="B121" s="48"/>
      <c r="C121" s="48"/>
      <c r="D121" s="48"/>
    </row>
    <row r="122" spans="1:4" x14ac:dyDescent="0.3">
      <c r="A122" s="282" t="s">
        <v>58</v>
      </c>
      <c r="B122" s="283"/>
      <c r="C122" s="283"/>
      <c r="D122" s="283"/>
    </row>
    <row r="123" spans="1:4" x14ac:dyDescent="0.3">
      <c r="A123" s="50"/>
      <c r="B123" s="51"/>
      <c r="C123" s="51"/>
      <c r="D123" s="51"/>
    </row>
    <row r="124" spans="1:4" x14ac:dyDescent="0.3">
      <c r="A124" s="273" t="s">
        <v>59</v>
      </c>
      <c r="B124" s="273"/>
      <c r="C124" s="52" t="s">
        <v>60</v>
      </c>
      <c r="D124" s="53">
        <f>'Table 12'!H12</f>
        <v>8.4780177962833143</v>
      </c>
    </row>
    <row r="125" spans="1:4" x14ac:dyDescent="0.3">
      <c r="A125" s="273" t="s">
        <v>79</v>
      </c>
      <c r="B125" s="273"/>
      <c r="C125" s="52" t="s">
        <v>65</v>
      </c>
      <c r="D125" s="54">
        <f>'Table 13'!F12</f>
        <v>9.7551728895918406E-3</v>
      </c>
    </row>
    <row r="126" spans="1:4" ht="28.2" customHeight="1" x14ac:dyDescent="0.3">
      <c r="A126" s="273" t="s">
        <v>93</v>
      </c>
      <c r="B126" s="273"/>
      <c r="C126" s="52" t="s">
        <v>65</v>
      </c>
      <c r="D126" s="54">
        <v>8.9999999999999998E-4</v>
      </c>
    </row>
    <row r="127" spans="1:4" ht="25.2" customHeight="1" x14ac:dyDescent="0.3">
      <c r="A127" s="273" t="s">
        <v>67</v>
      </c>
      <c r="B127" s="273"/>
      <c r="C127" s="52" t="s">
        <v>65</v>
      </c>
      <c r="D127" s="54">
        <v>-1.8E-3</v>
      </c>
    </row>
    <row r="128" spans="1:4" x14ac:dyDescent="0.3">
      <c r="A128" s="273" t="s">
        <v>63</v>
      </c>
      <c r="B128" s="273"/>
      <c r="C128" s="52" t="s">
        <v>65</v>
      </c>
      <c r="D128" s="54">
        <v>-2.9999999999999997E-4</v>
      </c>
    </row>
    <row r="129" spans="1:4" x14ac:dyDescent="0.3">
      <c r="A129" s="273" t="s">
        <v>61</v>
      </c>
      <c r="B129" s="273"/>
      <c r="C129" s="52" t="s">
        <v>65</v>
      </c>
      <c r="D129" s="54">
        <v>-2.5999999999999999E-3</v>
      </c>
    </row>
    <row r="130" spans="1:4" x14ac:dyDescent="0.3">
      <c r="A130" s="273" t="s">
        <v>69</v>
      </c>
      <c r="B130" s="273"/>
      <c r="C130" s="52" t="s">
        <v>65</v>
      </c>
      <c r="D130" s="54">
        <v>6.7000000000000002E-3</v>
      </c>
    </row>
    <row r="131" spans="1:4" x14ac:dyDescent="0.3">
      <c r="A131" s="273" t="s">
        <v>70</v>
      </c>
      <c r="B131" s="273"/>
      <c r="C131" s="52" t="s">
        <v>65</v>
      </c>
      <c r="D131" s="54">
        <v>6.1000000000000004E-3</v>
      </c>
    </row>
    <row r="132" spans="1:4" x14ac:dyDescent="0.3">
      <c r="A132" s="55"/>
      <c r="B132" s="55"/>
      <c r="C132" s="52"/>
      <c r="D132" s="54"/>
    </row>
    <row r="133" spans="1:4" x14ac:dyDescent="0.3">
      <c r="A133" s="282" t="s">
        <v>71</v>
      </c>
      <c r="B133" s="273"/>
      <c r="C133" s="273"/>
      <c r="D133" s="273"/>
    </row>
    <row r="134" spans="1:4" x14ac:dyDescent="0.3">
      <c r="A134" s="50"/>
      <c r="B134" s="55"/>
      <c r="C134" s="55"/>
      <c r="D134" s="55"/>
    </row>
    <row r="135" spans="1:4" x14ac:dyDescent="0.3">
      <c r="A135" s="273" t="s">
        <v>72</v>
      </c>
      <c r="B135" s="273"/>
      <c r="C135" s="52" t="s">
        <v>65</v>
      </c>
      <c r="D135" s="54">
        <v>3.0000000000000001E-3</v>
      </c>
    </row>
    <row r="136" spans="1:4" x14ac:dyDescent="0.3">
      <c r="A136" s="287" t="s">
        <v>73</v>
      </c>
      <c r="B136" s="287"/>
      <c r="C136" s="52" t="s">
        <v>65</v>
      </c>
      <c r="D136" s="54">
        <v>4.0000000000000002E-4</v>
      </c>
    </row>
    <row r="137" spans="1:4" x14ac:dyDescent="0.3">
      <c r="A137" s="273" t="s">
        <v>74</v>
      </c>
      <c r="B137" s="273"/>
      <c r="C137" s="52" t="s">
        <v>65</v>
      </c>
      <c r="D137" s="54">
        <v>5.0000000000000001E-4</v>
      </c>
    </row>
    <row r="138" spans="1:4" x14ac:dyDescent="0.3">
      <c r="A138" s="273" t="s">
        <v>75</v>
      </c>
      <c r="B138" s="273"/>
      <c r="C138" s="52" t="s">
        <v>60</v>
      </c>
      <c r="D138" s="53">
        <v>0.25</v>
      </c>
    </row>
    <row r="139" spans="1:4" ht="17.399999999999999" x14ac:dyDescent="0.3">
      <c r="A139" s="284" t="s">
        <v>94</v>
      </c>
      <c r="B139" s="285"/>
      <c r="C139" s="285"/>
      <c r="D139" s="285"/>
    </row>
    <row r="140" spans="1:4" x14ac:dyDescent="0.3">
      <c r="A140" s="279" t="s">
        <v>95</v>
      </c>
      <c r="B140" s="279"/>
      <c r="C140" s="279"/>
      <c r="D140" s="279"/>
    </row>
    <row r="141" spans="1:4" x14ac:dyDescent="0.3">
      <c r="A141" s="48"/>
      <c r="B141" s="48"/>
      <c r="C141" s="48"/>
      <c r="D141" s="48"/>
    </row>
    <row r="142" spans="1:4" x14ac:dyDescent="0.3">
      <c r="A142" s="286" t="s">
        <v>53</v>
      </c>
      <c r="B142" s="279"/>
      <c r="C142" s="279"/>
      <c r="D142" s="279"/>
    </row>
    <row r="143" spans="1:4" x14ac:dyDescent="0.3">
      <c r="A143" s="49"/>
      <c r="B143" s="48"/>
      <c r="C143" s="48"/>
      <c r="D143" s="48"/>
    </row>
    <row r="144" spans="1:4" ht="31.2" customHeight="1" x14ac:dyDescent="0.3">
      <c r="A144" s="279" t="s">
        <v>78</v>
      </c>
      <c r="B144" s="279"/>
      <c r="C144" s="279"/>
      <c r="D144" s="279"/>
    </row>
    <row r="145" spans="1:4" x14ac:dyDescent="0.3">
      <c r="A145" s="48"/>
      <c r="B145" s="48"/>
      <c r="C145" s="48"/>
      <c r="D145" s="48"/>
    </row>
    <row r="146" spans="1:4" ht="38.4" customHeight="1" x14ac:dyDescent="0.3">
      <c r="A146" s="279" t="s">
        <v>55</v>
      </c>
      <c r="B146" s="279"/>
      <c r="C146" s="279"/>
      <c r="D146" s="279"/>
    </row>
    <row r="147" spans="1:4" x14ac:dyDescent="0.3">
      <c r="A147" s="48"/>
      <c r="B147" s="48"/>
      <c r="C147" s="48"/>
      <c r="D147" s="48"/>
    </row>
    <row r="148" spans="1:4" ht="39.6" customHeight="1" x14ac:dyDescent="0.3">
      <c r="A148" s="279" t="s">
        <v>56</v>
      </c>
      <c r="B148" s="279"/>
      <c r="C148" s="279"/>
      <c r="D148" s="279"/>
    </row>
    <row r="149" spans="1:4" x14ac:dyDescent="0.3">
      <c r="A149" s="48"/>
      <c r="B149" s="48"/>
      <c r="C149" s="48"/>
      <c r="D149" s="48"/>
    </row>
    <row r="150" spans="1:4" ht="29.4" customHeight="1" x14ac:dyDescent="0.3">
      <c r="A150" s="279" t="s">
        <v>57</v>
      </c>
      <c r="B150" s="279"/>
      <c r="C150" s="279"/>
      <c r="D150" s="279"/>
    </row>
    <row r="151" spans="1:4" x14ac:dyDescent="0.3">
      <c r="A151" s="48"/>
      <c r="B151" s="48"/>
      <c r="C151" s="48"/>
      <c r="D151" s="48"/>
    </row>
    <row r="152" spans="1:4" x14ac:dyDescent="0.3">
      <c r="A152" s="282" t="s">
        <v>58</v>
      </c>
      <c r="B152" s="283"/>
      <c r="C152" s="283"/>
      <c r="D152" s="283"/>
    </row>
    <row r="153" spans="1:4" x14ac:dyDescent="0.3">
      <c r="A153" s="50"/>
      <c r="B153" s="51"/>
      <c r="C153" s="51"/>
      <c r="D153" s="51"/>
    </row>
    <row r="154" spans="1:4" x14ac:dyDescent="0.3">
      <c r="A154" s="273" t="s">
        <v>59</v>
      </c>
      <c r="B154" s="273"/>
      <c r="C154" s="52" t="s">
        <v>60</v>
      </c>
      <c r="D154" s="53">
        <f>'Table 12'!H10</f>
        <v>2.2994937363993717</v>
      </c>
    </row>
    <row r="155" spans="1:4" x14ac:dyDescent="0.3">
      <c r="A155" s="273" t="s">
        <v>79</v>
      </c>
      <c r="B155" s="273"/>
      <c r="C155" s="52" t="s">
        <v>86</v>
      </c>
      <c r="D155" s="54">
        <f>'Table 13'!F10</f>
        <v>8.8066083837992686</v>
      </c>
    </row>
    <row r="156" spans="1:4" ht="22.8" customHeight="1" x14ac:dyDescent="0.3">
      <c r="A156" s="273" t="s">
        <v>93</v>
      </c>
      <c r="B156" s="273"/>
      <c r="C156" s="52" t="s">
        <v>65</v>
      </c>
      <c r="D156" s="54">
        <v>8.9999999999999998E-4</v>
      </c>
    </row>
    <row r="157" spans="1:4" x14ac:dyDescent="0.3">
      <c r="A157" s="273" t="s">
        <v>96</v>
      </c>
      <c r="B157" s="273"/>
      <c r="C157" s="52" t="s">
        <v>65</v>
      </c>
      <c r="D157" s="54">
        <v>-1.8E-3</v>
      </c>
    </row>
    <row r="158" spans="1:4" x14ac:dyDescent="0.3">
      <c r="A158" s="273" t="s">
        <v>63</v>
      </c>
      <c r="B158" s="273"/>
      <c r="C158" s="52" t="s">
        <v>65</v>
      </c>
      <c r="D158" s="54">
        <v>-2.0000000000000001E-4</v>
      </c>
    </row>
    <row r="159" spans="1:4" x14ac:dyDescent="0.3">
      <c r="A159" s="273" t="s">
        <v>61</v>
      </c>
      <c r="B159" s="273"/>
      <c r="C159" s="52" t="s">
        <v>86</v>
      </c>
      <c r="D159" s="54">
        <v>-2.5999999999999999E-3</v>
      </c>
    </row>
    <row r="160" spans="1:4" x14ac:dyDescent="0.3">
      <c r="A160" s="273" t="s">
        <v>69</v>
      </c>
      <c r="B160" s="273"/>
      <c r="C160" s="52" t="s">
        <v>86</v>
      </c>
      <c r="D160" s="54">
        <v>2.0535999999999999</v>
      </c>
    </row>
    <row r="161" spans="1:4" x14ac:dyDescent="0.3">
      <c r="A161" s="273" t="s">
        <v>70</v>
      </c>
      <c r="B161" s="273"/>
      <c r="C161" s="52" t="s">
        <v>86</v>
      </c>
      <c r="D161" s="54">
        <v>1.8829</v>
      </c>
    </row>
    <row r="162" spans="1:4" x14ac:dyDescent="0.3">
      <c r="A162" s="55"/>
      <c r="B162" s="55"/>
      <c r="C162" s="52"/>
      <c r="D162" s="54"/>
    </row>
    <row r="163" spans="1:4" x14ac:dyDescent="0.3">
      <c r="A163" s="282" t="s">
        <v>71</v>
      </c>
      <c r="B163" s="273"/>
      <c r="C163" s="273"/>
      <c r="D163" s="273"/>
    </row>
    <row r="164" spans="1:4" x14ac:dyDescent="0.3">
      <c r="A164" s="50"/>
      <c r="B164" s="55"/>
      <c r="C164" s="55"/>
      <c r="D164" s="55"/>
    </row>
    <row r="165" spans="1:4" x14ac:dyDescent="0.3">
      <c r="A165" s="273" t="s">
        <v>72</v>
      </c>
      <c r="B165" s="273"/>
      <c r="C165" s="52" t="s">
        <v>65</v>
      </c>
      <c r="D165" s="54">
        <v>3.0000000000000001E-3</v>
      </c>
    </row>
    <row r="166" spans="1:4" x14ac:dyDescent="0.3">
      <c r="A166" s="287" t="s">
        <v>73</v>
      </c>
      <c r="B166" s="287"/>
      <c r="C166" s="52" t="s">
        <v>65</v>
      </c>
      <c r="D166" s="54">
        <v>4.0000000000000002E-4</v>
      </c>
    </row>
    <row r="167" spans="1:4" x14ac:dyDescent="0.3">
      <c r="A167" s="273" t="s">
        <v>74</v>
      </c>
      <c r="B167" s="273"/>
      <c r="C167" s="52" t="s">
        <v>65</v>
      </c>
      <c r="D167" s="54">
        <v>5.0000000000000001E-4</v>
      </c>
    </row>
    <row r="168" spans="1:4" x14ac:dyDescent="0.3">
      <c r="A168" s="273" t="s">
        <v>75</v>
      </c>
      <c r="B168" s="273"/>
      <c r="C168" s="52" t="s">
        <v>60</v>
      </c>
      <c r="D168" s="53">
        <v>0.25</v>
      </c>
    </row>
    <row r="169" spans="1:4" ht="17.399999999999999" x14ac:dyDescent="0.3">
      <c r="A169" s="284" t="s">
        <v>97</v>
      </c>
      <c r="B169" s="285"/>
      <c r="C169" s="285"/>
      <c r="D169" s="285"/>
    </row>
    <row r="170" spans="1:4" x14ac:dyDescent="0.3">
      <c r="A170" s="279" t="s">
        <v>98</v>
      </c>
      <c r="B170" s="279"/>
      <c r="C170" s="279"/>
      <c r="D170" s="279"/>
    </row>
    <row r="171" spans="1:4" x14ac:dyDescent="0.3">
      <c r="A171" s="48"/>
      <c r="B171" s="48"/>
      <c r="C171" s="48"/>
      <c r="D171" s="48"/>
    </row>
    <row r="172" spans="1:4" x14ac:dyDescent="0.3">
      <c r="A172" s="286" t="s">
        <v>53</v>
      </c>
      <c r="B172" s="279"/>
      <c r="C172" s="279"/>
      <c r="D172" s="279"/>
    </row>
    <row r="173" spans="1:4" x14ac:dyDescent="0.3">
      <c r="A173" s="49"/>
      <c r="B173" s="48"/>
      <c r="C173" s="48"/>
      <c r="D173" s="48"/>
    </row>
    <row r="174" spans="1:4" ht="29.4" customHeight="1" x14ac:dyDescent="0.3">
      <c r="A174" s="279" t="s">
        <v>54</v>
      </c>
      <c r="B174" s="279"/>
      <c r="C174" s="279"/>
      <c r="D174" s="279"/>
    </row>
    <row r="175" spans="1:4" x14ac:dyDescent="0.3">
      <c r="A175" s="48"/>
      <c r="B175" s="48"/>
      <c r="C175" s="48"/>
      <c r="D175" s="48"/>
    </row>
    <row r="176" spans="1:4" ht="37.200000000000003" customHeight="1" x14ac:dyDescent="0.3">
      <c r="A176" s="279" t="s">
        <v>83</v>
      </c>
      <c r="B176" s="279"/>
      <c r="C176" s="279"/>
      <c r="D176" s="279"/>
    </row>
    <row r="177" spans="1:4" x14ac:dyDescent="0.3">
      <c r="A177" s="48"/>
      <c r="B177" s="48"/>
      <c r="C177" s="48"/>
      <c r="D177" s="48"/>
    </row>
    <row r="178" spans="1:4" ht="39.6" customHeight="1" x14ac:dyDescent="0.3">
      <c r="A178" s="279" t="s">
        <v>99</v>
      </c>
      <c r="B178" s="279"/>
      <c r="C178" s="279"/>
      <c r="D178" s="279"/>
    </row>
    <row r="179" spans="1:4" x14ac:dyDescent="0.3">
      <c r="A179" s="48"/>
      <c r="B179" s="48"/>
      <c r="C179" s="48"/>
      <c r="D179" s="48"/>
    </row>
    <row r="180" spans="1:4" ht="27.6" customHeight="1" x14ac:dyDescent="0.3">
      <c r="A180" s="279" t="s">
        <v>57</v>
      </c>
      <c r="B180" s="279"/>
      <c r="C180" s="279"/>
      <c r="D180" s="279"/>
    </row>
    <row r="181" spans="1:4" x14ac:dyDescent="0.3">
      <c r="A181" s="48"/>
      <c r="B181" s="48"/>
      <c r="C181" s="48"/>
      <c r="D181" s="48"/>
    </row>
    <row r="182" spans="1:4" x14ac:dyDescent="0.3">
      <c r="A182" s="282" t="s">
        <v>58</v>
      </c>
      <c r="B182" s="283"/>
      <c r="C182" s="283"/>
      <c r="D182" s="283"/>
    </row>
    <row r="183" spans="1:4" x14ac:dyDescent="0.3">
      <c r="A183" s="50"/>
      <c r="B183" s="51"/>
      <c r="C183" s="51"/>
      <c r="D183" s="51"/>
    </row>
    <row r="184" spans="1:4" x14ac:dyDescent="0.3">
      <c r="A184" s="273" t="s">
        <v>59</v>
      </c>
      <c r="B184" s="273"/>
      <c r="C184" s="52" t="s">
        <v>60</v>
      </c>
      <c r="D184" s="53">
        <f>'Table 12'!H11</f>
        <v>0.80414417025939811</v>
      </c>
    </row>
    <row r="185" spans="1:4" x14ac:dyDescent="0.3">
      <c r="A185" s="273" t="s">
        <v>79</v>
      </c>
      <c r="B185" s="273"/>
      <c r="C185" s="52" t="s">
        <v>86</v>
      </c>
      <c r="D185" s="54">
        <f>'Table 13'!F11</f>
        <v>3.9928632417082461</v>
      </c>
    </row>
    <row r="186" spans="1:4" ht="25.2" customHeight="1" x14ac:dyDescent="0.3">
      <c r="A186" s="273" t="s">
        <v>64</v>
      </c>
      <c r="B186" s="273"/>
      <c r="C186" s="52" t="s">
        <v>65</v>
      </c>
      <c r="D186" s="54">
        <v>5.1999999999999998E-3</v>
      </c>
    </row>
    <row r="187" spans="1:4" ht="28.2" customHeight="1" x14ac:dyDescent="0.3">
      <c r="A187" s="273" t="s">
        <v>100</v>
      </c>
      <c r="B187" s="273"/>
      <c r="C187" s="52" t="s">
        <v>86</v>
      </c>
      <c r="D187" s="54">
        <v>5.6715</v>
      </c>
    </row>
    <row r="188" spans="1:4" ht="33" customHeight="1" x14ac:dyDescent="0.3">
      <c r="A188" s="273" t="s">
        <v>67</v>
      </c>
      <c r="B188" s="273"/>
      <c r="C188" s="52" t="s">
        <v>86</v>
      </c>
      <c r="D188" s="54">
        <v>-0.67959999999999998</v>
      </c>
    </row>
    <row r="189" spans="1:4" ht="24" customHeight="1" x14ac:dyDescent="0.3">
      <c r="A189" s="273" t="s">
        <v>93</v>
      </c>
      <c r="B189" s="273"/>
      <c r="C189" s="52" t="s">
        <v>86</v>
      </c>
      <c r="D189" s="54">
        <v>0.31950000000000001</v>
      </c>
    </row>
    <row r="190" spans="1:4" x14ac:dyDescent="0.3">
      <c r="A190" s="273" t="s">
        <v>63</v>
      </c>
      <c r="B190" s="273"/>
      <c r="C190" s="52" t="s">
        <v>86</v>
      </c>
      <c r="D190" s="54">
        <v>-0.1847</v>
      </c>
    </row>
    <row r="191" spans="1:4" x14ac:dyDescent="0.3">
      <c r="A191" s="273" t="s">
        <v>61</v>
      </c>
      <c r="B191" s="273"/>
      <c r="C191" s="52" t="s">
        <v>65</v>
      </c>
      <c r="D191" s="54">
        <v>-0.95630000000000004</v>
      </c>
    </row>
    <row r="192" spans="1:4" x14ac:dyDescent="0.3">
      <c r="A192" s="273" t="s">
        <v>69</v>
      </c>
      <c r="B192" s="273"/>
      <c r="C192" s="52" t="s">
        <v>86</v>
      </c>
      <c r="D192" s="54">
        <v>2.0726</v>
      </c>
    </row>
    <row r="193" spans="1:4" x14ac:dyDescent="0.3">
      <c r="A193" s="273" t="s">
        <v>70</v>
      </c>
      <c r="B193" s="273"/>
      <c r="C193" s="52" t="s">
        <v>86</v>
      </c>
      <c r="D193" s="54">
        <v>1.8428</v>
      </c>
    </row>
    <row r="194" spans="1:4" x14ac:dyDescent="0.3">
      <c r="A194" s="55"/>
      <c r="B194" s="55"/>
      <c r="C194" s="52"/>
      <c r="D194" s="54"/>
    </row>
    <row r="195" spans="1:4" x14ac:dyDescent="0.3">
      <c r="A195" s="282" t="s">
        <v>71</v>
      </c>
      <c r="B195" s="273"/>
      <c r="C195" s="273"/>
      <c r="D195" s="273"/>
    </row>
    <row r="196" spans="1:4" x14ac:dyDescent="0.3">
      <c r="A196" s="50"/>
      <c r="B196" s="55"/>
      <c r="C196" s="55"/>
      <c r="D196" s="55"/>
    </row>
    <row r="197" spans="1:4" x14ac:dyDescent="0.3">
      <c r="A197" s="273" t="s">
        <v>72</v>
      </c>
      <c r="B197" s="273"/>
      <c r="C197" s="52" t="s">
        <v>65</v>
      </c>
      <c r="D197" s="54">
        <v>3.0000000000000001E-3</v>
      </c>
    </row>
    <row r="198" spans="1:4" x14ac:dyDescent="0.3">
      <c r="A198" s="273" t="s">
        <v>73</v>
      </c>
      <c r="B198" s="273"/>
      <c r="C198" s="52" t="s">
        <v>65</v>
      </c>
      <c r="D198" s="54">
        <v>4.0000000000000002E-4</v>
      </c>
    </row>
    <row r="199" spans="1:4" x14ac:dyDescent="0.3">
      <c r="A199" s="273" t="s">
        <v>74</v>
      </c>
      <c r="B199" s="273"/>
      <c r="C199" s="52" t="s">
        <v>65</v>
      </c>
      <c r="D199" s="54">
        <v>5.0000000000000001E-4</v>
      </c>
    </row>
    <row r="200" spans="1:4" x14ac:dyDescent="0.3">
      <c r="A200" s="273" t="s">
        <v>75</v>
      </c>
      <c r="B200" s="273"/>
      <c r="C200" s="52" t="s">
        <v>60</v>
      </c>
      <c r="D200" s="53">
        <v>0.25</v>
      </c>
    </row>
    <row r="201" spans="1:4" ht="17.399999999999999" x14ac:dyDescent="0.3">
      <c r="A201" s="284" t="s">
        <v>101</v>
      </c>
      <c r="B201" s="285"/>
      <c r="C201" s="285"/>
      <c r="D201" s="285"/>
    </row>
    <row r="202" spans="1:4" ht="31.8" customHeight="1" x14ac:dyDescent="0.3">
      <c r="A202" s="279" t="s">
        <v>102</v>
      </c>
      <c r="B202" s="279"/>
      <c r="C202" s="279"/>
      <c r="D202" s="279"/>
    </row>
    <row r="203" spans="1:4" x14ac:dyDescent="0.3">
      <c r="A203" s="48"/>
      <c r="B203" s="48"/>
      <c r="C203" s="48"/>
      <c r="D203" s="48"/>
    </row>
    <row r="204" spans="1:4" x14ac:dyDescent="0.3">
      <c r="A204" s="286" t="s">
        <v>53</v>
      </c>
      <c r="B204" s="279"/>
      <c r="C204" s="279"/>
      <c r="D204" s="279"/>
    </row>
    <row r="205" spans="1:4" x14ac:dyDescent="0.3">
      <c r="A205" s="49"/>
      <c r="B205" s="48"/>
      <c r="C205" s="48"/>
      <c r="D205" s="48"/>
    </row>
    <row r="206" spans="1:4" ht="36.6" customHeight="1" x14ac:dyDescent="0.3">
      <c r="A206" s="279" t="s">
        <v>54</v>
      </c>
      <c r="B206" s="279"/>
      <c r="C206" s="279"/>
      <c r="D206" s="279"/>
    </row>
    <row r="207" spans="1:4" x14ac:dyDescent="0.3">
      <c r="A207" s="48"/>
      <c r="B207" s="48"/>
      <c r="C207" s="48"/>
      <c r="D207" s="48"/>
    </row>
    <row r="208" spans="1:4" ht="37.799999999999997" customHeight="1" x14ac:dyDescent="0.3">
      <c r="A208" s="279" t="s">
        <v>55</v>
      </c>
      <c r="B208" s="279"/>
      <c r="C208" s="279"/>
      <c r="D208" s="279"/>
    </row>
    <row r="209" spans="1:4" x14ac:dyDescent="0.3">
      <c r="A209" s="48"/>
      <c r="B209" s="48"/>
      <c r="C209" s="48"/>
      <c r="D209" s="48"/>
    </row>
    <row r="210" spans="1:4" ht="27" customHeight="1" x14ac:dyDescent="0.3">
      <c r="A210" s="279" t="s">
        <v>103</v>
      </c>
      <c r="B210" s="279"/>
      <c r="C210" s="279"/>
      <c r="D210" s="279"/>
    </row>
    <row r="211" spans="1:4" x14ac:dyDescent="0.3">
      <c r="A211" s="48"/>
      <c r="B211" s="48"/>
      <c r="C211" s="48"/>
      <c r="D211" s="48"/>
    </row>
    <row r="212" spans="1:4" ht="27.6" customHeight="1" x14ac:dyDescent="0.3">
      <c r="A212" s="279" t="s">
        <v>57</v>
      </c>
      <c r="B212" s="279"/>
      <c r="C212" s="279"/>
      <c r="D212" s="279"/>
    </row>
    <row r="213" spans="1:4" x14ac:dyDescent="0.3">
      <c r="A213" s="48"/>
      <c r="B213" s="48"/>
      <c r="C213" s="48"/>
      <c r="D213" s="48"/>
    </row>
    <row r="214" spans="1:4" x14ac:dyDescent="0.3">
      <c r="A214" s="282" t="s">
        <v>58</v>
      </c>
      <c r="B214" s="283"/>
      <c r="C214" s="283"/>
      <c r="D214" s="283"/>
    </row>
    <row r="215" spans="1:4" x14ac:dyDescent="0.3">
      <c r="A215" s="50"/>
      <c r="B215" s="51"/>
      <c r="C215" s="51"/>
      <c r="D215" s="51"/>
    </row>
    <row r="216" spans="1:4" x14ac:dyDescent="0.3">
      <c r="A216" s="273" t="s">
        <v>59</v>
      </c>
      <c r="B216" s="273"/>
      <c r="C216" s="52" t="s">
        <v>60</v>
      </c>
      <c r="D216" s="53">
        <v>5.4</v>
      </c>
    </row>
    <row r="217" spans="1:4" x14ac:dyDescent="0.3">
      <c r="A217" s="56"/>
      <c r="B217" s="55"/>
      <c r="C217" s="52"/>
      <c r="D217" s="53"/>
    </row>
    <row r="218" spans="1:4" ht="18" x14ac:dyDescent="0.35">
      <c r="A218" s="276" t="s">
        <v>104</v>
      </c>
      <c r="B218" s="277"/>
      <c r="C218" s="277"/>
      <c r="D218" s="277"/>
    </row>
    <row r="219" spans="1:4" x14ac:dyDescent="0.3">
      <c r="A219" s="273" t="s">
        <v>105</v>
      </c>
      <c r="B219" s="273"/>
      <c r="C219" s="52" t="s">
        <v>86</v>
      </c>
      <c r="D219" s="53">
        <v>-0.85</v>
      </c>
    </row>
    <row r="220" spans="1:4" x14ac:dyDescent="0.3">
      <c r="A220" s="273" t="s">
        <v>106</v>
      </c>
      <c r="B220" s="273"/>
      <c r="C220" s="52" t="s">
        <v>107</v>
      </c>
      <c r="D220" s="53">
        <v>-1</v>
      </c>
    </row>
    <row r="221" spans="1:4" ht="18" x14ac:dyDescent="0.35">
      <c r="A221" s="276" t="s">
        <v>108</v>
      </c>
      <c r="B221" s="277"/>
      <c r="C221" s="277"/>
      <c r="D221" s="277"/>
    </row>
    <row r="222" spans="1:4" ht="33" customHeight="1" x14ac:dyDescent="0.3">
      <c r="A222" s="279" t="s">
        <v>78</v>
      </c>
      <c r="B222" s="279"/>
      <c r="C222" s="279"/>
      <c r="D222" s="279"/>
    </row>
    <row r="223" spans="1:4" x14ac:dyDescent="0.3">
      <c r="A223" s="48"/>
      <c r="B223" s="48"/>
      <c r="C223" s="48"/>
      <c r="D223" s="48"/>
    </row>
    <row r="224" spans="1:4" ht="40.200000000000003" customHeight="1" x14ac:dyDescent="0.3">
      <c r="A224" s="279" t="s">
        <v>109</v>
      </c>
      <c r="B224" s="279"/>
      <c r="C224" s="279"/>
      <c r="D224" s="279"/>
    </row>
    <row r="225" spans="1:4" x14ac:dyDescent="0.3">
      <c r="A225" s="48"/>
      <c r="B225" s="48"/>
      <c r="C225" s="48"/>
      <c r="D225" s="48"/>
    </row>
    <row r="226" spans="1:4" ht="27" customHeight="1" x14ac:dyDescent="0.3">
      <c r="A226" s="279" t="s">
        <v>57</v>
      </c>
      <c r="B226" s="279"/>
      <c r="C226" s="279"/>
      <c r="D226" s="279"/>
    </row>
    <row r="227" spans="1:4" x14ac:dyDescent="0.3">
      <c r="A227" s="48"/>
      <c r="B227" s="48"/>
      <c r="C227" s="48"/>
      <c r="D227" s="48"/>
    </row>
    <row r="228" spans="1:4" x14ac:dyDescent="0.3">
      <c r="A228" s="282" t="s">
        <v>110</v>
      </c>
      <c r="B228" s="278"/>
      <c r="C228" s="278"/>
      <c r="D228" s="278"/>
    </row>
    <row r="229" spans="1:4" x14ac:dyDescent="0.3">
      <c r="A229" s="281" t="s">
        <v>111</v>
      </c>
      <c r="B229" s="281"/>
      <c r="C229" s="52" t="s">
        <v>60</v>
      </c>
      <c r="D229" s="53">
        <v>15</v>
      </c>
    </row>
    <row r="230" spans="1:4" x14ac:dyDescent="0.3">
      <c r="A230" s="281" t="s">
        <v>112</v>
      </c>
      <c r="B230" s="281"/>
      <c r="C230" s="52" t="s">
        <v>60</v>
      </c>
      <c r="D230" s="53">
        <v>15</v>
      </c>
    </row>
    <row r="231" spans="1:4" x14ac:dyDescent="0.3">
      <c r="A231" s="281" t="s">
        <v>113</v>
      </c>
      <c r="B231" s="281"/>
      <c r="C231" s="52" t="s">
        <v>60</v>
      </c>
      <c r="D231" s="53">
        <v>15</v>
      </c>
    </row>
    <row r="232" spans="1:4" x14ac:dyDescent="0.3">
      <c r="A232" s="281" t="s">
        <v>114</v>
      </c>
      <c r="B232" s="281"/>
      <c r="C232" s="52" t="s">
        <v>60</v>
      </c>
      <c r="D232" s="53">
        <v>15</v>
      </c>
    </row>
    <row r="233" spans="1:4" x14ac:dyDescent="0.3">
      <c r="A233" s="281" t="s">
        <v>115</v>
      </c>
      <c r="B233" s="281"/>
      <c r="C233" s="52" t="s">
        <v>60</v>
      </c>
      <c r="D233" s="53">
        <v>15</v>
      </c>
    </row>
    <row r="234" spans="1:4" x14ac:dyDescent="0.3">
      <c r="A234" s="281" t="s">
        <v>116</v>
      </c>
      <c r="B234" s="281"/>
      <c r="C234" s="52" t="s">
        <v>60</v>
      </c>
      <c r="D234" s="53">
        <v>15</v>
      </c>
    </row>
    <row r="235" spans="1:4" x14ac:dyDescent="0.3">
      <c r="A235" s="281" t="s">
        <v>117</v>
      </c>
      <c r="B235" s="281"/>
      <c r="C235" s="52" t="s">
        <v>60</v>
      </c>
      <c r="D235" s="53">
        <v>15</v>
      </c>
    </row>
    <row r="236" spans="1:4" x14ac:dyDescent="0.3">
      <c r="A236" s="281" t="s">
        <v>118</v>
      </c>
      <c r="B236" s="281"/>
      <c r="C236" s="52" t="s">
        <v>60</v>
      </c>
      <c r="D236" s="53">
        <v>15</v>
      </c>
    </row>
    <row r="237" spans="1:4" x14ac:dyDescent="0.3">
      <c r="A237" s="281" t="s">
        <v>119</v>
      </c>
      <c r="B237" s="281"/>
      <c r="C237" s="52" t="s">
        <v>60</v>
      </c>
      <c r="D237" s="53">
        <v>15</v>
      </c>
    </row>
    <row r="238" spans="1:4" x14ac:dyDescent="0.3">
      <c r="A238" s="281" t="s">
        <v>120</v>
      </c>
      <c r="B238" s="281"/>
      <c r="C238" s="52" t="s">
        <v>60</v>
      </c>
      <c r="D238" s="53">
        <v>15</v>
      </c>
    </row>
    <row r="239" spans="1:4" x14ac:dyDescent="0.3">
      <c r="A239" s="281" t="s">
        <v>121</v>
      </c>
      <c r="B239" s="281"/>
      <c r="C239" s="52" t="s">
        <v>60</v>
      </c>
      <c r="D239" s="53">
        <v>30</v>
      </c>
    </row>
    <row r="240" spans="1:4" x14ac:dyDescent="0.3">
      <c r="A240" s="281" t="s">
        <v>122</v>
      </c>
      <c r="B240" s="281"/>
      <c r="C240" s="52" t="s">
        <v>60</v>
      </c>
      <c r="D240" s="53">
        <v>26</v>
      </c>
    </row>
    <row r="241" spans="1:4" x14ac:dyDescent="0.3">
      <c r="A241" s="281" t="s">
        <v>123</v>
      </c>
      <c r="B241" s="281"/>
      <c r="C241" s="52" t="s">
        <v>60</v>
      </c>
      <c r="D241" s="53">
        <v>30</v>
      </c>
    </row>
    <row r="242" spans="1:4" x14ac:dyDescent="0.3">
      <c r="A242" s="282" t="s">
        <v>124</v>
      </c>
      <c r="B242" s="278"/>
      <c r="C242" s="278"/>
      <c r="D242" s="278"/>
    </row>
    <row r="243" spans="1:4" x14ac:dyDescent="0.3">
      <c r="A243" s="281" t="s">
        <v>125</v>
      </c>
      <c r="B243" s="281"/>
      <c r="C243" s="52" t="s">
        <v>107</v>
      </c>
      <c r="D243" s="53">
        <v>1.5</v>
      </c>
    </row>
    <row r="244" spans="1:4" x14ac:dyDescent="0.3">
      <c r="A244" s="281" t="s">
        <v>126</v>
      </c>
      <c r="B244" s="281"/>
      <c r="C244" s="52" t="s">
        <v>107</v>
      </c>
      <c r="D244" s="53">
        <v>19.559999999999999</v>
      </c>
    </row>
    <row r="245" spans="1:4" x14ac:dyDescent="0.3">
      <c r="A245" s="281" t="s">
        <v>127</v>
      </c>
      <c r="B245" s="281"/>
      <c r="C245" s="52" t="s">
        <v>60</v>
      </c>
      <c r="D245" s="53">
        <v>23</v>
      </c>
    </row>
    <row r="246" spans="1:4" x14ac:dyDescent="0.3">
      <c r="A246" s="281" t="s">
        <v>128</v>
      </c>
      <c r="B246" s="281"/>
      <c r="C246" s="52" t="s">
        <v>60</v>
      </c>
      <c r="D246" s="53">
        <v>50</v>
      </c>
    </row>
    <row r="247" spans="1:4" x14ac:dyDescent="0.3">
      <c r="A247" s="281" t="s">
        <v>129</v>
      </c>
      <c r="B247" s="281"/>
      <c r="C247" s="52" t="s">
        <v>60</v>
      </c>
      <c r="D247" s="53">
        <v>185</v>
      </c>
    </row>
    <row r="248" spans="1:4" x14ac:dyDescent="0.3">
      <c r="A248" s="281" t="s">
        <v>130</v>
      </c>
      <c r="B248" s="281"/>
      <c r="C248" s="52" t="s">
        <v>60</v>
      </c>
      <c r="D248" s="53">
        <v>185</v>
      </c>
    </row>
    <row r="249" spans="1:4" x14ac:dyDescent="0.3">
      <c r="A249" s="281" t="s">
        <v>131</v>
      </c>
      <c r="B249" s="281"/>
      <c r="C249" s="52" t="s">
        <v>60</v>
      </c>
      <c r="D249" s="53">
        <v>415</v>
      </c>
    </row>
    <row r="250" spans="1:4" x14ac:dyDescent="0.3">
      <c r="A250" s="281" t="s">
        <v>132</v>
      </c>
      <c r="B250" s="281"/>
      <c r="C250" s="52" t="s">
        <v>60</v>
      </c>
      <c r="D250" s="53">
        <v>50</v>
      </c>
    </row>
    <row r="251" spans="1:4" x14ac:dyDescent="0.3">
      <c r="A251" s="281" t="s">
        <v>133</v>
      </c>
      <c r="B251" s="281"/>
      <c r="C251" s="52" t="s">
        <v>60</v>
      </c>
      <c r="D251" s="53">
        <v>185</v>
      </c>
    </row>
    <row r="252" spans="1:4" x14ac:dyDescent="0.3">
      <c r="A252" s="57"/>
      <c r="B252" s="57"/>
      <c r="C252" s="52"/>
      <c r="D252" s="53"/>
    </row>
    <row r="253" spans="1:4" x14ac:dyDescent="0.3">
      <c r="A253" s="282" t="s">
        <v>134</v>
      </c>
      <c r="B253" s="278"/>
      <c r="C253" s="278"/>
      <c r="D253" s="278"/>
    </row>
    <row r="254" spans="1:4" x14ac:dyDescent="0.3">
      <c r="A254" s="281" t="s">
        <v>135</v>
      </c>
      <c r="B254" s="281"/>
      <c r="C254" s="52" t="s">
        <v>60</v>
      </c>
      <c r="D254" s="53">
        <v>30</v>
      </c>
    </row>
    <row r="255" spans="1:4" x14ac:dyDescent="0.3">
      <c r="A255" s="281" t="s">
        <v>136</v>
      </c>
      <c r="B255" s="281"/>
      <c r="C255" s="52" t="s">
        <v>60</v>
      </c>
      <c r="D255" s="53">
        <v>165</v>
      </c>
    </row>
    <row r="256" spans="1:4" x14ac:dyDescent="0.3">
      <c r="A256" s="281" t="s">
        <v>137</v>
      </c>
      <c r="B256" s="281"/>
      <c r="C256" s="52" t="s">
        <v>60</v>
      </c>
      <c r="D256" s="53">
        <v>500</v>
      </c>
    </row>
    <row r="257" spans="1:4" x14ac:dyDescent="0.3">
      <c r="A257" s="281" t="s">
        <v>138</v>
      </c>
      <c r="B257" s="281"/>
      <c r="C257" s="52" t="s">
        <v>60</v>
      </c>
      <c r="D257" s="53">
        <v>300</v>
      </c>
    </row>
    <row r="258" spans="1:4" x14ac:dyDescent="0.3">
      <c r="A258" s="281" t="s">
        <v>139</v>
      </c>
      <c r="B258" s="281"/>
      <c r="C258" s="52" t="s">
        <v>60</v>
      </c>
      <c r="D258" s="53">
        <v>1000</v>
      </c>
    </row>
    <row r="259" spans="1:4" ht="33" customHeight="1" x14ac:dyDescent="0.3">
      <c r="A259" s="281" t="s">
        <v>140</v>
      </c>
      <c r="B259" s="281"/>
      <c r="C259" s="52" t="s">
        <v>60</v>
      </c>
      <c r="D259" s="53">
        <v>43.63</v>
      </c>
    </row>
    <row r="260" spans="1:4" ht="26.4" customHeight="1" x14ac:dyDescent="0.3">
      <c r="A260" s="280" t="s">
        <v>141</v>
      </c>
      <c r="B260" s="280"/>
      <c r="C260" s="280"/>
      <c r="D260" s="280"/>
    </row>
    <row r="261" spans="1:4" ht="18" x14ac:dyDescent="0.35">
      <c r="A261" s="276" t="s">
        <v>142</v>
      </c>
      <c r="B261" s="277"/>
      <c r="C261" s="277"/>
      <c r="D261" s="277"/>
    </row>
    <row r="262" spans="1:4" ht="18" x14ac:dyDescent="0.35">
      <c r="A262" s="58"/>
      <c r="B262" s="59"/>
      <c r="C262" s="59"/>
      <c r="D262" s="59"/>
    </row>
    <row r="263" spans="1:4" ht="29.4" customHeight="1" x14ac:dyDescent="0.3">
      <c r="A263" s="279" t="s">
        <v>143</v>
      </c>
      <c r="B263" s="279"/>
      <c r="C263" s="279"/>
      <c r="D263" s="279"/>
    </row>
    <row r="264" spans="1:4" x14ac:dyDescent="0.3">
      <c r="A264" s="48"/>
      <c r="B264" s="48"/>
      <c r="C264" s="48"/>
      <c r="D264" s="48"/>
    </row>
    <row r="265" spans="1:4" ht="40.799999999999997" customHeight="1" x14ac:dyDescent="0.3">
      <c r="A265" s="279" t="s">
        <v>144</v>
      </c>
      <c r="B265" s="279"/>
      <c r="C265" s="279"/>
      <c r="D265" s="279"/>
    </row>
    <row r="266" spans="1:4" x14ac:dyDescent="0.3">
      <c r="A266" s="48"/>
      <c r="B266" s="48"/>
      <c r="C266" s="48"/>
      <c r="D266" s="48"/>
    </row>
    <row r="267" spans="1:4" ht="25.8" customHeight="1" x14ac:dyDescent="0.3">
      <c r="A267" s="279" t="s">
        <v>145</v>
      </c>
      <c r="B267" s="279"/>
      <c r="C267" s="279"/>
      <c r="D267" s="279"/>
    </row>
    <row r="268" spans="1:4" x14ac:dyDescent="0.3">
      <c r="A268" s="48"/>
      <c r="B268" s="48"/>
      <c r="C268" s="48"/>
      <c r="D268" s="48"/>
    </row>
    <row r="269" spans="1:4" ht="25.2" customHeight="1" x14ac:dyDescent="0.3">
      <c r="A269" s="279" t="s">
        <v>57</v>
      </c>
      <c r="B269" s="279"/>
      <c r="C269" s="279"/>
      <c r="D269" s="279"/>
    </row>
    <row r="270" spans="1:4" x14ac:dyDescent="0.3">
      <c r="A270" s="48"/>
      <c r="B270" s="48"/>
      <c r="C270" s="48"/>
      <c r="D270" s="48"/>
    </row>
    <row r="271" spans="1:4" x14ac:dyDescent="0.3">
      <c r="A271" s="279" t="s">
        <v>146</v>
      </c>
      <c r="B271" s="279"/>
      <c r="C271" s="279"/>
      <c r="D271" s="279"/>
    </row>
    <row r="272" spans="1:4" x14ac:dyDescent="0.3">
      <c r="A272" s="273" t="s">
        <v>147</v>
      </c>
      <c r="B272" s="273"/>
      <c r="C272" s="60" t="s">
        <v>60</v>
      </c>
      <c r="D272" s="53">
        <v>100</v>
      </c>
    </row>
    <row r="273" spans="1:4" x14ac:dyDescent="0.3">
      <c r="A273" s="273" t="s">
        <v>148</v>
      </c>
      <c r="B273" s="273"/>
      <c r="C273" s="60" t="s">
        <v>60</v>
      </c>
      <c r="D273" s="53">
        <v>40</v>
      </c>
    </row>
    <row r="274" spans="1:4" x14ac:dyDescent="0.3">
      <c r="A274" s="273" t="s">
        <v>149</v>
      </c>
      <c r="B274" s="273"/>
      <c r="C274" s="60" t="s">
        <v>150</v>
      </c>
      <c r="D274" s="53">
        <v>1</v>
      </c>
    </row>
    <row r="275" spans="1:4" x14ac:dyDescent="0.3">
      <c r="A275" s="273" t="s">
        <v>151</v>
      </c>
      <c r="B275" s="273"/>
      <c r="C275" s="60" t="s">
        <v>150</v>
      </c>
      <c r="D275" s="53">
        <v>0.6</v>
      </c>
    </row>
    <row r="276" spans="1:4" x14ac:dyDescent="0.3">
      <c r="A276" s="273" t="s">
        <v>152</v>
      </c>
      <c r="B276" s="273"/>
      <c r="C276" s="60" t="s">
        <v>150</v>
      </c>
      <c r="D276" s="53">
        <v>-0.6</v>
      </c>
    </row>
    <row r="277" spans="1:4" x14ac:dyDescent="0.3">
      <c r="A277" s="273" t="s">
        <v>153</v>
      </c>
      <c r="B277" s="273"/>
      <c r="C277" s="278"/>
      <c r="D277" s="278"/>
    </row>
    <row r="278" spans="1:4" x14ac:dyDescent="0.3">
      <c r="A278" s="274" t="s">
        <v>154</v>
      </c>
      <c r="B278" s="274"/>
      <c r="C278" s="60" t="s">
        <v>60</v>
      </c>
      <c r="D278" s="53">
        <v>0.5</v>
      </c>
    </row>
    <row r="279" spans="1:4" x14ac:dyDescent="0.3">
      <c r="A279" s="274" t="s">
        <v>155</v>
      </c>
      <c r="B279" s="274"/>
      <c r="C279" s="60" t="s">
        <v>60</v>
      </c>
      <c r="D279" s="53">
        <v>1</v>
      </c>
    </row>
    <row r="280" spans="1:4" x14ac:dyDescent="0.3">
      <c r="A280" s="273" t="s">
        <v>156</v>
      </c>
      <c r="B280" s="273"/>
      <c r="C280" s="278"/>
      <c r="D280" s="278"/>
    </row>
    <row r="281" spans="1:4" x14ac:dyDescent="0.3">
      <c r="A281" s="273" t="s">
        <v>157</v>
      </c>
      <c r="B281" s="273"/>
      <c r="C281" s="278"/>
      <c r="D281" s="278"/>
    </row>
    <row r="282" spans="1:4" x14ac:dyDescent="0.3">
      <c r="A282" s="273" t="s">
        <v>158</v>
      </c>
      <c r="B282" s="273"/>
      <c r="C282" s="278"/>
      <c r="D282" s="278"/>
    </row>
    <row r="283" spans="1:4" x14ac:dyDescent="0.3">
      <c r="A283" s="274" t="s">
        <v>159</v>
      </c>
      <c r="B283" s="274"/>
      <c r="C283" s="60" t="s">
        <v>60</v>
      </c>
      <c r="D283" s="61" t="s">
        <v>160</v>
      </c>
    </row>
    <row r="284" spans="1:4" x14ac:dyDescent="0.3">
      <c r="A284" s="274" t="s">
        <v>161</v>
      </c>
      <c r="B284" s="274"/>
      <c r="C284" s="60" t="s">
        <v>60</v>
      </c>
      <c r="D284" s="53">
        <v>4</v>
      </c>
    </row>
    <row r="285" spans="1:4" ht="22.8" customHeight="1" x14ac:dyDescent="0.3">
      <c r="A285" s="275" t="s">
        <v>162</v>
      </c>
      <c r="B285" s="275"/>
      <c r="C285" s="60" t="s">
        <v>60</v>
      </c>
      <c r="D285" s="53">
        <v>2</v>
      </c>
    </row>
    <row r="286" spans="1:4" x14ac:dyDescent="0.3">
      <c r="A286" s="62"/>
      <c r="B286" s="62"/>
      <c r="C286" s="60"/>
      <c r="D286" s="53"/>
    </row>
    <row r="287" spans="1:4" ht="18" x14ac:dyDescent="0.35">
      <c r="A287" s="276" t="s">
        <v>163</v>
      </c>
      <c r="B287" s="277"/>
      <c r="C287" s="277"/>
      <c r="D287" s="277"/>
    </row>
    <row r="288" spans="1:4" ht="18" x14ac:dyDescent="0.35">
      <c r="A288" s="58"/>
      <c r="B288" s="59"/>
      <c r="C288" s="59"/>
      <c r="D288" s="59"/>
    </row>
    <row r="289" spans="1:4" ht="22.2" customHeight="1" x14ac:dyDescent="0.3">
      <c r="A289" s="275" t="s">
        <v>164</v>
      </c>
      <c r="B289" s="275"/>
      <c r="C289" s="275"/>
      <c r="D289" s="275"/>
    </row>
    <row r="290" spans="1:4" x14ac:dyDescent="0.3">
      <c r="A290" s="273" t="s">
        <v>165</v>
      </c>
      <c r="B290" s="273"/>
      <c r="C290" s="52"/>
      <c r="D290" s="61">
        <v>1.0383</v>
      </c>
    </row>
    <row r="291" spans="1:4" x14ac:dyDescent="0.3">
      <c r="A291" s="273" t="s">
        <v>166</v>
      </c>
      <c r="B291" s="273"/>
      <c r="C291" s="52"/>
      <c r="D291" s="61">
        <v>1.0279</v>
      </c>
    </row>
  </sheetData>
  <mergeCells count="217">
    <mergeCell ref="A7:D7"/>
    <mergeCell ref="A8:D8"/>
    <mergeCell ref="A9:D9"/>
    <mergeCell ref="A11:D11"/>
    <mergeCell ref="A13:D13"/>
    <mergeCell ref="A15:D15"/>
    <mergeCell ref="A1:D1"/>
    <mergeCell ref="A2:D2"/>
    <mergeCell ref="A3:D3"/>
    <mergeCell ref="A4:D4"/>
    <mergeCell ref="A5:D5"/>
    <mergeCell ref="A6:D6"/>
    <mergeCell ref="A26:B26"/>
    <mergeCell ref="A27:B27"/>
    <mergeCell ref="A28:B28"/>
    <mergeCell ref="A29:B29"/>
    <mergeCell ref="A30:B30"/>
    <mergeCell ref="A31:B31"/>
    <mergeCell ref="A17:D17"/>
    <mergeCell ref="A19:D19"/>
    <mergeCell ref="A21:D21"/>
    <mergeCell ref="A23:B23"/>
    <mergeCell ref="A24:B24"/>
    <mergeCell ref="A25:B25"/>
    <mergeCell ref="A40:D40"/>
    <mergeCell ref="A41:D41"/>
    <mergeCell ref="A43:D43"/>
    <mergeCell ref="A45:D45"/>
    <mergeCell ref="A47:D47"/>
    <mergeCell ref="A49:D49"/>
    <mergeCell ref="A32:B32"/>
    <mergeCell ref="A34:D34"/>
    <mergeCell ref="A36:B36"/>
    <mergeCell ref="A37:B37"/>
    <mergeCell ref="A38:B38"/>
    <mergeCell ref="A39:B39"/>
    <mergeCell ref="A59:B59"/>
    <mergeCell ref="A60:B60"/>
    <mergeCell ref="A61:B61"/>
    <mergeCell ref="A62:B62"/>
    <mergeCell ref="A63:B63"/>
    <mergeCell ref="A64:B64"/>
    <mergeCell ref="A51:D51"/>
    <mergeCell ref="A53:D53"/>
    <mergeCell ref="A55:B55"/>
    <mergeCell ref="A56:B56"/>
    <mergeCell ref="A57:B57"/>
    <mergeCell ref="A58:B58"/>
    <mergeCell ref="A73:D73"/>
    <mergeCell ref="A74:D74"/>
    <mergeCell ref="A76:D76"/>
    <mergeCell ref="A78:D78"/>
    <mergeCell ref="A80:D80"/>
    <mergeCell ref="A82:D82"/>
    <mergeCell ref="A65:B65"/>
    <mergeCell ref="A67:D67"/>
    <mergeCell ref="A69:B69"/>
    <mergeCell ref="A70:B70"/>
    <mergeCell ref="A71:B71"/>
    <mergeCell ref="A72:B72"/>
    <mergeCell ref="A93:B93"/>
    <mergeCell ref="A94:B94"/>
    <mergeCell ref="A95:B95"/>
    <mergeCell ref="A96:B96"/>
    <mergeCell ref="A97:B97"/>
    <mergeCell ref="A98:B98"/>
    <mergeCell ref="A84:D84"/>
    <mergeCell ref="A86:D86"/>
    <mergeCell ref="A88:D88"/>
    <mergeCell ref="A90:B90"/>
    <mergeCell ref="A91:B91"/>
    <mergeCell ref="A92:B92"/>
    <mergeCell ref="A107:B107"/>
    <mergeCell ref="A108:B108"/>
    <mergeCell ref="A109:D109"/>
    <mergeCell ref="A110:D110"/>
    <mergeCell ref="A112:D112"/>
    <mergeCell ref="A114:D114"/>
    <mergeCell ref="A99:B99"/>
    <mergeCell ref="A100:B100"/>
    <mergeCell ref="A101:B101"/>
    <mergeCell ref="A103:D103"/>
    <mergeCell ref="A105:B105"/>
    <mergeCell ref="A106:B106"/>
    <mergeCell ref="A126:B126"/>
    <mergeCell ref="A127:B127"/>
    <mergeCell ref="A128:B128"/>
    <mergeCell ref="A129:B129"/>
    <mergeCell ref="A130:B130"/>
    <mergeCell ref="A131:B131"/>
    <mergeCell ref="A116:D116"/>
    <mergeCell ref="A118:D118"/>
    <mergeCell ref="A120:D120"/>
    <mergeCell ref="A122:D122"/>
    <mergeCell ref="A124:B124"/>
    <mergeCell ref="A125:B125"/>
    <mergeCell ref="A140:D140"/>
    <mergeCell ref="A142:D142"/>
    <mergeCell ref="A144:D144"/>
    <mergeCell ref="A146:D146"/>
    <mergeCell ref="A148:D148"/>
    <mergeCell ref="A150:D150"/>
    <mergeCell ref="A133:D133"/>
    <mergeCell ref="A135:B135"/>
    <mergeCell ref="A136:B136"/>
    <mergeCell ref="A137:B137"/>
    <mergeCell ref="A138:B138"/>
    <mergeCell ref="A139:D139"/>
    <mergeCell ref="A159:B159"/>
    <mergeCell ref="A160:B160"/>
    <mergeCell ref="A161:B161"/>
    <mergeCell ref="A163:D163"/>
    <mergeCell ref="A165:B165"/>
    <mergeCell ref="A166:B166"/>
    <mergeCell ref="A152:D152"/>
    <mergeCell ref="A154:B154"/>
    <mergeCell ref="A155:B155"/>
    <mergeCell ref="A156:B156"/>
    <mergeCell ref="A157:B157"/>
    <mergeCell ref="A158:B158"/>
    <mergeCell ref="A176:D176"/>
    <mergeCell ref="A178:D178"/>
    <mergeCell ref="A180:D180"/>
    <mergeCell ref="A182:D182"/>
    <mergeCell ref="A184:B184"/>
    <mergeCell ref="A185:B185"/>
    <mergeCell ref="A167:B167"/>
    <mergeCell ref="A168:B168"/>
    <mergeCell ref="A169:D169"/>
    <mergeCell ref="A170:D170"/>
    <mergeCell ref="A172:D172"/>
    <mergeCell ref="A174:D174"/>
    <mergeCell ref="A192:B192"/>
    <mergeCell ref="A193:B193"/>
    <mergeCell ref="A195:D195"/>
    <mergeCell ref="A197:B197"/>
    <mergeCell ref="A198:B198"/>
    <mergeCell ref="A199:B199"/>
    <mergeCell ref="A186:B186"/>
    <mergeCell ref="A187:B187"/>
    <mergeCell ref="A188:B188"/>
    <mergeCell ref="A189:B189"/>
    <mergeCell ref="A190:B190"/>
    <mergeCell ref="A191:B191"/>
    <mergeCell ref="A210:D210"/>
    <mergeCell ref="A212:D212"/>
    <mergeCell ref="A214:D214"/>
    <mergeCell ref="A216:B216"/>
    <mergeCell ref="A218:D218"/>
    <mergeCell ref="A219:B219"/>
    <mergeCell ref="A200:B200"/>
    <mergeCell ref="A201:D201"/>
    <mergeCell ref="A202:D202"/>
    <mergeCell ref="A204:D204"/>
    <mergeCell ref="A206:D206"/>
    <mergeCell ref="A208:D208"/>
    <mergeCell ref="A229:B229"/>
    <mergeCell ref="A230:B230"/>
    <mergeCell ref="A231:B231"/>
    <mergeCell ref="A232:B232"/>
    <mergeCell ref="A233:B233"/>
    <mergeCell ref="A234:B234"/>
    <mergeCell ref="A220:B220"/>
    <mergeCell ref="A221:D221"/>
    <mergeCell ref="A222:D222"/>
    <mergeCell ref="A224:D224"/>
    <mergeCell ref="A226:D226"/>
    <mergeCell ref="A228:D228"/>
    <mergeCell ref="A241:B241"/>
    <mergeCell ref="A242:D242"/>
    <mergeCell ref="A243:B243"/>
    <mergeCell ref="A244:B244"/>
    <mergeCell ref="A245:B245"/>
    <mergeCell ref="A246:B246"/>
    <mergeCell ref="A235:B235"/>
    <mergeCell ref="A236:B236"/>
    <mergeCell ref="A237:B237"/>
    <mergeCell ref="A238:B238"/>
    <mergeCell ref="A239:B239"/>
    <mergeCell ref="A240:B240"/>
    <mergeCell ref="A254:B254"/>
    <mergeCell ref="A255:B255"/>
    <mergeCell ref="A256:B256"/>
    <mergeCell ref="A257:B257"/>
    <mergeCell ref="A258:B258"/>
    <mergeCell ref="A259:B259"/>
    <mergeCell ref="A247:B247"/>
    <mergeCell ref="A248:B248"/>
    <mergeCell ref="A249:B249"/>
    <mergeCell ref="A250:B250"/>
    <mergeCell ref="A251:B251"/>
    <mergeCell ref="A253:D253"/>
    <mergeCell ref="A271:D271"/>
    <mergeCell ref="A272:B272"/>
    <mergeCell ref="A273:B273"/>
    <mergeCell ref="A274:B274"/>
    <mergeCell ref="A275:B275"/>
    <mergeCell ref="A276:B276"/>
    <mergeCell ref="A260:D260"/>
    <mergeCell ref="A261:D261"/>
    <mergeCell ref="A263:D263"/>
    <mergeCell ref="A265:D265"/>
    <mergeCell ref="A267:D267"/>
    <mergeCell ref="A269:D269"/>
    <mergeCell ref="A291:B291"/>
    <mergeCell ref="A283:B283"/>
    <mergeCell ref="A284:B284"/>
    <mergeCell ref="A285:B285"/>
    <mergeCell ref="A287:D287"/>
    <mergeCell ref="A289:D289"/>
    <mergeCell ref="A290:B290"/>
    <mergeCell ref="A277:D277"/>
    <mergeCell ref="A278:B278"/>
    <mergeCell ref="A279:B279"/>
    <mergeCell ref="A280:D280"/>
    <mergeCell ref="A281:D281"/>
    <mergeCell ref="A282:D282"/>
  </mergeCells>
  <pageMargins left="0.39" right="0.25" top="0.28999999999999998" bottom="0.34" header="0.17" footer="0.17"/>
  <pageSetup scale="88" orientation="portrait" r:id="rId1"/>
  <rowBreaks count="7" manualBreakCount="7">
    <brk id="39" max="16383" man="1"/>
    <brk id="72" max="16383" man="1"/>
    <brk id="108" max="16383" man="1"/>
    <brk id="138" max="16383" man="1"/>
    <brk id="168" max="16383" man="1"/>
    <brk id="200" max="16383" man="1"/>
    <brk id="2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2010-2869-4D96-9F31-5A8B9BB5C374}">
  <dimension ref="A1:D240"/>
  <sheetViews>
    <sheetView workbookViewId="0">
      <selection sqref="A1:D1"/>
    </sheetView>
  </sheetViews>
  <sheetFormatPr defaultRowHeight="14.4" x14ac:dyDescent="0.3"/>
  <cols>
    <col min="1" max="1" width="56.88671875" customWidth="1"/>
    <col min="2" max="2" width="12.21875" customWidth="1"/>
    <col min="4" max="4" width="11.6640625" customWidth="1"/>
  </cols>
  <sheetData>
    <row r="1" spans="1:4" ht="22.8" x14ac:dyDescent="0.3">
      <c r="A1" s="290" t="s">
        <v>49</v>
      </c>
      <c r="B1" s="290"/>
      <c r="C1" s="290"/>
      <c r="D1" s="290"/>
    </row>
    <row r="2" spans="1:4" ht="22.8" x14ac:dyDescent="0.3">
      <c r="A2" s="290" t="s">
        <v>220</v>
      </c>
      <c r="B2" s="290"/>
      <c r="C2" s="290"/>
      <c r="D2" s="290"/>
    </row>
    <row r="3" spans="1:4" ht="17.399999999999999" x14ac:dyDescent="0.3">
      <c r="A3" s="291" t="s">
        <v>246</v>
      </c>
      <c r="B3" s="291"/>
      <c r="C3" s="291"/>
      <c r="D3" s="291"/>
    </row>
    <row r="4" spans="1:4" ht="15.6" x14ac:dyDescent="0.3">
      <c r="A4" s="292" t="s">
        <v>221</v>
      </c>
      <c r="B4" s="292"/>
      <c r="C4" s="292"/>
      <c r="D4" s="292"/>
    </row>
    <row r="5" spans="1:4" x14ac:dyDescent="0.3">
      <c r="A5" s="293" t="s">
        <v>222</v>
      </c>
      <c r="B5" s="293"/>
      <c r="C5" s="293"/>
      <c r="D5" s="293"/>
    </row>
    <row r="6" spans="1:4" x14ac:dyDescent="0.3">
      <c r="A6" s="293" t="s">
        <v>223</v>
      </c>
      <c r="B6" s="293"/>
      <c r="C6" s="293"/>
      <c r="D6" s="293"/>
    </row>
    <row r="7" spans="1:4" x14ac:dyDescent="0.3">
      <c r="A7" s="289" t="s">
        <v>224</v>
      </c>
      <c r="B7" s="289"/>
      <c r="C7" s="289"/>
      <c r="D7" s="289"/>
    </row>
    <row r="8" spans="1:4" x14ac:dyDescent="0.3">
      <c r="A8" s="284" t="s">
        <v>51</v>
      </c>
      <c r="B8" s="294"/>
      <c r="C8" s="294"/>
      <c r="D8" s="294"/>
    </row>
    <row r="9" spans="1:4" ht="81.599999999999994" customHeight="1" x14ac:dyDescent="0.3">
      <c r="A9" s="279" t="s">
        <v>225</v>
      </c>
      <c r="B9" s="279"/>
      <c r="C9" s="279"/>
      <c r="D9" s="279"/>
    </row>
    <row r="10" spans="1:4" ht="10.199999999999999" customHeight="1" x14ac:dyDescent="0.3">
      <c r="A10" s="48"/>
      <c r="B10" s="48"/>
      <c r="C10" s="48"/>
      <c r="D10" s="48"/>
    </row>
    <row r="11" spans="1:4" x14ac:dyDescent="0.3">
      <c r="A11" s="286" t="s">
        <v>53</v>
      </c>
      <c r="B11" s="294"/>
      <c r="C11" s="294"/>
      <c r="D11" s="294"/>
    </row>
    <row r="12" spans="1:4" ht="9.6" customHeight="1" x14ac:dyDescent="0.3">
      <c r="A12" s="49"/>
      <c r="B12" s="167"/>
      <c r="C12" s="167"/>
      <c r="D12" s="167"/>
    </row>
    <row r="13" spans="1:4" ht="37.200000000000003" customHeight="1" x14ac:dyDescent="0.3">
      <c r="A13" s="279" t="s">
        <v>78</v>
      </c>
      <c r="B13" s="279"/>
      <c r="C13" s="279"/>
      <c r="D13" s="279"/>
    </row>
    <row r="14" spans="1:4" ht="11.4" customHeight="1" x14ac:dyDescent="0.3">
      <c r="A14" s="48"/>
      <c r="B14" s="48"/>
      <c r="C14" s="48"/>
      <c r="D14" s="48"/>
    </row>
    <row r="15" spans="1:4" ht="48.6" customHeight="1" x14ac:dyDescent="0.3">
      <c r="A15" s="279" t="s">
        <v>55</v>
      </c>
      <c r="B15" s="279"/>
      <c r="C15" s="279"/>
      <c r="D15" s="279"/>
    </row>
    <row r="16" spans="1:4" ht="9.6" customHeight="1" x14ac:dyDescent="0.3">
      <c r="A16" s="48"/>
      <c r="B16" s="48"/>
      <c r="C16" s="48"/>
      <c r="D16" s="48"/>
    </row>
    <row r="17" spans="1:4" ht="49.8" customHeight="1" x14ac:dyDescent="0.3">
      <c r="A17" s="279" t="s">
        <v>226</v>
      </c>
      <c r="B17" s="279"/>
      <c r="C17" s="279"/>
      <c r="D17" s="279"/>
    </row>
    <row r="18" spans="1:4" ht="8.4" customHeight="1" x14ac:dyDescent="0.3">
      <c r="A18" s="48"/>
      <c r="B18" s="48"/>
      <c r="C18" s="48"/>
      <c r="D18" s="48"/>
    </row>
    <row r="19" spans="1:4" ht="36.6" customHeight="1" x14ac:dyDescent="0.3">
      <c r="A19" s="279" t="s">
        <v>57</v>
      </c>
      <c r="B19" s="279"/>
      <c r="C19" s="279"/>
      <c r="D19" s="279"/>
    </row>
    <row r="20" spans="1:4" ht="11.4" customHeight="1" x14ac:dyDescent="0.3">
      <c r="A20" s="48"/>
      <c r="B20" s="48"/>
      <c r="C20" s="48"/>
      <c r="D20" s="48"/>
    </row>
    <row r="21" spans="1:4" x14ac:dyDescent="0.3">
      <c r="A21" s="282" t="s">
        <v>58</v>
      </c>
      <c r="B21" s="283"/>
      <c r="C21" s="283"/>
      <c r="D21" s="283"/>
    </row>
    <row r="22" spans="1:4" ht="8.4" customHeight="1" x14ac:dyDescent="0.3">
      <c r="A22" s="50"/>
      <c r="B22" s="51"/>
      <c r="C22" s="51"/>
      <c r="D22" s="51"/>
    </row>
    <row r="23" spans="1:4" x14ac:dyDescent="0.3">
      <c r="A23" s="273" t="s">
        <v>59</v>
      </c>
      <c r="B23" s="273"/>
      <c r="C23" s="52" t="s">
        <v>60</v>
      </c>
      <c r="D23" s="53">
        <v>30.94</v>
      </c>
    </row>
    <row r="24" spans="1:4" x14ac:dyDescent="0.3">
      <c r="A24" s="273" t="s">
        <v>62</v>
      </c>
      <c r="B24" s="273"/>
      <c r="C24" s="52" t="s">
        <v>60</v>
      </c>
      <c r="D24" s="53">
        <v>0.56999999999999995</v>
      </c>
    </row>
    <row r="25" spans="1:4" ht="13.8" customHeight="1" x14ac:dyDescent="0.3">
      <c r="A25" s="273" t="s">
        <v>227</v>
      </c>
      <c r="B25" s="273"/>
      <c r="C25" s="52" t="s">
        <v>65</v>
      </c>
      <c r="D25" s="54">
        <v>2E-3</v>
      </c>
    </row>
    <row r="26" spans="1:4" ht="27" customHeight="1" x14ac:dyDescent="0.3">
      <c r="A26" s="273" t="s">
        <v>64</v>
      </c>
      <c r="B26" s="273"/>
      <c r="C26" s="52" t="s">
        <v>65</v>
      </c>
      <c r="D26" s="54">
        <v>2.7000000000000001E-3</v>
      </c>
    </row>
    <row r="27" spans="1:4" ht="23.4" customHeight="1" x14ac:dyDescent="0.3">
      <c r="A27" s="273" t="s">
        <v>228</v>
      </c>
      <c r="B27" s="273"/>
      <c r="C27" s="52" t="s">
        <v>65</v>
      </c>
      <c r="D27" s="54">
        <v>1.1999999999999999E-3</v>
      </c>
    </row>
    <row r="28" spans="1:4" ht="26.4" customHeight="1" x14ac:dyDescent="0.3">
      <c r="A28" s="273" t="s">
        <v>67</v>
      </c>
      <c r="B28" s="273"/>
      <c r="C28" s="52" t="s">
        <v>65</v>
      </c>
      <c r="D28" s="54">
        <v>5.9999999999999995E-4</v>
      </c>
    </row>
    <row r="29" spans="1:4" x14ac:dyDescent="0.3">
      <c r="A29" s="273" t="s">
        <v>69</v>
      </c>
      <c r="B29" s="273"/>
      <c r="C29" s="52" t="s">
        <v>65</v>
      </c>
      <c r="D29" s="54">
        <v>6.6E-3</v>
      </c>
    </row>
    <row r="30" spans="1:4" x14ac:dyDescent="0.3">
      <c r="A30" s="273" t="s">
        <v>70</v>
      </c>
      <c r="B30" s="273"/>
      <c r="C30" s="52" t="s">
        <v>65</v>
      </c>
      <c r="D30" s="54">
        <v>5.1999999999999998E-3</v>
      </c>
    </row>
    <row r="31" spans="1:4" x14ac:dyDescent="0.3">
      <c r="A31" s="55"/>
      <c r="B31" s="55"/>
      <c r="C31" s="52"/>
      <c r="D31" s="54"/>
    </row>
    <row r="32" spans="1:4" x14ac:dyDescent="0.3">
      <c r="A32" s="282" t="s">
        <v>71</v>
      </c>
      <c r="B32" s="295"/>
      <c r="C32" s="52"/>
      <c r="D32" s="52"/>
    </row>
    <row r="33" spans="1:4" x14ac:dyDescent="0.3">
      <c r="A33" s="50"/>
      <c r="B33" s="168"/>
      <c r="C33" s="52"/>
      <c r="D33" s="52"/>
    </row>
    <row r="34" spans="1:4" x14ac:dyDescent="0.3">
      <c r="A34" s="273" t="s">
        <v>72</v>
      </c>
      <c r="B34" s="273"/>
      <c r="C34" s="52" t="s">
        <v>65</v>
      </c>
      <c r="D34" s="54">
        <v>3.0000000000000001E-3</v>
      </c>
    </row>
    <row r="35" spans="1:4" x14ac:dyDescent="0.3">
      <c r="A35" s="273" t="s">
        <v>73</v>
      </c>
      <c r="B35" s="273"/>
      <c r="C35" s="52" t="s">
        <v>65</v>
      </c>
      <c r="D35" s="54">
        <v>4.0000000000000002E-4</v>
      </c>
    </row>
    <row r="36" spans="1:4" x14ac:dyDescent="0.3">
      <c r="A36" s="273" t="s">
        <v>74</v>
      </c>
      <c r="B36" s="273"/>
      <c r="C36" s="52" t="s">
        <v>65</v>
      </c>
      <c r="D36" s="54">
        <v>5.0000000000000001E-4</v>
      </c>
    </row>
    <row r="37" spans="1:4" x14ac:dyDescent="0.3">
      <c r="A37" s="273" t="s">
        <v>75</v>
      </c>
      <c r="B37" s="273"/>
      <c r="C37" s="52" t="s">
        <v>60</v>
      </c>
      <c r="D37" s="53">
        <v>0.25</v>
      </c>
    </row>
    <row r="38" spans="1:4" ht="17.399999999999999" x14ac:dyDescent="0.3">
      <c r="A38" s="284" t="s">
        <v>76</v>
      </c>
      <c r="B38" s="296"/>
      <c r="C38" s="296"/>
      <c r="D38" s="296"/>
    </row>
    <row r="39" spans="1:4" ht="63" customHeight="1" x14ac:dyDescent="0.3">
      <c r="A39" s="279" t="s">
        <v>229</v>
      </c>
      <c r="B39" s="279"/>
      <c r="C39" s="279"/>
      <c r="D39" s="279"/>
    </row>
    <row r="40" spans="1:4" x14ac:dyDescent="0.3">
      <c r="A40" s="48"/>
      <c r="B40" s="48"/>
      <c r="C40" s="48"/>
      <c r="D40" s="48"/>
    </row>
    <row r="41" spans="1:4" x14ac:dyDescent="0.3">
      <c r="A41" s="286" t="s">
        <v>53</v>
      </c>
      <c r="B41" s="294"/>
      <c r="C41" s="294"/>
      <c r="D41" s="294"/>
    </row>
    <row r="42" spans="1:4" x14ac:dyDescent="0.3">
      <c r="A42" s="49"/>
      <c r="B42" s="167"/>
      <c r="C42" s="167"/>
      <c r="D42" s="167"/>
    </row>
    <row r="43" spans="1:4" ht="38.4" customHeight="1" x14ac:dyDescent="0.3">
      <c r="A43" s="279" t="s">
        <v>78</v>
      </c>
      <c r="B43" s="279"/>
      <c r="C43" s="279"/>
      <c r="D43" s="279"/>
    </row>
    <row r="44" spans="1:4" x14ac:dyDescent="0.3">
      <c r="A44" s="48"/>
      <c r="B44" s="48"/>
      <c r="C44" s="48"/>
      <c r="D44" s="48"/>
    </row>
    <row r="45" spans="1:4" ht="49.8" customHeight="1" x14ac:dyDescent="0.3">
      <c r="A45" s="279" t="s">
        <v>55</v>
      </c>
      <c r="B45" s="279"/>
      <c r="C45" s="279"/>
      <c r="D45" s="279"/>
    </row>
    <row r="46" spans="1:4" x14ac:dyDescent="0.3">
      <c r="A46" s="48"/>
      <c r="B46" s="48"/>
      <c r="C46" s="48"/>
      <c r="D46" s="48"/>
    </row>
    <row r="47" spans="1:4" ht="51" customHeight="1" x14ac:dyDescent="0.3">
      <c r="A47" s="279" t="s">
        <v>56</v>
      </c>
      <c r="B47" s="279"/>
      <c r="C47" s="279"/>
      <c r="D47" s="279"/>
    </row>
    <row r="48" spans="1:4" x14ac:dyDescent="0.3">
      <c r="A48" s="48"/>
      <c r="B48" s="48"/>
      <c r="C48" s="48"/>
      <c r="D48" s="48"/>
    </row>
    <row r="49" spans="1:4" ht="38.4" customHeight="1" x14ac:dyDescent="0.3">
      <c r="A49" s="279" t="s">
        <v>57</v>
      </c>
      <c r="B49" s="279"/>
      <c r="C49" s="279"/>
      <c r="D49" s="279"/>
    </row>
    <row r="50" spans="1:4" x14ac:dyDescent="0.3">
      <c r="A50" s="48"/>
      <c r="B50" s="48"/>
      <c r="C50" s="48"/>
      <c r="D50" s="48"/>
    </row>
    <row r="51" spans="1:4" x14ac:dyDescent="0.3">
      <c r="A51" s="282" t="s">
        <v>58</v>
      </c>
      <c r="B51" s="283"/>
      <c r="C51" s="283"/>
      <c r="D51" s="283"/>
    </row>
    <row r="52" spans="1:4" x14ac:dyDescent="0.3">
      <c r="A52" s="50"/>
      <c r="B52" s="51"/>
      <c r="C52" s="51"/>
      <c r="D52" s="51"/>
    </row>
    <row r="53" spans="1:4" x14ac:dyDescent="0.3">
      <c r="A53" s="273" t="s">
        <v>59</v>
      </c>
      <c r="B53" s="273"/>
      <c r="C53" s="52" t="s">
        <v>60</v>
      </c>
      <c r="D53" s="53">
        <v>23.03</v>
      </c>
    </row>
    <row r="54" spans="1:4" x14ac:dyDescent="0.3">
      <c r="A54" s="273" t="s">
        <v>62</v>
      </c>
      <c r="B54" s="273"/>
      <c r="C54" s="52" t="s">
        <v>60</v>
      </c>
      <c r="D54" s="53">
        <v>0.56999999999999995</v>
      </c>
    </row>
    <row r="55" spans="1:4" x14ac:dyDescent="0.3">
      <c r="A55" s="273" t="s">
        <v>79</v>
      </c>
      <c r="B55" s="273"/>
      <c r="C55" s="52" t="s">
        <v>65</v>
      </c>
      <c r="D55" s="54">
        <v>1.7000000000000001E-2</v>
      </c>
    </row>
    <row r="56" spans="1:4" x14ac:dyDescent="0.3">
      <c r="A56" s="273" t="s">
        <v>227</v>
      </c>
      <c r="B56" s="273"/>
      <c r="C56" s="52" t="s">
        <v>65</v>
      </c>
      <c r="D56" s="54">
        <v>1.8E-3</v>
      </c>
    </row>
    <row r="57" spans="1:4" ht="25.8" customHeight="1" x14ac:dyDescent="0.3">
      <c r="A57" s="273" t="s">
        <v>64</v>
      </c>
      <c r="B57" s="273"/>
      <c r="C57" s="52" t="s">
        <v>65</v>
      </c>
      <c r="D57" s="54">
        <v>2.7000000000000001E-3</v>
      </c>
    </row>
    <row r="58" spans="1:4" ht="22.8" customHeight="1" x14ac:dyDescent="0.3">
      <c r="A58" s="273" t="s">
        <v>230</v>
      </c>
      <c r="B58" s="273"/>
      <c r="C58" s="52" t="s">
        <v>65</v>
      </c>
      <c r="D58" s="54">
        <v>-1.8E-3</v>
      </c>
    </row>
    <row r="59" spans="1:4" ht="25.2" customHeight="1" x14ac:dyDescent="0.3">
      <c r="A59" s="273" t="s">
        <v>67</v>
      </c>
      <c r="B59" s="273"/>
      <c r="C59" s="52" t="s">
        <v>65</v>
      </c>
      <c r="D59" s="54">
        <v>6.9999999999999999E-4</v>
      </c>
    </row>
    <row r="60" spans="1:4" x14ac:dyDescent="0.3">
      <c r="A60" s="273" t="s">
        <v>69</v>
      </c>
      <c r="B60" s="273"/>
      <c r="C60" s="52" t="s">
        <v>65</v>
      </c>
      <c r="D60" s="54">
        <v>5.8999999999999999E-3</v>
      </c>
    </row>
    <row r="61" spans="1:4" x14ac:dyDescent="0.3">
      <c r="A61" s="273" t="s">
        <v>70</v>
      </c>
      <c r="B61" s="273"/>
      <c r="C61" s="52" t="s">
        <v>65</v>
      </c>
      <c r="D61" s="54">
        <v>4.7999999999999996E-3</v>
      </c>
    </row>
    <row r="62" spans="1:4" x14ac:dyDescent="0.3">
      <c r="A62" s="55"/>
      <c r="B62" s="55"/>
      <c r="C62" s="52"/>
      <c r="D62" s="54"/>
    </row>
    <row r="63" spans="1:4" x14ac:dyDescent="0.3">
      <c r="A63" s="282" t="s">
        <v>71</v>
      </c>
      <c r="B63" s="273"/>
      <c r="C63" s="52"/>
      <c r="D63" s="52"/>
    </row>
    <row r="64" spans="1:4" x14ac:dyDescent="0.3">
      <c r="A64" s="50"/>
      <c r="B64" s="55"/>
      <c r="C64" s="52"/>
      <c r="D64" s="52"/>
    </row>
    <row r="65" spans="1:4" x14ac:dyDescent="0.3">
      <c r="A65" s="273" t="s">
        <v>72</v>
      </c>
      <c r="B65" s="273"/>
      <c r="C65" s="52" t="s">
        <v>65</v>
      </c>
      <c r="D65" s="54">
        <v>3.0000000000000001E-3</v>
      </c>
    </row>
    <row r="66" spans="1:4" x14ac:dyDescent="0.3">
      <c r="A66" s="273" t="s">
        <v>73</v>
      </c>
      <c r="B66" s="273"/>
      <c r="C66" s="52" t="s">
        <v>65</v>
      </c>
      <c r="D66" s="54">
        <v>4.0000000000000002E-4</v>
      </c>
    </row>
    <row r="67" spans="1:4" x14ac:dyDescent="0.3">
      <c r="A67" s="273" t="s">
        <v>74</v>
      </c>
      <c r="B67" s="273"/>
      <c r="C67" s="52" t="s">
        <v>65</v>
      </c>
      <c r="D67" s="54">
        <v>5.0000000000000001E-4</v>
      </c>
    </row>
    <row r="68" spans="1:4" x14ac:dyDescent="0.3">
      <c r="A68" s="273" t="s">
        <v>75</v>
      </c>
      <c r="B68" s="273"/>
      <c r="C68" s="52" t="s">
        <v>60</v>
      </c>
      <c r="D68" s="53">
        <v>0.25</v>
      </c>
    </row>
    <row r="69" spans="1:4" ht="17.399999999999999" x14ac:dyDescent="0.3">
      <c r="A69" s="284" t="s">
        <v>81</v>
      </c>
      <c r="B69" s="296"/>
      <c r="C69" s="296"/>
      <c r="D69" s="296"/>
    </row>
    <row r="70" spans="1:4" ht="135.6" customHeight="1" x14ac:dyDescent="0.3">
      <c r="A70" s="279" t="s">
        <v>231</v>
      </c>
      <c r="B70" s="279"/>
      <c r="C70" s="279"/>
      <c r="D70" s="279"/>
    </row>
    <row r="71" spans="1:4" ht="8.4" customHeight="1" x14ac:dyDescent="0.3">
      <c r="A71" s="48"/>
      <c r="B71" s="48"/>
      <c r="C71" s="48"/>
      <c r="D71" s="48"/>
    </row>
    <row r="72" spans="1:4" x14ac:dyDescent="0.3">
      <c r="A72" s="286" t="s">
        <v>53</v>
      </c>
      <c r="B72" s="294"/>
      <c r="C72" s="294"/>
      <c r="D72" s="294"/>
    </row>
    <row r="73" spans="1:4" ht="8.4" customHeight="1" x14ac:dyDescent="0.3">
      <c r="A73" s="49"/>
      <c r="B73" s="167"/>
      <c r="C73" s="167"/>
      <c r="D73" s="167"/>
    </row>
    <row r="74" spans="1:4" ht="36" customHeight="1" x14ac:dyDescent="0.3">
      <c r="A74" s="279" t="s">
        <v>78</v>
      </c>
      <c r="B74" s="279"/>
      <c r="C74" s="279"/>
      <c r="D74" s="279"/>
    </row>
    <row r="75" spans="1:4" ht="11.4" customHeight="1" x14ac:dyDescent="0.3">
      <c r="A75" s="48"/>
      <c r="B75" s="48"/>
      <c r="C75" s="48"/>
      <c r="D75" s="48"/>
    </row>
    <row r="76" spans="1:4" ht="48.6" customHeight="1" x14ac:dyDescent="0.3">
      <c r="A76" s="279" t="s">
        <v>55</v>
      </c>
      <c r="B76" s="279"/>
      <c r="C76" s="279"/>
      <c r="D76" s="279"/>
    </row>
    <row r="77" spans="1:4" ht="9.6" customHeight="1" x14ac:dyDescent="0.3">
      <c r="A77" s="48"/>
      <c r="B77" s="48"/>
      <c r="C77" s="48"/>
      <c r="D77" s="48"/>
    </row>
    <row r="78" spans="1:4" ht="49.8" customHeight="1" x14ac:dyDescent="0.3">
      <c r="A78" s="279" t="s">
        <v>56</v>
      </c>
      <c r="B78" s="279"/>
      <c r="C78" s="279"/>
      <c r="D78" s="279"/>
    </row>
    <row r="79" spans="1:4" ht="8.4" customHeight="1" x14ac:dyDescent="0.3">
      <c r="A79" s="48"/>
      <c r="B79" s="48"/>
      <c r="C79" s="48"/>
      <c r="D79" s="48"/>
    </row>
    <row r="80" spans="1:4" ht="73.8" customHeight="1" x14ac:dyDescent="0.3">
      <c r="A80" s="279" t="s">
        <v>84</v>
      </c>
      <c r="B80" s="279"/>
      <c r="C80" s="279"/>
      <c r="D80" s="279"/>
    </row>
    <row r="81" spans="1:4" ht="9.6" customHeight="1" x14ac:dyDescent="0.3">
      <c r="A81" s="48"/>
      <c r="B81" s="48"/>
      <c r="C81" s="48"/>
      <c r="D81" s="48"/>
    </row>
    <row r="82" spans="1:4" ht="40.200000000000003" customHeight="1" x14ac:dyDescent="0.3">
      <c r="A82" s="279" t="s">
        <v>57</v>
      </c>
      <c r="B82" s="279"/>
      <c r="C82" s="279"/>
      <c r="D82" s="279"/>
    </row>
    <row r="83" spans="1:4" ht="8.4" customHeight="1" x14ac:dyDescent="0.3">
      <c r="A83" s="48"/>
      <c r="B83" s="48"/>
      <c r="C83" s="48"/>
      <c r="D83" s="48"/>
    </row>
    <row r="84" spans="1:4" x14ac:dyDescent="0.3">
      <c r="A84" s="282" t="s">
        <v>58</v>
      </c>
      <c r="B84" s="283"/>
      <c r="C84" s="283"/>
      <c r="D84" s="283"/>
    </row>
    <row r="85" spans="1:4" ht="10.199999999999999" customHeight="1" x14ac:dyDescent="0.3">
      <c r="A85" s="50"/>
      <c r="B85" s="51"/>
      <c r="C85" s="51"/>
      <c r="D85" s="51"/>
    </row>
    <row r="86" spans="1:4" x14ac:dyDescent="0.3">
      <c r="A86" s="273" t="s">
        <v>59</v>
      </c>
      <c r="B86" s="273"/>
      <c r="C86" s="52" t="s">
        <v>60</v>
      </c>
      <c r="D86" s="53">
        <v>65.09</v>
      </c>
    </row>
    <row r="87" spans="1:4" x14ac:dyDescent="0.3">
      <c r="A87" s="273" t="s">
        <v>79</v>
      </c>
      <c r="B87" s="273"/>
      <c r="C87" s="52" t="s">
        <v>86</v>
      </c>
      <c r="D87" s="54">
        <v>3.3170000000000002</v>
      </c>
    </row>
    <row r="88" spans="1:4" x14ac:dyDescent="0.3">
      <c r="A88" s="273" t="s">
        <v>227</v>
      </c>
      <c r="B88" s="273"/>
      <c r="C88" s="52" t="s">
        <v>86</v>
      </c>
      <c r="D88" s="54">
        <v>0.72819999999999996</v>
      </c>
    </row>
    <row r="89" spans="1:4" ht="29.4" customHeight="1" x14ac:dyDescent="0.3">
      <c r="A89" s="273" t="s">
        <v>64</v>
      </c>
      <c r="B89" s="273"/>
      <c r="C89" s="52" t="s">
        <v>65</v>
      </c>
      <c r="D89" s="54">
        <v>2.7000000000000001E-3</v>
      </c>
    </row>
    <row r="90" spans="1:4" ht="36.6" customHeight="1" x14ac:dyDescent="0.3">
      <c r="A90" s="273" t="s">
        <v>228</v>
      </c>
      <c r="B90" s="273"/>
      <c r="C90" s="52" t="s">
        <v>86</v>
      </c>
      <c r="D90" s="54">
        <v>0.30059999999999998</v>
      </c>
    </row>
    <row r="91" spans="1:4" ht="30.6" customHeight="1" x14ac:dyDescent="0.3">
      <c r="A91" s="273" t="s">
        <v>89</v>
      </c>
      <c r="B91" s="273"/>
      <c r="C91" s="52" t="s">
        <v>86</v>
      </c>
      <c r="D91" s="54">
        <v>-0.2117</v>
      </c>
    </row>
    <row r="92" spans="1:4" ht="25.8" customHeight="1" x14ac:dyDescent="0.3">
      <c r="A92" s="273" t="s">
        <v>232</v>
      </c>
      <c r="B92" s="273"/>
      <c r="C92" s="52" t="s">
        <v>86</v>
      </c>
      <c r="D92" s="54">
        <v>0.50990000000000002</v>
      </c>
    </row>
    <row r="93" spans="1:4" x14ac:dyDescent="0.3">
      <c r="A93" s="273" t="s">
        <v>69</v>
      </c>
      <c r="B93" s="273"/>
      <c r="C93" s="52" t="s">
        <v>86</v>
      </c>
      <c r="D93" s="54">
        <v>2.4186999999999999</v>
      </c>
    </row>
    <row r="94" spans="1:4" x14ac:dyDescent="0.3">
      <c r="A94" s="273" t="s">
        <v>233</v>
      </c>
      <c r="B94" s="273"/>
      <c r="C94" s="52" t="s">
        <v>86</v>
      </c>
      <c r="D94" s="54">
        <v>1.8945000000000001</v>
      </c>
    </row>
    <row r="95" spans="1:4" ht="10.199999999999999" customHeight="1" x14ac:dyDescent="0.3">
      <c r="A95" s="55"/>
      <c r="B95" s="55"/>
      <c r="C95" s="52"/>
      <c r="D95" s="54"/>
    </row>
    <row r="96" spans="1:4" x14ac:dyDescent="0.3">
      <c r="A96" s="282" t="s">
        <v>71</v>
      </c>
      <c r="B96" s="273"/>
      <c r="C96" s="52"/>
      <c r="D96" s="52"/>
    </row>
    <row r="97" spans="1:4" x14ac:dyDescent="0.3">
      <c r="A97" s="50"/>
      <c r="B97" s="55"/>
      <c r="C97" s="52"/>
      <c r="D97" s="52"/>
    </row>
    <row r="98" spans="1:4" x14ac:dyDescent="0.3">
      <c r="A98" s="273" t="s">
        <v>72</v>
      </c>
      <c r="B98" s="273"/>
      <c r="C98" s="52" t="s">
        <v>65</v>
      </c>
      <c r="D98" s="54">
        <v>3.0000000000000001E-3</v>
      </c>
    </row>
    <row r="99" spans="1:4" x14ac:dyDescent="0.3">
      <c r="A99" s="273" t="s">
        <v>73</v>
      </c>
      <c r="B99" s="273"/>
      <c r="C99" s="52" t="s">
        <v>65</v>
      </c>
      <c r="D99" s="54">
        <v>4.0000000000000002E-4</v>
      </c>
    </row>
    <row r="100" spans="1:4" x14ac:dyDescent="0.3">
      <c r="A100" s="273" t="s">
        <v>74</v>
      </c>
      <c r="B100" s="273"/>
      <c r="C100" s="52" t="s">
        <v>65</v>
      </c>
      <c r="D100" s="54">
        <v>5.0000000000000001E-4</v>
      </c>
    </row>
    <row r="101" spans="1:4" x14ac:dyDescent="0.3">
      <c r="A101" s="273" t="s">
        <v>75</v>
      </c>
      <c r="B101" s="273"/>
      <c r="C101" s="52" t="s">
        <v>60</v>
      </c>
      <c r="D101" s="53">
        <v>0.25</v>
      </c>
    </row>
    <row r="102" spans="1:4" ht="17.399999999999999" x14ac:dyDescent="0.3">
      <c r="A102" s="284" t="s">
        <v>91</v>
      </c>
      <c r="B102" s="296"/>
      <c r="C102" s="296"/>
      <c r="D102" s="296"/>
    </row>
    <row r="103" spans="1:4" x14ac:dyDescent="0.3">
      <c r="A103" s="279" t="s">
        <v>234</v>
      </c>
      <c r="B103" s="279"/>
      <c r="C103" s="279"/>
      <c r="D103" s="279"/>
    </row>
    <row r="104" spans="1:4" x14ac:dyDescent="0.3">
      <c r="A104" s="48"/>
      <c r="B104" s="48"/>
      <c r="C104" s="48"/>
      <c r="D104" s="48"/>
    </row>
    <row r="105" spans="1:4" x14ac:dyDescent="0.3">
      <c r="A105" s="286" t="s">
        <v>53</v>
      </c>
      <c r="B105" s="294"/>
      <c r="C105" s="294"/>
      <c r="D105" s="294"/>
    </row>
    <row r="106" spans="1:4" x14ac:dyDescent="0.3">
      <c r="A106" s="49"/>
      <c r="B106" s="167"/>
      <c r="C106" s="167"/>
      <c r="D106" s="167"/>
    </row>
    <row r="107" spans="1:4" ht="43.8" customHeight="1" x14ac:dyDescent="0.3">
      <c r="A107" s="279" t="s">
        <v>78</v>
      </c>
      <c r="B107" s="279"/>
      <c r="C107" s="279"/>
      <c r="D107" s="279"/>
    </row>
    <row r="108" spans="1:4" x14ac:dyDescent="0.3">
      <c r="A108" s="48"/>
      <c r="B108" s="48"/>
      <c r="C108" s="48"/>
      <c r="D108" s="48"/>
    </row>
    <row r="109" spans="1:4" ht="49.2" customHeight="1" x14ac:dyDescent="0.3">
      <c r="A109" s="279" t="s">
        <v>55</v>
      </c>
      <c r="B109" s="279"/>
      <c r="C109" s="279"/>
      <c r="D109" s="279"/>
    </row>
    <row r="110" spans="1:4" x14ac:dyDescent="0.3">
      <c r="A110" s="48"/>
      <c r="B110" s="48"/>
      <c r="C110" s="48"/>
      <c r="D110" s="48"/>
    </row>
    <row r="111" spans="1:4" ht="52.8" customHeight="1" x14ac:dyDescent="0.3">
      <c r="A111" s="279" t="s">
        <v>56</v>
      </c>
      <c r="B111" s="279"/>
      <c r="C111" s="279"/>
      <c r="D111" s="279"/>
    </row>
    <row r="112" spans="1:4" x14ac:dyDescent="0.3">
      <c r="A112" s="48"/>
      <c r="B112" s="48"/>
      <c r="C112" s="48"/>
      <c r="D112" s="48"/>
    </row>
    <row r="113" spans="1:4" ht="46.2" customHeight="1" x14ac:dyDescent="0.3">
      <c r="A113" s="279" t="s">
        <v>57</v>
      </c>
      <c r="B113" s="279"/>
      <c r="C113" s="279"/>
      <c r="D113" s="279"/>
    </row>
    <row r="114" spans="1:4" x14ac:dyDescent="0.3">
      <c r="A114" s="48"/>
      <c r="B114" s="48"/>
      <c r="C114" s="48"/>
      <c r="D114" s="48"/>
    </row>
    <row r="115" spans="1:4" x14ac:dyDescent="0.3">
      <c r="A115" s="282" t="s">
        <v>58</v>
      </c>
      <c r="B115" s="283"/>
      <c r="C115" s="283"/>
      <c r="D115" s="283"/>
    </row>
    <row r="116" spans="1:4" x14ac:dyDescent="0.3">
      <c r="A116" s="50"/>
      <c r="B116" s="51"/>
      <c r="C116" s="51"/>
      <c r="D116" s="51"/>
    </row>
    <row r="117" spans="1:4" x14ac:dyDescent="0.3">
      <c r="A117" s="273" t="s">
        <v>235</v>
      </c>
      <c r="B117" s="273"/>
      <c r="C117" s="52" t="s">
        <v>60</v>
      </c>
      <c r="D117" s="53">
        <v>10.65</v>
      </c>
    </row>
    <row r="118" spans="1:4" x14ac:dyDescent="0.3">
      <c r="A118" s="273" t="s">
        <v>79</v>
      </c>
      <c r="B118" s="273"/>
      <c r="C118" s="52" t="s">
        <v>65</v>
      </c>
      <c r="D118" s="54">
        <v>1.14E-2</v>
      </c>
    </row>
    <row r="119" spans="1:4" x14ac:dyDescent="0.3">
      <c r="A119" s="273" t="s">
        <v>227</v>
      </c>
      <c r="B119" s="273"/>
      <c r="C119" s="52" t="s">
        <v>65</v>
      </c>
      <c r="D119" s="54">
        <v>1.8E-3</v>
      </c>
    </row>
    <row r="120" spans="1:4" ht="28.2" customHeight="1" x14ac:dyDescent="0.3">
      <c r="A120" s="273" t="s">
        <v>64</v>
      </c>
      <c r="B120" s="273"/>
      <c r="C120" s="52" t="s">
        <v>65</v>
      </c>
      <c r="D120" s="54">
        <v>2.7000000000000001E-3</v>
      </c>
    </row>
    <row r="121" spans="1:4" ht="31.2" customHeight="1" x14ac:dyDescent="0.3">
      <c r="A121" s="273" t="s">
        <v>67</v>
      </c>
      <c r="B121" s="273"/>
      <c r="C121" s="52" t="s">
        <v>65</v>
      </c>
      <c r="D121" s="54">
        <v>6.9999999999999999E-4</v>
      </c>
    </row>
    <row r="122" spans="1:4" x14ac:dyDescent="0.3">
      <c r="A122" s="273" t="s">
        <v>69</v>
      </c>
      <c r="B122" s="273"/>
      <c r="C122" s="52" t="s">
        <v>65</v>
      </c>
      <c r="D122" s="54">
        <v>5.8999999999999999E-3</v>
      </c>
    </row>
    <row r="123" spans="1:4" x14ac:dyDescent="0.3">
      <c r="A123" s="273" t="s">
        <v>70</v>
      </c>
      <c r="B123" s="273"/>
      <c r="C123" s="52" t="s">
        <v>65</v>
      </c>
      <c r="D123" s="54">
        <v>4.7999999999999996E-3</v>
      </c>
    </row>
    <row r="124" spans="1:4" x14ac:dyDescent="0.3">
      <c r="A124" s="55"/>
      <c r="B124" s="55"/>
      <c r="C124" s="52"/>
      <c r="D124" s="54"/>
    </row>
    <row r="125" spans="1:4" x14ac:dyDescent="0.3">
      <c r="A125" s="282" t="s">
        <v>71</v>
      </c>
      <c r="B125" s="273"/>
      <c r="C125" s="52"/>
      <c r="D125" s="52"/>
    </row>
    <row r="126" spans="1:4" x14ac:dyDescent="0.3">
      <c r="A126" s="50"/>
      <c r="B126" s="55"/>
      <c r="C126" s="52"/>
      <c r="D126" s="52"/>
    </row>
    <row r="127" spans="1:4" x14ac:dyDescent="0.3">
      <c r="A127" s="273" t="s">
        <v>72</v>
      </c>
      <c r="B127" s="273"/>
      <c r="C127" s="52" t="s">
        <v>65</v>
      </c>
      <c r="D127" s="54">
        <v>3.0000000000000001E-3</v>
      </c>
    </row>
    <row r="128" spans="1:4" x14ac:dyDescent="0.3">
      <c r="A128" s="273" t="s">
        <v>73</v>
      </c>
      <c r="B128" s="273"/>
      <c r="C128" s="52" t="s">
        <v>65</v>
      </c>
      <c r="D128" s="54">
        <v>4.0000000000000002E-4</v>
      </c>
    </row>
    <row r="129" spans="1:4" x14ac:dyDescent="0.3">
      <c r="A129" s="273" t="s">
        <v>74</v>
      </c>
      <c r="B129" s="273"/>
      <c r="C129" s="52" t="s">
        <v>65</v>
      </c>
      <c r="D129" s="54">
        <v>5.0000000000000001E-4</v>
      </c>
    </row>
    <row r="130" spans="1:4" x14ac:dyDescent="0.3">
      <c r="A130" s="273" t="s">
        <v>75</v>
      </c>
      <c r="B130" s="273"/>
      <c r="C130" s="52" t="s">
        <v>60</v>
      </c>
      <c r="D130" s="53">
        <v>0.25</v>
      </c>
    </row>
    <row r="131" spans="1:4" ht="17.399999999999999" x14ac:dyDescent="0.3">
      <c r="A131" s="284" t="s">
        <v>97</v>
      </c>
      <c r="B131" s="296"/>
      <c r="C131" s="296"/>
      <c r="D131" s="296"/>
    </row>
    <row r="132" spans="1:4" ht="63" customHeight="1" x14ac:dyDescent="0.3">
      <c r="A132" s="279" t="s">
        <v>236</v>
      </c>
      <c r="B132" s="279"/>
      <c r="C132" s="279"/>
      <c r="D132" s="279"/>
    </row>
    <row r="133" spans="1:4" x14ac:dyDescent="0.3">
      <c r="A133" s="48"/>
      <c r="B133" s="48"/>
      <c r="C133" s="48"/>
      <c r="D133" s="48"/>
    </row>
    <row r="134" spans="1:4" x14ac:dyDescent="0.3">
      <c r="A134" s="286" t="s">
        <v>53</v>
      </c>
      <c r="B134" s="294"/>
      <c r="C134" s="294"/>
      <c r="D134" s="294"/>
    </row>
    <row r="135" spans="1:4" x14ac:dyDescent="0.3">
      <c r="A135" s="49"/>
      <c r="B135" s="167"/>
      <c r="C135" s="167"/>
      <c r="D135" s="167"/>
    </row>
    <row r="136" spans="1:4" ht="40.200000000000003" customHeight="1" x14ac:dyDescent="0.3">
      <c r="A136" s="279" t="s">
        <v>78</v>
      </c>
      <c r="B136" s="279"/>
      <c r="C136" s="279"/>
      <c r="D136" s="279"/>
    </row>
    <row r="137" spans="1:4" x14ac:dyDescent="0.3">
      <c r="A137" s="48"/>
      <c r="B137" s="48"/>
      <c r="C137" s="48"/>
      <c r="D137" s="48"/>
    </row>
    <row r="138" spans="1:4" ht="51.6" customHeight="1" x14ac:dyDescent="0.3">
      <c r="A138" s="279" t="s">
        <v>55</v>
      </c>
      <c r="B138" s="279"/>
      <c r="C138" s="279"/>
      <c r="D138" s="279"/>
    </row>
    <row r="139" spans="1:4" x14ac:dyDescent="0.3">
      <c r="A139" s="48"/>
      <c r="B139" s="48"/>
      <c r="C139" s="48"/>
      <c r="D139" s="48"/>
    </row>
    <row r="140" spans="1:4" ht="54" customHeight="1" x14ac:dyDescent="0.3">
      <c r="A140" s="279" t="s">
        <v>56</v>
      </c>
      <c r="B140" s="279"/>
      <c r="C140" s="279"/>
      <c r="D140" s="279"/>
    </row>
    <row r="141" spans="1:4" x14ac:dyDescent="0.3">
      <c r="A141" s="48"/>
      <c r="B141" s="48"/>
      <c r="C141" s="48"/>
      <c r="D141" s="48"/>
    </row>
    <row r="142" spans="1:4" ht="39.6" customHeight="1" x14ac:dyDescent="0.3">
      <c r="A142" s="279" t="s">
        <v>57</v>
      </c>
      <c r="B142" s="279"/>
      <c r="C142" s="279"/>
      <c r="D142" s="279"/>
    </row>
    <row r="143" spans="1:4" x14ac:dyDescent="0.3">
      <c r="A143" s="48"/>
      <c r="B143" s="48"/>
      <c r="C143" s="48"/>
      <c r="D143" s="48"/>
    </row>
    <row r="144" spans="1:4" x14ac:dyDescent="0.3">
      <c r="A144" s="282" t="s">
        <v>58</v>
      </c>
      <c r="B144" s="283"/>
      <c r="C144" s="283"/>
      <c r="D144" s="283"/>
    </row>
    <row r="145" spans="1:4" x14ac:dyDescent="0.3">
      <c r="A145" s="50"/>
      <c r="B145" s="51"/>
      <c r="C145" s="51"/>
      <c r="D145" s="51"/>
    </row>
    <row r="146" spans="1:4" x14ac:dyDescent="0.3">
      <c r="A146" s="273" t="s">
        <v>237</v>
      </c>
      <c r="B146" s="273"/>
      <c r="C146" s="52" t="s">
        <v>60</v>
      </c>
      <c r="D146" s="53">
        <v>3.94</v>
      </c>
    </row>
    <row r="147" spans="1:4" x14ac:dyDescent="0.3">
      <c r="A147" s="273" t="s">
        <v>79</v>
      </c>
      <c r="B147" s="273"/>
      <c r="C147" s="52" t="s">
        <v>86</v>
      </c>
      <c r="D147" s="54">
        <v>9.0935000000000006</v>
      </c>
    </row>
    <row r="148" spans="1:4" x14ac:dyDescent="0.3">
      <c r="A148" s="273" t="s">
        <v>227</v>
      </c>
      <c r="B148" s="273"/>
      <c r="C148" s="52" t="s">
        <v>86</v>
      </c>
      <c r="D148" s="54">
        <v>0.56289999999999996</v>
      </c>
    </row>
    <row r="149" spans="1:4" ht="24.6" customHeight="1" x14ac:dyDescent="0.3">
      <c r="A149" s="273" t="s">
        <v>64</v>
      </c>
      <c r="B149" s="273"/>
      <c r="C149" s="52" t="s">
        <v>65</v>
      </c>
      <c r="D149" s="54">
        <v>2.7000000000000001E-3</v>
      </c>
    </row>
    <row r="150" spans="1:4" ht="24.6" customHeight="1" x14ac:dyDescent="0.3">
      <c r="A150" s="273" t="s">
        <v>238</v>
      </c>
      <c r="B150" s="273"/>
      <c r="C150" s="52" t="s">
        <v>86</v>
      </c>
      <c r="D150" s="54">
        <v>0.41399999999999998</v>
      </c>
    </row>
    <row r="151" spans="1:4" ht="26.4" customHeight="1" x14ac:dyDescent="0.3">
      <c r="A151" s="273" t="s">
        <v>67</v>
      </c>
      <c r="B151" s="273"/>
      <c r="C151" s="52" t="s">
        <v>86</v>
      </c>
      <c r="D151" s="54">
        <v>0.32779999999999998</v>
      </c>
    </row>
    <row r="152" spans="1:4" x14ac:dyDescent="0.3">
      <c r="A152" s="273" t="s">
        <v>69</v>
      </c>
      <c r="B152" s="273"/>
      <c r="C152" s="52" t="s">
        <v>86</v>
      </c>
      <c r="D152" s="54">
        <v>1.8243</v>
      </c>
    </row>
    <row r="153" spans="1:4" x14ac:dyDescent="0.3">
      <c r="A153" s="273" t="s">
        <v>70</v>
      </c>
      <c r="B153" s="273"/>
      <c r="C153" s="52" t="s">
        <v>86</v>
      </c>
      <c r="D153" s="54">
        <v>1.4645999999999999</v>
      </c>
    </row>
    <row r="154" spans="1:4" x14ac:dyDescent="0.3">
      <c r="A154" s="55"/>
      <c r="B154" s="55"/>
      <c r="C154" s="52"/>
      <c r="D154" s="54"/>
    </row>
    <row r="155" spans="1:4" x14ac:dyDescent="0.3">
      <c r="A155" s="282" t="s">
        <v>71</v>
      </c>
      <c r="B155" s="273"/>
      <c r="C155" s="52"/>
      <c r="D155" s="52"/>
    </row>
    <row r="156" spans="1:4" x14ac:dyDescent="0.3">
      <c r="A156" s="50"/>
      <c r="B156" s="55"/>
      <c r="C156" s="52"/>
      <c r="D156" s="52"/>
    </row>
    <row r="157" spans="1:4" x14ac:dyDescent="0.3">
      <c r="A157" s="273" t="s">
        <v>72</v>
      </c>
      <c r="B157" s="273"/>
      <c r="C157" s="52" t="s">
        <v>65</v>
      </c>
      <c r="D157" s="54">
        <v>3.0000000000000001E-3</v>
      </c>
    </row>
    <row r="158" spans="1:4" x14ac:dyDescent="0.3">
      <c r="A158" s="273" t="s">
        <v>73</v>
      </c>
      <c r="B158" s="273"/>
      <c r="C158" s="52" t="s">
        <v>65</v>
      </c>
      <c r="D158" s="54">
        <v>4.0000000000000002E-4</v>
      </c>
    </row>
    <row r="159" spans="1:4" x14ac:dyDescent="0.3">
      <c r="A159" s="273" t="s">
        <v>74</v>
      </c>
      <c r="B159" s="273"/>
      <c r="C159" s="52" t="s">
        <v>65</v>
      </c>
      <c r="D159" s="54">
        <v>5.0000000000000001E-4</v>
      </c>
    </row>
    <row r="160" spans="1:4" x14ac:dyDescent="0.3">
      <c r="A160" s="273" t="s">
        <v>75</v>
      </c>
      <c r="B160" s="273"/>
      <c r="C160" s="52" t="s">
        <v>60</v>
      </c>
      <c r="D160" s="53">
        <v>0.25</v>
      </c>
    </row>
    <row r="161" spans="1:4" ht="17.399999999999999" x14ac:dyDescent="0.3">
      <c r="A161" s="284" t="s">
        <v>101</v>
      </c>
      <c r="B161" s="296"/>
      <c r="C161" s="296"/>
      <c r="D161" s="296"/>
    </row>
    <row r="162" spans="1:4" ht="40.799999999999997" customHeight="1" x14ac:dyDescent="0.3">
      <c r="A162" s="279" t="s">
        <v>239</v>
      </c>
      <c r="B162" s="279"/>
      <c r="C162" s="279"/>
      <c r="D162" s="279"/>
    </row>
    <row r="163" spans="1:4" ht="6.6" customHeight="1" x14ac:dyDescent="0.3">
      <c r="A163" s="48"/>
      <c r="B163" s="48"/>
      <c r="C163" s="48"/>
      <c r="D163" s="48"/>
    </row>
    <row r="164" spans="1:4" x14ac:dyDescent="0.3">
      <c r="A164" s="286" t="s">
        <v>53</v>
      </c>
      <c r="B164" s="294"/>
      <c r="C164" s="294"/>
      <c r="D164" s="294"/>
    </row>
    <row r="165" spans="1:4" ht="7.2" customHeight="1" x14ac:dyDescent="0.3">
      <c r="A165" s="49"/>
      <c r="B165" s="167"/>
      <c r="C165" s="167"/>
      <c r="D165" s="167"/>
    </row>
    <row r="166" spans="1:4" ht="41.4" customHeight="1" x14ac:dyDescent="0.3">
      <c r="A166" s="279" t="s">
        <v>78</v>
      </c>
      <c r="B166" s="279"/>
      <c r="C166" s="279"/>
      <c r="D166" s="279"/>
    </row>
    <row r="167" spans="1:4" ht="8.4" customHeight="1" x14ac:dyDescent="0.3">
      <c r="A167" s="48"/>
      <c r="B167" s="48"/>
      <c r="C167" s="48"/>
      <c r="D167" s="48"/>
    </row>
    <row r="168" spans="1:4" ht="52.2" customHeight="1" x14ac:dyDescent="0.3">
      <c r="A168" s="279" t="s">
        <v>55</v>
      </c>
      <c r="B168" s="279"/>
      <c r="C168" s="279"/>
      <c r="D168" s="279"/>
    </row>
    <row r="169" spans="1:4" ht="8.4" customHeight="1" x14ac:dyDescent="0.3">
      <c r="A169" s="48"/>
      <c r="B169" s="48"/>
      <c r="C169" s="48"/>
      <c r="D169" s="48"/>
    </row>
    <row r="170" spans="1:4" ht="27" customHeight="1" x14ac:dyDescent="0.3">
      <c r="A170" s="279" t="s">
        <v>145</v>
      </c>
      <c r="B170" s="279"/>
      <c r="C170" s="279"/>
      <c r="D170" s="279"/>
    </row>
    <row r="171" spans="1:4" x14ac:dyDescent="0.3">
      <c r="A171" s="48"/>
      <c r="B171" s="48"/>
      <c r="C171" s="48"/>
      <c r="D171" s="48"/>
    </row>
    <row r="172" spans="1:4" ht="34.200000000000003" customHeight="1" x14ac:dyDescent="0.3">
      <c r="A172" s="279" t="s">
        <v>57</v>
      </c>
      <c r="B172" s="279"/>
      <c r="C172" s="279"/>
      <c r="D172" s="279"/>
    </row>
    <row r="173" spans="1:4" ht="10.199999999999999" customHeight="1" x14ac:dyDescent="0.3">
      <c r="A173" s="48"/>
      <c r="B173" s="48"/>
      <c r="C173" s="48"/>
      <c r="D173" s="48"/>
    </row>
    <row r="174" spans="1:4" x14ac:dyDescent="0.3">
      <c r="A174" s="282" t="s">
        <v>58</v>
      </c>
      <c r="B174" s="283"/>
      <c r="C174" s="283"/>
      <c r="D174" s="283"/>
    </row>
    <row r="175" spans="1:4" ht="8.4" customHeight="1" x14ac:dyDescent="0.3">
      <c r="A175" s="50"/>
      <c r="B175" s="51"/>
      <c r="C175" s="51"/>
      <c r="D175" s="51"/>
    </row>
    <row r="176" spans="1:4" x14ac:dyDescent="0.3">
      <c r="A176" s="273" t="s">
        <v>59</v>
      </c>
      <c r="B176" s="273"/>
      <c r="C176" s="52" t="s">
        <v>60</v>
      </c>
      <c r="D176" s="53">
        <v>5.4</v>
      </c>
    </row>
    <row r="177" spans="1:4" ht="10.199999999999999" customHeight="1" x14ac:dyDescent="0.3">
      <c r="A177" s="56"/>
      <c r="B177" s="55"/>
      <c r="C177" s="52"/>
      <c r="D177" s="53"/>
    </row>
    <row r="178" spans="1:4" ht="18" customHeight="1" x14ac:dyDescent="0.35">
      <c r="A178" s="58" t="s">
        <v>104</v>
      </c>
      <c r="B178" s="169"/>
      <c r="C178" s="169"/>
      <c r="D178" s="170"/>
    </row>
    <row r="179" spans="1:4" x14ac:dyDescent="0.3">
      <c r="A179" s="273" t="s">
        <v>105</v>
      </c>
      <c r="B179" s="273"/>
      <c r="C179" s="52" t="s">
        <v>86</v>
      </c>
      <c r="D179" s="53">
        <v>-0.6</v>
      </c>
    </row>
    <row r="180" spans="1:4" x14ac:dyDescent="0.3">
      <c r="A180" s="273" t="s">
        <v>106</v>
      </c>
      <c r="B180" s="273"/>
      <c r="C180" s="52" t="s">
        <v>107</v>
      </c>
      <c r="D180" s="53">
        <v>-1</v>
      </c>
    </row>
    <row r="181" spans="1:4" ht="34.799999999999997" customHeight="1" x14ac:dyDescent="0.35">
      <c r="A181" s="58" t="s">
        <v>108</v>
      </c>
      <c r="B181" s="169"/>
      <c r="C181" s="169"/>
      <c r="D181" s="170"/>
    </row>
    <row r="182" spans="1:4" ht="42" customHeight="1" x14ac:dyDescent="0.3">
      <c r="A182" s="279" t="s">
        <v>78</v>
      </c>
      <c r="B182" s="279"/>
      <c r="C182" s="279"/>
      <c r="D182" s="279"/>
    </row>
    <row r="183" spans="1:4" x14ac:dyDescent="0.3">
      <c r="A183" s="48"/>
      <c r="B183" s="48"/>
      <c r="C183" s="48"/>
      <c r="D183" s="48"/>
    </row>
    <row r="184" spans="1:4" ht="45" customHeight="1" x14ac:dyDescent="0.3">
      <c r="A184" s="279" t="s">
        <v>240</v>
      </c>
      <c r="B184" s="279"/>
      <c r="C184" s="279"/>
      <c r="D184" s="279"/>
    </row>
    <row r="185" spans="1:4" ht="8.4" customHeight="1" x14ac:dyDescent="0.3">
      <c r="A185" s="48"/>
      <c r="B185" s="48"/>
      <c r="C185" s="48"/>
      <c r="D185" s="48"/>
    </row>
    <row r="186" spans="1:4" ht="36" customHeight="1" x14ac:dyDescent="0.3">
      <c r="A186" s="279" t="s">
        <v>57</v>
      </c>
      <c r="B186" s="279"/>
      <c r="C186" s="279"/>
      <c r="D186" s="279"/>
    </row>
    <row r="187" spans="1:4" ht="8.4" customHeight="1" x14ac:dyDescent="0.3">
      <c r="A187" s="48"/>
      <c r="B187" s="48"/>
      <c r="C187" s="48"/>
      <c r="D187" s="48"/>
    </row>
    <row r="188" spans="1:4" ht="17.399999999999999" customHeight="1" x14ac:dyDescent="0.3">
      <c r="A188" s="50" t="s">
        <v>110</v>
      </c>
      <c r="B188" s="171"/>
      <c r="C188" s="171"/>
      <c r="D188" s="172"/>
    </row>
    <row r="189" spans="1:4" x14ac:dyDescent="0.3">
      <c r="A189" s="281" t="s">
        <v>241</v>
      </c>
      <c r="B189" s="281"/>
      <c r="C189" s="52" t="s">
        <v>60</v>
      </c>
      <c r="D189" s="53">
        <v>15</v>
      </c>
    </row>
    <row r="190" spans="1:4" x14ac:dyDescent="0.3">
      <c r="A190" s="281" t="s">
        <v>116</v>
      </c>
      <c r="B190" s="281"/>
      <c r="C190" s="52" t="s">
        <v>60</v>
      </c>
      <c r="D190" s="53">
        <v>15</v>
      </c>
    </row>
    <row r="191" spans="1:4" x14ac:dyDescent="0.3">
      <c r="A191" s="281" t="s">
        <v>119</v>
      </c>
      <c r="B191" s="281"/>
      <c r="C191" s="52" t="s">
        <v>60</v>
      </c>
      <c r="D191" s="53">
        <v>15</v>
      </c>
    </row>
    <row r="192" spans="1:4" x14ac:dyDescent="0.3">
      <c r="A192" s="281" t="s">
        <v>120</v>
      </c>
      <c r="B192" s="281"/>
      <c r="C192" s="52" t="s">
        <v>60</v>
      </c>
      <c r="D192" s="53">
        <v>15</v>
      </c>
    </row>
    <row r="193" spans="1:4" x14ac:dyDescent="0.3">
      <c r="A193" s="281" t="s">
        <v>242</v>
      </c>
      <c r="B193" s="281"/>
      <c r="C193" s="52" t="s">
        <v>60</v>
      </c>
      <c r="D193" s="53">
        <v>30</v>
      </c>
    </row>
    <row r="194" spans="1:4" x14ac:dyDescent="0.3">
      <c r="A194" s="282" t="s">
        <v>124</v>
      </c>
      <c r="B194" s="278"/>
      <c r="C194" s="278"/>
      <c r="D194" s="278"/>
    </row>
    <row r="195" spans="1:4" x14ac:dyDescent="0.3">
      <c r="A195" s="281" t="s">
        <v>125</v>
      </c>
      <c r="B195" s="281"/>
      <c r="C195" s="52" t="s">
        <v>107</v>
      </c>
      <c r="D195" s="53">
        <v>1.5</v>
      </c>
    </row>
    <row r="196" spans="1:4" x14ac:dyDescent="0.3">
      <c r="A196" s="281" t="s">
        <v>126</v>
      </c>
      <c r="B196" s="281"/>
      <c r="C196" s="52" t="s">
        <v>107</v>
      </c>
      <c r="D196" s="53">
        <v>19.559999999999999</v>
      </c>
    </row>
    <row r="197" spans="1:4" x14ac:dyDescent="0.3">
      <c r="A197" s="281" t="s">
        <v>128</v>
      </c>
      <c r="B197" s="281"/>
      <c r="C197" s="52" t="s">
        <v>60</v>
      </c>
      <c r="D197" s="53">
        <v>65</v>
      </c>
    </row>
    <row r="198" spans="1:4" x14ac:dyDescent="0.3">
      <c r="A198" s="281" t="s">
        <v>129</v>
      </c>
      <c r="B198" s="281"/>
      <c r="C198" s="52" t="s">
        <v>60</v>
      </c>
      <c r="D198" s="53">
        <v>185</v>
      </c>
    </row>
    <row r="199" spans="1:4" x14ac:dyDescent="0.3">
      <c r="A199" s="281" t="s">
        <v>130</v>
      </c>
      <c r="B199" s="281"/>
      <c r="C199" s="52" t="s">
        <v>60</v>
      </c>
      <c r="D199" s="53">
        <v>185</v>
      </c>
    </row>
    <row r="200" spans="1:4" x14ac:dyDescent="0.3">
      <c r="A200" s="281" t="s">
        <v>131</v>
      </c>
      <c r="B200" s="281"/>
      <c r="C200" s="52" t="s">
        <v>60</v>
      </c>
      <c r="D200" s="53">
        <v>415</v>
      </c>
    </row>
    <row r="201" spans="1:4" x14ac:dyDescent="0.3">
      <c r="A201" s="281" t="s">
        <v>132</v>
      </c>
      <c r="B201" s="281"/>
      <c r="C201" s="52" t="s">
        <v>60</v>
      </c>
      <c r="D201" s="53">
        <v>65</v>
      </c>
    </row>
    <row r="202" spans="1:4" x14ac:dyDescent="0.3">
      <c r="A202" s="281" t="s">
        <v>133</v>
      </c>
      <c r="B202" s="281"/>
      <c r="C202" s="52" t="s">
        <v>60</v>
      </c>
      <c r="D202" s="53">
        <v>185</v>
      </c>
    </row>
    <row r="203" spans="1:4" ht="9.6" customHeight="1" x14ac:dyDescent="0.3">
      <c r="A203" s="57"/>
      <c r="B203" s="57"/>
      <c r="C203" s="52"/>
      <c r="D203" s="53"/>
    </row>
    <row r="204" spans="1:4" x14ac:dyDescent="0.3">
      <c r="A204" s="50" t="s">
        <v>134</v>
      </c>
      <c r="B204" s="171"/>
      <c r="C204" s="171"/>
      <c r="D204" s="172"/>
    </row>
    <row r="205" spans="1:4" x14ac:dyDescent="0.3">
      <c r="A205" s="281" t="s">
        <v>243</v>
      </c>
      <c r="B205" s="281"/>
      <c r="C205" s="52" t="s">
        <v>60</v>
      </c>
      <c r="D205" s="53">
        <v>43.63</v>
      </c>
    </row>
    <row r="206" spans="1:4" x14ac:dyDescent="0.3">
      <c r="A206" s="281" t="s">
        <v>244</v>
      </c>
      <c r="B206" s="281"/>
      <c r="C206" s="52"/>
      <c r="D206" s="61"/>
    </row>
    <row r="207" spans="1:4" x14ac:dyDescent="0.3">
      <c r="A207" s="281" t="s">
        <v>245</v>
      </c>
      <c r="B207" s="281"/>
      <c r="C207" s="52" t="s">
        <v>60</v>
      </c>
      <c r="D207" s="53">
        <v>25</v>
      </c>
    </row>
    <row r="208" spans="1:4" x14ac:dyDescent="0.3">
      <c r="A208" s="281" t="s">
        <v>138</v>
      </c>
      <c r="B208" s="281"/>
      <c r="C208" s="52" t="s">
        <v>60</v>
      </c>
      <c r="D208" s="53">
        <v>500</v>
      </c>
    </row>
    <row r="209" spans="1:4" x14ac:dyDescent="0.3">
      <c r="A209" s="281" t="s">
        <v>137</v>
      </c>
      <c r="B209" s="281"/>
      <c r="C209" s="52" t="s">
        <v>60</v>
      </c>
      <c r="D209" s="53">
        <v>300</v>
      </c>
    </row>
    <row r="210" spans="1:4" ht="33" customHeight="1" x14ac:dyDescent="0.35">
      <c r="A210" s="58" t="s">
        <v>142</v>
      </c>
      <c r="B210" s="169"/>
      <c r="C210" s="169"/>
      <c r="D210" s="170"/>
    </row>
    <row r="211" spans="1:4" ht="10.8" customHeight="1" x14ac:dyDescent="0.35">
      <c r="A211" s="58"/>
      <c r="B211" s="169"/>
      <c r="C211" s="169"/>
      <c r="D211" s="170"/>
    </row>
    <row r="212" spans="1:4" ht="38.4" customHeight="1" x14ac:dyDescent="0.3">
      <c r="A212" s="279" t="s">
        <v>78</v>
      </c>
      <c r="B212" s="279"/>
      <c r="C212" s="279"/>
      <c r="D212" s="279"/>
    </row>
    <row r="213" spans="1:4" ht="7.2" customHeight="1" x14ac:dyDescent="0.3">
      <c r="A213" s="48"/>
      <c r="B213" s="48"/>
      <c r="C213" s="48"/>
      <c r="D213" s="48"/>
    </row>
    <row r="214" spans="1:4" ht="50.4" customHeight="1" x14ac:dyDescent="0.3">
      <c r="A214" s="279" t="s">
        <v>55</v>
      </c>
      <c r="B214" s="279"/>
      <c r="C214" s="279"/>
      <c r="D214" s="279"/>
    </row>
    <row r="215" spans="1:4" ht="9.6" customHeight="1" x14ac:dyDescent="0.3">
      <c r="A215" s="48"/>
      <c r="B215" s="48"/>
      <c r="C215" s="48"/>
      <c r="D215" s="48"/>
    </row>
    <row r="216" spans="1:4" ht="27" customHeight="1" x14ac:dyDescent="0.3">
      <c r="A216" s="279" t="s">
        <v>145</v>
      </c>
      <c r="B216" s="279"/>
      <c r="C216" s="279"/>
      <c r="D216" s="279"/>
    </row>
    <row r="217" spans="1:4" ht="9.6" customHeight="1" x14ac:dyDescent="0.3">
      <c r="A217" s="48"/>
      <c r="B217" s="48"/>
      <c r="C217" s="48"/>
      <c r="D217" s="48"/>
    </row>
    <row r="218" spans="1:4" ht="39" customHeight="1" x14ac:dyDescent="0.3">
      <c r="A218" s="279" t="s">
        <v>57</v>
      </c>
      <c r="B218" s="279"/>
      <c r="C218" s="279"/>
      <c r="D218" s="279"/>
    </row>
    <row r="219" spans="1:4" ht="7.2" customHeight="1" x14ac:dyDescent="0.3">
      <c r="A219" s="48"/>
      <c r="B219" s="48"/>
      <c r="C219" s="48"/>
      <c r="D219" s="48"/>
    </row>
    <row r="220" spans="1:4" ht="28.8" customHeight="1" x14ac:dyDescent="0.3">
      <c r="A220" s="279" t="s">
        <v>146</v>
      </c>
      <c r="B220" s="279"/>
      <c r="C220" s="279"/>
      <c r="D220" s="279"/>
    </row>
    <row r="221" spans="1:4" ht="22.2" customHeight="1" x14ac:dyDescent="0.3">
      <c r="A221" s="273" t="s">
        <v>147</v>
      </c>
      <c r="B221" s="273"/>
      <c r="C221" s="60" t="s">
        <v>60</v>
      </c>
      <c r="D221" s="53">
        <v>100</v>
      </c>
    </row>
    <row r="222" spans="1:4" x14ac:dyDescent="0.3">
      <c r="A222" s="273" t="s">
        <v>148</v>
      </c>
      <c r="B222" s="273"/>
      <c r="C222" s="60" t="s">
        <v>60</v>
      </c>
      <c r="D222" s="53">
        <v>40</v>
      </c>
    </row>
    <row r="223" spans="1:4" x14ac:dyDescent="0.3">
      <c r="A223" s="273" t="s">
        <v>149</v>
      </c>
      <c r="B223" s="273"/>
      <c r="C223" s="60" t="s">
        <v>150</v>
      </c>
      <c r="D223" s="53">
        <v>1</v>
      </c>
    </row>
    <row r="224" spans="1:4" x14ac:dyDescent="0.3">
      <c r="A224" s="273" t="s">
        <v>151</v>
      </c>
      <c r="B224" s="273"/>
      <c r="C224" s="60" t="s">
        <v>150</v>
      </c>
      <c r="D224" s="53">
        <v>0.6</v>
      </c>
    </row>
    <row r="225" spans="1:4" x14ac:dyDescent="0.3">
      <c r="A225" s="273" t="s">
        <v>152</v>
      </c>
      <c r="B225" s="273"/>
      <c r="C225" s="60" t="s">
        <v>150</v>
      </c>
      <c r="D225" s="53">
        <v>-0.6</v>
      </c>
    </row>
    <row r="226" spans="1:4" x14ac:dyDescent="0.3">
      <c r="A226" s="273" t="s">
        <v>153</v>
      </c>
      <c r="B226" s="273"/>
      <c r="C226" s="278"/>
      <c r="D226" s="278"/>
    </row>
    <row r="227" spans="1:4" x14ac:dyDescent="0.3">
      <c r="A227" s="274" t="s">
        <v>154</v>
      </c>
      <c r="B227" s="274"/>
      <c r="C227" s="60" t="s">
        <v>60</v>
      </c>
      <c r="D227" s="53">
        <v>0.5</v>
      </c>
    </row>
    <row r="228" spans="1:4" x14ac:dyDescent="0.3">
      <c r="A228" s="274" t="s">
        <v>155</v>
      </c>
      <c r="B228" s="274"/>
      <c r="C228" s="60" t="s">
        <v>60</v>
      </c>
      <c r="D228" s="53">
        <v>1</v>
      </c>
    </row>
    <row r="229" spans="1:4" x14ac:dyDescent="0.3">
      <c r="A229" s="273" t="s">
        <v>156</v>
      </c>
      <c r="B229" s="273"/>
      <c r="C229" s="278"/>
      <c r="D229" s="278"/>
    </row>
    <row r="230" spans="1:4" ht="15.6" customHeight="1" x14ac:dyDescent="0.3">
      <c r="A230" s="273" t="s">
        <v>157</v>
      </c>
      <c r="B230" s="273"/>
      <c r="C230" s="278"/>
      <c r="D230" s="278"/>
    </row>
    <row r="231" spans="1:4" x14ac:dyDescent="0.3">
      <c r="A231" s="273" t="s">
        <v>158</v>
      </c>
      <c r="B231" s="273"/>
      <c r="C231" s="278"/>
      <c r="D231" s="278"/>
    </row>
    <row r="232" spans="1:4" x14ac:dyDescent="0.3">
      <c r="A232" s="274" t="s">
        <v>159</v>
      </c>
      <c r="B232" s="274"/>
      <c r="C232" s="60" t="s">
        <v>60</v>
      </c>
      <c r="D232" s="61" t="s">
        <v>160</v>
      </c>
    </row>
    <row r="233" spans="1:4" x14ac:dyDescent="0.3">
      <c r="A233" s="274" t="s">
        <v>161</v>
      </c>
      <c r="B233" s="274"/>
      <c r="C233" s="60" t="s">
        <v>60</v>
      </c>
      <c r="D233" s="53">
        <v>4</v>
      </c>
    </row>
    <row r="234" spans="1:4" ht="37.799999999999997" customHeight="1" x14ac:dyDescent="0.3">
      <c r="A234" s="275" t="s">
        <v>162</v>
      </c>
      <c r="B234" s="275"/>
      <c r="C234" s="60" t="s">
        <v>60</v>
      </c>
      <c r="D234" s="53">
        <v>2</v>
      </c>
    </row>
    <row r="235" spans="1:4" ht="8.4" customHeight="1" x14ac:dyDescent="0.3">
      <c r="A235" s="62"/>
      <c r="B235" s="62"/>
      <c r="C235" s="60"/>
      <c r="D235" s="53"/>
    </row>
    <row r="236" spans="1:4" ht="18" x14ac:dyDescent="0.35">
      <c r="A236" s="58" t="s">
        <v>163</v>
      </c>
      <c r="B236" s="169"/>
      <c r="C236" s="169"/>
      <c r="D236" s="170"/>
    </row>
    <row r="237" spans="1:4" ht="10.199999999999999" customHeight="1" x14ac:dyDescent="0.35">
      <c r="A237" s="58"/>
      <c r="B237" s="169"/>
      <c r="C237" s="169"/>
      <c r="D237" s="170"/>
    </row>
    <row r="238" spans="1:4" ht="30" customHeight="1" x14ac:dyDescent="0.3">
      <c r="A238" s="275" t="s">
        <v>164</v>
      </c>
      <c r="B238" s="275"/>
      <c r="C238" s="275"/>
      <c r="D238" s="275"/>
    </row>
    <row r="239" spans="1:4" x14ac:dyDescent="0.3">
      <c r="A239" s="273" t="s">
        <v>165</v>
      </c>
      <c r="B239" s="273"/>
      <c r="C239" s="52"/>
      <c r="D239" s="61">
        <v>1.0682</v>
      </c>
    </row>
    <row r="240" spans="1:4" x14ac:dyDescent="0.3">
      <c r="A240" s="273" t="s">
        <v>166</v>
      </c>
      <c r="B240" s="273"/>
      <c r="C240" s="52"/>
      <c r="D240" s="61">
        <v>1.0576000000000001</v>
      </c>
    </row>
  </sheetData>
  <mergeCells count="169">
    <mergeCell ref="A240:B240"/>
    <mergeCell ref="A231:D231"/>
    <mergeCell ref="A232:B232"/>
    <mergeCell ref="A233:B233"/>
    <mergeCell ref="A234:B234"/>
    <mergeCell ref="A238:D238"/>
    <mergeCell ref="A239:B239"/>
    <mergeCell ref="A225:B225"/>
    <mergeCell ref="A226:D226"/>
    <mergeCell ref="A227:B227"/>
    <mergeCell ref="A228:B228"/>
    <mergeCell ref="A229:D229"/>
    <mergeCell ref="A230:D230"/>
    <mergeCell ref="A218:D218"/>
    <mergeCell ref="A220:D220"/>
    <mergeCell ref="A221:B221"/>
    <mergeCell ref="A222:B222"/>
    <mergeCell ref="A223:B223"/>
    <mergeCell ref="A224:B224"/>
    <mergeCell ref="A207:B207"/>
    <mergeCell ref="A208:B208"/>
    <mergeCell ref="A209:B209"/>
    <mergeCell ref="A212:D212"/>
    <mergeCell ref="A214:D214"/>
    <mergeCell ref="A216:D216"/>
    <mergeCell ref="A199:B199"/>
    <mergeCell ref="A200:B200"/>
    <mergeCell ref="A201:B201"/>
    <mergeCell ref="A202:B202"/>
    <mergeCell ref="A205:B205"/>
    <mergeCell ref="A206:B206"/>
    <mergeCell ref="A193:B193"/>
    <mergeCell ref="A194:D194"/>
    <mergeCell ref="A195:B195"/>
    <mergeCell ref="A196:B196"/>
    <mergeCell ref="A197:B197"/>
    <mergeCell ref="A198:B198"/>
    <mergeCell ref="A184:D184"/>
    <mergeCell ref="A186:D186"/>
    <mergeCell ref="A189:B189"/>
    <mergeCell ref="A190:B190"/>
    <mergeCell ref="A191:B191"/>
    <mergeCell ref="A192:B192"/>
    <mergeCell ref="A172:D172"/>
    <mergeCell ref="A174:D174"/>
    <mergeCell ref="A176:B176"/>
    <mergeCell ref="A179:B179"/>
    <mergeCell ref="A180:B180"/>
    <mergeCell ref="A182:D182"/>
    <mergeCell ref="A161:D161"/>
    <mergeCell ref="A162:D162"/>
    <mergeCell ref="A164:D164"/>
    <mergeCell ref="A166:D166"/>
    <mergeCell ref="A168:D168"/>
    <mergeCell ref="A170:D170"/>
    <mergeCell ref="A153:B153"/>
    <mergeCell ref="A155:B155"/>
    <mergeCell ref="A157:B157"/>
    <mergeCell ref="A158:B158"/>
    <mergeCell ref="A159:B159"/>
    <mergeCell ref="A160:B160"/>
    <mergeCell ref="A147:B147"/>
    <mergeCell ref="A148:B148"/>
    <mergeCell ref="A149:B149"/>
    <mergeCell ref="A150:B150"/>
    <mergeCell ref="A151:B151"/>
    <mergeCell ref="A152:B152"/>
    <mergeCell ref="A136:D136"/>
    <mergeCell ref="A138:D138"/>
    <mergeCell ref="A140:D140"/>
    <mergeCell ref="A142:D142"/>
    <mergeCell ref="A144:D144"/>
    <mergeCell ref="A146:B146"/>
    <mergeCell ref="A128:B128"/>
    <mergeCell ref="A129:B129"/>
    <mergeCell ref="A130:B130"/>
    <mergeCell ref="A131:D131"/>
    <mergeCell ref="A132:D132"/>
    <mergeCell ref="A134:D134"/>
    <mergeCell ref="A120:B120"/>
    <mergeCell ref="A121:B121"/>
    <mergeCell ref="A122:B122"/>
    <mergeCell ref="A123:B123"/>
    <mergeCell ref="A125:B125"/>
    <mergeCell ref="A127:B127"/>
    <mergeCell ref="A111:D111"/>
    <mergeCell ref="A113:D113"/>
    <mergeCell ref="A115:D115"/>
    <mergeCell ref="A117:B117"/>
    <mergeCell ref="A118:B118"/>
    <mergeCell ref="A119:B119"/>
    <mergeCell ref="A101:B101"/>
    <mergeCell ref="A102:D102"/>
    <mergeCell ref="A103:D103"/>
    <mergeCell ref="A105:D105"/>
    <mergeCell ref="A107:D107"/>
    <mergeCell ref="A109:D109"/>
    <mergeCell ref="A93:B93"/>
    <mergeCell ref="A94:B94"/>
    <mergeCell ref="A96:B96"/>
    <mergeCell ref="A98:B98"/>
    <mergeCell ref="A99:B99"/>
    <mergeCell ref="A100:B100"/>
    <mergeCell ref="A87:B87"/>
    <mergeCell ref="A88:B88"/>
    <mergeCell ref="A89:B89"/>
    <mergeCell ref="A90:B90"/>
    <mergeCell ref="A91:B91"/>
    <mergeCell ref="A92:B92"/>
    <mergeCell ref="A76:D76"/>
    <mergeCell ref="A78:D78"/>
    <mergeCell ref="A80:D80"/>
    <mergeCell ref="A82:D82"/>
    <mergeCell ref="A84:D84"/>
    <mergeCell ref="A86:B86"/>
    <mergeCell ref="A67:B67"/>
    <mergeCell ref="A68:B68"/>
    <mergeCell ref="A69:D69"/>
    <mergeCell ref="A70:D70"/>
    <mergeCell ref="A72:D72"/>
    <mergeCell ref="A74:D74"/>
    <mergeCell ref="A59:B59"/>
    <mergeCell ref="A60:B60"/>
    <mergeCell ref="A61:B61"/>
    <mergeCell ref="A63:B63"/>
    <mergeCell ref="A65:B65"/>
    <mergeCell ref="A66:B66"/>
    <mergeCell ref="A53:B53"/>
    <mergeCell ref="A54:B54"/>
    <mergeCell ref="A55:B55"/>
    <mergeCell ref="A56:B56"/>
    <mergeCell ref="A57:B57"/>
    <mergeCell ref="A58:B58"/>
    <mergeCell ref="A41:D41"/>
    <mergeCell ref="A43:D43"/>
    <mergeCell ref="A45:D45"/>
    <mergeCell ref="A47:D47"/>
    <mergeCell ref="A49:D49"/>
    <mergeCell ref="A51:D51"/>
    <mergeCell ref="A34:B34"/>
    <mergeCell ref="A35:B35"/>
    <mergeCell ref="A36:B36"/>
    <mergeCell ref="A37:B37"/>
    <mergeCell ref="A38:D38"/>
    <mergeCell ref="A39:D39"/>
    <mergeCell ref="A26:B26"/>
    <mergeCell ref="A27:B27"/>
    <mergeCell ref="A28:B28"/>
    <mergeCell ref="A29:B29"/>
    <mergeCell ref="A30:B30"/>
    <mergeCell ref="A32:B32"/>
    <mergeCell ref="A17:D17"/>
    <mergeCell ref="A19:D19"/>
    <mergeCell ref="A21:D21"/>
    <mergeCell ref="A23:B23"/>
    <mergeCell ref="A24:B24"/>
    <mergeCell ref="A25:B25"/>
    <mergeCell ref="A7:D7"/>
    <mergeCell ref="A8:D8"/>
    <mergeCell ref="A9:D9"/>
    <mergeCell ref="A11:D11"/>
    <mergeCell ref="A13:D13"/>
    <mergeCell ref="A15:D15"/>
    <mergeCell ref="A1:D1"/>
    <mergeCell ref="A2:D2"/>
    <mergeCell ref="A3:D3"/>
    <mergeCell ref="A4:D4"/>
    <mergeCell ref="A5:D5"/>
    <mergeCell ref="A6:D6"/>
  </mergeCells>
  <pageMargins left="0.42" right="0.25" top="0.33" bottom="0.28000000000000003" header="0.17" footer="0.17"/>
  <pageSetup scale="93" orientation="portrait" r:id="rId1"/>
  <rowBreaks count="5" manualBreakCount="5">
    <brk id="37" max="16383" man="1"/>
    <brk id="68" max="16383" man="1"/>
    <brk id="101" max="16383" man="1"/>
    <brk id="130" max="16383" man="1"/>
    <brk id="1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Table 8</vt:lpstr>
      <vt:lpstr>Table 9</vt:lpstr>
      <vt:lpstr>Table 10</vt:lpstr>
      <vt:lpstr>Table 11</vt:lpstr>
      <vt:lpstr>Table 12</vt:lpstr>
      <vt:lpstr>Table 13</vt:lpstr>
      <vt:lpstr>Table 14</vt:lpstr>
      <vt:lpstr>2019 proposed tariff NTRZ</vt:lpstr>
      <vt:lpstr>2019 proposed tariff MRZ</vt:lpstr>
      <vt:lpstr>Bill impacts NTRZ</vt:lpstr>
      <vt:lpstr>Bill impacts MRZ</vt:lpstr>
      <vt:lpstr>'Bill impacts MRZ'!Print_Area</vt:lpstr>
      <vt:lpstr>'Bill impacts NTRZ'!Print_Area</vt:lpstr>
      <vt:lpstr>'Table 10'!Print_Area</vt:lpstr>
      <vt:lpstr>'Table 11'!Print_Area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Ann Cooledge</dc:creator>
  <cp:lastModifiedBy>Laurie Ann Cooledge</cp:lastModifiedBy>
  <cp:lastPrinted>2019-10-10T11:27:55Z</cp:lastPrinted>
  <dcterms:created xsi:type="dcterms:W3CDTF">2019-07-25T14:22:22Z</dcterms:created>
  <dcterms:modified xsi:type="dcterms:W3CDTF">2019-11-05T21:45:57Z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