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0 Rates\Interrogatories\"/>
    </mc:Choice>
  </mc:AlternateContent>
  <bookViews>
    <workbookView xWindow="0" yWindow="0" windowWidth="15360" windowHeight="5805" firstSheet="6" activeTab="13"/>
  </bookViews>
  <sheets>
    <sheet name="2018 Rates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  <sheet name="Total 2018" sheetId="1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3" l="1"/>
  <c r="D7" i="12"/>
  <c r="D7" i="11"/>
  <c r="D7" i="10"/>
  <c r="D7" i="9"/>
  <c r="D7" i="8"/>
  <c r="D7" i="7"/>
  <c r="D7" i="6"/>
  <c r="D7" i="5"/>
  <c r="D7" i="4"/>
  <c r="D7" i="3"/>
  <c r="D7" i="1"/>
  <c r="L3" i="2" l="1"/>
  <c r="L4" i="2"/>
  <c r="L5" i="2"/>
  <c r="L6" i="2"/>
  <c r="L7" i="2"/>
  <c r="L8" i="2"/>
  <c r="L9" i="2"/>
  <c r="L10" i="2"/>
  <c r="L11" i="2"/>
  <c r="L12" i="2"/>
  <c r="L13" i="2"/>
  <c r="L2" i="2"/>
  <c r="G3" i="2"/>
  <c r="G4" i="2"/>
  <c r="G5" i="2"/>
  <c r="G6" i="2"/>
  <c r="G7" i="2"/>
  <c r="G8" i="2"/>
  <c r="G9" i="2"/>
  <c r="G10" i="2"/>
  <c r="G11" i="2"/>
  <c r="G12" i="2"/>
  <c r="G13" i="2"/>
  <c r="G2" i="2"/>
  <c r="D14" i="2" l="1"/>
  <c r="M4" i="2"/>
  <c r="M5" i="2"/>
  <c r="M10" i="2"/>
  <c r="M11" i="2"/>
  <c r="M12" i="2"/>
  <c r="M13" i="2"/>
  <c r="M6" i="2"/>
  <c r="M7" i="2"/>
  <c r="M8" i="2"/>
  <c r="M9" i="2"/>
  <c r="C25" i="15" l="1"/>
  <c r="G7" i="13"/>
  <c r="E23" i="13" s="1"/>
  <c r="F8" i="13"/>
  <c r="F15" i="13" s="1"/>
  <c r="B8" i="13"/>
  <c r="B17" i="13" s="1"/>
  <c r="B24" i="13" s="1"/>
  <c r="C25" i="13"/>
  <c r="D46" i="13"/>
  <c r="G7" i="12"/>
  <c r="E23" i="12" s="1"/>
  <c r="F8" i="12"/>
  <c r="F15" i="12" s="1"/>
  <c r="B8" i="12"/>
  <c r="B17" i="12" s="1"/>
  <c r="B24" i="12" s="1"/>
  <c r="C25" i="12"/>
  <c r="G7" i="11"/>
  <c r="E23" i="11" s="1"/>
  <c r="F8" i="11"/>
  <c r="B8" i="11"/>
  <c r="B17" i="11" s="1"/>
  <c r="B24" i="11" s="1"/>
  <c r="C25" i="11"/>
  <c r="G7" i="10"/>
  <c r="E23" i="10" s="1"/>
  <c r="F8" i="10"/>
  <c r="D46" i="10" s="1"/>
  <c r="B8" i="10"/>
  <c r="B17" i="10" s="1"/>
  <c r="B24" i="10" s="1"/>
  <c r="B25" i="10" s="1"/>
  <c r="C25" i="10"/>
  <c r="G7" i="9"/>
  <c r="F8" i="9"/>
  <c r="B8" i="9"/>
  <c r="B17" i="9" s="1"/>
  <c r="B24" i="9" s="1"/>
  <c r="C25" i="9"/>
  <c r="G7" i="8"/>
  <c r="E23" i="8" s="1"/>
  <c r="F8" i="8"/>
  <c r="F15" i="8" s="1"/>
  <c r="B8" i="8"/>
  <c r="C25" i="8"/>
  <c r="G7" i="7"/>
  <c r="E23" i="7" s="1"/>
  <c r="F8" i="7"/>
  <c r="B8" i="7"/>
  <c r="B17" i="7" s="1"/>
  <c r="B24" i="7" s="1"/>
  <c r="C46" i="7" s="1"/>
  <c r="C25" i="7"/>
  <c r="G7" i="6"/>
  <c r="F8" i="6"/>
  <c r="F15" i="6" s="1"/>
  <c r="B8" i="6"/>
  <c r="C25" i="6"/>
  <c r="G7" i="5"/>
  <c r="E23" i="5" s="1"/>
  <c r="F8" i="5"/>
  <c r="D24" i="5" s="1"/>
  <c r="B8" i="5"/>
  <c r="G8" i="5" s="1"/>
  <c r="C25" i="5"/>
  <c r="G7" i="4"/>
  <c r="E23" i="4" s="1"/>
  <c r="F8" i="4"/>
  <c r="D46" i="4" s="1"/>
  <c r="B8" i="4"/>
  <c r="B17" i="4" s="1"/>
  <c r="B24" i="4" s="1"/>
  <c r="C25" i="4"/>
  <c r="G7" i="3"/>
  <c r="E23" i="3" s="1"/>
  <c r="F8" i="3"/>
  <c r="F15" i="3" s="1"/>
  <c r="B8" i="3"/>
  <c r="B17" i="3" s="1"/>
  <c r="B24" i="3" s="1"/>
  <c r="C25" i="3"/>
  <c r="G7" i="1"/>
  <c r="B6" i="13"/>
  <c r="D24" i="4" l="1"/>
  <c r="D45" i="4" s="1"/>
  <c r="F15" i="4"/>
  <c r="G8" i="6"/>
  <c r="F15" i="5"/>
  <c r="V13" i="2"/>
  <c r="D6" i="13" s="1"/>
  <c r="D34" i="13" s="1"/>
  <c r="C8" i="3"/>
  <c r="C17" i="3" s="1"/>
  <c r="D24" i="8"/>
  <c r="D45" i="8" s="1"/>
  <c r="G8" i="8"/>
  <c r="G9" i="8" s="1"/>
  <c r="D46" i="8"/>
  <c r="G8" i="11"/>
  <c r="G9" i="11" s="1"/>
  <c r="G8" i="12"/>
  <c r="D46" i="12"/>
  <c r="B17" i="8"/>
  <c r="B24" i="8" s="1"/>
  <c r="G8" i="13"/>
  <c r="D46" i="5"/>
  <c r="D24" i="11"/>
  <c r="D45" i="11" s="1"/>
  <c r="D46" i="6"/>
  <c r="B17" i="6"/>
  <c r="B24" i="6" s="1"/>
  <c r="B25" i="6" s="1"/>
  <c r="D24" i="10"/>
  <c r="D45" i="10" s="1"/>
  <c r="F15" i="9"/>
  <c r="G8" i="9"/>
  <c r="G9" i="9" s="1"/>
  <c r="D46" i="9"/>
  <c r="B9" i="13"/>
  <c r="C6" i="13"/>
  <c r="G8" i="10"/>
  <c r="G9" i="10" s="1"/>
  <c r="C8" i="10"/>
  <c r="C17" i="10" s="1"/>
  <c r="G7" i="15"/>
  <c r="E23" i="15" s="1"/>
  <c r="B17" i="5"/>
  <c r="B24" i="5" s="1"/>
  <c r="B25" i="5" s="1"/>
  <c r="G8" i="7"/>
  <c r="G9" i="7" s="1"/>
  <c r="D46" i="11"/>
  <c r="E23" i="1"/>
  <c r="C8" i="5"/>
  <c r="C17" i="5" s="1"/>
  <c r="G8" i="4"/>
  <c r="G9" i="4" s="1"/>
  <c r="F15" i="10"/>
  <c r="F15" i="11"/>
  <c r="B25" i="13"/>
  <c r="C45" i="13"/>
  <c r="G9" i="13"/>
  <c r="C46" i="13"/>
  <c r="E46" i="13" s="1"/>
  <c r="C8" i="13"/>
  <c r="C17" i="13" s="1"/>
  <c r="D24" i="13"/>
  <c r="B25" i="12"/>
  <c r="C45" i="12"/>
  <c r="G9" i="12"/>
  <c r="C46" i="12"/>
  <c r="C8" i="12"/>
  <c r="C17" i="12" s="1"/>
  <c r="D24" i="12"/>
  <c r="E24" i="11"/>
  <c r="E25" i="11" s="1"/>
  <c r="B25" i="11"/>
  <c r="C46" i="11"/>
  <c r="C45" i="11"/>
  <c r="C8" i="11"/>
  <c r="C17" i="11" s="1"/>
  <c r="C45" i="10"/>
  <c r="C46" i="10"/>
  <c r="E46" i="10" s="1"/>
  <c r="B25" i="9"/>
  <c r="C45" i="9"/>
  <c r="C46" i="9"/>
  <c r="D24" i="9"/>
  <c r="C8" i="9"/>
  <c r="C17" i="9" s="1"/>
  <c r="E23" i="9"/>
  <c r="C8" i="8"/>
  <c r="C17" i="8" s="1"/>
  <c r="B25" i="7"/>
  <c r="C45" i="7"/>
  <c r="C8" i="7"/>
  <c r="C17" i="7" s="1"/>
  <c r="F15" i="7"/>
  <c r="D24" i="7"/>
  <c r="D46" i="7"/>
  <c r="E46" i="7" s="1"/>
  <c r="G9" i="6"/>
  <c r="E23" i="6"/>
  <c r="D24" i="6"/>
  <c r="C8" i="6"/>
  <c r="C17" i="6" s="1"/>
  <c r="D45" i="5"/>
  <c r="G9" i="5"/>
  <c r="B25" i="4"/>
  <c r="C45" i="4"/>
  <c r="E45" i="4" s="1"/>
  <c r="E24" i="4"/>
  <c r="E25" i="4" s="1"/>
  <c r="C8" i="4"/>
  <c r="C17" i="4" s="1"/>
  <c r="C46" i="4"/>
  <c r="E46" i="4" s="1"/>
  <c r="G8" i="3"/>
  <c r="G9" i="3" s="1"/>
  <c r="B25" i="3"/>
  <c r="C45" i="3"/>
  <c r="C46" i="3"/>
  <c r="D24" i="3"/>
  <c r="D46" i="3"/>
  <c r="B6" i="12"/>
  <c r="E6" i="13" l="1"/>
  <c r="E46" i="11"/>
  <c r="E46" i="9"/>
  <c r="E24" i="8"/>
  <c r="E25" i="8" s="1"/>
  <c r="V12" i="2"/>
  <c r="D6" i="12" s="1"/>
  <c r="D34" i="12" s="1"/>
  <c r="C46" i="5"/>
  <c r="E46" i="5" s="1"/>
  <c r="E24" i="10"/>
  <c r="E25" i="10" s="1"/>
  <c r="E46" i="12"/>
  <c r="C46" i="6"/>
  <c r="E46" i="6" s="1"/>
  <c r="C46" i="8"/>
  <c r="E46" i="8" s="1"/>
  <c r="C45" i="8"/>
  <c r="E45" i="8" s="1"/>
  <c r="E24" i="5"/>
  <c r="E25" i="5" s="1"/>
  <c r="E42" i="5" s="1"/>
  <c r="B25" i="8"/>
  <c r="C45" i="6"/>
  <c r="C45" i="5"/>
  <c r="E45" i="5" s="1"/>
  <c r="C6" i="12"/>
  <c r="B9" i="12"/>
  <c r="E45" i="11"/>
  <c r="E47" i="11" s="1"/>
  <c r="E24" i="13"/>
  <c r="E25" i="13" s="1"/>
  <c r="E42" i="13" s="1"/>
  <c r="D45" i="13"/>
  <c r="E45" i="13" s="1"/>
  <c r="E47" i="13" s="1"/>
  <c r="E24" i="12"/>
  <c r="E25" i="12" s="1"/>
  <c r="E42" i="12" s="1"/>
  <c r="D45" i="12"/>
  <c r="E45" i="12" s="1"/>
  <c r="E42" i="11"/>
  <c r="E42" i="10"/>
  <c r="E45" i="10"/>
  <c r="E47" i="10" s="1"/>
  <c r="D45" i="9"/>
  <c r="E45" i="9" s="1"/>
  <c r="E47" i="9" s="1"/>
  <c r="E24" i="9"/>
  <c r="E25" i="9" s="1"/>
  <c r="E42" i="9" s="1"/>
  <c r="E42" i="8"/>
  <c r="E24" i="7"/>
  <c r="E25" i="7" s="1"/>
  <c r="E42" i="7" s="1"/>
  <c r="D45" i="7"/>
  <c r="E45" i="7" s="1"/>
  <c r="E47" i="7" s="1"/>
  <c r="E24" i="6"/>
  <c r="E25" i="6" s="1"/>
  <c r="E42" i="6" s="1"/>
  <c r="D45" i="6"/>
  <c r="E47" i="4"/>
  <c r="E42" i="4"/>
  <c r="E46" i="3"/>
  <c r="E24" i="3"/>
  <c r="E25" i="3" s="1"/>
  <c r="E42" i="3" s="1"/>
  <c r="D45" i="3"/>
  <c r="E45" i="3" s="1"/>
  <c r="B6" i="11"/>
  <c r="E47" i="8" l="1"/>
  <c r="E47" i="5"/>
  <c r="V11" i="2"/>
  <c r="E47" i="12"/>
  <c r="E45" i="6"/>
  <c r="E47" i="6" s="1"/>
  <c r="C6" i="11"/>
  <c r="B9" i="11"/>
  <c r="D6" i="11"/>
  <c r="D34" i="11" s="1"/>
  <c r="E6" i="12"/>
  <c r="E47" i="3"/>
  <c r="B6" i="10"/>
  <c r="V10" i="2" l="1"/>
  <c r="D6" i="10" s="1"/>
  <c r="D34" i="10" s="1"/>
  <c r="B9" i="10"/>
  <c r="C6" i="10"/>
  <c r="E6" i="11"/>
  <c r="V9" i="2"/>
  <c r="B6" i="9"/>
  <c r="D6" i="9" l="1"/>
  <c r="D34" i="9" s="1"/>
  <c r="B9" i="9"/>
  <c r="C6" i="9"/>
  <c r="E6" i="10"/>
  <c r="B6" i="8"/>
  <c r="V8" i="2" l="1"/>
  <c r="D6" i="8" s="1"/>
  <c r="D34" i="8" s="1"/>
  <c r="B9" i="8"/>
  <c r="C6" i="8"/>
  <c r="E6" i="9"/>
  <c r="V7" i="2"/>
  <c r="B6" i="7"/>
  <c r="D6" i="7" l="1"/>
  <c r="D34" i="7" s="1"/>
  <c r="C6" i="7"/>
  <c r="B9" i="7"/>
  <c r="E6" i="8"/>
  <c r="B6" i="6"/>
  <c r="V6" i="2" l="1"/>
  <c r="C6" i="6"/>
  <c r="B9" i="6"/>
  <c r="D6" i="6"/>
  <c r="D34" i="6" s="1"/>
  <c r="E6" i="7"/>
  <c r="B6" i="5"/>
  <c r="V5" i="2" l="1"/>
  <c r="D6" i="5"/>
  <c r="D34" i="5" s="1"/>
  <c r="E6" i="6"/>
  <c r="B9" i="5"/>
  <c r="C6" i="5"/>
  <c r="B6" i="4"/>
  <c r="V4" i="2" l="1"/>
  <c r="D6" i="4"/>
  <c r="D34" i="4" s="1"/>
  <c r="E6" i="5"/>
  <c r="B9" i="4"/>
  <c r="C6" i="4"/>
  <c r="B6" i="3"/>
  <c r="V3" i="2" l="1"/>
  <c r="B9" i="3"/>
  <c r="C6" i="3"/>
  <c r="D6" i="3"/>
  <c r="D34" i="3" s="1"/>
  <c r="E6" i="4"/>
  <c r="B6" i="1"/>
  <c r="V2" i="2" l="1"/>
  <c r="D6" i="1" s="1"/>
  <c r="E6" i="3"/>
  <c r="C6" i="1"/>
  <c r="B6" i="15"/>
  <c r="F8" i="1"/>
  <c r="B8" i="1"/>
  <c r="F15" i="1" l="1"/>
  <c r="D24" i="1"/>
  <c r="C8" i="1"/>
  <c r="C17" i="1" s="1"/>
  <c r="B8" i="15"/>
  <c r="B17" i="1"/>
  <c r="C6" i="15"/>
  <c r="K2" i="2"/>
  <c r="M2" i="2" s="1"/>
  <c r="K3" i="2"/>
  <c r="M3" i="2" s="1"/>
  <c r="B17" i="15" l="1"/>
  <c r="B24" i="15" s="1"/>
  <c r="C8" i="15"/>
  <c r="C17" i="15" s="1"/>
  <c r="B9" i="15"/>
  <c r="B25" i="15" l="1"/>
  <c r="C45" i="15"/>
  <c r="C46" i="15"/>
  <c r="C7" i="13" l="1"/>
  <c r="C16" i="13" l="1"/>
  <c r="C9" i="13"/>
  <c r="C7" i="12"/>
  <c r="C16" i="12" l="1"/>
  <c r="C9" i="12"/>
  <c r="C35" i="13"/>
  <c r="C36" i="13"/>
  <c r="C7" i="11"/>
  <c r="C16" i="11" l="1"/>
  <c r="C9" i="11"/>
  <c r="C35" i="12"/>
  <c r="C36" i="12"/>
  <c r="C7" i="10"/>
  <c r="C16" i="10" l="1"/>
  <c r="C9" i="10"/>
  <c r="C35" i="11"/>
  <c r="C36" i="11"/>
  <c r="C7" i="9"/>
  <c r="C16" i="9" l="1"/>
  <c r="C9" i="9"/>
  <c r="C35" i="10"/>
  <c r="C36" i="10"/>
  <c r="C7" i="1"/>
  <c r="C7" i="3"/>
  <c r="C7" i="4"/>
  <c r="C7" i="5"/>
  <c r="C7" i="6"/>
  <c r="C7" i="7"/>
  <c r="C7" i="8"/>
  <c r="C16" i="7" l="1"/>
  <c r="C9" i="7"/>
  <c r="C16" i="8"/>
  <c r="C9" i="8"/>
  <c r="C16" i="6"/>
  <c r="C9" i="6"/>
  <c r="C16" i="4"/>
  <c r="C9" i="4"/>
  <c r="C36" i="9"/>
  <c r="C35" i="9"/>
  <c r="C16" i="5"/>
  <c r="C9" i="5"/>
  <c r="C16" i="3"/>
  <c r="C9" i="3"/>
  <c r="C7" i="15"/>
  <c r="C16" i="1"/>
  <c r="H9" i="2"/>
  <c r="H10" i="2"/>
  <c r="H8" i="2" l="1"/>
  <c r="N8" i="2" s="1"/>
  <c r="D16" i="8" s="1"/>
  <c r="H7" i="2"/>
  <c r="H2" i="2"/>
  <c r="H5" i="2"/>
  <c r="H12" i="2"/>
  <c r="H4" i="2"/>
  <c r="H6" i="2"/>
  <c r="H13" i="2"/>
  <c r="H11" i="2"/>
  <c r="H3" i="2"/>
  <c r="C36" i="3"/>
  <c r="C35" i="3"/>
  <c r="C35" i="8"/>
  <c r="C36" i="8"/>
  <c r="C35" i="6"/>
  <c r="C36" i="6"/>
  <c r="C35" i="4"/>
  <c r="C36" i="4"/>
  <c r="N9" i="2"/>
  <c r="D16" i="9" s="1"/>
  <c r="B15" i="9"/>
  <c r="C35" i="5"/>
  <c r="C36" i="5"/>
  <c r="C35" i="7"/>
  <c r="C36" i="7"/>
  <c r="C16" i="15"/>
  <c r="C9" i="15"/>
  <c r="N2" i="2"/>
  <c r="D16" i="1" s="1"/>
  <c r="D46" i="1"/>
  <c r="D45" i="1"/>
  <c r="C25" i="1"/>
  <c r="C36" i="1"/>
  <c r="B24" i="1"/>
  <c r="E24" i="1" s="1"/>
  <c r="E25" i="1" s="1"/>
  <c r="C9" i="1"/>
  <c r="B9" i="1"/>
  <c r="G8" i="1"/>
  <c r="G8" i="15" s="1"/>
  <c r="D34" i="1"/>
  <c r="E6" i="1"/>
  <c r="B15" i="8" l="1"/>
  <c r="C15" i="8" s="1"/>
  <c r="N10" i="2"/>
  <c r="D16" i="10" s="1"/>
  <c r="B15" i="10"/>
  <c r="D15" i="9"/>
  <c r="N13" i="2"/>
  <c r="D16" i="13" s="1"/>
  <c r="B15" i="13"/>
  <c r="C15" i="9"/>
  <c r="G15" i="9"/>
  <c r="G18" i="9" s="1"/>
  <c r="B18" i="9"/>
  <c r="D15" i="1"/>
  <c r="H15" i="1" s="1"/>
  <c r="N3" i="2"/>
  <c r="D16" i="3" s="1"/>
  <c r="B15" i="3"/>
  <c r="N6" i="2"/>
  <c r="D16" i="6" s="1"/>
  <c r="B15" i="6"/>
  <c r="N11" i="2"/>
  <c r="D16" i="11" s="1"/>
  <c r="B15" i="11"/>
  <c r="N7" i="2"/>
  <c r="D16" i="7" s="1"/>
  <c r="B15" i="7"/>
  <c r="B15" i="1"/>
  <c r="N4" i="2"/>
  <c r="D16" i="4" s="1"/>
  <c r="B15" i="4"/>
  <c r="N5" i="2"/>
  <c r="D16" i="5" s="1"/>
  <c r="B15" i="5"/>
  <c r="N12" i="2"/>
  <c r="D16" i="12" s="1"/>
  <c r="B15" i="12"/>
  <c r="D15" i="8"/>
  <c r="E6" i="15"/>
  <c r="G9" i="15"/>
  <c r="F8" i="15"/>
  <c r="C35" i="15"/>
  <c r="C36" i="15"/>
  <c r="G9" i="1"/>
  <c r="E42" i="1" s="1"/>
  <c r="E42" i="15" s="1"/>
  <c r="B25" i="1"/>
  <c r="C45" i="1"/>
  <c r="E45" i="1" s="1"/>
  <c r="C35" i="1"/>
  <c r="C46" i="1"/>
  <c r="E46" i="1" s="1"/>
  <c r="G15" i="8" l="1"/>
  <c r="G18" i="8" s="1"/>
  <c r="B18" i="8"/>
  <c r="B15" i="15"/>
  <c r="B18" i="15" s="1"/>
  <c r="D8" i="1"/>
  <c r="E8" i="1" s="1"/>
  <c r="E7" i="1"/>
  <c r="B18" i="4"/>
  <c r="G15" i="4"/>
  <c r="G18" i="4" s="1"/>
  <c r="C15" i="4"/>
  <c r="C15" i="5"/>
  <c r="G15" i="5"/>
  <c r="G18" i="5" s="1"/>
  <c r="B18" i="5"/>
  <c r="G15" i="6"/>
  <c r="G18" i="6" s="1"/>
  <c r="B18" i="6"/>
  <c r="C15" i="6"/>
  <c r="D36" i="9"/>
  <c r="E36" i="9" s="1"/>
  <c r="D8" i="9"/>
  <c r="E8" i="9" s="1"/>
  <c r="E7" i="9"/>
  <c r="B18" i="13"/>
  <c r="C15" i="13"/>
  <c r="G15" i="13"/>
  <c r="G18" i="13" s="1"/>
  <c r="D36" i="1"/>
  <c r="E36" i="1" s="1"/>
  <c r="H18" i="1"/>
  <c r="D15" i="12"/>
  <c r="D15" i="11"/>
  <c r="C15" i="1"/>
  <c r="B18" i="1"/>
  <c r="G15" i="1"/>
  <c r="H15" i="9"/>
  <c r="H18" i="9" s="1"/>
  <c r="B18" i="3"/>
  <c r="C15" i="3"/>
  <c r="G15" i="3"/>
  <c r="G18" i="3" s="1"/>
  <c r="G15" i="10"/>
  <c r="G18" i="10" s="1"/>
  <c r="B18" i="10"/>
  <c r="C15" i="10"/>
  <c r="D15" i="7"/>
  <c r="C15" i="12"/>
  <c r="B18" i="12"/>
  <c r="G15" i="12"/>
  <c r="G18" i="12" s="1"/>
  <c r="C15" i="11"/>
  <c r="G15" i="11"/>
  <c r="G18" i="11" s="1"/>
  <c r="B18" i="11"/>
  <c r="D15" i="4"/>
  <c r="D15" i="5"/>
  <c r="D15" i="6"/>
  <c r="C34" i="9"/>
  <c r="E34" i="9" s="1"/>
  <c r="C18" i="9"/>
  <c r="C33" i="9"/>
  <c r="E15" i="9"/>
  <c r="D36" i="8"/>
  <c r="E36" i="8" s="1"/>
  <c r="D8" i="8"/>
  <c r="E8" i="8" s="1"/>
  <c r="E7" i="8"/>
  <c r="C33" i="8"/>
  <c r="E15" i="8"/>
  <c r="C34" i="8"/>
  <c r="E34" i="8" s="1"/>
  <c r="C18" i="8"/>
  <c r="D15" i="3"/>
  <c r="D15" i="10"/>
  <c r="H15" i="8"/>
  <c r="H18" i="8" s="1"/>
  <c r="G15" i="7"/>
  <c r="G18" i="7" s="1"/>
  <c r="B18" i="7"/>
  <c r="C15" i="7"/>
  <c r="D24" i="15"/>
  <c r="D46" i="15"/>
  <c r="E46" i="15" s="1"/>
  <c r="D6" i="15"/>
  <c r="D34" i="15" s="1"/>
  <c r="E47" i="1"/>
  <c r="C15" i="15" l="1"/>
  <c r="C33" i="15" s="1"/>
  <c r="E9" i="9"/>
  <c r="G18" i="1"/>
  <c r="G15" i="15"/>
  <c r="D36" i="13"/>
  <c r="E36" i="13" s="1"/>
  <c r="D8" i="13"/>
  <c r="E8" i="13" s="1"/>
  <c r="E7" i="13"/>
  <c r="D36" i="7"/>
  <c r="E36" i="7" s="1"/>
  <c r="D8" i="7"/>
  <c r="E8" i="7" s="1"/>
  <c r="E7" i="7"/>
  <c r="H15" i="12"/>
  <c r="H18" i="12" s="1"/>
  <c r="D35" i="9"/>
  <c r="E35" i="9" s="1"/>
  <c r="D17" i="9"/>
  <c r="E17" i="9" s="1"/>
  <c r="I17" i="9" s="1"/>
  <c r="E16" i="9"/>
  <c r="I16" i="9" s="1"/>
  <c r="E15" i="5"/>
  <c r="C34" i="5"/>
  <c r="E34" i="5" s="1"/>
  <c r="C18" i="5"/>
  <c r="C33" i="5"/>
  <c r="D36" i="10"/>
  <c r="E36" i="10" s="1"/>
  <c r="D8" i="10"/>
  <c r="E8" i="10" s="1"/>
  <c r="E7" i="10"/>
  <c r="E9" i="8"/>
  <c r="D15" i="13"/>
  <c r="H15" i="7"/>
  <c r="H18" i="7" s="1"/>
  <c r="C33" i="4"/>
  <c r="C34" i="4"/>
  <c r="E34" i="4" s="1"/>
  <c r="C18" i="4"/>
  <c r="E15" i="4"/>
  <c r="D36" i="12"/>
  <c r="E36" i="12" s="1"/>
  <c r="D8" i="12"/>
  <c r="E8" i="12" s="1"/>
  <c r="E7" i="12"/>
  <c r="D35" i="8"/>
  <c r="E35" i="8" s="1"/>
  <c r="D17" i="8"/>
  <c r="E17" i="8" s="1"/>
  <c r="I17" i="8" s="1"/>
  <c r="E16" i="8"/>
  <c r="I16" i="8" s="1"/>
  <c r="E15" i="7"/>
  <c r="C33" i="7"/>
  <c r="C34" i="7"/>
  <c r="E34" i="7" s="1"/>
  <c r="C18" i="7"/>
  <c r="H15" i="3"/>
  <c r="D36" i="5"/>
  <c r="E36" i="5" s="1"/>
  <c r="D8" i="5"/>
  <c r="E8" i="5" s="1"/>
  <c r="E7" i="5"/>
  <c r="E15" i="11"/>
  <c r="C18" i="11"/>
  <c r="C34" i="11"/>
  <c r="E34" i="11" s="1"/>
  <c r="C33" i="11"/>
  <c r="C33" i="1"/>
  <c r="E15" i="1"/>
  <c r="C18" i="1"/>
  <c r="C34" i="1"/>
  <c r="E34" i="1" s="1"/>
  <c r="E9" i="1"/>
  <c r="I15" i="8"/>
  <c r="E15" i="12"/>
  <c r="C34" i="12"/>
  <c r="E34" i="12" s="1"/>
  <c r="C18" i="12"/>
  <c r="C33" i="12"/>
  <c r="H15" i="10"/>
  <c r="H18" i="10" s="1"/>
  <c r="D36" i="6"/>
  <c r="E36" i="6" s="1"/>
  <c r="D8" i="6"/>
  <c r="E8" i="6" s="1"/>
  <c r="E7" i="6"/>
  <c r="C34" i="10"/>
  <c r="E34" i="10" s="1"/>
  <c r="C18" i="10"/>
  <c r="E15" i="10"/>
  <c r="C33" i="10"/>
  <c r="D36" i="3"/>
  <c r="E36" i="3" s="1"/>
  <c r="D8" i="3"/>
  <c r="E8" i="3" s="1"/>
  <c r="E7" i="3"/>
  <c r="H15" i="6"/>
  <c r="H18" i="6" s="1"/>
  <c r="E15" i="6"/>
  <c r="C34" i="6"/>
  <c r="E34" i="6" s="1"/>
  <c r="C18" i="6"/>
  <c r="C33" i="6"/>
  <c r="H15" i="5"/>
  <c r="H18" i="5" s="1"/>
  <c r="D8" i="11"/>
  <c r="E8" i="11" s="1"/>
  <c r="D36" i="11"/>
  <c r="E36" i="11" s="1"/>
  <c r="E7" i="11"/>
  <c r="C33" i="13"/>
  <c r="C18" i="13"/>
  <c r="C34" i="13"/>
  <c r="E34" i="13" s="1"/>
  <c r="D17" i="1"/>
  <c r="E17" i="1" s="1"/>
  <c r="E16" i="1"/>
  <c r="D35" i="1"/>
  <c r="E35" i="1" s="1"/>
  <c r="H15" i="4"/>
  <c r="H18" i="4" s="1"/>
  <c r="I15" i="9"/>
  <c r="D36" i="4"/>
  <c r="E36" i="4" s="1"/>
  <c r="D8" i="4"/>
  <c r="E8" i="4" s="1"/>
  <c r="E7" i="4"/>
  <c r="C34" i="3"/>
  <c r="E34" i="3" s="1"/>
  <c r="C18" i="3"/>
  <c r="C33" i="3"/>
  <c r="E15" i="3"/>
  <c r="H15" i="11"/>
  <c r="H18" i="11" s="1"/>
  <c r="C34" i="15"/>
  <c r="C18" i="15"/>
  <c r="E24" i="15"/>
  <c r="E25" i="15" s="1"/>
  <c r="D45" i="15"/>
  <c r="E45" i="15" s="1"/>
  <c r="E47" i="15" s="1"/>
  <c r="E34" i="15" l="1"/>
  <c r="E9" i="10"/>
  <c r="E9" i="7"/>
  <c r="E9" i="5"/>
  <c r="I16" i="1"/>
  <c r="I17" i="1"/>
  <c r="F15" i="15"/>
  <c r="G18" i="15"/>
  <c r="E9" i="3"/>
  <c r="E8" i="15"/>
  <c r="D8" i="15" s="1"/>
  <c r="E7" i="15"/>
  <c r="D7" i="15" s="1"/>
  <c r="E9" i="12"/>
  <c r="I15" i="6"/>
  <c r="I15" i="10"/>
  <c r="I15" i="11"/>
  <c r="D17" i="12"/>
  <c r="E17" i="12" s="1"/>
  <c r="I17" i="12" s="1"/>
  <c r="D35" i="12"/>
  <c r="E35" i="12" s="1"/>
  <c r="E16" i="12"/>
  <c r="I16" i="12" s="1"/>
  <c r="J15" i="15"/>
  <c r="H15" i="13"/>
  <c r="H18" i="13" s="1"/>
  <c r="D35" i="4"/>
  <c r="E35" i="4" s="1"/>
  <c r="D17" i="4"/>
  <c r="E17" i="4" s="1"/>
  <c r="I17" i="4" s="1"/>
  <c r="E16" i="4"/>
  <c r="I16" i="4" s="1"/>
  <c r="E9" i="4"/>
  <c r="D35" i="11"/>
  <c r="E35" i="11" s="1"/>
  <c r="D17" i="11"/>
  <c r="E17" i="11" s="1"/>
  <c r="I17" i="11" s="1"/>
  <c r="E16" i="11"/>
  <c r="I16" i="11" s="1"/>
  <c r="I15" i="7"/>
  <c r="I15" i="4"/>
  <c r="I15" i="5"/>
  <c r="D35" i="7"/>
  <c r="E35" i="7" s="1"/>
  <c r="D17" i="7"/>
  <c r="E17" i="7" s="1"/>
  <c r="I17" i="7" s="1"/>
  <c r="E16" i="7"/>
  <c r="I16" i="7" s="1"/>
  <c r="D35" i="5"/>
  <c r="E35" i="5" s="1"/>
  <c r="D17" i="5"/>
  <c r="E17" i="5" s="1"/>
  <c r="I17" i="5" s="1"/>
  <c r="E16" i="5"/>
  <c r="I16" i="5" s="1"/>
  <c r="E18" i="9"/>
  <c r="I15" i="12"/>
  <c r="D33" i="9"/>
  <c r="E33" i="9" s="1"/>
  <c r="E37" i="9" s="1"/>
  <c r="I18" i="9"/>
  <c r="E30" i="9" s="1"/>
  <c r="E16" i="3"/>
  <c r="I16" i="3" s="1"/>
  <c r="D17" i="3"/>
  <c r="E17" i="3" s="1"/>
  <c r="I17" i="3" s="1"/>
  <c r="D35" i="3"/>
  <c r="E35" i="3" s="1"/>
  <c r="E9" i="6"/>
  <c r="I18" i="8"/>
  <c r="E30" i="8" s="1"/>
  <c r="D33" i="8"/>
  <c r="E33" i="8" s="1"/>
  <c r="E37" i="8" s="1"/>
  <c r="H18" i="3"/>
  <c r="E16" i="13"/>
  <c r="I16" i="13" s="1"/>
  <c r="D17" i="13"/>
  <c r="E17" i="13" s="1"/>
  <c r="I17" i="13" s="1"/>
  <c r="D35" i="13"/>
  <c r="E35" i="13" s="1"/>
  <c r="E18" i="8"/>
  <c r="D35" i="10"/>
  <c r="E35" i="10" s="1"/>
  <c r="D17" i="10"/>
  <c r="E17" i="10" s="1"/>
  <c r="I17" i="10" s="1"/>
  <c r="E16" i="10"/>
  <c r="I16" i="10" s="1"/>
  <c r="E9" i="13"/>
  <c r="I15" i="1"/>
  <c r="E18" i="1"/>
  <c r="I15" i="3"/>
  <c r="E15" i="13"/>
  <c r="E15" i="15" s="1"/>
  <c r="D15" i="15" s="1"/>
  <c r="D35" i="6"/>
  <c r="E35" i="6" s="1"/>
  <c r="D17" i="6"/>
  <c r="E17" i="6" s="1"/>
  <c r="I17" i="6" s="1"/>
  <c r="E16" i="6"/>
  <c r="I16" i="6" s="1"/>
  <c r="E9" i="11"/>
  <c r="E35" i="15" l="1"/>
  <c r="H15" i="15"/>
  <c r="H18" i="15" s="1"/>
  <c r="E17" i="15"/>
  <c r="D17" i="15" s="1"/>
  <c r="E16" i="15"/>
  <c r="D16" i="15" s="1"/>
  <c r="D35" i="15" s="1"/>
  <c r="E18" i="3"/>
  <c r="E9" i="15"/>
  <c r="E18" i="11"/>
  <c r="D33" i="4"/>
  <c r="E33" i="4" s="1"/>
  <c r="E37" i="4" s="1"/>
  <c r="I18" i="4"/>
  <c r="E30" i="4" s="1"/>
  <c r="D33" i="1"/>
  <c r="E33" i="1" s="1"/>
  <c r="I18" i="1"/>
  <c r="E30" i="1" s="1"/>
  <c r="E18" i="4"/>
  <c r="D33" i="11"/>
  <c r="E33" i="11" s="1"/>
  <c r="E37" i="11" s="1"/>
  <c r="I18" i="11"/>
  <c r="E30" i="11" s="1"/>
  <c r="E18" i="7"/>
  <c r="I18" i="10"/>
  <c r="E30" i="10" s="1"/>
  <c r="D33" i="10"/>
  <c r="E33" i="10" s="1"/>
  <c r="E37" i="10" s="1"/>
  <c r="E18" i="6"/>
  <c r="I15" i="13"/>
  <c r="D33" i="13" s="1"/>
  <c r="E18" i="13"/>
  <c r="D33" i="12"/>
  <c r="E33" i="12" s="1"/>
  <c r="E37" i="12" s="1"/>
  <c r="I18" i="12"/>
  <c r="E30" i="12" s="1"/>
  <c r="I18" i="6"/>
  <c r="E30" i="6" s="1"/>
  <c r="D33" i="6"/>
  <c r="E33" i="6" s="1"/>
  <c r="E37" i="6" s="1"/>
  <c r="I18" i="7"/>
  <c r="E30" i="7" s="1"/>
  <c r="D33" i="7"/>
  <c r="E33" i="7" s="1"/>
  <c r="E37" i="7" s="1"/>
  <c r="E18" i="10"/>
  <c r="D33" i="3"/>
  <c r="E33" i="3" s="1"/>
  <c r="E37" i="3" s="1"/>
  <c r="I18" i="3"/>
  <c r="E30" i="3" s="1"/>
  <c r="E18" i="12"/>
  <c r="I18" i="5"/>
  <c r="E30" i="5" s="1"/>
  <c r="D33" i="5"/>
  <c r="E33" i="5" s="1"/>
  <c r="E37" i="5" s="1"/>
  <c r="E18" i="5"/>
  <c r="D36" i="15"/>
  <c r="E36" i="15" s="1"/>
  <c r="E37" i="1" l="1"/>
  <c r="I15" i="15"/>
  <c r="D33" i="15" s="1"/>
  <c r="I17" i="15"/>
  <c r="I18" i="13"/>
  <c r="E30" i="13" s="1"/>
  <c r="E30" i="15" s="1"/>
  <c r="E33" i="13"/>
  <c r="E37" i="13" l="1"/>
  <c r="E33" i="15"/>
  <c r="E37" i="15" s="1"/>
  <c r="I16" i="15"/>
  <c r="I18" i="15" s="1"/>
  <c r="I20" i="15" s="1"/>
  <c r="E18" i="15"/>
</calcChain>
</file>

<file path=xl/sharedStrings.xml><?xml version="1.0" encoding="utf-8"?>
<sst xmlns="http://schemas.openxmlformats.org/spreadsheetml/2006/main" count="1138" uniqueCount="90">
  <si>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</si>
  <si>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</si>
  <si>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</si>
  <si>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</si>
  <si>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</si>
  <si>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</si>
  <si>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</si>
  <si>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Rate</t>
  </si>
  <si>
    <t>Amount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</si>
  <si>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</si>
  <si>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</si>
  <si>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</si>
  <si>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</si>
  <si>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</si>
  <si>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</si>
  <si>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</si>
  <si>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</si>
  <si>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</si>
  <si>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</si>
  <si>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</si>
  <si>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</si>
  <si>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</si>
  <si>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</si>
  <si>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</si>
  <si>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</si>
  <si>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</si>
  <si>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</si>
  <si>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</si>
  <si>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Balance Per DVA Continuity</t>
  </si>
  <si>
    <t>Variance - Type</t>
  </si>
  <si>
    <t>Quantity</t>
  </si>
  <si>
    <t>Price</t>
  </si>
  <si>
    <t>Total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</si>
  <si>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</si>
  <si>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</si>
  <si>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</si>
  <si>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</si>
  <si>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</si>
  <si>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</si>
  <si>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</si>
  <si>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</si>
  <si>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</si>
  <si>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</si>
  <si>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</si>
  <si>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</si>
  <si>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</si>
  <si>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</si>
  <si>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</si>
  <si>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</si>
  <si>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</si>
  <si>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</si>
  <si>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</si>
  <si>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</si>
  <si>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</si>
  <si>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</si>
  <si>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Final GA Rate</t>
  </si>
  <si>
    <t>IESO Class B kWh</t>
  </si>
  <si>
    <t>GPI kWh</t>
  </si>
  <si>
    <t>IESO Charge Type 101</t>
  </si>
  <si>
    <t>GPI Power Charge</t>
  </si>
  <si>
    <t>Embedded Generation Power Charge</t>
  </si>
  <si>
    <t>Embedded Generation kWh</t>
  </si>
  <si>
    <t>Total kWh</t>
  </si>
  <si>
    <t>Total Power Charge</t>
  </si>
  <si>
    <t>January 2018</t>
  </si>
  <si>
    <t>Class B non-RPP kWh per GA Analysis Workform</t>
  </si>
  <si>
    <t>Final GA</t>
  </si>
  <si>
    <t xml:space="preserve">Class A GA IESO Charge </t>
  </si>
  <si>
    <t>RPP kWh</t>
  </si>
  <si>
    <t>RPP Revenue</t>
  </si>
  <si>
    <t>Avg RPP Rate</t>
  </si>
  <si>
    <t>February 2018</t>
  </si>
  <si>
    <t>March 2018</t>
  </si>
  <si>
    <t>April 2018</t>
  </si>
  <si>
    <t>May 2018</t>
  </si>
  <si>
    <t>June 2018</t>
  </si>
  <si>
    <t>July 2018</t>
  </si>
  <si>
    <t>Aug 2018</t>
  </si>
  <si>
    <t>Sept 2018</t>
  </si>
  <si>
    <t>Oct 2018</t>
  </si>
  <si>
    <t>Nov 2018</t>
  </si>
  <si>
    <t>Dec 2018</t>
  </si>
  <si>
    <t>2018 Total</t>
  </si>
  <si>
    <t>RPP Avg COP</t>
  </si>
  <si>
    <t>LTLT kWh</t>
  </si>
  <si>
    <t>LTLT Charge</t>
  </si>
  <si>
    <t>Non-RPP Avg COP</t>
  </si>
  <si>
    <t>Avg. Wholesale Cost per kWh</t>
  </si>
  <si>
    <t>Note 1: Total Agrees to Continuity File in 2020 IRM Rate Generator Model</t>
  </si>
  <si>
    <r>
      <t xml:space="preserve">IESO Class A kWh </t>
    </r>
    <r>
      <rPr>
        <b/>
        <sz val="8"/>
        <color theme="1"/>
        <rFont val="Calibri"/>
        <family val="2"/>
        <scheme val="minor"/>
      </rPr>
      <t>(Note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</si>
</sst>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* #,##0.00000_);_(* \(#,##0.00000\);_(* &quot;-&quot;??_);_(@_)"/>
    <numFmt numFmtId="169" formatCode="_(* #,##0.0000_);_(* \(#,##0.0000\);_(* &quot;-&quot;??_);_(@_)"/>
    <numFmt numFmtId="170" formatCode="_-* #,##0.000000_-;\-* #,##0.000000_-;_-* &quot;-&quot;??_-;_-@_-"/>
    <numFmt numFmtId="171" formatCode="_(&quot;$&quot;* #,##0.00000_);_(&quot;$&quot;* \(#,##0.00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10" xfId="0" applyFont="1" applyBorder="1"/>
    <xf numFmtId="164" fontId="0" fillId="0" borderId="11" xfId="0" applyNumberFormat="1" applyBorder="1"/>
    <xf numFmtId="0" fontId="0" fillId="0" borderId="11" xfId="0" applyBorder="1"/>
    <xf numFmtId="164" fontId="0" fillId="0" borderId="10" xfId="0" applyNumberFormat="1" applyBorder="1"/>
    <xf numFmtId="0" fontId="0" fillId="0" borderId="10" xfId="0" applyBorder="1"/>
    <xf numFmtId="164" fontId="0" fillId="0" borderId="12" xfId="0" applyNumberFormat="1" applyBorder="1"/>
    <xf numFmtId="166" fontId="0" fillId="0" borderId="12" xfId="0" applyNumberFormat="1" applyBorder="1"/>
    <xf numFmtId="43" fontId="0" fillId="0" borderId="0" xfId="0" applyNumberFormat="1" applyAlignment="1">
      <alignment wrapText="1"/>
    </xf>
    <xf numFmtId="164" fontId="0" fillId="0" borderId="13" xfId="0" applyNumberFormat="1" applyBorder="1"/>
    <xf numFmtId="0" fontId="0" fillId="0" borderId="1" xfId="0" applyBorder="1"/>
    <xf numFmtId="164" fontId="0" fillId="3" borderId="14" xfId="0" applyNumberFormat="1" applyFill="1" applyBorder="1"/>
    <xf numFmtId="167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3" xfId="0" applyFill="1" applyBorder="1"/>
    <xf numFmtId="0" fontId="2" fillId="0" borderId="8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0" fillId="0" borderId="22" xfId="0" applyFont="1" applyBorder="1"/>
    <xf numFmtId="164" fontId="0" fillId="0" borderId="24" xfId="0" applyNumberFormat="1" applyBorder="1"/>
    <xf numFmtId="166" fontId="0" fillId="0" borderId="23" xfId="0" applyNumberFormat="1" applyBorder="1"/>
    <xf numFmtId="164" fontId="0" fillId="0" borderId="26" xfId="0" applyNumberFormat="1" applyBorder="1"/>
    <xf numFmtId="164" fontId="0" fillId="0" borderId="4" xfId="0" applyNumberFormat="1" applyBorder="1"/>
    <xf numFmtId="164" fontId="0" fillId="0" borderId="27" xfId="0" applyNumberFormat="1" applyBorder="1"/>
    <xf numFmtId="166" fontId="0" fillId="0" borderId="4" xfId="0" applyNumberFormat="1" applyBorder="1"/>
    <xf numFmtId="0" fontId="0" fillId="0" borderId="28" xfId="0" applyBorder="1"/>
    <xf numFmtId="164" fontId="0" fillId="0" borderId="5" xfId="0" applyNumberFormat="1" applyBorder="1"/>
    <xf numFmtId="169" fontId="0" fillId="0" borderId="0" xfId="0" applyNumberFormat="1" applyAlignment="1">
      <alignment wrapText="1"/>
    </xf>
    <xf numFmtId="164" fontId="0" fillId="0" borderId="27" xfId="0" applyNumberFormat="1" applyFill="1" applyBorder="1"/>
    <xf numFmtId="43" fontId="0" fillId="0" borderId="27" xfId="0" applyNumberFormat="1" applyBorder="1"/>
    <xf numFmtId="170" fontId="0" fillId="0" borderId="0" xfId="0" applyNumberFormat="1"/>
    <xf numFmtId="0" fontId="0" fillId="0" borderId="16" xfId="0" applyBorder="1"/>
    <xf numFmtId="0" fontId="0" fillId="0" borderId="29" xfId="0" applyBorder="1"/>
    <xf numFmtId="164" fontId="0" fillId="0" borderId="0" xfId="0" applyNumberFormat="1"/>
    <xf numFmtId="0" fontId="0" fillId="0" borderId="31" xfId="0" applyFill="1" applyBorder="1" applyAlignment="1"/>
    <xf numFmtId="0" fontId="0" fillId="0" borderId="0" xfId="0" applyFill="1" applyBorder="1" applyAlignment="1"/>
    <xf numFmtId="0" fontId="2" fillId="0" borderId="3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31" xfId="0" applyBorder="1"/>
    <xf numFmtId="166" fontId="0" fillId="0" borderId="1" xfId="0" applyNumberFormat="1" applyBorder="1"/>
    <xf numFmtId="164" fontId="0" fillId="3" borderId="33" xfId="0" applyNumberFormat="1" applyFill="1" applyBorder="1"/>
    <xf numFmtId="164" fontId="0" fillId="0" borderId="0" xfId="0" applyNumberFormat="1" applyBorder="1" applyAlignment="1">
      <alignment wrapText="1"/>
    </xf>
    <xf numFmtId="166" fontId="0" fillId="0" borderId="0" xfId="0" applyNumberFormat="1" applyBorder="1"/>
    <xf numFmtId="0" fontId="0" fillId="0" borderId="15" xfId="0" applyBorder="1" applyAlignment="1"/>
    <xf numFmtId="0" fontId="0" fillId="2" borderId="30" xfId="0" applyFill="1" applyBorder="1" applyAlignment="1"/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0" fillId="3" borderId="35" xfId="0" applyNumberFormat="1" applyFill="1" applyBorder="1" applyAlignment="1">
      <alignment wrapText="1"/>
    </xf>
    <xf numFmtId="164" fontId="0" fillId="0" borderId="31" xfId="0" applyNumberForma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2" fillId="0" borderId="7" xfId="0" applyFont="1" applyBorder="1"/>
    <xf numFmtId="164" fontId="2" fillId="0" borderId="8" xfId="0" applyNumberFormat="1" applyFont="1" applyFill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 applyAlignment="1">
      <alignment wrapText="1"/>
    </xf>
    <xf numFmtId="164" fontId="0" fillId="0" borderId="40" xfId="0" applyNumberFormat="1" applyFill="1" applyBorder="1" applyAlignment="1">
      <alignment wrapText="1"/>
    </xf>
    <xf numFmtId="166" fontId="0" fillId="0" borderId="41" xfId="2" applyNumberFormat="1" applyFont="1" applyFill="1" applyBorder="1" applyAlignment="1">
      <alignment wrapText="1"/>
    </xf>
    <xf numFmtId="167" fontId="0" fillId="0" borderId="42" xfId="0" applyNumberFormat="1" applyFill="1" applyBorder="1" applyAlignment="1">
      <alignment wrapText="1"/>
    </xf>
    <xf numFmtId="164" fontId="0" fillId="0" borderId="43" xfId="0" applyNumberFormat="1" applyBorder="1" applyAlignment="1">
      <alignment wrapText="1"/>
    </xf>
    <xf numFmtId="166" fontId="0" fillId="0" borderId="44" xfId="2" applyNumberFormat="1" applyFont="1" applyFill="1" applyBorder="1" applyAlignment="1">
      <alignment wrapText="1"/>
    </xf>
    <xf numFmtId="167" fontId="0" fillId="0" borderId="45" xfId="0" applyNumberFormat="1" applyBorder="1" applyAlignment="1">
      <alignment wrapText="1"/>
    </xf>
    <xf numFmtId="0" fontId="6" fillId="0" borderId="10" xfId="0" applyFont="1" applyBorder="1" applyAlignment="1">
      <alignment wrapText="1"/>
    </xf>
    <xf numFmtId="166" fontId="0" fillId="0" borderId="44" xfId="0" applyNumberFormat="1" applyBorder="1" applyAlignment="1">
      <alignment wrapText="1"/>
    </xf>
    <xf numFmtId="0" fontId="0" fillId="0" borderId="0" xfId="0" applyAlignment="1"/>
    <xf numFmtId="164" fontId="0" fillId="0" borderId="46" xfId="1" applyNumberFormat="1" applyFont="1" applyBorder="1" applyAlignment="1">
      <alignment wrapText="1"/>
    </xf>
    <xf numFmtId="166" fontId="0" fillId="0" borderId="47" xfId="2" applyNumberFormat="1" applyFont="1" applyBorder="1" applyAlignment="1">
      <alignment wrapText="1"/>
    </xf>
    <xf numFmtId="167" fontId="0" fillId="0" borderId="48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9" xfId="0" applyBorder="1" applyAlignment="1">
      <alignment horizontal="left"/>
    </xf>
    <xf numFmtId="0" fontId="0" fillId="0" borderId="49" xfId="0" applyBorder="1"/>
    <xf numFmtId="164" fontId="0" fillId="0" borderId="50" xfId="0" applyNumberFormat="1" applyFill="1" applyBorder="1"/>
    <xf numFmtId="0" fontId="0" fillId="0" borderId="0" xfId="0" applyBorder="1" applyAlignment="1">
      <alignment horizontal="left"/>
    </xf>
    <xf numFmtId="0" fontId="0" fillId="0" borderId="16" xfId="0" applyBorder="1" applyAlignment="1"/>
    <xf numFmtId="0" fontId="2" fillId="0" borderId="31" xfId="0" applyFont="1" applyBorder="1" applyAlignment="1">
      <alignment horizontal="center" wrapText="1"/>
    </xf>
    <xf numFmtId="0" fontId="6" fillId="0" borderId="22" xfId="0" applyFont="1" applyBorder="1"/>
    <xf numFmtId="0" fontId="6" fillId="0" borderId="51" xfId="0" applyFont="1" applyBorder="1" applyAlignment="1">
      <alignment wrapText="1"/>
    </xf>
    <xf numFmtId="164" fontId="0" fillId="0" borderId="40" xfId="1" applyNumberFormat="1" applyFont="1" applyBorder="1" applyAlignment="1">
      <alignment wrapText="1"/>
    </xf>
    <xf numFmtId="166" fontId="0" fillId="0" borderId="41" xfId="2" applyNumberFormat="1" applyFont="1" applyBorder="1" applyAlignment="1">
      <alignment wrapText="1"/>
    </xf>
    <xf numFmtId="167" fontId="0" fillId="0" borderId="42" xfId="0" applyNumberFormat="1" applyBorder="1" applyAlignment="1">
      <alignment wrapText="1"/>
    </xf>
    <xf numFmtId="44" fontId="0" fillId="0" borderId="0" xfId="0" applyNumberFormat="1" applyAlignment="1">
      <alignment wrapText="1"/>
    </xf>
    <xf numFmtId="164" fontId="0" fillId="0" borderId="46" xfId="0" applyNumberFormat="1" applyBorder="1" applyAlignment="1">
      <alignment wrapText="1"/>
    </xf>
    <xf numFmtId="166" fontId="0" fillId="0" borderId="47" xfId="2" applyNumberFormat="1" applyFont="1" applyFill="1" applyBorder="1" applyAlignment="1">
      <alignment wrapText="1"/>
    </xf>
    <xf numFmtId="167" fontId="0" fillId="0" borderId="48" xfId="2" applyNumberFormat="1" applyFont="1" applyBorder="1" applyAlignment="1">
      <alignment wrapText="1"/>
    </xf>
    <xf numFmtId="44" fontId="0" fillId="0" borderId="0" xfId="0" applyNumberFormat="1" applyAlignment="1"/>
    <xf numFmtId="169" fontId="0" fillId="0" borderId="0" xfId="1" applyNumberFormat="1" applyFont="1"/>
    <xf numFmtId="43" fontId="0" fillId="0" borderId="0" xfId="1" applyFont="1"/>
    <xf numFmtId="169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164" fontId="0" fillId="5" borderId="11" xfId="0" applyNumberFormat="1" applyFill="1" applyBorder="1"/>
    <xf numFmtId="164" fontId="0" fillId="5" borderId="12" xfId="0" applyNumberFormat="1" applyFill="1" applyBorder="1"/>
    <xf numFmtId="164" fontId="0" fillId="5" borderId="10" xfId="0" applyNumberFormat="1" applyFill="1" applyBorder="1"/>
    <xf numFmtId="166" fontId="0" fillId="5" borderId="11" xfId="0" applyNumberFormat="1" applyFill="1" applyBorder="1"/>
    <xf numFmtId="166" fontId="0" fillId="5" borderId="10" xfId="0" applyNumberFormat="1" applyFill="1" applyBorder="1"/>
    <xf numFmtId="166" fontId="0" fillId="5" borderId="12" xfId="0" applyNumberFormat="1" applyFill="1" applyBorder="1"/>
    <xf numFmtId="164" fontId="0" fillId="5" borderId="23" xfId="0" applyNumberFormat="1" applyFill="1" applyBorder="1"/>
    <xf numFmtId="166" fontId="0" fillId="5" borderId="23" xfId="0" applyNumberFormat="1" applyFill="1" applyBorder="1"/>
    <xf numFmtId="164" fontId="0" fillId="5" borderId="25" xfId="1" applyNumberFormat="1" applyFont="1" applyFill="1" applyBorder="1"/>
    <xf numFmtId="164" fontId="0" fillId="0" borderId="25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71" fontId="0" fillId="5" borderId="12" xfId="0" applyNumberFormat="1" applyFill="1" applyBorder="1"/>
    <xf numFmtId="164" fontId="0" fillId="0" borderId="36" xfId="0" applyNumberFormat="1" applyBorder="1"/>
    <xf numFmtId="0" fontId="5" fillId="4" borderId="8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44" fontId="0" fillId="0" borderId="52" xfId="0" applyNumberFormat="1" applyBorder="1" applyAlignment="1">
      <alignment horizontal="left"/>
    </xf>
    <xf numFmtId="44" fontId="0" fillId="0" borderId="49" xfId="0" applyNumberFormat="1" applyBorder="1" applyAlignment="1">
      <alignment horizontal="left"/>
    </xf>
    <xf numFmtId="44" fontId="0" fillId="0" borderId="36" xfId="0" applyNumberFormat="1" applyBorder="1" applyAlignment="1">
      <alignment horizontal="left"/>
    </xf>
    <xf numFmtId="44" fontId="0" fillId="0" borderId="5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7" fontId="0" fillId="0" borderId="31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34" xfId="0" applyNumberForma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44" fontId="0" fillId="0" borderId="15" xfId="0" applyNumberFormat="1" applyBorder="1" applyAlignment="1">
      <alignment horizontal="center" wrapText="1"/>
    </xf>
    <xf numFmtId="44" fontId="0" fillId="0" borderId="16" xfId="0" applyNumberFormat="1" applyBorder="1" applyAlignment="1">
      <alignment horizontal="center" wrapText="1"/>
    </xf>
    <xf numFmtId="44" fontId="0" fillId="0" borderId="30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RowHeight="15" x14ac:dyDescent="0.25"/>
  <cols>
    <col min="3" max="3" width="14.140625" customWidth="1"/>
    <col min="4" max="4" width="12.5703125" bestFit="1" customWidth="1"/>
    <col min="5" max="5" width="10.5703125" bestFit="1" customWidth="1"/>
    <col min="6" max="7" width="12" customWidth="1"/>
    <col min="8" max="8" width="15" customWidth="1"/>
    <col min="9" max="9" width="10.5703125" bestFit="1" customWidth="1"/>
    <col min="11" max="12" width="14.140625" customWidth="1"/>
    <col min="13" max="13" width="10.5703125" bestFit="1" customWidth="1"/>
    <col min="14" max="14" width="11.28515625" customWidth="1"/>
    <col min="16" max="16" width="15" customWidth="1"/>
    <col min="17" max="17" width="11.5703125" bestFit="1" customWidth="1"/>
    <col min="18" max="18" width="11.5703125" customWidth="1"/>
    <col min="20" max="20" width="14.28515625" bestFit="1" customWidth="1"/>
    <col min="21" max="21" width="13.28515625" bestFit="1" customWidth="1"/>
    <col min="22" max="22" width="13.28515625" customWidth="1"/>
  </cols>
  <sheetData>
    <row r="1" spans="1:22" s="66" customFormat="1" ht="60.75" customHeight="1" x14ac:dyDescent="0.25">
      <c r="A1" s="66">
        <v>2018</v>
      </c>
      <c r="B1" s="66" t="s">
        <v>55</v>
      </c>
      <c r="C1" s="66" t="s">
        <v>56</v>
      </c>
      <c r="D1" s="66" t="s">
        <v>89</v>
      </c>
      <c r="E1" s="66" t="s">
        <v>57</v>
      </c>
      <c r="F1" s="66" t="s">
        <v>61</v>
      </c>
      <c r="G1" s="109" t="s">
        <v>84</v>
      </c>
      <c r="H1" s="122" t="s">
        <v>62</v>
      </c>
      <c r="I1" s="66" t="s">
        <v>58</v>
      </c>
      <c r="J1" s="66" t="s">
        <v>59</v>
      </c>
      <c r="K1" s="66" t="s">
        <v>60</v>
      </c>
      <c r="L1" s="109" t="s">
        <v>85</v>
      </c>
      <c r="M1" s="122" t="s">
        <v>63</v>
      </c>
      <c r="N1" s="122" t="s">
        <v>87</v>
      </c>
      <c r="P1" s="66" t="s">
        <v>65</v>
      </c>
      <c r="Q1" s="66" t="s">
        <v>67</v>
      </c>
      <c r="R1" s="121" t="s">
        <v>86</v>
      </c>
      <c r="S1" s="66" t="s">
        <v>83</v>
      </c>
      <c r="T1" s="66" t="s">
        <v>68</v>
      </c>
      <c r="U1" s="66" t="s">
        <v>69</v>
      </c>
      <c r="V1" s="66" t="s">
        <v>70</v>
      </c>
    </row>
    <row r="2" spans="1:22" x14ac:dyDescent="0.25">
      <c r="A2" t="s">
        <v>43</v>
      </c>
      <c r="B2">
        <v>6.7360000000000003E-2</v>
      </c>
      <c r="C2" s="110">
        <v>95373153</v>
      </c>
      <c r="D2" s="110">
        <v>9104147</v>
      </c>
      <c r="E2" s="110">
        <v>1852730.1844645019</v>
      </c>
      <c r="F2" s="110">
        <v>5144977</v>
      </c>
      <c r="G2" s="110">
        <f>1284123/12</f>
        <v>107010.25</v>
      </c>
      <c r="H2" s="110">
        <f>SUM(C2:G2)</f>
        <v>111582017.4344645</v>
      </c>
      <c r="I2" s="110">
        <v>3371433.09</v>
      </c>
      <c r="J2" s="110">
        <v>76283.27</v>
      </c>
      <c r="K2" s="110">
        <f>-18016.85+98244.52</f>
        <v>80227.670000000013</v>
      </c>
      <c r="L2" s="110">
        <f>(23000+134500)/12</f>
        <v>13125</v>
      </c>
      <c r="M2" s="53">
        <f>SUM(I2:L2)</f>
        <v>3541069.03</v>
      </c>
      <c r="N2" s="105">
        <f>M2/H2</f>
        <v>3.1735122839840903E-2</v>
      </c>
      <c r="P2" s="110">
        <v>49390743.979999997</v>
      </c>
      <c r="Q2" s="110">
        <v>506208.53</v>
      </c>
      <c r="R2" s="105">
        <v>3.179231026880816E-2</v>
      </c>
      <c r="S2" s="105">
        <v>3.2283190895697589E-2</v>
      </c>
      <c r="T2" s="108">
        <v>53235860.109999999</v>
      </c>
      <c r="U2" s="108">
        <v>4394462.0000000158</v>
      </c>
      <c r="V2" s="107">
        <f>U2/T2</f>
        <v>8.2547027340590398E-2</v>
      </c>
    </row>
    <row r="3" spans="1:22" x14ac:dyDescent="0.25">
      <c r="A3" t="s">
        <v>44</v>
      </c>
      <c r="B3">
        <v>8.1670000000000006E-2</v>
      </c>
      <c r="C3" s="110">
        <v>80695183.000000015</v>
      </c>
      <c r="D3" s="110">
        <v>8200117</v>
      </c>
      <c r="E3" s="110">
        <v>1764693.8702711829</v>
      </c>
      <c r="F3" s="110">
        <v>5663956</v>
      </c>
      <c r="G3" s="110">
        <f t="shared" ref="G3:G13" si="0">1284123/12</f>
        <v>107010.25</v>
      </c>
      <c r="H3" s="110">
        <f t="shared" ref="H3:H13" si="1">SUM(C3:G3)</f>
        <v>96430960.120271191</v>
      </c>
      <c r="I3" s="110">
        <v>1689982.65</v>
      </c>
      <c r="J3" s="110">
        <v>46988.66</v>
      </c>
      <c r="K3" s="110">
        <f>265683.86-98244.52</f>
        <v>167439.33999999997</v>
      </c>
      <c r="L3" s="110">
        <f t="shared" ref="L3:L13" si="2">(23000+134500)/12</f>
        <v>13125</v>
      </c>
      <c r="M3" s="53">
        <f t="shared" ref="M3:M13" si="3">SUM(I3:L3)</f>
        <v>1917535.65</v>
      </c>
      <c r="N3" s="105">
        <f t="shared" ref="N3:N13" si="4">M3/H3</f>
        <v>1.9885062303729009E-2</v>
      </c>
      <c r="P3" s="110">
        <v>43904132.259999998</v>
      </c>
      <c r="Q3" s="110">
        <v>512294.52</v>
      </c>
      <c r="R3" s="105">
        <v>1.8977161771705279E-2</v>
      </c>
      <c r="S3" s="105">
        <v>1.8815306465760101E-2</v>
      </c>
      <c r="T3" s="108">
        <v>46363264.899999999</v>
      </c>
      <c r="U3" s="108">
        <v>3842434.3000000124</v>
      </c>
      <c r="V3" s="107">
        <f t="shared" ref="V3:V13" si="5">U3/T3</f>
        <v>8.2876697926422618E-2</v>
      </c>
    </row>
    <row r="4" spans="1:22" x14ac:dyDescent="0.25">
      <c r="A4" t="s">
        <v>45</v>
      </c>
      <c r="B4">
        <v>9.4810000000000005E-2</v>
      </c>
      <c r="C4" s="110">
        <v>85115082.333333343</v>
      </c>
      <c r="D4" s="110">
        <v>8731351</v>
      </c>
      <c r="E4" s="110">
        <v>2374822.6545280959</v>
      </c>
      <c r="F4" s="110">
        <v>4747155</v>
      </c>
      <c r="G4" s="110">
        <f t="shared" si="0"/>
        <v>107010.25</v>
      </c>
      <c r="H4" s="110">
        <f t="shared" si="1"/>
        <v>101075421.23786144</v>
      </c>
      <c r="I4" s="110">
        <v>1604749.04</v>
      </c>
      <c r="J4" s="110">
        <v>47701.16</v>
      </c>
      <c r="K4" s="110">
        <v>71775.39</v>
      </c>
      <c r="L4" s="110">
        <f t="shared" si="2"/>
        <v>13125</v>
      </c>
      <c r="M4" s="53">
        <f t="shared" si="3"/>
        <v>1737350.5899999999</v>
      </c>
      <c r="N4" s="105">
        <f t="shared" si="4"/>
        <v>1.7188655448800768E-2</v>
      </c>
      <c r="P4" s="110">
        <v>45843330.559999995</v>
      </c>
      <c r="Q4" s="110">
        <v>619412.53</v>
      </c>
      <c r="R4" s="105">
        <v>1.700927048897655E-2</v>
      </c>
      <c r="S4" s="105">
        <v>1.6857953226584715E-2</v>
      </c>
      <c r="T4" s="108">
        <v>44052212.759999998</v>
      </c>
      <c r="U4" s="108">
        <v>3644622.4800000098</v>
      </c>
      <c r="V4" s="107">
        <f t="shared" si="5"/>
        <v>8.2734152308221301E-2</v>
      </c>
    </row>
    <row r="5" spans="1:22" x14ac:dyDescent="0.25">
      <c r="A5" t="s">
        <v>46</v>
      </c>
      <c r="B5">
        <v>9.9590000000000012E-2</v>
      </c>
      <c r="C5" s="110">
        <v>79093491.316666663</v>
      </c>
      <c r="D5" s="110">
        <v>8450675.3500000015</v>
      </c>
      <c r="E5" s="110">
        <v>2485375.9892984647</v>
      </c>
      <c r="F5" s="110">
        <v>5107019</v>
      </c>
      <c r="G5" s="110">
        <f t="shared" si="0"/>
        <v>107010.25</v>
      </c>
      <c r="H5" s="110">
        <f t="shared" si="1"/>
        <v>95243571.90596512</v>
      </c>
      <c r="I5" s="110">
        <v>2591210.94</v>
      </c>
      <c r="J5" s="110">
        <v>71737.87</v>
      </c>
      <c r="K5" s="110">
        <v>78679.240000000005</v>
      </c>
      <c r="L5" s="110">
        <f t="shared" si="2"/>
        <v>13125</v>
      </c>
      <c r="M5" s="53">
        <f t="shared" si="3"/>
        <v>2754753.0500000003</v>
      </c>
      <c r="N5" s="105">
        <f t="shared" si="4"/>
        <v>2.8923243793500249E-2</v>
      </c>
      <c r="P5" s="110">
        <v>43602265.32</v>
      </c>
      <c r="Q5" s="110">
        <v>605079.66</v>
      </c>
      <c r="R5" s="105">
        <v>2.9299872780592432E-2</v>
      </c>
      <c r="S5" s="105">
        <v>2.9623513467894092E-2</v>
      </c>
      <c r="T5" s="108">
        <v>44680412.22999993</v>
      </c>
      <c r="U5" s="108">
        <v>3697771.0700000129</v>
      </c>
      <c r="V5" s="107">
        <f t="shared" si="5"/>
        <v>8.2760451066680299E-2</v>
      </c>
    </row>
    <row r="6" spans="1:22" x14ac:dyDescent="0.25">
      <c r="A6" t="s">
        <v>47</v>
      </c>
      <c r="B6">
        <v>0.10793000000000001</v>
      </c>
      <c r="C6" s="110">
        <v>77090483.63000001</v>
      </c>
      <c r="D6" s="110">
        <v>9467216.370000001</v>
      </c>
      <c r="E6" s="110">
        <v>5433603.1230769819</v>
      </c>
      <c r="F6" s="110">
        <v>4677507</v>
      </c>
      <c r="G6" s="110">
        <f t="shared" si="0"/>
        <v>107010.25</v>
      </c>
      <c r="H6" s="110">
        <f t="shared" si="1"/>
        <v>96775820.37307699</v>
      </c>
      <c r="I6" s="110">
        <v>1181124.45</v>
      </c>
      <c r="J6" s="110">
        <v>83322.100000000006</v>
      </c>
      <c r="K6" s="110">
        <v>164891.51999999999</v>
      </c>
      <c r="L6" s="110">
        <f t="shared" si="2"/>
        <v>13125</v>
      </c>
      <c r="M6" s="53">
        <f t="shared" si="3"/>
        <v>1442463.07</v>
      </c>
      <c r="N6" s="105">
        <f t="shared" si="4"/>
        <v>1.4905201159124382E-2</v>
      </c>
      <c r="P6" s="110">
        <v>46455037.289999992</v>
      </c>
      <c r="Q6" s="110">
        <v>644061.66</v>
      </c>
      <c r="R6" s="105">
        <v>1.2885566453971193E-2</v>
      </c>
      <c r="S6" s="105">
        <v>1.4142414783322052E-2</v>
      </c>
      <c r="T6" s="108">
        <v>42237838.789999872</v>
      </c>
      <c r="U6" s="108">
        <v>3511586.6099999985</v>
      </c>
      <c r="V6" s="107">
        <f t="shared" si="5"/>
        <v>8.3138406476218507E-2</v>
      </c>
    </row>
    <row r="7" spans="1:22" x14ac:dyDescent="0.25">
      <c r="A7" t="s">
        <v>48</v>
      </c>
      <c r="B7">
        <v>0.11896</v>
      </c>
      <c r="C7" s="110">
        <v>87066126.420000017</v>
      </c>
      <c r="D7" s="110">
        <v>9728473.5799999982</v>
      </c>
      <c r="E7" s="110">
        <v>3916619.5607652208</v>
      </c>
      <c r="F7" s="110">
        <v>4696653</v>
      </c>
      <c r="G7" s="110">
        <f t="shared" si="0"/>
        <v>107010.25</v>
      </c>
      <c r="H7" s="110">
        <f t="shared" si="1"/>
        <v>105514882.81076524</v>
      </c>
      <c r="I7" s="110">
        <v>1835051.25</v>
      </c>
      <c r="J7" s="110">
        <v>81004.570000000007</v>
      </c>
      <c r="K7" s="110">
        <v>20467.63</v>
      </c>
      <c r="L7" s="110">
        <f t="shared" si="2"/>
        <v>13125</v>
      </c>
      <c r="M7" s="53">
        <f t="shared" si="3"/>
        <v>1949648.45</v>
      </c>
      <c r="N7" s="105">
        <f t="shared" si="4"/>
        <v>1.8477473490603028E-2</v>
      </c>
      <c r="P7" s="110">
        <v>46187832.159999996</v>
      </c>
      <c r="Q7" s="110">
        <v>740512.61</v>
      </c>
      <c r="R7" s="105">
        <v>1.8149999074867158E-2</v>
      </c>
      <c r="S7" s="105">
        <v>1.9675169996176221E-2</v>
      </c>
      <c r="T7" s="108">
        <v>49347543.229999997</v>
      </c>
      <c r="U7" s="108">
        <v>4111722.1999999983</v>
      </c>
      <c r="V7" s="107">
        <f t="shared" si="5"/>
        <v>8.3321720411409395E-2</v>
      </c>
    </row>
    <row r="8" spans="1:22" x14ac:dyDescent="0.25">
      <c r="A8" t="s">
        <v>49</v>
      </c>
      <c r="B8">
        <v>7.7370000000000008E-2</v>
      </c>
      <c r="C8" s="110">
        <v>102132733.39333336</v>
      </c>
      <c r="D8" s="110">
        <v>19940299.939999998</v>
      </c>
      <c r="E8" s="110">
        <v>5890671.1113334885</v>
      </c>
      <c r="F8" s="110">
        <v>3701266</v>
      </c>
      <c r="G8" s="110">
        <f t="shared" si="0"/>
        <v>107010.25</v>
      </c>
      <c r="H8" s="110">
        <f t="shared" si="1"/>
        <v>131771980.69466685</v>
      </c>
      <c r="I8" s="110">
        <v>3766604.44</v>
      </c>
      <c r="J8" s="110">
        <v>186868.83</v>
      </c>
      <c r="K8" s="110">
        <v>62333.960000000006</v>
      </c>
      <c r="L8" s="110">
        <f t="shared" si="2"/>
        <v>13125</v>
      </c>
      <c r="M8" s="53">
        <f t="shared" si="3"/>
        <v>4028932.23</v>
      </c>
      <c r="N8" s="105">
        <f t="shared" si="4"/>
        <v>3.0575029750334937E-2</v>
      </c>
      <c r="P8" s="110">
        <v>44628450.459999993</v>
      </c>
      <c r="Q8" s="110">
        <v>1223033.8700000001</v>
      </c>
      <c r="R8" s="105">
        <v>3.0285270708133017E-2</v>
      </c>
      <c r="S8" s="105">
        <v>3.1449505055393082E-2</v>
      </c>
      <c r="T8" s="108">
        <v>64838316.580000006</v>
      </c>
      <c r="U8" s="108">
        <v>5438471.7099999906</v>
      </c>
      <c r="V8" s="107">
        <f t="shared" si="5"/>
        <v>8.3877435394082073E-2</v>
      </c>
    </row>
    <row r="9" spans="1:22" x14ac:dyDescent="0.25">
      <c r="A9" t="s">
        <v>50</v>
      </c>
      <c r="B9">
        <v>7.4900000000000008E-2</v>
      </c>
      <c r="C9" s="110">
        <v>97716108.186666667</v>
      </c>
      <c r="D9" s="110">
        <v>19972658.479999997</v>
      </c>
      <c r="E9" s="110">
        <v>6778894.4532912951</v>
      </c>
      <c r="F9" s="110">
        <v>4212975</v>
      </c>
      <c r="G9" s="110">
        <f t="shared" si="0"/>
        <v>107010.25</v>
      </c>
      <c r="H9" s="110">
        <f t="shared" si="1"/>
        <v>128787646.36995795</v>
      </c>
      <c r="I9" s="110">
        <v>3662597.63</v>
      </c>
      <c r="J9" s="110">
        <v>218460.87</v>
      </c>
      <c r="K9" s="110">
        <v>145117.72</v>
      </c>
      <c r="L9" s="110">
        <f t="shared" si="2"/>
        <v>13125</v>
      </c>
      <c r="M9" s="53">
        <f t="shared" si="3"/>
        <v>4039301.22</v>
      </c>
      <c r="N9" s="105">
        <f t="shared" si="4"/>
        <v>3.1364042544861977E-2</v>
      </c>
      <c r="P9" s="110">
        <v>44527297.850000001</v>
      </c>
      <c r="Q9" s="110">
        <v>1175587.92</v>
      </c>
      <c r="R9" s="105">
        <v>3.0070739064119226E-2</v>
      </c>
      <c r="S9" s="105">
        <v>3.1814585503977012E-2</v>
      </c>
      <c r="T9" s="108">
        <v>68732984.930000007</v>
      </c>
      <c r="U9" s="108">
        <v>5759003.8499999996</v>
      </c>
      <c r="V9" s="107">
        <f t="shared" si="5"/>
        <v>8.3788065597109801E-2</v>
      </c>
    </row>
    <row r="10" spans="1:22" x14ac:dyDescent="0.25">
      <c r="A10" t="s">
        <v>51</v>
      </c>
      <c r="B10">
        <v>8.584E-2</v>
      </c>
      <c r="C10" s="110">
        <v>81625970.550000012</v>
      </c>
      <c r="D10" s="110">
        <v>18069029.450000003</v>
      </c>
      <c r="E10" s="110">
        <v>4496004.9261929411</v>
      </c>
      <c r="F10" s="110">
        <v>4881085</v>
      </c>
      <c r="G10" s="110">
        <f t="shared" si="0"/>
        <v>107010.25</v>
      </c>
      <c r="H10" s="110">
        <f t="shared" si="1"/>
        <v>109179100.17619295</v>
      </c>
      <c r="I10" s="110">
        <v>3079753.2</v>
      </c>
      <c r="J10" s="110">
        <v>158091.19</v>
      </c>
      <c r="K10" s="110">
        <v>141180.18</v>
      </c>
      <c r="L10" s="110">
        <f t="shared" si="2"/>
        <v>13125</v>
      </c>
      <c r="M10" s="53">
        <f t="shared" si="3"/>
        <v>3392149.5700000003</v>
      </c>
      <c r="N10" s="105">
        <f t="shared" si="4"/>
        <v>3.1069587169391927E-2</v>
      </c>
      <c r="P10" s="110">
        <v>38826173.009999998</v>
      </c>
      <c r="Q10" s="110">
        <v>1136442.27</v>
      </c>
      <c r="R10" s="105">
        <v>2.943950813843086E-2</v>
      </c>
      <c r="S10" s="105">
        <v>3.2134330072462282E-2</v>
      </c>
      <c r="T10" s="108">
        <v>48353883.379999995</v>
      </c>
      <c r="U10" s="108">
        <v>4040915.149999998</v>
      </c>
      <c r="V10" s="107">
        <f t="shared" si="5"/>
        <v>8.3569609461220454E-2</v>
      </c>
    </row>
    <row r="11" spans="1:22" x14ac:dyDescent="0.25">
      <c r="A11" t="s">
        <v>52</v>
      </c>
      <c r="B11">
        <v>0.12059</v>
      </c>
      <c r="C11" s="110">
        <v>71656794.913333341</v>
      </c>
      <c r="D11" s="110">
        <v>17080838.419999998</v>
      </c>
      <c r="E11" s="110">
        <v>2542408.0313404463</v>
      </c>
      <c r="F11" s="110">
        <v>2863107</v>
      </c>
      <c r="G11" s="110">
        <f t="shared" si="0"/>
        <v>107010.25</v>
      </c>
      <c r="H11" s="110">
        <f t="shared" si="1"/>
        <v>94250158.614673793</v>
      </c>
      <c r="I11" s="110">
        <v>1223576.1000000001</v>
      </c>
      <c r="J11" s="110">
        <v>48045.23</v>
      </c>
      <c r="K11" s="110">
        <v>71293.59</v>
      </c>
      <c r="L11" s="110">
        <f t="shared" si="2"/>
        <v>13125</v>
      </c>
      <c r="M11" s="53">
        <f t="shared" si="3"/>
        <v>1356039.9200000002</v>
      </c>
      <c r="N11" s="105">
        <f t="shared" si="4"/>
        <v>1.4387667245674836E-2</v>
      </c>
      <c r="P11" s="110">
        <v>36736577.649999999</v>
      </c>
      <c r="Q11" s="110">
        <v>1522749.19</v>
      </c>
      <c r="R11" s="105">
        <v>1.3535615736597114E-2</v>
      </c>
      <c r="S11" s="105">
        <v>1.3615821726189047E-2</v>
      </c>
      <c r="T11" s="108">
        <v>44267880.640000001</v>
      </c>
      <c r="U11" s="108">
        <v>3661085.4599999962</v>
      </c>
      <c r="V11" s="107">
        <f t="shared" si="5"/>
        <v>8.2702975770922199E-2</v>
      </c>
    </row>
    <row r="12" spans="1:22" x14ac:dyDescent="0.25">
      <c r="A12" t="s">
        <v>53</v>
      </c>
      <c r="B12">
        <v>9.8549999999999999E-2</v>
      </c>
      <c r="C12" s="110">
        <v>75626349.430000007</v>
      </c>
      <c r="D12" s="110">
        <v>16366450.570000002</v>
      </c>
      <c r="E12" s="110">
        <v>2904716.0748513774</v>
      </c>
      <c r="F12" s="110">
        <v>4558013</v>
      </c>
      <c r="G12" s="110">
        <f t="shared" si="0"/>
        <v>107010.25</v>
      </c>
      <c r="H12" s="110">
        <f t="shared" si="1"/>
        <v>99562539.324851394</v>
      </c>
      <c r="I12" s="110">
        <v>2324004.41</v>
      </c>
      <c r="J12" s="110">
        <v>88677.81</v>
      </c>
      <c r="K12" s="110">
        <v>35324.980000000003</v>
      </c>
      <c r="L12" s="110">
        <f t="shared" si="2"/>
        <v>13125</v>
      </c>
      <c r="M12" s="53">
        <f t="shared" si="3"/>
        <v>2461132.2000000002</v>
      </c>
      <c r="N12" s="105">
        <f t="shared" si="4"/>
        <v>2.4719459916242685E-2</v>
      </c>
      <c r="P12" s="110">
        <v>38508101.379999995</v>
      </c>
      <c r="Q12" s="110">
        <v>1255945.1200000001</v>
      </c>
      <c r="R12" s="105">
        <v>2.5069360094024381E-2</v>
      </c>
      <c r="S12" s="105">
        <v>2.4823826872861558E-2</v>
      </c>
      <c r="T12" s="108">
        <v>42467216.719999917</v>
      </c>
      <c r="U12" s="108">
        <v>3526855.2500000037</v>
      </c>
      <c r="V12" s="107">
        <f t="shared" si="5"/>
        <v>8.3048890942246115E-2</v>
      </c>
    </row>
    <row r="13" spans="1:22" x14ac:dyDescent="0.25">
      <c r="A13" t="s">
        <v>54</v>
      </c>
      <c r="B13">
        <v>7.4040000000000009E-2</v>
      </c>
      <c r="C13" s="110">
        <v>82526797.973333344</v>
      </c>
      <c r="D13" s="110">
        <v>15812335.359999998</v>
      </c>
      <c r="E13" s="110">
        <v>2949172.2066761004</v>
      </c>
      <c r="F13" s="110">
        <v>4284365</v>
      </c>
      <c r="G13" s="110">
        <f t="shared" si="0"/>
        <v>107010.25</v>
      </c>
      <c r="H13" s="110">
        <f t="shared" si="1"/>
        <v>105679680.79000944</v>
      </c>
      <c r="I13" s="110">
        <v>2729676.94</v>
      </c>
      <c r="J13" s="110">
        <v>98140.02</v>
      </c>
      <c r="K13" s="110">
        <v>110812.97</v>
      </c>
      <c r="L13" s="110">
        <f t="shared" si="2"/>
        <v>13125</v>
      </c>
      <c r="M13" s="53">
        <f t="shared" si="3"/>
        <v>2951754.93</v>
      </c>
      <c r="N13" s="105">
        <f t="shared" si="4"/>
        <v>2.793114918529398E-2</v>
      </c>
      <c r="P13" s="110">
        <v>40336541.890000008</v>
      </c>
      <c r="Q13" s="110">
        <v>1144410.43</v>
      </c>
      <c r="R13" s="105">
        <v>2.7834129151511885E-2</v>
      </c>
      <c r="S13" s="105">
        <v>2.7358330019707867E-2</v>
      </c>
      <c r="T13" s="108">
        <v>46579514.149999999</v>
      </c>
      <c r="U13" s="108">
        <v>3809798.5600000173</v>
      </c>
      <c r="V13" s="107">
        <f t="shared" si="5"/>
        <v>8.179129021679625E-2</v>
      </c>
    </row>
    <row r="14" spans="1:22" x14ac:dyDescent="0.25">
      <c r="C14" s="53"/>
      <c r="D14" s="124">
        <f>SUM(D2:D13)</f>
        <v>160923592.51999998</v>
      </c>
      <c r="H14" s="53"/>
    </row>
    <row r="16" spans="1:22" x14ac:dyDescent="0.25">
      <c r="A1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8" zoomScaleNormal="100" workbookViewId="0">
      <selection activeCell="E33" sqref="E3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78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Rates'!T10</f>
        <v>48353883.379999995</v>
      </c>
      <c r="C6" s="16">
        <f>B6</f>
        <v>48353883.379999995</v>
      </c>
      <c r="D6" s="114">
        <f>'2018 Rates'!V10</f>
        <v>8.3569609461220454E-2</v>
      </c>
      <c r="E6" s="16">
        <f>C6*D6</f>
        <v>4040915.149999998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Rates'!D10</f>
        <v>18069029.450000003</v>
      </c>
      <c r="D7" s="115">
        <f>'2018 Rates'!R10</f>
        <v>2.943950813843086E-2</v>
      </c>
      <c r="E7" s="18">
        <f>+C7*D7</f>
        <v>531943.33954682201</v>
      </c>
      <c r="F7" s="19"/>
      <c r="G7" s="113">
        <f>'2018 Rates'!Q10</f>
        <v>1136442.27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Rates'!P10</f>
        <v>38826173.009999998</v>
      </c>
      <c r="C8" s="20">
        <f>B8</f>
        <v>38826173.009999998</v>
      </c>
      <c r="D8" s="21">
        <f>D7</f>
        <v>2.943950813843086E-2</v>
      </c>
      <c r="E8" s="20">
        <f>+D8*C8</f>
        <v>1143023.4363120196</v>
      </c>
      <c r="F8" s="116">
        <f>'2018 Rates'!B10</f>
        <v>8.584E-2</v>
      </c>
      <c r="G8" s="20">
        <f>B8*F8</f>
        <v>3332838.6911783996</v>
      </c>
      <c r="I8"/>
      <c r="J8"/>
      <c r="N8" s="22"/>
    </row>
    <row r="9" spans="1:14" s="2" customFormat="1" ht="15.75" thickBot="1" x14ac:dyDescent="0.3">
      <c r="A9" s="19"/>
      <c r="B9" s="23">
        <f>SUM(B6:B8)</f>
        <v>87180056.389999986</v>
      </c>
      <c r="C9" s="23">
        <f>SUM(C6:C8)</f>
        <v>105249085.84</v>
      </c>
      <c r="D9" s="24"/>
      <c r="E9" s="25">
        <f>SUM(E6:E8)</f>
        <v>5715881.9258588403</v>
      </c>
      <c r="F9" s="24"/>
      <c r="G9" s="25">
        <f>SUM(G6:G8)</f>
        <v>4469280.9611783996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Rates'!H10-C16-C17</f>
        <v>52283897.716192953</v>
      </c>
      <c r="C15" s="39">
        <f>B15</f>
        <v>52283897.716192953</v>
      </c>
      <c r="D15" s="118">
        <f>'2018 Rates'!S10</f>
        <v>3.2134330072462282E-2</v>
      </c>
      <c r="E15" s="39">
        <f>C15*D15</f>
        <v>1680108.0266870013</v>
      </c>
      <c r="F15" s="40">
        <f>F8</f>
        <v>8.584E-2</v>
      </c>
      <c r="G15" s="39">
        <f>B15*F15</f>
        <v>4488049.7799580032</v>
      </c>
      <c r="H15" s="120">
        <f>E6-(C6*D15)-(B6*F15)</f>
        <v>-1663601.8481574696</v>
      </c>
      <c r="I15" s="41">
        <f>+E15+G15+H15</f>
        <v>4504555.9584875349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18069029.450000003</v>
      </c>
      <c r="D16" s="115">
        <f>'2018 Rates'!N10</f>
        <v>3.1069587169391927E-2</v>
      </c>
      <c r="E16" s="43">
        <f>C16*D16</f>
        <v>561397.285563085</v>
      </c>
      <c r="F16" s="44"/>
      <c r="G16" s="43"/>
      <c r="H16" s="45"/>
      <c r="I16" s="46">
        <f>+E16+G16+H16</f>
        <v>561397.285563085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38826173.009999998</v>
      </c>
      <c r="C17" s="42">
        <f>C8</f>
        <v>38826173.009999998</v>
      </c>
      <c r="D17" s="21">
        <f>D16</f>
        <v>3.1069587169391927E-2</v>
      </c>
      <c r="E17" s="48">
        <f>C17*D17</f>
        <v>1206313.166788087</v>
      </c>
      <c r="F17" s="21"/>
      <c r="G17" s="49"/>
      <c r="H17" s="45"/>
      <c r="I17" s="46">
        <f>+E17+G17+H17</f>
        <v>1206313.166788087</v>
      </c>
      <c r="J17" s="12"/>
    </row>
    <row r="18" spans="1:12" s="2" customFormat="1" ht="15.75" thickBot="1" x14ac:dyDescent="0.3">
      <c r="A18" s="19"/>
      <c r="B18" s="23">
        <f>SUM(B15:B17)</f>
        <v>91110070.726192951</v>
      </c>
      <c r="C18" s="23">
        <f>SUM(C15:C17)</f>
        <v>109179100.17619294</v>
      </c>
      <c r="D18" s="24"/>
      <c r="E18" s="23">
        <f>SUM(E15:E17)</f>
        <v>3447818.4790381733</v>
      </c>
      <c r="F18" s="24"/>
      <c r="G18" s="23">
        <f>SUM(G15:G17)</f>
        <v>4488049.7799580032</v>
      </c>
      <c r="H18" s="23">
        <f>SUM(H15:H17)</f>
        <v>-1663601.8481574696</v>
      </c>
      <c r="I18" s="25">
        <f>SUM(I15:I17)</f>
        <v>6272266.4108387074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1136442.27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38826173.009999998</v>
      </c>
      <c r="C24" s="43"/>
      <c r="D24" s="21">
        <f>F8</f>
        <v>8.584E-2</v>
      </c>
      <c r="E24" s="48">
        <f>+D24*B24</f>
        <v>3332838.6911783996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38826173.009999998</v>
      </c>
      <c r="C25" s="20">
        <f>+C23+C24</f>
        <v>0</v>
      </c>
      <c r="D25" s="59"/>
      <c r="E25" s="60">
        <f>+E23+E24</f>
        <v>4469280.9611783996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556384.484979867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52283897.716192953</v>
      </c>
      <c r="D33" s="77">
        <f>((+I15)/C15)-D6</f>
        <v>2.5860934463770302E-3</v>
      </c>
      <c r="E33" s="78">
        <f>+C33*D33</f>
        <v>135211.04523489357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3930014.3361929581</v>
      </c>
      <c r="D34" s="80">
        <f>D6</f>
        <v>8.3569609461220454E-2</v>
      </c>
      <c r="E34" s="81">
        <f>+C34*D34</f>
        <v>328429.76325264305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56895202.460000001</v>
      </c>
      <c r="D35" s="83">
        <f>+D16-D7</f>
        <v>1.6300790309610666E-3</v>
      </c>
      <c r="E35" s="81">
        <f>+C35*D35</f>
        <v>92743.676492330487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2.943950813843086E-2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556384.48497986712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38826173.009999998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-8.584E-2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D8" sqref="D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79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Rates'!T11</f>
        <v>44267880.640000001</v>
      </c>
      <c r="C6" s="16">
        <f>B6</f>
        <v>44267880.640000001</v>
      </c>
      <c r="D6" s="114">
        <f>'2018 Rates'!V11</f>
        <v>8.2702975770922199E-2</v>
      </c>
      <c r="E6" s="16">
        <f>C6*D6</f>
        <v>3661085.4599999958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Rates'!D11</f>
        <v>17080838.419999998</v>
      </c>
      <c r="D7" s="115">
        <f>'2018 Rates'!R11</f>
        <v>1.3535615736597114E-2</v>
      </c>
      <c r="E7" s="18">
        <f>+C7*D7</f>
        <v>231199.66531202456</v>
      </c>
      <c r="F7" s="19"/>
      <c r="G7" s="113">
        <f>'2018 Rates'!Q11</f>
        <v>1522749.19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Rates'!P11</f>
        <v>36736577.649999999</v>
      </c>
      <c r="C8" s="20">
        <f>B8</f>
        <v>36736577.649999999</v>
      </c>
      <c r="D8" s="21">
        <f>D7</f>
        <v>1.3535615736597114E-2</v>
      </c>
      <c r="E8" s="20">
        <f>+D8*C8</f>
        <v>497252.19854806183</v>
      </c>
      <c r="F8" s="116">
        <f>'2018 Rates'!B11</f>
        <v>0.12059</v>
      </c>
      <c r="G8" s="20">
        <f>B8*F8</f>
        <v>4430063.8988135001</v>
      </c>
      <c r="I8"/>
      <c r="J8"/>
      <c r="N8" s="22"/>
    </row>
    <row r="9" spans="1:14" s="2" customFormat="1" ht="15.75" thickBot="1" x14ac:dyDescent="0.3">
      <c r="A9" s="19"/>
      <c r="B9" s="23">
        <f>SUM(B6:B8)</f>
        <v>81004458.289999992</v>
      </c>
      <c r="C9" s="23">
        <f>SUM(C6:C8)</f>
        <v>98085296.710000008</v>
      </c>
      <c r="D9" s="24"/>
      <c r="E9" s="25">
        <f>SUM(E6:E8)</f>
        <v>4389537.3238600828</v>
      </c>
      <c r="F9" s="24"/>
      <c r="G9" s="25">
        <f>SUM(G6:G8)</f>
        <v>5952813.0888135005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Rates'!H11-C16-C17</f>
        <v>40432742.544673793</v>
      </c>
      <c r="C15" s="39">
        <f>B15</f>
        <v>40432742.544673793</v>
      </c>
      <c r="D15" s="118">
        <f>'2018 Rates'!S11</f>
        <v>1.3615821726189047E-2</v>
      </c>
      <c r="E15" s="39">
        <f>C15*D15</f>
        <v>550525.01438917767</v>
      </c>
      <c r="F15" s="40">
        <f>F8</f>
        <v>0.12059</v>
      </c>
      <c r="G15" s="39">
        <f>B15*F15</f>
        <v>4875784.423462213</v>
      </c>
      <c r="H15" s="120">
        <f>E6-(C6*D15)-(B6*F15)</f>
        <v>-2279921.8373680594</v>
      </c>
      <c r="I15" s="41">
        <f>+E15+G15+H15</f>
        <v>3146387.6004833314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17080838.419999998</v>
      </c>
      <c r="D16" s="115">
        <f>'2018 Rates'!N11</f>
        <v>1.4387667245674836E-2</v>
      </c>
      <c r="E16" s="43">
        <f>C16*D16</f>
        <v>245753.41946409829</v>
      </c>
      <c r="F16" s="44"/>
      <c r="G16" s="43"/>
      <c r="H16" s="45"/>
      <c r="I16" s="46">
        <f>+E16+G16+H16</f>
        <v>245753.41946409829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36736577.649999999</v>
      </c>
      <c r="C17" s="42">
        <f>C8</f>
        <v>36736577.649999999</v>
      </c>
      <c r="D17" s="21">
        <f>D16</f>
        <v>1.4387667245674836E-2</v>
      </c>
      <c r="E17" s="48">
        <f>C17*D17</f>
        <v>528553.65497309528</v>
      </c>
      <c r="F17" s="21"/>
      <c r="G17" s="49"/>
      <c r="H17" s="45"/>
      <c r="I17" s="46">
        <f>+E17+G17+H17</f>
        <v>528553.65497309528</v>
      </c>
      <c r="J17" s="12"/>
    </row>
    <row r="18" spans="1:12" s="2" customFormat="1" ht="15.75" thickBot="1" x14ac:dyDescent="0.3">
      <c r="A18" s="19"/>
      <c r="B18" s="23">
        <f>SUM(B15:B17)</f>
        <v>77169320.194673792</v>
      </c>
      <c r="C18" s="23">
        <f>SUM(C15:C17)</f>
        <v>94250158.614673793</v>
      </c>
      <c r="D18" s="24"/>
      <c r="E18" s="23">
        <f>SUM(E15:E17)</f>
        <v>1324832.0888263714</v>
      </c>
      <c r="F18" s="24"/>
      <c r="G18" s="23">
        <f>SUM(G15:G17)</f>
        <v>4875784.423462213</v>
      </c>
      <c r="H18" s="23">
        <f>SUM(H15:H17)</f>
        <v>-2279921.8373680594</v>
      </c>
      <c r="I18" s="25">
        <f>SUM(I15:I17)</f>
        <v>3920694.6749205249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1522749.19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36736577.649999999</v>
      </c>
      <c r="C24" s="43"/>
      <c r="D24" s="21">
        <f>F8</f>
        <v>0.12059</v>
      </c>
      <c r="E24" s="48">
        <f>+D24*B24</f>
        <v>4430063.8988135001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36736577.649999999</v>
      </c>
      <c r="C25" s="20">
        <f>+C23+C24</f>
        <v>0</v>
      </c>
      <c r="D25" s="59"/>
      <c r="E25" s="60">
        <f>+E23+E24</f>
        <v>5952813.0888135005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-468842.64893955784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40432742.544673793</v>
      </c>
      <c r="D33" s="77">
        <f>((+I15)/C15)-D6</f>
        <v>-4.885162719855618E-3</v>
      </c>
      <c r="E33" s="78">
        <f>+C33*D33</f>
        <v>-197520.52654076059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-3835138.0953262076</v>
      </c>
      <c r="D34" s="80">
        <f>D6</f>
        <v>8.2702975770922199E-2</v>
      </c>
      <c r="E34" s="81">
        <f>+C34*D34</f>
        <v>-317177.33297590405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53817416.069999993</v>
      </c>
      <c r="D35" s="83">
        <f>+D16-D7</f>
        <v>8.5205150907772219E-4</v>
      </c>
      <c r="E35" s="81">
        <f>+C35*D35</f>
        <v>45855.210577107151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1.3535615736597114E-2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-468842.64893955749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36736577.649999999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-0.12059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8" zoomScaleNormal="100" workbookViewId="0">
      <selection activeCell="D8" sqref="D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80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Rates'!T12</f>
        <v>42467216.719999917</v>
      </c>
      <c r="C6" s="16">
        <f>B6</f>
        <v>42467216.719999917</v>
      </c>
      <c r="D6" s="114">
        <f>'2018 Rates'!V12</f>
        <v>8.3048890942246115E-2</v>
      </c>
      <c r="E6" s="16">
        <f>C6*D6</f>
        <v>3526855.2500000037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Rates'!D12</f>
        <v>16366450.570000002</v>
      </c>
      <c r="D7" s="115">
        <f>'2018 Rates'!R12</f>
        <v>2.5069360094024381E-2</v>
      </c>
      <c r="E7" s="18">
        <f>+C7*D7</f>
        <v>410296.44280038064</v>
      </c>
      <c r="F7" s="19"/>
      <c r="G7" s="113">
        <f>'2018 Rates'!Q12</f>
        <v>1255945.1200000001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Rates'!P12</f>
        <v>38508101.379999995</v>
      </c>
      <c r="C8" s="20">
        <f>B8</f>
        <v>38508101.379999995</v>
      </c>
      <c r="D8" s="21">
        <f>D7</f>
        <v>2.5069360094024381E-2</v>
      </c>
      <c r="E8" s="20">
        <f>+D8*C8</f>
        <v>965373.46003241709</v>
      </c>
      <c r="F8" s="116">
        <f>'2018 Rates'!B12</f>
        <v>9.8549999999999999E-2</v>
      </c>
      <c r="G8" s="20">
        <f>B8*F8</f>
        <v>3794973.3909989996</v>
      </c>
      <c r="I8"/>
      <c r="J8"/>
      <c r="N8" s="22"/>
    </row>
    <row r="9" spans="1:14" s="2" customFormat="1" ht="15.75" thickBot="1" x14ac:dyDescent="0.3">
      <c r="A9" s="19"/>
      <c r="B9" s="23">
        <f>SUM(B6:B8)</f>
        <v>80975318.099999905</v>
      </c>
      <c r="C9" s="23">
        <f>SUM(C6:C8)</f>
        <v>97341768.669999912</v>
      </c>
      <c r="D9" s="24"/>
      <c r="E9" s="25">
        <f>SUM(E6:E8)</f>
        <v>4902525.1528328015</v>
      </c>
      <c r="F9" s="24"/>
      <c r="G9" s="25">
        <f>SUM(G6:G8)</f>
        <v>5050918.5109989997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Rates'!H12-C16-C17</f>
        <v>44687987.374851391</v>
      </c>
      <c r="C15" s="39">
        <f>B15</f>
        <v>44687987.374851391</v>
      </c>
      <c r="D15" s="118">
        <f>'2018 Rates'!S12</f>
        <v>2.4823826872861558E-2</v>
      </c>
      <c r="E15" s="39">
        <f>C15*D15</f>
        <v>1109326.8618899339</v>
      </c>
      <c r="F15" s="40">
        <f>F8</f>
        <v>9.8549999999999999E-2</v>
      </c>
      <c r="G15" s="39">
        <f>B15*F15</f>
        <v>4404001.1557916049</v>
      </c>
      <c r="H15" s="120">
        <f>E6-(C6*D15)-(B6*F15)</f>
        <v>-1712487.7933855574</v>
      </c>
      <c r="I15" s="41">
        <f>+E15+G15+H15</f>
        <v>3800840.2242959817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16366450.570000002</v>
      </c>
      <c r="D16" s="115">
        <f>'2018 Rates'!N12</f>
        <v>2.4719459916242685E-2</v>
      </c>
      <c r="E16" s="43">
        <f>C16*D16</f>
        <v>404569.8188362823</v>
      </c>
      <c r="F16" s="44"/>
      <c r="G16" s="43"/>
      <c r="H16" s="45"/>
      <c r="I16" s="46">
        <f>+E16+G16+H16</f>
        <v>404569.8188362823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38508101.379999995</v>
      </c>
      <c r="C17" s="42">
        <f>C8</f>
        <v>38508101.379999995</v>
      </c>
      <c r="D17" s="21">
        <f>D16</f>
        <v>2.4719459916242685E-2</v>
      </c>
      <c r="E17" s="48">
        <f>C17*D17</f>
        <v>951899.4685135195</v>
      </c>
      <c r="F17" s="21"/>
      <c r="G17" s="49"/>
      <c r="H17" s="45"/>
      <c r="I17" s="46">
        <f>+E17+G17+H17</f>
        <v>951899.4685135195</v>
      </c>
      <c r="J17" s="12"/>
    </row>
    <row r="18" spans="1:12" s="2" customFormat="1" ht="15.75" thickBot="1" x14ac:dyDescent="0.3">
      <c r="A18" s="19"/>
      <c r="B18" s="23">
        <f>SUM(B15:B17)</f>
        <v>83196088.754851386</v>
      </c>
      <c r="C18" s="23">
        <f>SUM(C15:C17)</f>
        <v>99562539.324851394</v>
      </c>
      <c r="D18" s="24"/>
      <c r="E18" s="23">
        <f>SUM(E15:E17)</f>
        <v>2465796.1492397357</v>
      </c>
      <c r="F18" s="24"/>
      <c r="G18" s="23">
        <f>SUM(G15:G17)</f>
        <v>4404001.1557916049</v>
      </c>
      <c r="H18" s="23">
        <f>SUM(H15:H17)</f>
        <v>-1712487.7933855574</v>
      </c>
      <c r="I18" s="25">
        <f>SUM(I15:I17)</f>
        <v>5157309.5116457837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1255945.1200000001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38508101.379999995</v>
      </c>
      <c r="C24" s="43"/>
      <c r="D24" s="21">
        <f>F8</f>
        <v>9.8549999999999999E-2</v>
      </c>
      <c r="E24" s="48">
        <f>+D24*B24</f>
        <v>3794973.3909989996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38508101.379999995</v>
      </c>
      <c r="C25" s="20">
        <f>+C23+C24</f>
        <v>0</v>
      </c>
      <c r="D25" s="59"/>
      <c r="E25" s="60">
        <f>+E23+E24</f>
        <v>5050918.5109989997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254784.35881298222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44687987.374851391</v>
      </c>
      <c r="D33" s="77">
        <f>((+I15)/C15)-D6</f>
        <v>2.003948703760014E-3</v>
      </c>
      <c r="E33" s="78">
        <f>+C33*D33</f>
        <v>89552.434373477314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2220770.6548514739</v>
      </c>
      <c r="D34" s="80">
        <f>D6</f>
        <v>8.3048890942246115E-2</v>
      </c>
      <c r="E34" s="81">
        <f>+C34*D34</f>
        <v>184432.53992250055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54874551.949999996</v>
      </c>
      <c r="D35" s="83">
        <f>+D16-D7</f>
        <v>-3.4990017778169583E-4</v>
      </c>
      <c r="E35" s="81">
        <f>+C35*D35</f>
        <v>-19200.615482995901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2.5069360094024381E-2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254784.35881298195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38508101.379999995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-9.8549999999999999E-2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D8" sqref="D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81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Rates'!T13</f>
        <v>46579514.149999999</v>
      </c>
      <c r="C6" s="16">
        <f>B6</f>
        <v>46579514.149999999</v>
      </c>
      <c r="D6" s="114">
        <f>'2018 Rates'!V13</f>
        <v>8.179129021679625E-2</v>
      </c>
      <c r="E6" s="16">
        <f>C6*D6</f>
        <v>3809798.5600000173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Rates'!D13</f>
        <v>15812335.359999998</v>
      </c>
      <c r="D7" s="115">
        <f>'2018 Rates'!R13</f>
        <v>2.7834129151511885E-2</v>
      </c>
      <c r="E7" s="18">
        <f>+C7*D7</f>
        <v>440122.58459725813</v>
      </c>
      <c r="F7" s="19"/>
      <c r="G7" s="113">
        <f>'2018 Rates'!Q13</f>
        <v>1144410.43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Rates'!P13</f>
        <v>40336541.890000008</v>
      </c>
      <c r="C8" s="20">
        <f>B8</f>
        <v>40336541.890000008</v>
      </c>
      <c r="D8" s="21">
        <f>D7</f>
        <v>2.7834129151511885E-2</v>
      </c>
      <c r="E8" s="20">
        <f>+D8*C8</f>
        <v>1122732.5164916296</v>
      </c>
      <c r="F8" s="116">
        <f>'2018 Rates'!B13</f>
        <v>7.4040000000000009E-2</v>
      </c>
      <c r="G8" s="20">
        <f>B8*F8</f>
        <v>2986517.561535601</v>
      </c>
      <c r="I8"/>
      <c r="J8"/>
      <c r="N8" s="22"/>
    </row>
    <row r="9" spans="1:14" s="2" customFormat="1" ht="15.75" thickBot="1" x14ac:dyDescent="0.3">
      <c r="A9" s="19"/>
      <c r="B9" s="23">
        <f>SUM(B6:B8)</f>
        <v>86916056.040000007</v>
      </c>
      <c r="C9" s="23">
        <f>SUM(C6:C8)</f>
        <v>102728391.40000001</v>
      </c>
      <c r="D9" s="24"/>
      <c r="E9" s="25">
        <f>SUM(E6:E8)</f>
        <v>5372653.6610889044</v>
      </c>
      <c r="F9" s="24"/>
      <c r="G9" s="25">
        <f>SUM(G6:G8)</f>
        <v>4130927.9915356012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Rates'!H13-C16-C17</f>
        <v>49530803.540009432</v>
      </c>
      <c r="C15" s="39">
        <f>B15</f>
        <v>49530803.540009432</v>
      </c>
      <c r="D15" s="118">
        <f>'2018 Rates'!S13</f>
        <v>2.7358330019707867E-2</v>
      </c>
      <c r="E15" s="39">
        <f>C15*D15</f>
        <v>1355080.0693888927</v>
      </c>
      <c r="F15" s="40">
        <f>F8</f>
        <v>7.4040000000000009E-2</v>
      </c>
      <c r="G15" s="39">
        <f>B15*F15</f>
        <v>3667260.6941022989</v>
      </c>
      <c r="H15" s="120">
        <f>E6-(C6*D15)-(B6*F15)</f>
        <v>-913286.38793933531</v>
      </c>
      <c r="I15" s="41">
        <f>+E15+G15+H15</f>
        <v>4109054.3755518566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15812335.359999998</v>
      </c>
      <c r="D16" s="115">
        <f>'2018 Rates'!N13</f>
        <v>2.793114918529398E-2</v>
      </c>
      <c r="E16" s="43">
        <f>C16*D16</f>
        <v>441656.69790805911</v>
      </c>
      <c r="F16" s="44"/>
      <c r="G16" s="43"/>
      <c r="H16" s="45"/>
      <c r="I16" s="46">
        <f>+E16+G16+H16</f>
        <v>441656.69790805911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40336541.890000008</v>
      </c>
      <c r="C17" s="42">
        <f>C8</f>
        <v>40336541.890000008</v>
      </c>
      <c r="D17" s="21">
        <f>D16</f>
        <v>2.793114918529398E-2</v>
      </c>
      <c r="E17" s="48">
        <f>C17*D17</f>
        <v>1126645.9691484503</v>
      </c>
      <c r="F17" s="21"/>
      <c r="G17" s="49"/>
      <c r="H17" s="45"/>
      <c r="I17" s="46">
        <f>+E17+G17+H17</f>
        <v>1126645.9691484503</v>
      </c>
      <c r="J17" s="12"/>
    </row>
    <row r="18" spans="1:12" s="2" customFormat="1" ht="15.75" thickBot="1" x14ac:dyDescent="0.3">
      <c r="A18" s="19"/>
      <c r="B18" s="23">
        <f>SUM(B15:B17)</f>
        <v>89867345.43000944</v>
      </c>
      <c r="C18" s="23">
        <f>SUM(C15:C17)</f>
        <v>105679680.79000944</v>
      </c>
      <c r="D18" s="24"/>
      <c r="E18" s="23">
        <f>SUM(E15:E17)</f>
        <v>2923382.7364454018</v>
      </c>
      <c r="F18" s="24"/>
      <c r="G18" s="23">
        <f>SUM(G15:G17)</f>
        <v>3667260.6941022989</v>
      </c>
      <c r="H18" s="23">
        <f>SUM(H15:H17)</f>
        <v>-913286.38793933531</v>
      </c>
      <c r="I18" s="25">
        <f>SUM(I15:I17)</f>
        <v>5677357.0426083663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1144410.43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40336541.890000008</v>
      </c>
      <c r="C24" s="43"/>
      <c r="D24" s="21">
        <f>F8</f>
        <v>7.4040000000000009E-2</v>
      </c>
      <c r="E24" s="48">
        <f>+D24*B24</f>
        <v>2986517.561535601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40336541.890000008</v>
      </c>
      <c r="C25" s="20">
        <f>+C23+C24</f>
        <v>0</v>
      </c>
      <c r="D25" s="59"/>
      <c r="E25" s="60">
        <f>+E23+E24</f>
        <v>4130927.9915356012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304703.38151946198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49530803.540009432</v>
      </c>
      <c r="D33" s="77">
        <f>((+I15)/C15)-D6</f>
        <v>1.1682840657548377E-3</v>
      </c>
      <c r="E33" s="78">
        <f>+C33*D33</f>
        <v>57866.048539826326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2951289.390009433</v>
      </c>
      <c r="D34" s="80">
        <f>D6</f>
        <v>8.179129021679625E-2</v>
      </c>
      <c r="E34" s="81">
        <f>+C34*D34</f>
        <v>241389.76701201312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56148877.250000007</v>
      </c>
      <c r="D35" s="83">
        <f>+D16-D7</f>
        <v>9.7020033782094922E-5</v>
      </c>
      <c r="E35" s="81">
        <f>+C35*D35</f>
        <v>5447.5659676217019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2.7834129151511885E-2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304703.38151946111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40336541.890000008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-7.4040000000000009E-2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topLeftCell="A22" zoomScaleNormal="100" workbookViewId="0">
      <selection activeCell="E30" sqref="E30"/>
    </sheetView>
  </sheetViews>
  <sheetFormatPr defaultRowHeight="15" x14ac:dyDescent="0.25"/>
  <cols>
    <col min="1" max="1" width="16.42578125" customWidth="1"/>
    <col min="2" max="2" width="15.7109375" customWidth="1"/>
    <col min="3" max="3" width="20.7109375" customWidth="1"/>
    <col min="4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82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ht="15.75" thickBot="1" x14ac:dyDescent="0.3">
      <c r="A6" s="15" t="s">
        <v>9</v>
      </c>
      <c r="B6" s="111">
        <f>Jan!B6+Feb!B6+Mar!B6+Apr!B6+May!B6+June!B6+July!B6+Aug!B6+Sept!B6+Oct!B6+Nov!B6+Dec!B6</f>
        <v>595156928.41999972</v>
      </c>
      <c r="C6" s="16">
        <f>B6</f>
        <v>595156928.41999972</v>
      </c>
      <c r="D6" s="114">
        <f>E6/C6</f>
        <v>8.306839134217614E-2</v>
      </c>
      <c r="E6" s="111">
        <f>Jan!E6+Feb!E6+Mar!E6+Apr!E6+May!E6+June!E6+July!E6+Aug!E6+Sept!E6+Oct!E6+Nov!E6+Dec!E6</f>
        <v>49438728.640000045</v>
      </c>
      <c r="F6" s="17"/>
      <c r="G6" s="17"/>
      <c r="I6" s="5"/>
      <c r="K6" s="12"/>
      <c r="L6" s="13"/>
      <c r="M6" s="14"/>
    </row>
    <row r="7" spans="1:14" s="2" customFormat="1" ht="15.75" thickBot="1" x14ac:dyDescent="0.3">
      <c r="A7" s="15" t="s">
        <v>10</v>
      </c>
      <c r="B7" s="18">
        <v>0</v>
      </c>
      <c r="C7" s="111">
        <f>Jan!C7+Feb!C7+Mar!C7+Apr!C7+May!C7+June!C7+July!C7+Aug!C7+Sept!C7+Oct!C7+Nov!C7+Dec!C7</f>
        <v>160923592.51999998</v>
      </c>
      <c r="D7" s="115">
        <f>E7/C7</f>
        <v>2.4594210346971845E-2</v>
      </c>
      <c r="E7" s="111">
        <f>Jan!E7+Feb!E7+Mar!E7+Apr!E7+May!E7+June!E7+July!E7+Aug!E7+Sept!E7+Oct!E7+Nov!E7+Dec!E7</f>
        <v>3957788.6842272645</v>
      </c>
      <c r="F7" s="19"/>
      <c r="G7" s="111">
        <f>Jan!G7+Feb!G7+Mar!G7+Apr!G7+May!G7+June!G7+July!G7+Aug!G7+Sept!G7+Oct!G7+Nov!G7+Dec!G7</f>
        <v>11085738.309999999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1">
        <f>Jan!B8+Feb!B8+Mar!B8+Apr!B8+May!B8+June!B8+July!B8+Aug!B8+Sept!B8+Oct!B8+Nov!B8+Dec!B8</f>
        <v>518946483.80999988</v>
      </c>
      <c r="C8" s="20">
        <f>B8</f>
        <v>518946483.80999988</v>
      </c>
      <c r="D8" s="21">
        <f>E8/C8</f>
        <v>2.373379172779785E-2</v>
      </c>
      <c r="E8" s="111">
        <f>Jan!E8+Feb!E8+Mar!E8+Apr!E8+May!E8+June!E8+July!E8+Aug!E8+Sept!E8+Oct!E8+Nov!E8+Dec!E8</f>
        <v>12316567.764619557</v>
      </c>
      <c r="F8" s="116">
        <f>G8/B8</f>
        <v>9.1420129631698668E-2</v>
      </c>
      <c r="G8" s="111">
        <f>Jan!G8+Feb!G8+Mar!G8+Apr!G8+May!G8+June!G8+July!G8+Aug!G8+Sept!G8+Oct!G8+Nov!G8+Dec!G8</f>
        <v>47442154.821824402</v>
      </c>
      <c r="I8"/>
      <c r="J8"/>
      <c r="N8" s="22"/>
    </row>
    <row r="9" spans="1:14" s="2" customFormat="1" ht="15.75" thickBot="1" x14ac:dyDescent="0.3">
      <c r="A9" s="19"/>
      <c r="B9" s="23">
        <f>SUM(B6:B8)</f>
        <v>1114103412.2299995</v>
      </c>
      <c r="C9" s="23">
        <f>SUM(C6:C8)</f>
        <v>1275027004.7499995</v>
      </c>
      <c r="D9" s="24"/>
      <c r="E9" s="25">
        <f>SUM(E6:E8)</f>
        <v>65713085.08884687</v>
      </c>
      <c r="F9" s="24"/>
      <c r="G9" s="25">
        <f>SUM(G6:G8)</f>
        <v>58527893.131824404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Jan!B15+Feb!B15+Mar!B15+Apr!B15+May!B15+June!B15+July!B15+Aug!B15+Sept!B15+Oct!B15+Nov!B15+Dec!B15</f>
        <v>595983703.52275681</v>
      </c>
      <c r="C15" s="39">
        <f>B15</f>
        <v>595983703.52275681</v>
      </c>
      <c r="D15" s="118">
        <f>E15/C15</f>
        <v>2.5199801563126342E-2</v>
      </c>
      <c r="E15" s="39">
        <f>Jan!E15+Feb!E15+Mar!E15+Apr!E15+May!E15+June!E15+July!E15+Aug!E15+Sept!E15+Oct!E15+Nov!E15+Dec!E15</f>
        <v>15018671.063630594</v>
      </c>
      <c r="F15" s="40">
        <f>G15/B15</f>
        <v>9.0045300298073894E-2</v>
      </c>
      <c r="G15" s="39">
        <f>Jan!G15+Feb!G15+Mar!G15+Apr!G15+May!G15+June!G15+July!G15+Aug!G15+Sept!G15+Oct!G15+Nov!G15+Dec!G15</f>
        <v>53665531.556464873</v>
      </c>
      <c r="H15" s="119">
        <f>Jan!H15+Feb!H15+Mar!H15+Apr!H15+May!H15+June!H15+July!H15+Aug!H15+Sept!H15+Oct!H15+Nov!H15+Dec!H15</f>
        <v>-19213040.518986076</v>
      </c>
      <c r="I15" s="41">
        <f>+E15+G15+H15</f>
        <v>49471162.101109385</v>
      </c>
      <c r="J15" s="12">
        <f>Jan!J15+Feb!J15+Mar!J15+Apr!J15+May!J15+June!J15+July!J15+Aug!J15+Sept!J15+Oct!J15+Nov!J15+Dec!J15</f>
        <v>0</v>
      </c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160923592.51999998</v>
      </c>
      <c r="D16" s="44">
        <f t="shared" ref="D16:D17" si="0">E16/C16</f>
        <v>2.5209643270321547E-2</v>
      </c>
      <c r="E16" s="43">
        <f>Jan!E16+Feb!E16+Mar!E16+Apr!E16+May!E16+June!E16+July!E16+Aug!E16+Sept!E16+Oct!E16+Nov!E16+Dec!E16</f>
        <v>4056826.3612077842</v>
      </c>
      <c r="F16" s="44"/>
      <c r="G16" s="43"/>
      <c r="H16" s="45"/>
      <c r="I16" s="46">
        <f>+E16+G16+H16</f>
        <v>4056826.3612077842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518946483.80999988</v>
      </c>
      <c r="C17" s="42">
        <f>C8</f>
        <v>518946483.80999988</v>
      </c>
      <c r="D17" s="21">
        <f t="shared" si="0"/>
        <v>2.429904225902051E-2</v>
      </c>
      <c r="E17" s="48">
        <f>Jan!E17+Feb!E17+Mar!E17+Apr!E17+May!E17+June!E17+July!E17+Aug!E17+Sept!E17+Oct!E17+Nov!E17+Dec!E17</f>
        <v>12609902.540269289</v>
      </c>
      <c r="F17" s="21"/>
      <c r="G17" s="49"/>
      <c r="H17" s="45"/>
      <c r="I17" s="46">
        <f>+E17+G17+H17</f>
        <v>12609902.540269289</v>
      </c>
      <c r="J17" s="12"/>
    </row>
    <row r="18" spans="1:12" s="2" customFormat="1" ht="15.75" thickBot="1" x14ac:dyDescent="0.3">
      <c r="A18" s="19"/>
      <c r="B18" s="23">
        <f>SUM(B15:B17)</f>
        <v>1114930187.3327568</v>
      </c>
      <c r="C18" s="23">
        <f>SUM(C15:C17)</f>
        <v>1275853779.8527567</v>
      </c>
      <c r="D18" s="24"/>
      <c r="E18" s="23">
        <f>SUM(E15:E17)</f>
        <v>31685399.965107668</v>
      </c>
      <c r="F18" s="24"/>
      <c r="G18" s="23">
        <f>SUM(G15:G17)</f>
        <v>53665531.556464873</v>
      </c>
      <c r="H18" s="23">
        <f>SUM(H15:H17)</f>
        <v>-19213040.518986076</v>
      </c>
      <c r="I18" s="25">
        <f>SUM(I15:I17)</f>
        <v>66137891.002586454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 s="108">
        <f>I18*0.005</f>
        <v>330689.4550129323</v>
      </c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11085738.309999999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518946483.80999988</v>
      </c>
      <c r="C24" s="43"/>
      <c r="D24" s="21">
        <f>F8</f>
        <v>9.1420129631698668E-2</v>
      </c>
      <c r="E24" s="48">
        <f>+D24*B24</f>
        <v>47442154.821824402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518946483.80999988</v>
      </c>
      <c r="C25" s="20">
        <f>+C23+C24</f>
        <v>0</v>
      </c>
      <c r="D25" s="59"/>
      <c r="E25" s="60">
        <f>+E23+E24</f>
        <v>58527893.131824404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x14ac:dyDescent="0.25">
      <c r="A30" s="140"/>
      <c r="B30" s="141"/>
      <c r="C30" s="147"/>
      <c r="D30" s="148"/>
      <c r="E30" s="111">
        <f>Jan!E30+Feb!E30+Mar!E30+Apr!E30+May!E30+June!E30+July!E30+Aug!E30+Sept!E30+Oct!E30+Nov!E30+Dec!E30</f>
        <v>424805.91373958671</v>
      </c>
      <c r="F30" s="149" t="s">
        <v>28</v>
      </c>
      <c r="G30" s="150"/>
      <c r="H30" s="150"/>
      <c r="I30" s="151"/>
      <c r="J30" s="12"/>
    </row>
    <row r="31" spans="1:12" s="2" customFormat="1" ht="15.75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595983703.52275681</v>
      </c>
      <c r="D33" s="77">
        <f>((+I15)/C15)-D6</f>
        <v>-6.0816120414391994E-5</v>
      </c>
      <c r="E33" s="78">
        <f>Jan!E33+Feb!E33+Mar!E33+Apr!E33+May!E33+June!E33+July!E33+Aug!E33+Sept!E33+Oct!E33+Nov!E33+Dec!E33</f>
        <v>-34593.36726512319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826775.10275709629</v>
      </c>
      <c r="D34" s="80">
        <f>D6</f>
        <v>8.306839134217614E-2</v>
      </c>
      <c r="E34" s="81">
        <f>Jan!E34+Feb!E34+Mar!E34+Apr!E34+May!E34+June!E34+July!E34+Aug!E34+Sept!E34+Oct!E34+Nov!E34+Dec!E34</f>
        <v>67026.828374457196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679870076.32999992</v>
      </c>
      <c r="D35" s="83">
        <f>+D16-D7</f>
        <v>6.1543292334970134E-4</v>
      </c>
      <c r="E35" s="81">
        <f>Jan!E35+Feb!E35+Mar!E35+Apr!E35+May!E35+June!E35+July!E35+Aug!E35+Sept!E35+Oct!E35+Nov!E35+Dec!E35</f>
        <v>392372.45263025066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2.4594210346971845E-2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424805.91373958468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x14ac:dyDescent="0.25">
      <c r="A42" s="140"/>
      <c r="B42" s="141"/>
      <c r="C42" s="147"/>
      <c r="D42" s="148"/>
      <c r="E42" s="111">
        <f>Jan!E42+Feb!E42+Mar!E42+Apr!E42+May!E42+June!E42+July!E42+Aug!E42+Sept!E42+Oct!E42+Nov!E42+Dec!E42</f>
        <v>0</v>
      </c>
      <c r="F42" s="149" t="s">
        <v>28</v>
      </c>
      <c r="G42" s="150"/>
      <c r="H42" s="150"/>
      <c r="I42" s="151"/>
    </row>
    <row r="43" spans="1:10" s="2" customFormat="1" ht="15.75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518946483.80999988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-9.1420129631698668E-2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7" zoomScaleNormal="100" workbookViewId="0">
      <selection activeCell="J28" sqref="J2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64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11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Rates'!T2</f>
        <v>53235860.109999999</v>
      </c>
      <c r="C6" s="16">
        <f>B6</f>
        <v>53235860.109999999</v>
      </c>
      <c r="D6" s="114">
        <f>'2018 Rates'!V2</f>
        <v>8.2547027340590398E-2</v>
      </c>
      <c r="E6" s="16">
        <f>C6*D6</f>
        <v>4394462.0000000158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Rates'!D2</f>
        <v>9104147</v>
      </c>
      <c r="D7" s="115">
        <f>'2018 Rates'!R2</f>
        <v>3.179231026880816E-2</v>
      </c>
      <c r="E7" s="18">
        <f>+C7*D7</f>
        <v>289441.86615683901</v>
      </c>
      <c r="F7" s="19"/>
      <c r="G7" s="113">
        <f>'2018 Rates'!Q2</f>
        <v>506208.53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Rates'!P2</f>
        <v>49390743.979999997</v>
      </c>
      <c r="C8" s="20">
        <f>B8</f>
        <v>49390743.979999997</v>
      </c>
      <c r="D8" s="21">
        <f>D7</f>
        <v>3.179231026880816E-2</v>
      </c>
      <c r="E8" s="20">
        <f>+D8*C8</f>
        <v>1570245.8570194286</v>
      </c>
      <c r="F8" s="123">
        <f>'2018 Rates'!B2</f>
        <v>6.7360000000000003E-2</v>
      </c>
      <c r="G8" s="20">
        <f>B8*F8</f>
        <v>3326960.5144928</v>
      </c>
      <c r="I8"/>
      <c r="J8"/>
      <c r="N8" s="22"/>
    </row>
    <row r="9" spans="1:14" s="2" customFormat="1" ht="15.75" thickBot="1" x14ac:dyDescent="0.3">
      <c r="A9" s="19"/>
      <c r="B9" s="23">
        <f>SUM(B6:B8)</f>
        <v>102626604.09</v>
      </c>
      <c r="C9" s="23">
        <f>SUM(C6:C8)</f>
        <v>111730751.09</v>
      </c>
      <c r="D9" s="24"/>
      <c r="E9" s="25">
        <f>SUM(E6:E8)</f>
        <v>6254149.7231762838</v>
      </c>
      <c r="F9" s="24"/>
      <c r="G9" s="25">
        <f>SUM(G6:G8)</f>
        <v>3833169.0444927998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11" t="s">
        <v>20</v>
      </c>
      <c r="E14" s="10" t="s">
        <v>8</v>
      </c>
      <c r="F14" s="11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Rates'!H2-C16-C17</f>
        <v>53087126.454464503</v>
      </c>
      <c r="C15" s="39">
        <f>B15</f>
        <v>53087126.454464503</v>
      </c>
      <c r="D15" s="118">
        <f>'2018 Rates'!S2</f>
        <v>3.2283190895697589E-2</v>
      </c>
      <c r="E15" s="39">
        <f>C15*D15</f>
        <v>1713821.8374335151</v>
      </c>
      <c r="F15" s="40">
        <f>F8</f>
        <v>6.7360000000000003E-2</v>
      </c>
      <c r="G15" s="39">
        <f>B15*F15</f>
        <v>3575948.837972729</v>
      </c>
      <c r="H15" s="120">
        <f>E6-(C6*D15)-(B6*F15)</f>
        <v>-910128.97143736668</v>
      </c>
      <c r="I15" s="41">
        <f>+E15+G15+H15</f>
        <v>4379641.703968877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9104147</v>
      </c>
      <c r="D16" s="44">
        <f>'2018 Rates'!N2</f>
        <v>3.1735122839840903E-2</v>
      </c>
      <c r="E16" s="43">
        <f>C16*D16</f>
        <v>288921.22339696903</v>
      </c>
      <c r="F16" s="44"/>
      <c r="G16" s="43"/>
      <c r="H16" s="45"/>
      <c r="I16" s="46">
        <f>+E16+G16+H16</f>
        <v>288921.22339696903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49390743.979999997</v>
      </c>
      <c r="C17" s="42">
        <f>C8</f>
        <v>49390743.979999997</v>
      </c>
      <c r="D17" s="21">
        <f>D16</f>
        <v>3.1735122839840903E-2</v>
      </c>
      <c r="E17" s="48">
        <f>C17*D17</f>
        <v>1567421.3273564326</v>
      </c>
      <c r="F17" s="21"/>
      <c r="G17" s="49"/>
      <c r="H17" s="45"/>
      <c r="I17" s="46">
        <f>+E17+G17+H17</f>
        <v>1567421.3273564326</v>
      </c>
      <c r="J17" s="12"/>
    </row>
    <row r="18" spans="1:12" s="2" customFormat="1" ht="15.75" thickBot="1" x14ac:dyDescent="0.3">
      <c r="A18" s="19"/>
      <c r="B18" s="23">
        <f>SUM(B15:B17)</f>
        <v>102477870.4344645</v>
      </c>
      <c r="C18" s="23">
        <f>SUM(C15:C17)</f>
        <v>111582017.4344645</v>
      </c>
      <c r="D18" s="24"/>
      <c r="E18" s="23">
        <f>SUM(E15:E17)</f>
        <v>3570164.3881869167</v>
      </c>
      <c r="F18" s="24"/>
      <c r="G18" s="23">
        <f>SUM(G15:G17)</f>
        <v>3575948.837972729</v>
      </c>
      <c r="H18" s="23">
        <f>SUM(H15:H17)</f>
        <v>-910128.97143736668</v>
      </c>
      <c r="I18" s="25">
        <f>SUM(I15:I17)</f>
        <v>6235984.2547222786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11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506208.53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49390743.979999997</v>
      </c>
      <c r="C24" s="43"/>
      <c r="D24" s="21">
        <f>F8</f>
        <v>6.7360000000000003E-2</v>
      </c>
      <c r="E24" s="48">
        <f>+D24*B24</f>
        <v>3326960.5144928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49390743.979999997</v>
      </c>
      <c r="C25" s="20">
        <f>+C23+C24</f>
        <v>0</v>
      </c>
      <c r="D25" s="59"/>
      <c r="E25" s="60">
        <f>+E23+E24</f>
        <v>3833169.0444927998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-18165.468454005197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53087126.454464503</v>
      </c>
      <c r="D33" s="77">
        <f>((+I15)/C15)-D6</f>
        <v>-4.7898145388691749E-5</v>
      </c>
      <c r="E33" s="78">
        <f>+C33*D33</f>
        <v>-2542.7749011838046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-148733.65553549677</v>
      </c>
      <c r="D34" s="80">
        <f>D6</f>
        <v>8.2547027340590398E-2</v>
      </c>
      <c r="E34" s="81">
        <f>+C34*D34</f>
        <v>-12277.521129954606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58494890.979999997</v>
      </c>
      <c r="D35" s="83">
        <f>+D16-D7</f>
        <v>-5.7187428967257758E-5</v>
      </c>
      <c r="E35" s="81">
        <f>+C35*D35</f>
        <v>-3345.1724228662365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3.179231026880816E-2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-18165.468454004647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49390743.979999997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-6.7360000000000003E-2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F41:I41"/>
    <mergeCell ref="C42:D42"/>
    <mergeCell ref="F42:I42"/>
    <mergeCell ref="F43:I43"/>
    <mergeCell ref="F44:I44"/>
    <mergeCell ref="F45:I45"/>
    <mergeCell ref="F46:I46"/>
    <mergeCell ref="F47:I47"/>
    <mergeCell ref="C40:I40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K18" sqref="K1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71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Rates'!T3</f>
        <v>46363264.899999999</v>
      </c>
      <c r="C6" s="16">
        <f>B6</f>
        <v>46363264.899999999</v>
      </c>
      <c r="D6" s="114">
        <f>'2018 Rates'!V3</f>
        <v>8.2876697926422618E-2</v>
      </c>
      <c r="E6" s="16">
        <f>C6*D6</f>
        <v>3842434.3000000124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Rates'!D3</f>
        <v>8200117</v>
      </c>
      <c r="D7" s="115">
        <f>'2018 Rates'!R3</f>
        <v>1.8977161771705279E-2</v>
      </c>
      <c r="E7" s="18">
        <f>+C7*D7</f>
        <v>155614.94685591059</v>
      </c>
      <c r="F7" s="19"/>
      <c r="G7" s="113">
        <f>'2018 Rates'!Q3</f>
        <v>512294.52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Rates'!P3</f>
        <v>43904132.259999998</v>
      </c>
      <c r="C8" s="20">
        <f>B8</f>
        <v>43904132.259999998</v>
      </c>
      <c r="D8" s="21">
        <f>D7</f>
        <v>1.8977161771705279E-2</v>
      </c>
      <c r="E8" s="20">
        <f>+D8*C8</f>
        <v>833175.8203443645</v>
      </c>
      <c r="F8" s="116">
        <f>'2018 Rates'!B3</f>
        <v>8.1670000000000006E-2</v>
      </c>
      <c r="G8" s="20">
        <f>B8*F8</f>
        <v>3585650.4816741999</v>
      </c>
      <c r="I8"/>
      <c r="J8"/>
      <c r="N8" s="22"/>
    </row>
    <row r="9" spans="1:14" s="2" customFormat="1" ht="15.75" thickBot="1" x14ac:dyDescent="0.3">
      <c r="A9" s="19"/>
      <c r="B9" s="23">
        <f>SUM(B6:B8)</f>
        <v>90267397.159999996</v>
      </c>
      <c r="C9" s="23">
        <f>SUM(C6:C8)</f>
        <v>98467514.159999996</v>
      </c>
      <c r="D9" s="24"/>
      <c r="E9" s="25">
        <f>SUM(E6:E8)</f>
        <v>4831225.0672002872</v>
      </c>
      <c r="F9" s="24"/>
      <c r="G9" s="25">
        <f>SUM(G6:G8)</f>
        <v>4097945.0016741999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Rates'!H3-C16-C17</f>
        <v>44326710.860271193</v>
      </c>
      <c r="C15" s="39">
        <f>B15</f>
        <v>44326710.860271193</v>
      </c>
      <c r="D15" s="118">
        <f>'2018 Rates'!S3</f>
        <v>1.8815306465760101E-2</v>
      </c>
      <c r="E15" s="39">
        <f>C15*D15</f>
        <v>834020.64945513906</v>
      </c>
      <c r="F15" s="40">
        <f>F8</f>
        <v>8.1670000000000006E-2</v>
      </c>
      <c r="G15" s="39">
        <f>B15*F15</f>
        <v>3620162.4759583487</v>
      </c>
      <c r="H15" s="120">
        <f>E6-(C6*D15)-(B6*F15)</f>
        <v>-816392.58222970646</v>
      </c>
      <c r="I15" s="41">
        <f>+E15+G15+H15</f>
        <v>3637790.5431837812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8200117</v>
      </c>
      <c r="D16" s="44">
        <f>'2018 Rates'!N3</f>
        <v>1.9885062303729009E-2</v>
      </c>
      <c r="E16" s="43">
        <f>C16*D16</f>
        <v>163059.8374428674</v>
      </c>
      <c r="F16" s="44"/>
      <c r="G16" s="43"/>
      <c r="H16" s="45"/>
      <c r="I16" s="46">
        <f>+E16+G16+H16</f>
        <v>163059.8374428674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43904132.259999998</v>
      </c>
      <c r="C17" s="42">
        <f>C8</f>
        <v>43904132.259999998</v>
      </c>
      <c r="D17" s="21">
        <f>D16</f>
        <v>1.9885062303729009E-2</v>
      </c>
      <c r="E17" s="48">
        <f>C17*D17</f>
        <v>873036.40538125869</v>
      </c>
      <c r="F17" s="21"/>
      <c r="G17" s="49"/>
      <c r="H17" s="45"/>
      <c r="I17" s="46">
        <f>+E17+G17+H17</f>
        <v>873036.40538125869</v>
      </c>
      <c r="J17" s="12"/>
    </row>
    <row r="18" spans="1:12" s="2" customFormat="1" ht="15.75" thickBot="1" x14ac:dyDescent="0.3">
      <c r="A18" s="19"/>
      <c r="B18" s="23">
        <f>SUM(B15:B17)</f>
        <v>88230843.120271191</v>
      </c>
      <c r="C18" s="23">
        <f>SUM(C15:C17)</f>
        <v>96430960.120271191</v>
      </c>
      <c r="D18" s="24"/>
      <c r="E18" s="23">
        <f>SUM(E15:E17)</f>
        <v>1870116.892279265</v>
      </c>
      <c r="F18" s="24"/>
      <c r="G18" s="23">
        <f>SUM(G15:G17)</f>
        <v>3620162.4759583487</v>
      </c>
      <c r="H18" s="23">
        <f>SUM(H15:H17)</f>
        <v>-816392.58222970646</v>
      </c>
      <c r="I18" s="25">
        <f>SUM(I15:I17)</f>
        <v>4673886.7860079072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512294.52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43904132.259999998</v>
      </c>
      <c r="C24" s="43"/>
      <c r="D24" s="21">
        <f>F8</f>
        <v>8.1670000000000006E-2</v>
      </c>
      <c r="E24" s="48">
        <f>+D24*B24</f>
        <v>3585650.4816741999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43904132.259999998</v>
      </c>
      <c r="C25" s="20">
        <f>+C23+C24</f>
        <v>0</v>
      </c>
      <c r="D25" s="59"/>
      <c r="E25" s="60">
        <f>+E23+E24</f>
        <v>4097945.0016741999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-157338.28119238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44326710.860271193</v>
      </c>
      <c r="D33" s="77">
        <f>((+I15)/C15)-D6</f>
        <v>-8.0901294408768087E-4</v>
      </c>
      <c r="E33" s="78">
        <f>+C33*D33</f>
        <v>-35860.882854791373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-2036554.0397288054</v>
      </c>
      <c r="D34" s="80">
        <f>D6</f>
        <v>8.2876697926422618E-2</v>
      </c>
      <c r="E34" s="81">
        <f>+C34*D34</f>
        <v>-168782.87396143991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52104249.259999998</v>
      </c>
      <c r="D35" s="83">
        <f>+D16-D7</f>
        <v>9.0790053202373031E-4</v>
      </c>
      <c r="E35" s="81">
        <f>+C35*D35</f>
        <v>47305.475623851053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1.8977161771705279E-2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-157338.28119238024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43904132.259999998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-8.1670000000000006E-2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E34" sqref="E34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72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Rates'!T4</f>
        <v>44052212.759999998</v>
      </c>
      <c r="C6" s="16">
        <f>B6</f>
        <v>44052212.759999998</v>
      </c>
      <c r="D6" s="114">
        <f>'2018 Rates'!V4</f>
        <v>8.2734152308221301E-2</v>
      </c>
      <c r="E6" s="16">
        <f>C6*D6</f>
        <v>3644622.4800000098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Rates'!D4</f>
        <v>8731351</v>
      </c>
      <c r="D7" s="115">
        <f>'2018 Rates'!R4</f>
        <v>1.700927048897655E-2</v>
      </c>
      <c r="E7" s="18">
        <f>+C7*D7</f>
        <v>148513.91089319589</v>
      </c>
      <c r="F7" s="19"/>
      <c r="G7" s="113">
        <f>'2018 Rates'!Q4</f>
        <v>619412.53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Rates'!P4</f>
        <v>45843330.559999995</v>
      </c>
      <c r="C8" s="20">
        <f>B8</f>
        <v>45843330.559999995</v>
      </c>
      <c r="D8" s="21">
        <f>D7</f>
        <v>1.700927048897655E-2</v>
      </c>
      <c r="E8" s="20">
        <f>+D8*C8</f>
        <v>779761.6096106047</v>
      </c>
      <c r="F8" s="116">
        <f>'2018 Rates'!B4</f>
        <v>9.4810000000000005E-2</v>
      </c>
      <c r="G8" s="20">
        <f>B8*F8</f>
        <v>4346406.1703936001</v>
      </c>
      <c r="I8"/>
      <c r="J8"/>
      <c r="N8" s="22"/>
    </row>
    <row r="9" spans="1:14" s="2" customFormat="1" ht="15.75" thickBot="1" x14ac:dyDescent="0.3">
      <c r="A9" s="19"/>
      <c r="B9" s="23">
        <f>SUM(B6:B8)</f>
        <v>89895543.319999993</v>
      </c>
      <c r="C9" s="23">
        <f>SUM(C6:C8)</f>
        <v>98626894.319999993</v>
      </c>
      <c r="D9" s="24"/>
      <c r="E9" s="25">
        <f>SUM(E6:E8)</f>
        <v>4572898.0005038101</v>
      </c>
      <c r="F9" s="24"/>
      <c r="G9" s="25">
        <f>SUM(G6:G8)</f>
        <v>4965818.7003936004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Rates'!H4-C16-C17</f>
        <v>46500739.677861445</v>
      </c>
      <c r="C15" s="39">
        <f>B15</f>
        <v>46500739.677861445</v>
      </c>
      <c r="D15" s="118">
        <f>'2018 Rates'!S4</f>
        <v>1.6857953226584715E-2</v>
      </c>
      <c r="E15" s="39">
        <f>C15*D15</f>
        <v>783907.29449098022</v>
      </c>
      <c r="F15" s="40">
        <f>F8</f>
        <v>9.4810000000000005E-2</v>
      </c>
      <c r="G15" s="39">
        <f>B15*F15</f>
        <v>4408735.1288580438</v>
      </c>
      <c r="H15" s="120">
        <f>E6-(C6*D15)-(B6*F15)</f>
        <v>-1274597.9540112289</v>
      </c>
      <c r="I15" s="41">
        <f>+E15+G15+H15</f>
        <v>3918044.4693377949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8731351</v>
      </c>
      <c r="D16" s="44">
        <f>'2018 Rates'!N4</f>
        <v>1.7188655448800768E-2</v>
      </c>
      <c r="E16" s="43">
        <f>C16*D16</f>
        <v>150080.18394154203</v>
      </c>
      <c r="F16" s="44"/>
      <c r="G16" s="43"/>
      <c r="H16" s="45"/>
      <c r="I16" s="46">
        <f>+E16+G16+H16</f>
        <v>150080.18394154203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45843330.559999995</v>
      </c>
      <c r="C17" s="42">
        <f>C8</f>
        <v>45843330.559999995</v>
      </c>
      <c r="D17" s="21">
        <f>D16</f>
        <v>1.7188655448800768E-2</v>
      </c>
      <c r="E17" s="48">
        <f>C17*D17</f>
        <v>787985.21362131869</v>
      </c>
      <c r="F17" s="21"/>
      <c r="G17" s="49"/>
      <c r="H17" s="45"/>
      <c r="I17" s="46">
        <f>+E17+G17+H17</f>
        <v>787985.21362131869</v>
      </c>
      <c r="J17" s="12"/>
    </row>
    <row r="18" spans="1:12" s="2" customFormat="1" ht="15.75" thickBot="1" x14ac:dyDescent="0.3">
      <c r="A18" s="19"/>
      <c r="B18" s="23">
        <f>SUM(B15:B17)</f>
        <v>92344070.23786144</v>
      </c>
      <c r="C18" s="23">
        <f>SUM(C15:C17)</f>
        <v>101075421.23786144</v>
      </c>
      <c r="D18" s="24"/>
      <c r="E18" s="23">
        <f>SUM(E15:E17)</f>
        <v>1721972.692053841</v>
      </c>
      <c r="F18" s="24"/>
      <c r="G18" s="23">
        <f>SUM(G15:G17)</f>
        <v>4408735.1288580438</v>
      </c>
      <c r="H18" s="23">
        <f>SUM(H15:H17)</f>
        <v>-1274597.9540112289</v>
      </c>
      <c r="I18" s="25">
        <f>SUM(I15:I17)</f>
        <v>4856109.8669006554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619412.53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45843330.559999995</v>
      </c>
      <c r="C24" s="43"/>
      <c r="D24" s="21">
        <f>F8</f>
        <v>9.4810000000000005E-2</v>
      </c>
      <c r="E24" s="48">
        <f>+D24*B24</f>
        <v>4346406.1703936001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45843330.559999995</v>
      </c>
      <c r="C25" s="20">
        <f>+C23+C24</f>
        <v>0</v>
      </c>
      <c r="D25" s="59"/>
      <c r="E25" s="60">
        <f>+E23+E24</f>
        <v>4965818.7003936004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283211.86639684532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46500739.677861445</v>
      </c>
      <c r="D33" s="77">
        <f>((+I15)/C15)-D6</f>
        <v>1.5235282465492772E-3</v>
      </c>
      <c r="E33" s="78">
        <f>+C33*D33</f>
        <v>70845.190384656642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2448526.9178614467</v>
      </c>
      <c r="D34" s="80">
        <f>D6</f>
        <v>8.2734152308221301E-2</v>
      </c>
      <c r="E34" s="81">
        <f>+C34*D34</f>
        <v>202576.7989531286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54574681.559999995</v>
      </c>
      <c r="D35" s="83">
        <f>+D16-D7</f>
        <v>1.7938495982421782E-4</v>
      </c>
      <c r="E35" s="81">
        <f>+C35*D35</f>
        <v>9789.8770590600798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1.700927048897655E-2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283211.86639684532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45843330.559999995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-9.4810000000000005E-2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C34" sqref="C34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73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Rates'!T5</f>
        <v>44680412.22999993</v>
      </c>
      <c r="C6" s="16">
        <f>B6</f>
        <v>44680412.22999993</v>
      </c>
      <c r="D6" s="114">
        <f>'2018 Rates'!V5</f>
        <v>8.2760451066680299E-2</v>
      </c>
      <c r="E6" s="16">
        <f>C6*D6</f>
        <v>3697771.0700000133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Rates'!D5</f>
        <v>8450675.3500000015</v>
      </c>
      <c r="D7" s="115">
        <f>'2018 Rates'!R5</f>
        <v>2.9299872780592432E-2</v>
      </c>
      <c r="E7" s="18">
        <f>+C7*D7</f>
        <v>247603.71266508847</v>
      </c>
      <c r="F7" s="19"/>
      <c r="G7" s="113">
        <f>'2018 Rates'!Q5</f>
        <v>605079.66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Rates'!P5</f>
        <v>43602265.32</v>
      </c>
      <c r="C8" s="20">
        <f>B8</f>
        <v>43602265.32</v>
      </c>
      <c r="D8" s="21">
        <f>D7</f>
        <v>2.9299872780592432E-2</v>
      </c>
      <c r="E8" s="20">
        <f>+D8*C8</f>
        <v>1277540.8268216373</v>
      </c>
      <c r="F8" s="116">
        <f>'2018 Rates'!B5</f>
        <v>9.9590000000000012E-2</v>
      </c>
      <c r="G8" s="20">
        <f>B8*F8</f>
        <v>4342349.6032188004</v>
      </c>
      <c r="I8"/>
      <c r="J8"/>
      <c r="N8" s="22"/>
    </row>
    <row r="9" spans="1:14" s="2" customFormat="1" ht="15.75" thickBot="1" x14ac:dyDescent="0.3">
      <c r="A9" s="19"/>
      <c r="B9" s="23">
        <f>SUM(B6:B8)</f>
        <v>88282677.549999923</v>
      </c>
      <c r="C9" s="23">
        <f>SUM(C6:C8)</f>
        <v>96733352.899999931</v>
      </c>
      <c r="D9" s="24"/>
      <c r="E9" s="25">
        <f>SUM(E6:E8)</f>
        <v>5222915.6094867392</v>
      </c>
      <c r="F9" s="24"/>
      <c r="G9" s="25">
        <f>SUM(G6:G8)</f>
        <v>4947429.2632188005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Rates'!H5-C16-C17</f>
        <v>43190631.235965125</v>
      </c>
      <c r="C15" s="39">
        <f>B15</f>
        <v>43190631.235965125</v>
      </c>
      <c r="D15" s="118">
        <f>'2018 Rates'!S5</f>
        <v>2.9623513467894092E-2</v>
      </c>
      <c r="E15" s="39">
        <f>C15*D15</f>
        <v>1279458.2461054602</v>
      </c>
      <c r="F15" s="40">
        <f>F8</f>
        <v>9.9590000000000012E-2</v>
      </c>
      <c r="G15" s="39">
        <f>B15*F15</f>
        <v>4301354.9647897677</v>
      </c>
      <c r="H15" s="120">
        <f>E6-(C6*D15)-(B6*F15)</f>
        <v>-2075541.9774321429</v>
      </c>
      <c r="I15" s="41">
        <f>+E15+G15+H15</f>
        <v>3505271.2334630853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8450675.3500000015</v>
      </c>
      <c r="D16" s="115">
        <f>'2018 Rates'!N5</f>
        <v>2.8923243793500249E-2</v>
      </c>
      <c r="E16" s="43">
        <f>C16*D16</f>
        <v>244420.94336777308</v>
      </c>
      <c r="F16" s="44"/>
      <c r="G16" s="43"/>
      <c r="H16" s="45"/>
      <c r="I16" s="46">
        <f>+E16+G16+H16</f>
        <v>244420.94336777308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43602265.32</v>
      </c>
      <c r="C17" s="42">
        <f>C8</f>
        <v>43602265.32</v>
      </c>
      <c r="D17" s="21">
        <f>D16</f>
        <v>2.8923243793500249E-2</v>
      </c>
      <c r="E17" s="48">
        <f>C17*D17</f>
        <v>1261118.9497992413</v>
      </c>
      <c r="F17" s="21"/>
      <c r="G17" s="49"/>
      <c r="H17" s="45"/>
      <c r="I17" s="46">
        <f>+E17+G17+H17</f>
        <v>1261118.9497992413</v>
      </c>
      <c r="J17" s="12"/>
    </row>
    <row r="18" spans="1:12" s="2" customFormat="1" ht="15.75" thickBot="1" x14ac:dyDescent="0.3">
      <c r="A18" s="19"/>
      <c r="B18" s="23">
        <f>SUM(B15:B17)</f>
        <v>86792896.555965126</v>
      </c>
      <c r="C18" s="23">
        <f>SUM(C15:C17)</f>
        <v>95243571.90596512</v>
      </c>
      <c r="D18" s="24"/>
      <c r="E18" s="23">
        <f>SUM(E15:E17)</f>
        <v>2784998.1392724747</v>
      </c>
      <c r="F18" s="24"/>
      <c r="G18" s="23">
        <f>SUM(G15:G17)</f>
        <v>4301354.9647897677</v>
      </c>
      <c r="H18" s="23">
        <f>SUM(H15:H17)</f>
        <v>-2075541.9774321429</v>
      </c>
      <c r="I18" s="25">
        <f>SUM(I15:I17)</f>
        <v>5010811.1266300995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605079.66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43602265.32</v>
      </c>
      <c r="C24" s="43"/>
      <c r="D24" s="21">
        <f>F8</f>
        <v>9.9590000000000012E-2</v>
      </c>
      <c r="E24" s="48">
        <f>+D24*B24</f>
        <v>4342349.6032188004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43602265.32</v>
      </c>
      <c r="C25" s="20">
        <f>+C23+C24</f>
        <v>0</v>
      </c>
      <c r="D25" s="59"/>
      <c r="E25" s="60">
        <f>+E23+E24</f>
        <v>4947429.2632188005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-212104.48285663966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43190631.235965125</v>
      </c>
      <c r="D33" s="77">
        <f>((+I15)/C15)-D6</f>
        <v>-1.6023125270374083E-3</v>
      </c>
      <c r="E33" s="78">
        <f>+C33*D33</f>
        <v>-69204.889480040103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-1489780.9940348044</v>
      </c>
      <c r="D34" s="80">
        <f>D6</f>
        <v>8.2760451066680299E-2</v>
      </c>
      <c r="E34" s="81">
        <f>+C34*D34</f>
        <v>-123294.94705688776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52052940.670000002</v>
      </c>
      <c r="D35" s="83">
        <f>+D16-D7</f>
        <v>-3.7662898709218268E-4</v>
      </c>
      <c r="E35" s="81">
        <f>+C35*D35</f>
        <v>-19604.646319711581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2.9299872780592432E-2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-212104.48285663943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43602265.32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-9.9590000000000012E-2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7" zoomScaleNormal="100" workbookViewId="0">
      <selection activeCell="D16" sqref="D16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74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Rates'!T6</f>
        <v>42237838.789999872</v>
      </c>
      <c r="C6" s="16">
        <f>B6</f>
        <v>42237838.789999872</v>
      </c>
      <c r="D6" s="114">
        <f>'2018 Rates'!V6</f>
        <v>8.3138406476218507E-2</v>
      </c>
      <c r="E6" s="16">
        <f>C6*D6</f>
        <v>3511586.6099999985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Rates'!D6</f>
        <v>9467216.370000001</v>
      </c>
      <c r="D7" s="115">
        <f>'2018 Rates'!R6</f>
        <v>1.2885566453971193E-2</v>
      </c>
      <c r="E7" s="18">
        <f>+C7*D7</f>
        <v>121990.44566975895</v>
      </c>
      <c r="F7" s="19"/>
      <c r="G7" s="113">
        <f>'2018 Rates'!Q6</f>
        <v>644061.66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Rates'!P6</f>
        <v>46455037.289999992</v>
      </c>
      <c r="C8" s="20">
        <f>B8</f>
        <v>46455037.289999992</v>
      </c>
      <c r="D8" s="21">
        <f>D7</f>
        <v>1.2885566453971193E-2</v>
      </c>
      <c r="E8" s="20">
        <f>+D8*C8</f>
        <v>598599.47012200474</v>
      </c>
      <c r="F8" s="116">
        <f>'2018 Rates'!B6</f>
        <v>0.10793000000000001</v>
      </c>
      <c r="G8" s="20">
        <f>B8*F8</f>
        <v>5013892.1747097</v>
      </c>
      <c r="I8"/>
      <c r="J8"/>
      <c r="N8" s="22"/>
    </row>
    <row r="9" spans="1:14" s="2" customFormat="1" ht="15.75" thickBot="1" x14ac:dyDescent="0.3">
      <c r="A9" s="19"/>
      <c r="B9" s="23">
        <f>SUM(B6:B8)</f>
        <v>88692876.079999864</v>
      </c>
      <c r="C9" s="23">
        <f>SUM(C6:C8)</f>
        <v>98160092.449999869</v>
      </c>
      <c r="D9" s="24"/>
      <c r="E9" s="25">
        <f>SUM(E6:E8)</f>
        <v>4232176.5257917624</v>
      </c>
      <c r="F9" s="24"/>
      <c r="G9" s="25">
        <f>SUM(G6:G8)</f>
        <v>5657953.8347097002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Rates'!H6-C16-C17</f>
        <v>40853566.713076994</v>
      </c>
      <c r="C15" s="39">
        <f>B15</f>
        <v>40853566.713076994</v>
      </c>
      <c r="D15" s="118">
        <f>'2018 Rates'!S6</f>
        <v>1.4142414783322052E-2</v>
      </c>
      <c r="E15" s="39">
        <f>C15*D15</f>
        <v>577768.08583445381</v>
      </c>
      <c r="F15" s="40">
        <f>F8</f>
        <v>0.10793000000000001</v>
      </c>
      <c r="G15" s="39">
        <f>B15*F15</f>
        <v>4409325.4553424008</v>
      </c>
      <c r="H15" s="120">
        <f>E6-(C6*D15)-(B6*F15)</f>
        <v>-1644488.3663239563</v>
      </c>
      <c r="I15" s="41">
        <f>+E15+G15+H15</f>
        <v>3342605.1748528983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9467216.370000001</v>
      </c>
      <c r="D16" s="115">
        <f>'2018 Rates'!N6</f>
        <v>1.4905201159124382E-2</v>
      </c>
      <c r="E16" s="43">
        <f>C16*D16</f>
        <v>141110.76441180534</v>
      </c>
      <c r="F16" s="44"/>
      <c r="G16" s="43"/>
      <c r="H16" s="45"/>
      <c r="I16" s="46">
        <f>+E16+G16+H16</f>
        <v>141110.76441180534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46455037.289999992</v>
      </c>
      <c r="C17" s="42">
        <f>C8</f>
        <v>46455037.289999992</v>
      </c>
      <c r="D17" s="21">
        <f>D16</f>
        <v>1.4905201159124382E-2</v>
      </c>
      <c r="E17" s="48">
        <f>C17*D17</f>
        <v>692421.67566207424</v>
      </c>
      <c r="F17" s="21"/>
      <c r="G17" s="49"/>
      <c r="H17" s="45"/>
      <c r="I17" s="46">
        <f>+E17+G17+H17</f>
        <v>692421.67566207424</v>
      </c>
      <c r="J17" s="12"/>
    </row>
    <row r="18" spans="1:12" s="2" customFormat="1" ht="15.75" thickBot="1" x14ac:dyDescent="0.3">
      <c r="A18" s="19"/>
      <c r="B18" s="23">
        <f>SUM(B15:B17)</f>
        <v>87308604.003076985</v>
      </c>
      <c r="C18" s="23">
        <f>SUM(C15:C17)</f>
        <v>96775820.37307699</v>
      </c>
      <c r="D18" s="24"/>
      <c r="E18" s="23">
        <f>SUM(E15:E17)</f>
        <v>1411300.5259083332</v>
      </c>
      <c r="F18" s="24"/>
      <c r="G18" s="23">
        <f>SUM(G15:G17)</f>
        <v>4409325.4553424008</v>
      </c>
      <c r="H18" s="23">
        <f>SUM(H15:H17)</f>
        <v>-1644488.3663239563</v>
      </c>
      <c r="I18" s="25">
        <f>SUM(I15:I17)</f>
        <v>4176137.6149267778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644061.66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46455037.289999992</v>
      </c>
      <c r="C24" s="43"/>
      <c r="D24" s="21">
        <f>F8</f>
        <v>0.10793000000000001</v>
      </c>
      <c r="E24" s="48">
        <f>+D24*B24</f>
        <v>5013892.1747097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46455037.289999992</v>
      </c>
      <c r="C25" s="20">
        <f>+C23+C24</f>
        <v>0</v>
      </c>
      <c r="D25" s="59"/>
      <c r="E25" s="60">
        <f>+E23+E24</f>
        <v>5657953.8347097002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-56038.910864984617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40853566.713076994</v>
      </c>
      <c r="D33" s="77">
        <f>((+I15)/C15)-D6</f>
        <v>-1.3192302381019594E-3</v>
      </c>
      <c r="E33" s="78">
        <f>+C33*D33</f>
        <v>-53895.260542206845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-1384272.0769228786</v>
      </c>
      <c r="D34" s="80">
        <f>D6</f>
        <v>8.3138406476218507E-2</v>
      </c>
      <c r="E34" s="81">
        <f>+C34*D34</f>
        <v>-115086.1746048935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55922253.659999996</v>
      </c>
      <c r="D35" s="83">
        <f>+D16-D7</f>
        <v>2.0196347051531886E-3</v>
      </c>
      <c r="E35" s="81">
        <f>+C35*D35</f>
        <v>112942.52428211592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1.2885566453971193E-2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-56038.910864984442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46455037.289999992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-0.10793000000000001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8" zoomScaleNormal="100" workbookViewId="0">
      <selection activeCell="D8" sqref="D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75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Rates'!T7</f>
        <v>49347543.229999997</v>
      </c>
      <c r="C6" s="16">
        <f>B6</f>
        <v>49347543.229999997</v>
      </c>
      <c r="D6" s="114">
        <f>'2018 Rates'!V7</f>
        <v>8.3321720411409395E-2</v>
      </c>
      <c r="E6" s="16">
        <f>C6*D6</f>
        <v>4111722.1999999983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Rates'!D7</f>
        <v>9728473.5799999982</v>
      </c>
      <c r="D7" s="115">
        <f>'2018 Rates'!R7</f>
        <v>1.8149999074867158E-2</v>
      </c>
      <c r="E7" s="18">
        <f>+C7*D7</f>
        <v>176571.78647686954</v>
      </c>
      <c r="F7" s="19"/>
      <c r="G7" s="113">
        <f>'2018 Rates'!Q7</f>
        <v>740512.61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Rates'!P7</f>
        <v>46187832.159999996</v>
      </c>
      <c r="C8" s="20">
        <f>B8</f>
        <v>46187832.159999996</v>
      </c>
      <c r="D8" s="21">
        <f>D7</f>
        <v>1.8149999074867158E-2</v>
      </c>
      <c r="E8" s="20">
        <f>+D8*C8</f>
        <v>838309.11097411951</v>
      </c>
      <c r="F8" s="116">
        <f>'2018 Rates'!B7</f>
        <v>0.11896</v>
      </c>
      <c r="G8" s="20">
        <f>B8*F8</f>
        <v>5494504.5137535995</v>
      </c>
      <c r="I8"/>
      <c r="J8"/>
      <c r="N8" s="22"/>
    </row>
    <row r="9" spans="1:14" s="2" customFormat="1" ht="15.75" thickBot="1" x14ac:dyDescent="0.3">
      <c r="A9" s="19"/>
      <c r="B9" s="23">
        <f>SUM(B6:B8)</f>
        <v>95535375.389999986</v>
      </c>
      <c r="C9" s="23">
        <f>SUM(C6:C8)</f>
        <v>105263848.97</v>
      </c>
      <c r="D9" s="24"/>
      <c r="E9" s="25">
        <f>SUM(E6:E8)</f>
        <v>5126603.0974509865</v>
      </c>
      <c r="F9" s="24"/>
      <c r="G9" s="25">
        <f>SUM(G6:G8)</f>
        <v>6235017.1237535998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Rates'!H7-C16-C17</f>
        <v>49598577.070765242</v>
      </c>
      <c r="C15" s="39">
        <f>B15</f>
        <v>49598577.070765242</v>
      </c>
      <c r="D15" s="118">
        <f>'2018 Rates'!S7</f>
        <v>1.9675169996176221E-2</v>
      </c>
      <c r="E15" s="39">
        <f>C15*D15</f>
        <v>975860.43543575413</v>
      </c>
      <c r="F15" s="40">
        <f>F8</f>
        <v>0.11896</v>
      </c>
      <c r="G15" s="39">
        <f>B15*F15</f>
        <v>5900246.7283382332</v>
      </c>
      <c r="H15" s="120">
        <f>E6-(C6*D15)-(B6*F15)</f>
        <v>-2729582.8445847062</v>
      </c>
      <c r="I15" s="41">
        <f>+E15+G15+H15</f>
        <v>4146524.3191892812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9728473.5799999982</v>
      </c>
      <c r="D16" s="115">
        <f>'2018 Rates'!N7</f>
        <v>1.8477473490603028E-2</v>
      </c>
      <c r="E16" s="43">
        <f>C16*D16</f>
        <v>179757.61267848191</v>
      </c>
      <c r="F16" s="44"/>
      <c r="G16" s="43"/>
      <c r="H16" s="45"/>
      <c r="I16" s="46">
        <f>+E16+G16+H16</f>
        <v>179757.61267848191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46187832.159999996</v>
      </c>
      <c r="C17" s="42">
        <f>C8</f>
        <v>46187832.159999996</v>
      </c>
      <c r="D17" s="21">
        <f>D16</f>
        <v>1.8477473490603028E-2</v>
      </c>
      <c r="E17" s="48">
        <f>C17*D17</f>
        <v>853434.44432482193</v>
      </c>
      <c r="F17" s="21"/>
      <c r="G17" s="49"/>
      <c r="H17" s="45"/>
      <c r="I17" s="46">
        <f>+E17+G17+H17</f>
        <v>853434.44432482193</v>
      </c>
      <c r="J17" s="12"/>
    </row>
    <row r="18" spans="1:12" s="2" customFormat="1" ht="15.75" thickBot="1" x14ac:dyDescent="0.3">
      <c r="A18" s="19"/>
      <c r="B18" s="23">
        <f>SUM(B15:B17)</f>
        <v>95786409.230765238</v>
      </c>
      <c r="C18" s="23">
        <f>SUM(C15:C17)</f>
        <v>105514882.81076524</v>
      </c>
      <c r="D18" s="24"/>
      <c r="E18" s="23">
        <f>SUM(E15:E17)</f>
        <v>2009052.4924390579</v>
      </c>
      <c r="F18" s="24"/>
      <c r="G18" s="23">
        <f>SUM(G15:G17)</f>
        <v>5900246.7283382332</v>
      </c>
      <c r="H18" s="23">
        <f>SUM(H15:H17)</f>
        <v>-2729582.8445847062</v>
      </c>
      <c r="I18" s="25">
        <f>SUM(I15:I17)</f>
        <v>5179716.3761925856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740512.61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46187832.159999996</v>
      </c>
      <c r="C24" s="43"/>
      <c r="D24" s="21">
        <f>F8</f>
        <v>0.11896</v>
      </c>
      <c r="E24" s="48">
        <f>+D24*B24</f>
        <v>5494504.5137535995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46187832.159999996</v>
      </c>
      <c r="C25" s="20">
        <f>+C23+C24</f>
        <v>0</v>
      </c>
      <c r="D25" s="59"/>
      <c r="E25" s="60">
        <f>+E23+E24</f>
        <v>6235017.1237535998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53113.278741599061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49598577.070765242</v>
      </c>
      <c r="D33" s="77">
        <f>((+I15)/C15)-D6</f>
        <v>2.7995858984880551E-4</v>
      </c>
      <c r="E33" s="78">
        <f>+C33*D33</f>
        <v>13885.547695238736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251033.84076524526</v>
      </c>
      <c r="D34" s="80">
        <f>D6</f>
        <v>8.3321720411409395E-2</v>
      </c>
      <c r="E34" s="81">
        <f>+C34*D34</f>
        <v>20916.57149404403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55916305.739999995</v>
      </c>
      <c r="D35" s="83">
        <f>+D16-D7</f>
        <v>3.2747441573587055E-4</v>
      </c>
      <c r="E35" s="81">
        <f>+C35*D35</f>
        <v>18311.159552314803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1.8149999074867158E-2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53113.278741597562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46187832.159999996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-0.11896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25" zoomScaleNormal="100" workbookViewId="0">
      <selection activeCell="E33" sqref="E3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76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Rates'!T8</f>
        <v>64838316.580000006</v>
      </c>
      <c r="C6" s="16">
        <f>B6</f>
        <v>64838316.580000006</v>
      </c>
      <c r="D6" s="114">
        <f>'2018 Rates'!V8</f>
        <v>8.3877435394082073E-2</v>
      </c>
      <c r="E6" s="16">
        <f>C6*D6</f>
        <v>5438471.7099999906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Rates'!D8</f>
        <v>19940299.939999998</v>
      </c>
      <c r="D7" s="115">
        <f>'2018 Rates'!R8</f>
        <v>3.0285270708133017E-2</v>
      </c>
      <c r="E7" s="18">
        <f>+C7*D7</f>
        <v>603897.38168426848</v>
      </c>
      <c r="F7" s="19"/>
      <c r="G7" s="113">
        <f>'2018 Rates'!Q8</f>
        <v>1223033.8700000001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Rates'!P8</f>
        <v>44628450.459999993</v>
      </c>
      <c r="C8" s="20">
        <f>B8</f>
        <v>44628450.459999993</v>
      </c>
      <c r="D8" s="21">
        <f>D7</f>
        <v>3.0285270708133017E-2</v>
      </c>
      <c r="E8" s="20">
        <f>+D8*C8</f>
        <v>1351584.7034656033</v>
      </c>
      <c r="F8" s="116">
        <f>'2018 Rates'!B8</f>
        <v>7.7370000000000008E-2</v>
      </c>
      <c r="G8" s="20">
        <f>B8*F8</f>
        <v>3452903.2120901998</v>
      </c>
      <c r="I8"/>
      <c r="J8"/>
      <c r="N8" s="22"/>
    </row>
    <row r="9" spans="1:14" s="2" customFormat="1" ht="15.75" thickBot="1" x14ac:dyDescent="0.3">
      <c r="A9" s="19"/>
      <c r="B9" s="23">
        <f>SUM(B6:B8)</f>
        <v>109466767.03999999</v>
      </c>
      <c r="C9" s="23">
        <f>SUM(C6:C8)</f>
        <v>129407066.98</v>
      </c>
      <c r="D9" s="24"/>
      <c r="E9" s="25">
        <f>SUM(E6:E8)</f>
        <v>7393953.7951498628</v>
      </c>
      <c r="F9" s="24"/>
      <c r="G9" s="25">
        <f>SUM(G6:G8)</f>
        <v>4675937.0820901999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Rates'!H8-C16-C17</f>
        <v>67203230.294666857</v>
      </c>
      <c r="C15" s="39">
        <f>B15</f>
        <v>67203230.294666857</v>
      </c>
      <c r="D15" s="118">
        <f>'2018 Rates'!S8</f>
        <v>3.1449505055393082E-2</v>
      </c>
      <c r="E15" s="39">
        <f>C15*D15</f>
        <v>2113508.3308908707</v>
      </c>
      <c r="F15" s="40">
        <f>F8</f>
        <v>7.7370000000000008E-2</v>
      </c>
      <c r="G15" s="39">
        <f>B15*F15</f>
        <v>5199513.9278983753</v>
      </c>
      <c r="H15" s="120">
        <f>E6-(C6*D15)-(B6*F15)</f>
        <v>-1617201.8088604975</v>
      </c>
      <c r="I15" s="41">
        <f>+E15+G15+H15</f>
        <v>5695820.4499287484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19940299.939999998</v>
      </c>
      <c r="D16" s="115">
        <f>'2018 Rates'!N8</f>
        <v>3.0575029750334937E-2</v>
      </c>
      <c r="E16" s="43">
        <f>C16*D16</f>
        <v>609675.26389610185</v>
      </c>
      <c r="F16" s="44"/>
      <c r="G16" s="43"/>
      <c r="H16" s="45"/>
      <c r="I16" s="46">
        <f>+E16+G16+H16</f>
        <v>609675.26389610185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44628450.459999993</v>
      </c>
      <c r="C17" s="42">
        <f>C8</f>
        <v>44628450.459999993</v>
      </c>
      <c r="D17" s="21">
        <f>D16</f>
        <v>3.0575029750334937E-2</v>
      </c>
      <c r="E17" s="48">
        <f>C17*D17</f>
        <v>1364516.2005258487</v>
      </c>
      <c r="F17" s="21"/>
      <c r="G17" s="49"/>
      <c r="H17" s="45"/>
      <c r="I17" s="46">
        <f>+E17+G17+H17</f>
        <v>1364516.2005258487</v>
      </c>
      <c r="J17" s="12"/>
    </row>
    <row r="18" spans="1:12" s="2" customFormat="1" ht="15.75" thickBot="1" x14ac:dyDescent="0.3">
      <c r="A18" s="19"/>
      <c r="B18" s="23">
        <f>SUM(B15:B17)</f>
        <v>111831680.75466685</v>
      </c>
      <c r="C18" s="23">
        <f>SUM(C15:C17)</f>
        <v>131771980.69466685</v>
      </c>
      <c r="D18" s="24"/>
      <c r="E18" s="23">
        <f>SUM(E15:E17)</f>
        <v>4087699.7953128214</v>
      </c>
      <c r="F18" s="24"/>
      <c r="G18" s="23">
        <f>SUM(G15:G17)</f>
        <v>5199513.9278983753</v>
      </c>
      <c r="H18" s="23">
        <f>SUM(H15:H17)</f>
        <v>-1617201.8088604975</v>
      </c>
      <c r="I18" s="25">
        <f>SUM(I15:I17)</f>
        <v>7670011.9143506996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1223033.8700000001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44628450.459999993</v>
      </c>
      <c r="C24" s="43"/>
      <c r="D24" s="21">
        <f>F8</f>
        <v>7.7370000000000008E-2</v>
      </c>
      <c r="E24" s="48">
        <f>+D24*B24</f>
        <v>3452903.2120901998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44628450.459999993</v>
      </c>
      <c r="C25" s="20">
        <f>+C23+C24</f>
        <v>0</v>
      </c>
      <c r="D25" s="59"/>
      <c r="E25" s="60">
        <f>+E23+E24</f>
        <v>4675937.0820901999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276058.11920083687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67203230.294666857</v>
      </c>
      <c r="D33" s="77">
        <f>((+I15)/C15)-D6</f>
        <v>8.7772332305417755E-4</v>
      </c>
      <c r="E33" s="78">
        <f>+C33*D33</f>
        <v>58985.842614210167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2364913.7146668509</v>
      </c>
      <c r="D34" s="80">
        <f>D6</f>
        <v>8.3877435394082073E-2</v>
      </c>
      <c r="E34" s="81">
        <f>+C34*D34</f>
        <v>198362.89731454742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64568750.399999991</v>
      </c>
      <c r="D35" s="83">
        <f>+D16-D7</f>
        <v>2.8975904220191959E-4</v>
      </c>
      <c r="E35" s="81">
        <f>+C35*D35</f>
        <v>18709.379272078808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3.0285270708133017E-2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276058.1192008364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44628450.459999993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-7.7370000000000008E-2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opLeftCell="A31" zoomScaleNormal="100" workbookViewId="0">
      <selection activeCell="D8" sqref="D8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2" customWidth="1"/>
    <col min="12" max="12" width="18" style="2" bestFit="1" customWidth="1"/>
    <col min="13" max="14" width="12.7109375" style="2" customWidth="1"/>
  </cols>
  <sheetData>
    <row r="1" spans="1:14" ht="28.5" x14ac:dyDescent="0.45">
      <c r="A1" s="166" t="s">
        <v>77</v>
      </c>
      <c r="B1" s="167"/>
      <c r="C1" s="167"/>
      <c r="D1" s="167"/>
      <c r="E1" s="167"/>
      <c r="F1" s="167"/>
      <c r="G1" s="167"/>
      <c r="H1" s="167"/>
      <c r="I1" s="167"/>
      <c r="J1" s="1"/>
    </row>
    <row r="2" spans="1:14" ht="26.25" x14ac:dyDescent="0.4">
      <c r="A2" s="3"/>
      <c r="B2" s="3"/>
      <c r="C2" s="3"/>
      <c r="D2" s="3"/>
      <c r="E2" s="3"/>
      <c r="F2" s="3"/>
      <c r="G2" s="3"/>
      <c r="H2" s="3"/>
      <c r="I2" s="3"/>
      <c r="J2" s="1"/>
    </row>
    <row r="3" spans="1:14" x14ac:dyDescent="0.25">
      <c r="A3" s="4" t="s">
        <v>0</v>
      </c>
      <c r="I3" s="5"/>
    </row>
    <row r="4" spans="1:14" ht="29.45" customHeight="1" thickBot="1" x14ac:dyDescent="0.3">
      <c r="A4" s="152" t="s">
        <v>1</v>
      </c>
      <c r="B4" s="153"/>
      <c r="C4" s="154"/>
      <c r="D4" s="168" t="s">
        <v>2</v>
      </c>
      <c r="E4" s="169"/>
      <c r="F4" s="170" t="s">
        <v>3</v>
      </c>
      <c r="G4" s="171"/>
      <c r="I4" s="6"/>
    </row>
    <row r="5" spans="1:14" ht="30.75" thickBot="1" x14ac:dyDescent="0.3">
      <c r="A5" s="7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34" t="s">
        <v>66</v>
      </c>
      <c r="G5" s="10" t="s">
        <v>8</v>
      </c>
      <c r="I5" s="6"/>
      <c r="K5" s="12"/>
      <c r="L5" s="13"/>
      <c r="M5" s="14"/>
    </row>
    <row r="6" spans="1:14" x14ac:dyDescent="0.25">
      <c r="A6" s="15" t="s">
        <v>9</v>
      </c>
      <c r="B6" s="111">
        <f>'2018 Rates'!T9</f>
        <v>68732984.930000007</v>
      </c>
      <c r="C6" s="16">
        <f>B6</f>
        <v>68732984.930000007</v>
      </c>
      <c r="D6" s="114">
        <f>'2018 Rates'!V9</f>
        <v>8.3788065597109801E-2</v>
      </c>
      <c r="E6" s="16">
        <f>C6*D6</f>
        <v>5759003.8499999996</v>
      </c>
      <c r="F6" s="17"/>
      <c r="G6" s="17"/>
      <c r="I6" s="5"/>
      <c r="K6" s="12"/>
      <c r="L6" s="13"/>
      <c r="M6" s="14"/>
    </row>
    <row r="7" spans="1:14" s="2" customFormat="1" x14ac:dyDescent="0.25">
      <c r="A7" s="15" t="s">
        <v>10</v>
      </c>
      <c r="B7" s="18">
        <v>0</v>
      </c>
      <c r="C7" s="113">
        <f>'2018 Rates'!D9</f>
        <v>19972658.479999997</v>
      </c>
      <c r="D7" s="115">
        <f>'2018 Rates'!R9</f>
        <v>3.0070739064119226E-2</v>
      </c>
      <c r="E7" s="18">
        <f>+C7*D7</f>
        <v>600592.60156884801</v>
      </c>
      <c r="F7" s="19"/>
      <c r="G7" s="113">
        <f>'2018 Rates'!Q9</f>
        <v>1175587.92</v>
      </c>
      <c r="I7"/>
      <c r="J7"/>
      <c r="K7" s="12"/>
      <c r="L7" s="12"/>
      <c r="N7" s="12"/>
    </row>
    <row r="8" spans="1:14" s="2" customFormat="1" ht="15.75" thickBot="1" x14ac:dyDescent="0.3">
      <c r="A8" s="15" t="s">
        <v>11</v>
      </c>
      <c r="B8" s="112">
        <f>'2018 Rates'!P9</f>
        <v>44527297.850000001</v>
      </c>
      <c r="C8" s="20">
        <f>B8</f>
        <v>44527297.850000001</v>
      </c>
      <c r="D8" s="21">
        <f>D7</f>
        <v>3.0070739064119226E-2</v>
      </c>
      <c r="E8" s="20">
        <f>+D8*C8</f>
        <v>1338968.7548776672</v>
      </c>
      <c r="F8" s="116">
        <f>'2018 Rates'!B9</f>
        <v>7.4900000000000008E-2</v>
      </c>
      <c r="G8" s="20">
        <f>B8*F8</f>
        <v>3335094.6089650006</v>
      </c>
      <c r="I8"/>
      <c r="J8"/>
      <c r="N8" s="22"/>
    </row>
    <row r="9" spans="1:14" s="2" customFormat="1" ht="15.75" thickBot="1" x14ac:dyDescent="0.3">
      <c r="A9" s="19"/>
      <c r="B9" s="23">
        <f>SUM(B6:B8)</f>
        <v>113260282.78</v>
      </c>
      <c r="C9" s="23">
        <f>SUM(C6:C8)</f>
        <v>133232941.25999999</v>
      </c>
      <c r="D9" s="24"/>
      <c r="E9" s="25">
        <f>SUM(E6:E8)</f>
        <v>7698565.2064465145</v>
      </c>
      <c r="F9" s="24"/>
      <c r="G9" s="25">
        <f>SUM(G6:G8)</f>
        <v>4510682.5289650001</v>
      </c>
      <c r="I9"/>
      <c r="J9"/>
      <c r="K9" s="12"/>
      <c r="L9" s="26"/>
      <c r="M9" s="27"/>
    </row>
    <row r="10" spans="1:14" s="2" customFormat="1" ht="15.75" thickTop="1" x14ac:dyDescent="0.25">
      <c r="A10" s="5"/>
      <c r="B10" s="28"/>
      <c r="C10" s="28"/>
      <c r="D10" s="5"/>
      <c r="E10" s="29"/>
      <c r="F10" s="30"/>
      <c r="G10" s="29"/>
      <c r="I10"/>
      <c r="J10"/>
      <c r="K10" s="12"/>
      <c r="L10" s="26"/>
      <c r="M10" s="27"/>
    </row>
    <row r="11" spans="1:14" ht="15.75" thickBot="1" x14ac:dyDescent="0.3">
      <c r="A11" s="4" t="s">
        <v>12</v>
      </c>
      <c r="K11" s="12"/>
      <c r="L11" s="13"/>
      <c r="M11" s="27"/>
    </row>
    <row r="12" spans="1:14" s="2" customFormat="1" ht="16.5" thickBot="1" x14ac:dyDescent="0.3">
      <c r="A12" s="31"/>
      <c r="B12" s="32"/>
      <c r="C12" s="33"/>
      <c r="D12" s="172" t="s">
        <v>13</v>
      </c>
      <c r="E12" s="136"/>
      <c r="F12" s="136"/>
      <c r="G12" s="136"/>
      <c r="H12" s="136"/>
      <c r="I12" s="137"/>
      <c r="N12" s="22"/>
    </row>
    <row r="13" spans="1:14" s="2" customFormat="1" ht="29.45" customHeight="1" thickBot="1" x14ac:dyDescent="0.3">
      <c r="A13" s="160" t="s">
        <v>1</v>
      </c>
      <c r="B13" s="161"/>
      <c r="C13" s="162"/>
      <c r="D13" s="163" t="s">
        <v>14</v>
      </c>
      <c r="E13" s="164"/>
      <c r="F13" s="163" t="s">
        <v>15</v>
      </c>
      <c r="G13" s="165"/>
      <c r="H13" s="35" t="s">
        <v>16</v>
      </c>
      <c r="I13" s="36" t="s">
        <v>17</v>
      </c>
    </row>
    <row r="14" spans="1:14" s="2" customFormat="1" ht="48" customHeight="1" thickBot="1" x14ac:dyDescent="0.3">
      <c r="A14" s="7" t="s">
        <v>4</v>
      </c>
      <c r="B14" s="8" t="s">
        <v>18</v>
      </c>
      <c r="C14" s="8" t="s">
        <v>19</v>
      </c>
      <c r="D14" s="34" t="s">
        <v>20</v>
      </c>
      <c r="E14" s="10" t="s">
        <v>8</v>
      </c>
      <c r="F14" s="34" t="s">
        <v>21</v>
      </c>
      <c r="G14" s="10" t="s">
        <v>8</v>
      </c>
      <c r="H14" s="35" t="s">
        <v>8</v>
      </c>
      <c r="I14" s="37" t="s">
        <v>8</v>
      </c>
    </row>
    <row r="15" spans="1:14" s="2" customFormat="1" x14ac:dyDescent="0.25">
      <c r="A15" s="38" t="s">
        <v>22</v>
      </c>
      <c r="B15" s="117">
        <f>'2018 Rates'!H9-C16-C17</f>
        <v>64287690.039957963</v>
      </c>
      <c r="C15" s="39">
        <f>B15</f>
        <v>64287690.039957963</v>
      </c>
      <c r="D15" s="118">
        <f>'2018 Rates'!S9</f>
        <v>3.1814585503977012E-2</v>
      </c>
      <c r="E15" s="39">
        <f>C15*D15</f>
        <v>2045286.211629414</v>
      </c>
      <c r="F15" s="40">
        <f>F8</f>
        <v>7.4900000000000008E-2</v>
      </c>
      <c r="G15" s="39">
        <f>B15*F15</f>
        <v>4815147.9839928523</v>
      </c>
      <c r="H15" s="120">
        <f>E6-(C6*D15)-(B6*F15)</f>
        <v>-1575808.1472560498</v>
      </c>
      <c r="I15" s="41">
        <f>+E15+G15+H15</f>
        <v>5284626.0483662169</v>
      </c>
      <c r="J15" s="22"/>
      <c r="K15" s="12"/>
    </row>
    <row r="16" spans="1:14" s="2" customFormat="1" x14ac:dyDescent="0.25">
      <c r="A16" s="15" t="s">
        <v>10</v>
      </c>
      <c r="B16" s="42">
        <v>0</v>
      </c>
      <c r="C16" s="43">
        <f>C7</f>
        <v>19972658.479999997</v>
      </c>
      <c r="D16" s="115">
        <f>'2018 Rates'!N9</f>
        <v>3.1364042544861977E-2</v>
      </c>
      <c r="E16" s="43">
        <f>C16*D16</f>
        <v>626423.31030071818</v>
      </c>
      <c r="F16" s="44"/>
      <c r="G16" s="43"/>
      <c r="H16" s="45"/>
      <c r="I16" s="46">
        <f>+E16+G16+H16</f>
        <v>626423.31030071818</v>
      </c>
      <c r="J16" s="12"/>
      <c r="K16" s="47"/>
    </row>
    <row r="17" spans="1:12" s="2" customFormat="1" ht="15.75" thickBot="1" x14ac:dyDescent="0.3">
      <c r="A17" s="15" t="s">
        <v>11</v>
      </c>
      <c r="B17" s="42">
        <f>B8</f>
        <v>44527297.850000001</v>
      </c>
      <c r="C17" s="42">
        <f>C8</f>
        <v>44527297.850000001</v>
      </c>
      <c r="D17" s="21">
        <f>D16</f>
        <v>3.1364042544861977E-2</v>
      </c>
      <c r="E17" s="48">
        <f>C17*D17</f>
        <v>1396556.0641751413</v>
      </c>
      <c r="F17" s="21"/>
      <c r="G17" s="49"/>
      <c r="H17" s="45"/>
      <c r="I17" s="46">
        <f>+E17+G17+H17</f>
        <v>1396556.0641751413</v>
      </c>
      <c r="J17" s="12"/>
    </row>
    <row r="18" spans="1:12" s="2" customFormat="1" ht="15.75" thickBot="1" x14ac:dyDescent="0.3">
      <c r="A18" s="19"/>
      <c r="B18" s="23">
        <f>SUM(B15:B17)</f>
        <v>108814987.88995796</v>
      </c>
      <c r="C18" s="23">
        <f>SUM(C15:C17)</f>
        <v>128787646.36995795</v>
      </c>
      <c r="D18" s="24"/>
      <c r="E18" s="23">
        <f>SUM(E15:E17)</f>
        <v>4068265.5861052731</v>
      </c>
      <c r="F18" s="24"/>
      <c r="G18" s="23">
        <f>SUM(G15:G17)</f>
        <v>4815147.9839928523</v>
      </c>
      <c r="H18" s="23">
        <f>SUM(H15:H17)</f>
        <v>-1575808.1472560498</v>
      </c>
      <c r="I18" s="25">
        <f>SUM(I15:I17)</f>
        <v>7307605.422842076</v>
      </c>
      <c r="J18" s="12"/>
      <c r="K18" s="12"/>
      <c r="L18" s="12"/>
    </row>
    <row r="19" spans="1:12" s="2" customFormat="1" ht="15.75" thickTop="1" x14ac:dyDescent="0.25">
      <c r="A19"/>
      <c r="B19"/>
      <c r="C19"/>
      <c r="D19"/>
      <c r="E19" s="50"/>
      <c r="F19" s="51"/>
      <c r="G19" s="5"/>
      <c r="H19" s="5"/>
      <c r="I19" s="52"/>
      <c r="J19" s="53" t="s">
        <v>23</v>
      </c>
      <c r="K19" s="12"/>
    </row>
    <row r="20" spans="1:12" s="2" customFormat="1" x14ac:dyDescent="0.25">
      <c r="A20" s="4" t="s">
        <v>24</v>
      </c>
      <c r="B20"/>
      <c r="C20"/>
      <c r="D20"/>
      <c r="E20"/>
      <c r="F20"/>
      <c r="G20"/>
      <c r="H20"/>
      <c r="I20"/>
      <c r="J20"/>
      <c r="K20" s="13"/>
    </row>
    <row r="21" spans="1:12" s="2" customFormat="1" ht="16.149999999999999" customHeight="1" thickBot="1" x14ac:dyDescent="0.3">
      <c r="A21" s="152" t="s">
        <v>1</v>
      </c>
      <c r="B21" s="153"/>
      <c r="C21" s="154"/>
      <c r="D21" s="155" t="s">
        <v>25</v>
      </c>
      <c r="E21" s="156"/>
      <c r="F21" s="54"/>
      <c r="G21" s="55"/>
      <c r="H21" s="55"/>
      <c r="I21" s="55"/>
      <c r="J21" s="55"/>
      <c r="K21" s="22"/>
    </row>
    <row r="22" spans="1:12" s="2" customFormat="1" ht="45" customHeight="1" thickBot="1" x14ac:dyDescent="0.3">
      <c r="A22" s="7" t="s">
        <v>4</v>
      </c>
      <c r="B22" s="8" t="s">
        <v>18</v>
      </c>
      <c r="C22" s="8" t="s">
        <v>19</v>
      </c>
      <c r="D22" s="34" t="s">
        <v>21</v>
      </c>
      <c r="E22" s="56" t="s">
        <v>8</v>
      </c>
      <c r="F22" s="5"/>
      <c r="G22" s="57"/>
      <c r="H22" s="57"/>
      <c r="I22" s="5"/>
      <c r="J22" s="5"/>
    </row>
    <row r="23" spans="1:12" s="2" customFormat="1" x14ac:dyDescent="0.25">
      <c r="A23" s="15" t="s">
        <v>10</v>
      </c>
      <c r="B23" s="42"/>
      <c r="C23" s="43"/>
      <c r="D23" s="44"/>
      <c r="E23" s="43">
        <f>G7</f>
        <v>1175587.92</v>
      </c>
      <c r="F23" s="58"/>
      <c r="G23" s="57"/>
      <c r="H23" s="57"/>
      <c r="I23" s="5"/>
      <c r="J23" s="5"/>
    </row>
    <row r="24" spans="1:12" s="2" customFormat="1" ht="15.75" thickBot="1" x14ac:dyDescent="0.3">
      <c r="A24" s="15" t="s">
        <v>11</v>
      </c>
      <c r="B24" s="42">
        <f>B17</f>
        <v>44527297.850000001</v>
      </c>
      <c r="C24" s="43"/>
      <c r="D24" s="21">
        <f>F8</f>
        <v>7.4900000000000008E-2</v>
      </c>
      <c r="E24" s="48">
        <f>+D24*B24</f>
        <v>3335094.6089650006</v>
      </c>
      <c r="F24" s="58"/>
      <c r="G24" s="57"/>
      <c r="H24" s="57"/>
      <c r="I24" s="5"/>
      <c r="J24" s="5"/>
    </row>
    <row r="25" spans="1:12" s="2" customFormat="1" ht="15.75" thickBot="1" x14ac:dyDescent="0.3">
      <c r="A25" s="19"/>
      <c r="B25" s="20">
        <f>+B23+B24</f>
        <v>44527297.850000001</v>
      </c>
      <c r="C25" s="20">
        <f>+C23+C24</f>
        <v>0</v>
      </c>
      <c r="D25" s="59"/>
      <c r="E25" s="60">
        <f>+E23+E24</f>
        <v>4510682.5289650001</v>
      </c>
      <c r="F25" s="58"/>
      <c r="G25" s="57"/>
      <c r="H25" s="61"/>
      <c r="I25" s="5"/>
      <c r="J25" s="5"/>
      <c r="K25" s="22"/>
    </row>
    <row r="26" spans="1:12" s="2" customFormat="1" x14ac:dyDescent="0.25">
      <c r="A26" s="5"/>
      <c r="B26" s="28"/>
      <c r="C26" s="28"/>
      <c r="D26" s="62"/>
      <c r="E26" s="29"/>
      <c r="F26" s="5"/>
      <c r="G26" s="57"/>
      <c r="H26" s="61"/>
      <c r="I26" s="5"/>
      <c r="J26" s="5"/>
      <c r="K26" s="22"/>
    </row>
    <row r="27" spans="1:12" s="2" customFormat="1" ht="15.75" thickBot="1" x14ac:dyDescent="0.3">
      <c r="A27" s="4" t="s">
        <v>26</v>
      </c>
      <c r="B27" s="62"/>
      <c r="C27" s="28"/>
      <c r="D27" s="5"/>
      <c r="E27"/>
      <c r="F27"/>
      <c r="G27"/>
      <c r="H27" s="53" t="s">
        <v>23</v>
      </c>
      <c r="I27"/>
      <c r="J27"/>
    </row>
    <row r="28" spans="1:12" s="2" customFormat="1" ht="15" customHeight="1" thickBot="1" x14ac:dyDescent="0.3">
      <c r="A28" s="63"/>
      <c r="B28" s="64"/>
      <c r="C28" s="135" t="s">
        <v>27</v>
      </c>
      <c r="D28" s="136"/>
      <c r="E28" s="136"/>
      <c r="F28" s="136"/>
      <c r="G28" s="136"/>
      <c r="H28" s="136"/>
      <c r="I28" s="137"/>
    </row>
    <row r="29" spans="1:12" s="2" customFormat="1" ht="15.75" thickBot="1" x14ac:dyDescent="0.3">
      <c r="A29" s="138"/>
      <c r="B29" s="139"/>
      <c r="C29" s="65"/>
      <c r="D29" s="6"/>
      <c r="E29" s="57"/>
      <c r="F29" s="157"/>
      <c r="G29" s="158"/>
      <c r="H29" s="158"/>
      <c r="I29" s="159"/>
    </row>
    <row r="30" spans="1:12" s="2" customFormat="1" ht="15" customHeight="1" thickBot="1" x14ac:dyDescent="0.3">
      <c r="A30" s="140"/>
      <c r="B30" s="141"/>
      <c r="C30" s="147"/>
      <c r="D30" s="148"/>
      <c r="E30" s="67">
        <f>+I18-E9</f>
        <v>-390959.78360443842</v>
      </c>
      <c r="F30" s="149" t="s">
        <v>28</v>
      </c>
      <c r="G30" s="150"/>
      <c r="H30" s="150"/>
      <c r="I30" s="151"/>
      <c r="J30" s="12"/>
    </row>
    <row r="31" spans="1:12" s="2" customFormat="1" ht="16.5" thickTop="1" thickBot="1" x14ac:dyDescent="0.3">
      <c r="A31" s="142"/>
      <c r="B31" s="143"/>
      <c r="C31" s="68"/>
      <c r="E31" s="69"/>
      <c r="F31" s="144"/>
      <c r="G31" s="145"/>
      <c r="H31" s="145"/>
      <c r="I31" s="146"/>
    </row>
    <row r="32" spans="1:12" s="2" customFormat="1" ht="16.5" thickBot="1" x14ac:dyDescent="0.3">
      <c r="A32" s="7" t="s">
        <v>4</v>
      </c>
      <c r="B32" s="70" t="s">
        <v>29</v>
      </c>
      <c r="C32" s="71" t="s">
        <v>30</v>
      </c>
      <c r="D32" s="72" t="s">
        <v>31</v>
      </c>
      <c r="E32" s="73" t="s">
        <v>32</v>
      </c>
      <c r="F32" s="125" t="s">
        <v>33</v>
      </c>
      <c r="G32" s="126"/>
      <c r="H32" s="126"/>
      <c r="I32" s="127"/>
    </row>
    <row r="33" spans="1:10" s="2" customFormat="1" x14ac:dyDescent="0.25">
      <c r="A33" s="74" t="s">
        <v>9</v>
      </c>
      <c r="B33" s="75" t="s">
        <v>34</v>
      </c>
      <c r="C33" s="76">
        <f>+C15</f>
        <v>64287690.039957963</v>
      </c>
      <c r="D33" s="77">
        <f>((+I15)/C15)-D6</f>
        <v>-1.5852979275674389E-3</v>
      </c>
      <c r="E33" s="78">
        <f>+C33*D33</f>
        <v>-101915.14178844324</v>
      </c>
      <c r="F33" s="150" t="s">
        <v>35</v>
      </c>
      <c r="G33" s="150"/>
      <c r="H33" s="150"/>
      <c r="I33" s="151"/>
    </row>
    <row r="34" spans="1:10" s="2" customFormat="1" x14ac:dyDescent="0.25">
      <c r="A34" s="74" t="s">
        <v>9</v>
      </c>
      <c r="B34" s="75" t="s">
        <v>36</v>
      </c>
      <c r="C34" s="79">
        <f>+C15-C6</f>
        <v>-4445294.8900420442</v>
      </c>
      <c r="D34" s="80">
        <f>D6</f>
        <v>8.3788065597109801E-2</v>
      </c>
      <c r="E34" s="81">
        <f>+C34*D34</f>
        <v>-372462.65984533977</v>
      </c>
      <c r="F34" s="150" t="s">
        <v>37</v>
      </c>
      <c r="G34" s="150"/>
      <c r="H34" s="150"/>
      <c r="I34" s="151"/>
    </row>
    <row r="35" spans="1:10" s="2" customFormat="1" x14ac:dyDescent="0.25">
      <c r="A35" s="82" t="s">
        <v>11</v>
      </c>
      <c r="B35" s="75" t="s">
        <v>38</v>
      </c>
      <c r="C35" s="79">
        <f>+C16+C17</f>
        <v>64499956.329999998</v>
      </c>
      <c r="D35" s="83">
        <f>+D16-D7</f>
        <v>1.2933034807427503E-3</v>
      </c>
      <c r="E35" s="81">
        <f>+C35*D35</f>
        <v>83418.018029344385</v>
      </c>
      <c r="F35" s="150" t="s">
        <v>35</v>
      </c>
      <c r="G35" s="150"/>
      <c r="H35" s="150"/>
      <c r="I35" s="151"/>
      <c r="J35" s="84"/>
    </row>
    <row r="36" spans="1:10" s="2" customFormat="1" ht="15.75" thickBot="1" x14ac:dyDescent="0.3">
      <c r="A36" s="74" t="s">
        <v>11</v>
      </c>
      <c r="B36" s="75" t="s">
        <v>36</v>
      </c>
      <c r="C36" s="85">
        <f>(+C17+C16)-(C8+C7)</f>
        <v>0</v>
      </c>
      <c r="D36" s="86">
        <f>+D7</f>
        <v>3.0070739064119226E-2</v>
      </c>
      <c r="E36" s="87">
        <f>+C36*D36</f>
        <v>0</v>
      </c>
      <c r="F36" s="150" t="s">
        <v>37</v>
      </c>
      <c r="G36" s="150"/>
      <c r="H36" s="150"/>
      <c r="I36" s="151"/>
      <c r="J36" s="84"/>
    </row>
    <row r="37" spans="1:10" s="2" customFormat="1" ht="15.75" thickBot="1" x14ac:dyDescent="0.3">
      <c r="A37" s="88"/>
      <c r="B37" s="19"/>
      <c r="C37" s="89" t="s">
        <v>39</v>
      </c>
      <c r="D37" s="90"/>
      <c r="E37" s="91">
        <f>SUM(E33:E36)</f>
        <v>-390959.78360443865</v>
      </c>
      <c r="F37" s="149"/>
      <c r="G37" s="150"/>
      <c r="H37" s="150"/>
      <c r="I37" s="151"/>
    </row>
    <row r="38" spans="1:10" s="2" customFormat="1" ht="15.75" thickTop="1" x14ac:dyDescent="0.25">
      <c r="A38" s="57"/>
      <c r="B38" s="5"/>
      <c r="C38" s="92"/>
      <c r="D38" s="5"/>
      <c r="E38" s="29"/>
      <c r="F38" s="92"/>
      <c r="G38" s="92"/>
      <c r="H38" s="92"/>
      <c r="I38" s="92"/>
    </row>
    <row r="39" spans="1:10" s="2" customFormat="1" ht="15.75" thickBot="1" x14ac:dyDescent="0.3">
      <c r="A39" s="4" t="s">
        <v>40</v>
      </c>
      <c r="B39" s="28"/>
      <c r="C39" s="28"/>
      <c r="D39"/>
      <c r="E39"/>
      <c r="F39"/>
      <c r="G39" s="84"/>
      <c r="H39" s="84"/>
      <c r="I39" s="57"/>
      <c r="J39"/>
    </row>
    <row r="40" spans="1:10" s="2" customFormat="1" ht="16.5" thickBot="1" x14ac:dyDescent="0.3">
      <c r="A40" s="63"/>
      <c r="B40" s="93"/>
      <c r="C40" s="135" t="s">
        <v>41</v>
      </c>
      <c r="D40" s="136"/>
      <c r="E40" s="136"/>
      <c r="F40" s="136" t="s">
        <v>33</v>
      </c>
      <c r="G40" s="136"/>
      <c r="H40" s="136"/>
      <c r="I40" s="137"/>
    </row>
    <row r="41" spans="1:10" s="2" customFormat="1" ht="15.75" thickBot="1" x14ac:dyDescent="0.3">
      <c r="A41" s="138"/>
      <c r="B41" s="139"/>
      <c r="C41" s="94"/>
      <c r="D41" s="6"/>
      <c r="E41" s="5"/>
      <c r="F41" s="144"/>
      <c r="G41" s="145"/>
      <c r="H41" s="145"/>
      <c r="I41" s="146"/>
    </row>
    <row r="42" spans="1:10" s="2" customFormat="1" ht="15" customHeight="1" thickBot="1" x14ac:dyDescent="0.3">
      <c r="A42" s="140"/>
      <c r="B42" s="141"/>
      <c r="C42" s="147"/>
      <c r="D42" s="148"/>
      <c r="E42" s="67">
        <f>+E25-G9</f>
        <v>0</v>
      </c>
      <c r="F42" s="149" t="s">
        <v>28</v>
      </c>
      <c r="G42" s="150"/>
      <c r="H42" s="150"/>
      <c r="I42" s="151"/>
    </row>
    <row r="43" spans="1:10" s="2" customFormat="1" ht="16.5" thickTop="1" thickBot="1" x14ac:dyDescent="0.3">
      <c r="A43" s="142"/>
      <c r="B43" s="143"/>
      <c r="C43" s="68"/>
      <c r="E43" s="69"/>
      <c r="F43" s="144"/>
      <c r="G43" s="145"/>
      <c r="H43" s="145"/>
      <c r="I43" s="146"/>
    </row>
    <row r="44" spans="1:10" s="2" customFormat="1" ht="16.5" thickBot="1" x14ac:dyDescent="0.3">
      <c r="A44" s="7" t="s">
        <v>4</v>
      </c>
      <c r="B44" s="70" t="s">
        <v>29</v>
      </c>
      <c r="C44" s="71" t="s">
        <v>30</v>
      </c>
      <c r="D44" s="72" t="s">
        <v>31</v>
      </c>
      <c r="E44" s="73" t="s">
        <v>32</v>
      </c>
      <c r="F44" s="125" t="s">
        <v>33</v>
      </c>
      <c r="G44" s="126"/>
      <c r="H44" s="126"/>
      <c r="I44" s="127"/>
    </row>
    <row r="45" spans="1:10" s="2" customFormat="1" x14ac:dyDescent="0.25">
      <c r="A45" s="95" t="s">
        <v>11</v>
      </c>
      <c r="B45" s="96" t="s">
        <v>34</v>
      </c>
      <c r="C45" s="97">
        <f>+B24</f>
        <v>44527297.850000001</v>
      </c>
      <c r="D45" s="98">
        <f>+D24-F8</f>
        <v>0</v>
      </c>
      <c r="E45" s="99">
        <f>+D45*C45</f>
        <v>0</v>
      </c>
      <c r="F45" s="128" t="s">
        <v>42</v>
      </c>
      <c r="G45" s="128"/>
      <c r="H45" s="128"/>
      <c r="I45" s="129"/>
      <c r="J45" s="100"/>
    </row>
    <row r="46" spans="1:10" s="2" customFormat="1" ht="15.75" thickBot="1" x14ac:dyDescent="0.3">
      <c r="A46" s="74" t="s">
        <v>11</v>
      </c>
      <c r="B46" s="75" t="s">
        <v>36</v>
      </c>
      <c r="C46" s="101">
        <f>+B8-B24</f>
        <v>0</v>
      </c>
      <c r="D46" s="102">
        <f>-F8</f>
        <v>-7.4900000000000008E-2</v>
      </c>
      <c r="E46" s="103">
        <f>+C46*D46</f>
        <v>0</v>
      </c>
      <c r="F46" s="130" t="s">
        <v>37</v>
      </c>
      <c r="G46" s="130"/>
      <c r="H46" s="130"/>
      <c r="I46" s="131"/>
      <c r="J46" s="104"/>
    </row>
    <row r="47" spans="1:10" s="2" customFormat="1" ht="15.75" thickBot="1" x14ac:dyDescent="0.3">
      <c r="A47" s="88"/>
      <c r="B47" s="19"/>
      <c r="C47" s="89" t="s">
        <v>39</v>
      </c>
      <c r="D47" s="89"/>
      <c r="E47" s="91">
        <f>SUM(E45:E46)</f>
        <v>0</v>
      </c>
      <c r="F47" s="132"/>
      <c r="G47" s="133"/>
      <c r="H47" s="133"/>
      <c r="I47" s="134"/>
    </row>
    <row r="48" spans="1:10" s="2" customFormat="1" ht="15.75" thickTop="1" x14ac:dyDescent="0.25">
      <c r="A48"/>
      <c r="B48" s="30"/>
      <c r="C48"/>
    </row>
    <row r="58" spans="9:11" x14ac:dyDescent="0.25">
      <c r="I58" s="105"/>
      <c r="J58" s="106"/>
      <c r="K58" s="22"/>
    </row>
    <row r="59" spans="9:11" x14ac:dyDescent="0.25">
      <c r="I59" s="105"/>
      <c r="J59" s="106"/>
      <c r="K59" s="22"/>
    </row>
    <row r="60" spans="9:11" x14ac:dyDescent="0.25">
      <c r="I60" s="107"/>
      <c r="J60" s="108"/>
      <c r="K60" s="22"/>
    </row>
  </sheetData>
  <mergeCells count="32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2018 Rates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Total 2018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dcterms:created xsi:type="dcterms:W3CDTF">2019-10-11T18:11:43Z</dcterms:created>
  <dcterms:modified xsi:type="dcterms:W3CDTF">2019-10-18T14:21:57Z</dcterms:modified>
</cp:coreProperties>
</file>