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IRM - 2020\DRAFTS to send\"/>
    </mc:Choice>
  </mc:AlternateContent>
  <bookViews>
    <workbookView xWindow="0" yWindow="0" windowWidth="28800" windowHeight="12120" tabRatio="855" firstSheet="4" activeTab="1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52511"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6" i="44" l="1"/>
  <c r="F22" i="44"/>
  <c r="H16" i="44"/>
  <c r="H22" i="44" l="1"/>
  <c r="H146" i="47" l="1"/>
  <c r="H145" i="47"/>
  <c r="H144" i="47"/>
  <c r="H143" i="47"/>
  <c r="H142" i="47"/>
  <c r="H141" i="47"/>
  <c r="E660" i="79" l="1"/>
  <c r="E670" i="79"/>
  <c r="P27" i="85" l="1"/>
  <c r="P49" i="85" s="1"/>
  <c r="C28" i="85" s="1"/>
  <c r="K27" i="85"/>
  <c r="K49" i="85" s="1"/>
  <c r="C27" i="85" s="1"/>
  <c r="D28" i="85" l="1"/>
  <c r="F28" i="85" s="1"/>
  <c r="F39" i="85" s="1"/>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0" i="79"/>
  <c r="N506" i="79"/>
  <c r="N503" i="79"/>
  <c r="N500" i="79"/>
  <c r="N497" i="79"/>
  <c r="N494" i="79"/>
  <c r="N491" i="79"/>
  <c r="N488"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01" i="79"/>
  <c r="N98" i="79"/>
  <c r="N95" i="79"/>
  <c r="N92" i="79"/>
  <c r="N88" i="79"/>
  <c r="N74" i="79"/>
  <c r="N64" i="79"/>
  <c r="N55"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D50"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G53" i="44" l="1"/>
  <c r="G50" i="44"/>
  <c r="F53" i="44"/>
  <c r="F50" i="44"/>
  <c r="H53" i="44"/>
  <c r="H50" i="44"/>
  <c r="I53" i="44"/>
  <c r="I50" i="44"/>
  <c r="E53" i="44"/>
  <c r="E50" i="44"/>
  <c r="AC578" i="79"/>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23" i="45"/>
  <c r="N60" i="46"/>
  <c r="N57" i="46"/>
  <c r="AA127" i="46" s="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50" i="47"/>
  <c r="H151" i="47"/>
  <c r="H152" i="47"/>
  <c r="H153" i="47"/>
  <c r="H154" i="47"/>
  <c r="H155" i="47"/>
  <c r="H156" i="47"/>
  <c r="H157" i="47"/>
  <c r="H158" i="47"/>
  <c r="H159" i="47"/>
  <c r="H160" i="47"/>
  <c r="H161" i="47"/>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I65" i="45" l="1"/>
  <c r="H23" i="45"/>
  <c r="F23" i="45"/>
  <c r="J30" i="45" l="1"/>
  <c r="J23" i="45"/>
  <c r="K23" i="45"/>
  <c r="C130" i="45" s="1"/>
  <c r="E30" i="45"/>
  <c r="E23" i="45"/>
  <c r="E86" i="45"/>
  <c r="E100" i="45"/>
  <c r="E72" i="45"/>
  <c r="E107" i="45"/>
  <c r="E114" i="45"/>
  <c r="E79" i="45"/>
  <c r="E93" i="45"/>
  <c r="E65" i="45"/>
  <c r="G65" i="45"/>
  <c r="G100" i="45"/>
  <c r="G86" i="45"/>
  <c r="G114" i="45"/>
  <c r="G107" i="45"/>
  <c r="G79" i="45"/>
  <c r="G93" i="45"/>
  <c r="G72" i="45"/>
  <c r="H93" i="45"/>
  <c r="H79" i="45"/>
  <c r="H86" i="45"/>
  <c r="H107" i="45"/>
  <c r="H114" i="45"/>
  <c r="H100" i="45"/>
  <c r="H72" i="45"/>
  <c r="I93" i="45"/>
  <c r="I86" i="45"/>
  <c r="I72" i="45"/>
  <c r="I100" i="45"/>
  <c r="I114" i="45"/>
  <c r="I107" i="45"/>
  <c r="I79" i="45"/>
  <c r="F58" i="45"/>
  <c r="F107" i="45"/>
  <c r="F86" i="45"/>
  <c r="F100" i="45"/>
  <c r="F72" i="45"/>
  <c r="F93" i="45"/>
  <c r="F114" i="45"/>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F65" i="45"/>
  <c r="H37" i="45"/>
  <c r="H65" i="45"/>
  <c r="H30" i="45"/>
  <c r="I23" i="45"/>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L129" i="45"/>
  <c r="AF516" i="46"/>
  <c r="H130" i="45"/>
  <c r="C133" i="45"/>
  <c r="Y1113" i="79" s="1"/>
  <c r="N130" i="45"/>
  <c r="AG258" i="46"/>
  <c r="AG259" i="46" s="1"/>
  <c r="AJ516" i="46"/>
  <c r="AJ520" i="46" s="1"/>
  <c r="AG387" i="46"/>
  <c r="G129" i="45"/>
  <c r="E129" i="45"/>
  <c r="AA381" i="79" s="1"/>
  <c r="AA382" i="79" s="1"/>
  <c r="AF258" i="46"/>
  <c r="Y258" i="46"/>
  <c r="Y259" i="46" s="1"/>
  <c r="E130" i="45"/>
  <c r="L130" i="45"/>
  <c r="AG516" i="46"/>
  <c r="AG520" i="46" s="1"/>
  <c r="AF130" i="46"/>
  <c r="AF131" i="46" s="1"/>
  <c r="K54" i="43" s="1"/>
  <c r="I129" i="45"/>
  <c r="AG130" i="46"/>
  <c r="AG131" i="46" s="1"/>
  <c r="L54" i="43" s="1"/>
  <c r="D129" i="45"/>
  <c r="F130" i="45"/>
  <c r="C132" i="45"/>
  <c r="M130" i="45"/>
  <c r="AH258" i="46"/>
  <c r="AI516" i="46"/>
  <c r="K129" i="45"/>
  <c r="K130" i="45"/>
  <c r="J129" i="45"/>
  <c r="AH516" i="46"/>
  <c r="AI387" i="46"/>
  <c r="AI389" i="46" s="1"/>
  <c r="F129" i="45"/>
  <c r="H129" i="45"/>
  <c r="D130" i="45"/>
  <c r="I130" i="45"/>
  <c r="J130" i="45"/>
  <c r="AF387" i="46"/>
  <c r="AH130" i="46"/>
  <c r="AH131" i="46" s="1"/>
  <c r="M54" i="43" s="1"/>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Y755" i="79" l="1"/>
  <c r="Y752" i="79"/>
  <c r="Y757" i="79"/>
  <c r="AK564" i="79"/>
  <c r="AK573" i="79" s="1"/>
  <c r="P73" i="43" s="1"/>
  <c r="AE198" i="79"/>
  <c r="AE202" i="79"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H132" i="46"/>
  <c r="M55" i="43" s="1"/>
  <c r="AG198" i="79"/>
  <c r="AG202" i="79" s="1"/>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7"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K565" i="79" l="1"/>
  <c r="AK570" i="79"/>
  <c r="AE205" i="79"/>
  <c r="J67" i="43" s="1"/>
  <c r="AK571" i="79"/>
  <c r="AK566" i="79"/>
  <c r="AE200" i="79"/>
  <c r="AK569" i="79"/>
  <c r="AK568" i="79"/>
  <c r="Y756" i="79"/>
  <c r="D75" i="43" s="1"/>
  <c r="AE201" i="79"/>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E60" i="43" s="1"/>
  <c r="Z261" i="46"/>
  <c r="Y391" i="46"/>
  <c r="J54" i="43"/>
  <c r="D54" i="43"/>
  <c r="D55" i="43"/>
  <c r="E54" i="43"/>
  <c r="AK572" i="79" l="1"/>
  <c r="P72" i="43" s="1"/>
  <c r="AE204" i="79"/>
  <c r="J66" i="43" s="1"/>
  <c r="AM382" i="79"/>
  <c r="Y572" i="79"/>
  <c r="AM383" i="79"/>
  <c r="R54" i="43"/>
  <c r="AM384" i="79"/>
  <c r="Z756" i="79"/>
  <c r="E75" i="43" s="1"/>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J104" i="43" s="1"/>
  <c r="D103" i="43"/>
  <c r="C103" i="43"/>
  <c r="AB204" i="79"/>
  <c r="G66" i="43" s="1"/>
  <c r="L81" i="47"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D72"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I144" i="47" l="1"/>
  <c r="O98" i="47"/>
  <c r="I135" i="47"/>
  <c r="U83" i="47"/>
  <c r="E42" i="43"/>
  <c r="E29" i="43"/>
  <c r="E31" i="43"/>
  <c r="E30" i="43"/>
  <c r="H20" i="43"/>
  <c r="AM204" i="79"/>
  <c r="E32" i="43"/>
  <c r="R75" i="43"/>
  <c r="R66" i="43"/>
  <c r="R69" i="43"/>
  <c r="R60" i="43"/>
  <c r="R72" i="43"/>
  <c r="Q82" i="47"/>
  <c r="P83" i="47"/>
  <c r="AM391" i="46"/>
  <c r="AM393" i="46" s="1"/>
  <c r="U63" i="47"/>
  <c r="U71" i="47"/>
  <c r="AM206" i="79"/>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W135" i="47" l="1"/>
  <c r="H19" i="43"/>
  <c r="E43"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F35" i="43"/>
  <c r="G35" i="43" s="1"/>
  <c r="I117" i="47" l="1"/>
  <c r="I119" i="47" s="1"/>
  <c r="I132" i="47" s="1"/>
  <c r="I134" i="47" s="1"/>
  <c r="I147" i="47" s="1"/>
  <c r="I149" i="47" s="1"/>
  <c r="I162" i="47" s="1"/>
  <c r="D84" i="43" s="1"/>
  <c r="F32" i="43"/>
  <c r="G32" i="43" s="1"/>
  <c r="W42" i="47"/>
  <c r="D105" i="43" s="1"/>
  <c r="K42" i="47"/>
  <c r="D85" i="43" l="1"/>
  <c r="F29" i="43"/>
  <c r="G29"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<sst xmlns="http://schemas.openxmlformats.org/spreadsheetml/2006/main" count="2977" uniqueCount="745">
  <si>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</si>
  <si>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</si>
  <si>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</si>
  <si>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</si>
  <si>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</si>
  <si>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</si>
  <si>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</si>
  <si>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</si>
  <si>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</si>
  <si>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</si>
  <si>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</si>
  <si>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</si>
  <si>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</si>
  <si>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</si>
  <si>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</si>
  <si>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</si>
  <si>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</si>
  <si>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</si>
  <si>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</si>
  <si>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</si>
  <si>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</si>
  <si>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</si>
  <si>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</si>
  <si>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</si>
  <si>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</si>
  <si>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</si>
  <si>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</si>
  <si>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</si>
  <si>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</si>
  <si>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</si>
  <si>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</si>
  <si>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</si>
  <si>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</si>
  <si>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</si>
  <si>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</si>
  <si>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</si>
  <si>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</si>
  <si>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</si>
  <si>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</si>
  <si>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</si>
  <si>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</si>
  <si>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</si>
  <si>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</si>
  <si>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</si>
  <si>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</si>
  <si>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</si>
  <si>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</si>
  <si>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</si>
  <si>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</si>
  <si>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</si>
  <si>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</si>
  <si>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</si>
  <si>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</si>
  <si>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</si>
  <si>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</si>
  <si>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</si>
  <si>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</si>
  <si>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</si>
  <si>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</si>
  <si>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</si>
  <si>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</si>
  <si>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</si>
  <si>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</si>
  <si>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</si>
  <si>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</si>
  <si>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</si>
  <si>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</si>
  <si>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</si>
  <si>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</si>
  <si>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</si>
  <si>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</si>
  <si>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</si>
  <si>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</si>
  <si>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</si>
  <si>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</si>
  <si>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</si>
  <si>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</si>
  <si>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</si>
  <si>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</si>
  <si>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</si>
  <si>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</si>
  <si>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</si>
  <si>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</si>
  <si>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</si>
  <si>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</si>
  <si>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</si>
  <si>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</si>
  <si>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</si>
  <si>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</si>
  <si>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</si>
  <si>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</si>
  <si>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</si>
  <si>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</si>
  <si>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</si>
  <si>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</si>
  <si>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</si>
  <si>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</si>
  <si>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</si>
  <si>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</si>
  <si>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</si>
  <si>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</si>
  <si>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</si>
  <si>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</si>
  <si>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</si>
  <si>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</si>
  <si>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</si>
  <si>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</si>
  <si>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</si>
  <si>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</si>
  <si>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</si>
  <si>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</si>
  <si>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</si>
  <si>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</si>
  <si>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</si>
  <si>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</si>
  <si>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</si>
  <si>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</si>
  <si>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</si>
  <si>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</si>
  <si>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</si>
  <si>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</si>
  <si>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</si>
  <si>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</si>
  <si>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</si>
  <si>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</si>
  <si>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</si>
  <si>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</si>
  <si>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</si>
  <si>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</si>
  <si>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</si>
  <si>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</si>
  <si>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</si>
  <si>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</si>
  <si>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</si>
  <si>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</si>
  <si>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</si>
  <si>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</si>
  <si>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</si>
  <si>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</si>
  <si>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</si>
  <si>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</si>
  <si>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</si>
  <si>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</si>
  <si>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</si>
  <si>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</si>
  <si>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</si>
  <si>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</si>
  <si>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</si>
  <si>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</si>
  <si>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</si>
  <si>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</si>
  <si>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</si>
  <si>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</si>
  <si>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</si>
  <si>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</si>
  <si>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</si>
  <si>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</si>
  <si>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</si>
  <si>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</si>
  <si>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</si>
  <si>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</si>
  <si>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</si>
  <si>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</si>
  <si>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</si>
  <si>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</si>
  <si>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</si>
  <si>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</si>
  <si>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</si>
  <si>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</si>
  <si>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</si>
  <si>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</si>
  <si>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</si>
  <si>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</si>
  <si>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</si>
  <si>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</si>
  <si>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</si>
  <si>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</si>
  <si>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</si>
  <si>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</si>
  <si>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</si>
  <si>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</si>
  <si>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</si>
  <si>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</si>
  <si>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</si>
  <si>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</si>
  <si>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</si>
  <si>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</si>
  <si>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</si>
  <si>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</si>
  <si>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</si>
  <si>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</si>
  <si>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</si>
  <si>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</si>
  <si>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</si>
  <si>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</si>
  <si>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</si>
  <si>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</si>
  <si>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</si>
  <si>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</si>
  <si>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</si>
  <si>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</si>
  <si>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</si>
  <si>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</si>
  <si>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</si>
  <si>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</si>
  <si>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</si>
  <si>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</si>
  <si>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</si>
  <si>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</si>
  <si>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</si>
  <si>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</si>
  <si>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</si>
  <si>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</si>
  <si>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</si>
  <si>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</si>
  <si>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</si>
  <si>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</si>
  <si>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</si>
  <si>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</si>
  <si>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</si>
  <si>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</si>
  <si>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</si>
  <si>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</si>
  <si>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</si>
  <si>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</si>
  <si>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</si>
  <si>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</si>
  <si>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</si>
  <si>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</si>
  <si>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</si>
  <si>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</si>
  <si>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</si>
  <si>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</si>
  <si>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</si>
  <si>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</si>
  <si>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</si>
  <si>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</si>
  <si>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</si>
  <si>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</si>
  <si>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</si>
  <si>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</si>
  <si>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</si>
  <si>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</si>
  <si>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</si>
  <si>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</si>
  <si>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</si>
  <si>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</si>
  <si>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</si>
  <si>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</si>
  <si>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</si>
  <si>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</si>
  <si>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</si>
  <si>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</si>
  <si>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</si>
  <si>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</si>
  <si>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</si>
  <si>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</si>
  <si>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</si>
  <si>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</si>
  <si>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</si>
  <si>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</si>
  <si>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</si>
  <si>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</si>
  <si>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</si>
  <si>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</si>
  <si>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</si>
  <si>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</si>
  <si>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</si>
  <si>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</si>
  <si>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</si>
  <si>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</si>
  <si>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</si>
  <si>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</si>
  <si>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</si>
  <si>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</si>
  <si>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</si>
  <si>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</si>
  <si>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</si>
  <si>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</si>
  <si>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</si>
  <si>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</si>
  <si>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</si>
  <si>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</si>
  <si>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</si>
  <si>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</si>
  <si>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</si>
  <si>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</si>
  <si>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</si>
  <si>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</si>
  <si>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</si>
  <si>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</si>
  <si>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</si>
  <si>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</si>
  <si>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</si>
  <si>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</si>
  <si>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</si>
  <si>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</si>
  <si>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</si>
  <si>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</si>
  <si>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</si>
  <si>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</si>
  <si>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</si>
  <si>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</si>
  <si>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</si>
  <si>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</si>
  <si>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</si>
  <si>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</si>
  <si>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</si>
  <si>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</si>
  <si>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</si>
  <si>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</si>
  <si>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</si>
  <si>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</si>
  <si>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</si>
  <si>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</si>
  <si>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</si>
  <si>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</si>
  <si>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</si>
  <si>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</si>
  <si>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</si>
  <si>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</si>
  <si>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</si>
  <si>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</si>
  <si>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</si>
  <si>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</si>
  <si>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</si>
  <si>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</si>
  <si>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</si>
  <si>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</si>
  <si>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</si>
  <si>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</si>
  <si>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</si>
  <si>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</si>
  <si>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</si>
  <si>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</si>
  <si>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</si>
  <si>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</si>
  <si>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</si>
  <si>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</si>
  <si>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</si>
  <si>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</si>
  <si>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</si>
  <si>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</si>
  <si>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</si>
  <si>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</si>
  <si>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</si>
  <si>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</si>
  <si>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</si>
  <si>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</si>
  <si>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</si>
  <si>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</si>
  <si>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</si>
  <si>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</si>
  <si>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</si>
  <si>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</si>
  <si>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</si>
  <si>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</si>
  <si>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</si>
  <si>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</si>
  <si>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</si>
  <si>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</si>
  <si>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</si>
  <si>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</si>
  <si>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</si>
  <si>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</si>
  <si>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</si>
  <si>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</si>
  <si>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</si>
  <si>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</si>
  <si>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</si>
  <si>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</si>
  <si>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</si>
  <si>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</si>
  <si>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</si>
  <si>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</si>
  <si>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</si>
  <si>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</si>
  <si>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</si>
  <si>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</si>
  <si>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</si>
  <si>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</si>
  <si>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</si>
  <si>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</si>
  <si>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</si>
  <si>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</si>
  <si>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</si>
  <si>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</si>
  <si>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</si>
  <si>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</si>
  <si>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</si>
  <si>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</si>
  <si>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</si>
  <si>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</si>
  <si>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</si>
  <si>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</si>
  <si>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</si>
  <si>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</si>
  <si>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</si>
  <si>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</si>
  <si>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</si>
  <si>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</si>
  <si>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</si>
  <si>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</si>
  <si>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</si>
  <si>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</si>
  <si>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</si>
  <si>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</si>
  <si>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</si>
  <si>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</si>
  <si>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</si>
  <si>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</si>
  <si>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</si>
  <si>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</si>
  <si>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</si>
  <si>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</si>
  <si>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</si>
  <si>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</si>
  <si>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</si>
  <si>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</si>
  <si>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</si>
  <si>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</si>
  <si>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</si>
  <si>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</si>
  <si>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</si>
  <si>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</si>
  <si>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</si>
  <si>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</si>
  <si>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</si>
  <si>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</si>
  <si>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</si>
  <si>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</si>
  <si>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</si>
  <si>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</si>
  <si>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</si>
  <si>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</si>
  <si>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</si>
  <si>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</si>
  <si>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</si>
  <si>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</si>
  <si>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</si>
  <si>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</si>
  <si>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</si>
  <si>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</si>
  <si>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</si>
  <si>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</si>
  <si>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</si>
  <si>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</si>
  <si>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</si>
  <si>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</si>
  <si>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</si>
  <si>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</si>
  <si>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</si>
  <si>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</si>
  <si>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</si>
  <si>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</si>
  <si>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</si>
  <si>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</si>
  <si>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</si>
  <si>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</si>
  <si>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</si>
  <si>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</si>
  <si>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</si>
  <si>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</si>
  <si>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</si>
  <si>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</si>
  <si>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</si>
  <si>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</si>
  <si>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</si>
  <si>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</si>
  <si>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</si>
  <si>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</si>
  <si>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</si>
  <si>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</si>
  <si>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</si>
  <si>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</si>
  <si>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</si>
  <si>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</si>
  <si>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</si>
  <si>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</si>
  <si>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</si>
  <si>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</si>
  <si>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</si>
  <si>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</si>
  <si>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</si>
  <si>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</si>
  <si>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</si>
  <si>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</si>
  <si>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</si>
  <si>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</si>
  <si>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</si>
  <si>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</si>
  <si>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</si>
  <si>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</si>
  <si>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</si>
  <si>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</si>
  <si>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</si>
  <si>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</si>
  <si>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</si>
  <si>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</si>
  <si>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</si>
  <si>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</si>
  <si>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</si>
  <si>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</si>
  <si>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</si>
  <si>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</si>
  <si>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</si>
  <si>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</si>
  <si>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</si>
  <si>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</si>
  <si>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</si>
  <si>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</si>
  <si>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</si>
  <si>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</si>
  <si>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</si>
  <si>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</si>
  <si>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</si>
  <si>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</si>
  <si>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</si>
  <si>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</si>
  <si>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</si>
  <si>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</si>
  <si>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</si>
  <si>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</si>
  <si>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</si>
  <si>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</si>
  <si>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</si>
  <si>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</si>
  <si>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</si>
  <si>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</si>
  <si>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</si>
  <si>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</si>
  <si>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</si>
  <si>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</si>
  <si>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</si>
  <si>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</si>
  <si>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</si>
  <si>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</si>
  <si>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</si>
  <si>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</si>
  <si>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</si>
  <si>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</si>
  <si>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</si>
  <si>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</si>
  <si>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</si>
  <si>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</si>
  <si>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</si>
  <si>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</si>
  <si>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</si>
  <si>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</si>
  <si>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</si>
  <si>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</si>
  <si>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</si>
  <si>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</si>
  <si>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</si>
  <si>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</si>
  <si>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</si>
  <si>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</si>
  <si>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</si>
  <si>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</si>
  <si>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</si>
  <si>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</si>
  <si>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</si>
  <si>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</si>
  <si>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</si>
  <si>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</si>
  <si>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EB-2015-XXXX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</si>
  <si>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</si>
  <si>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</si>
  <si>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</si>
  <si>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</si>
  <si>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</si>
  <si>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</si>
  <si>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</si>
  <si>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</si>
  <si>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</si>
  <si>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</si>
  <si>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</si>
  <si>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</si>
  <si>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</si>
  <si>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</si>
  <si>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</si>
  <si>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</si>
  <si>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</si>
  <si>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</si>
  <si>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</si>
  <si>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</si>
  <si>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</si>
  <si>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</si>
  <si>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</si>
  <si>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</si>
  <si>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</si>
  <si>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</si>
  <si>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</si>
  <si>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</si>
  <si>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</si>
  <si>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</si>
  <si>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</si>
  <si>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</si>
  <si>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</si>
  <si>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</si>
  <si>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</si>
  <si>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</si>
  <si>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</si>
  <si>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</si>
  <si>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</si>
  <si>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</si>
  <si>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</si>
  <si>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</si>
  <si>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</si>
  <si>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</si>
  <si>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</si>
  <si>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</si>
  <si>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</si>
  <si>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</si>
  <si>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</si>
  <si>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</si>
  <si>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</si>
  <si>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</si>
  <si>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</si>
  <si>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</si>
  <si>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</si>
  <si>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</si>
  <si>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</si>
  <si>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</si>
  <si>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</si>
  <si>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</si>
  <si>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</si>
  <si>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</si>
  <si>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</si>
  <si>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</si>
  <si>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</si>
  <si>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</si>
  <si>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</si>
  <si>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</si>
  <si>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</si>
  <si>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</si>
  <si>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</si>
  <si>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</si>
  <si>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</si>
  <si>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</si>
  <si>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</si>
  <si>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</si>
  <si>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</si>
  <si>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</si>
  <si>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</si>
  <si>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</si>
  <si>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</si>
  <si>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</si>
  <si>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</si>
  <si>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</si>
  <si>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</si>
  <si>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</si>
  <si>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</si>
  <si>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</si>
  <si>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</si>
  <si>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</si>
  <si>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</si>
  <si>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</si>
  <si>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</si>
  <si>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</si>
  <si>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</si>
  <si>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</si>
  <si>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</si>
  <si>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</si>
  <si>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</si>
  <si>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</si>
  <si>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</si>
  <si>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</si>
  <si>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</si>
  <si>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</si>
  <si>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</si>
  <si>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</si>
  <si>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</si>
  <si>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</si>
  <si>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</si>
  <si>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</si>
  <si>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</si>
  <si>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</si>
  <si>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</si>
  <si>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</si>
  <si>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</si>
  <si>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</si>
  <si>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</si>
  <si>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</si>
  <si>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</si>
  <si>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</si>
  <si>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</si>
  <si>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</si>
  <si>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</si>
  <si>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</si>
  <si>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</si>
  <si>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</si>
  <si>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</si>
  <si>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</si>
  <si>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</si>
  <si>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</si>
  <si>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</si>
  <si>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</si>
  <si>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</si>
  <si>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</si>
  <si>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</si>
  <si>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</si>
  <si>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</si>
  <si>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</si>
  <si>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</si>
  <si>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</si>
  <si>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</si>
  <si>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</si>
  <si>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</si>
  <si>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</si>
  <si>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</si>
  <si>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</si>
  <si>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</si>
  <si>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</si>
  <si>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</si>
  <si>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</si>
  <si>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</si>
  <si>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</si>
  <si>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</si>
  <si>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</si>
  <si>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</si>
  <si>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EB-2009-0146</t>
  </si>
  <si>
    <t>EB-2010-0112</t>
  </si>
  <si>
    <t>EB-2011-0195</t>
  </si>
  <si>
    <t>EB-2012-0163</t>
  </si>
  <si>
    <t>EB-2013-0168</t>
  </si>
  <si>
    <t>EB-2014-0110</t>
  </si>
  <si>
    <t>EB-2016-0166</t>
  </si>
  <si>
    <t>EB-2017-0072</t>
  </si>
  <si>
    <t>GS"50kW</t>
  </si>
  <si>
    <t>USL</t>
  </si>
  <si>
    <t>Streetlights</t>
  </si>
  <si>
    <t>Save on Energy Instant Discount Program</t>
  </si>
  <si>
    <t>Pool Saver Local Program</t>
  </si>
  <si>
    <t>Whole Home Pilot Program</t>
  </si>
  <si>
    <t>EB-2018-0064</t>
  </si>
  <si>
    <t>Save on Energy Business Refrigeration Program</t>
  </si>
  <si>
    <t>Renfrew Hydro Inc.</t>
  </si>
  <si>
    <t>2017 COSApplication</t>
  </si>
  <si>
    <t>EB-2019-0065</t>
  </si>
  <si>
    <t>2020 IRM Application</t>
  </si>
  <si>
    <t>Board Approved Load Forecast (kWh)</t>
  </si>
  <si>
    <t>Board Approved Load Forecast (kW)</t>
  </si>
  <si>
    <t>2016-2018</t>
  </si>
  <si>
    <t>Converting to kW</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</si>
</sst>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0">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91" fillId="94" borderId="0" xfId="0" applyFont="1" applyFill="1" applyBorder="1" applyAlignment="1" applyProtection="1">
      <alignment vertical="top" wrapText="1"/>
      <protection locked="0"/>
    </xf>
    <xf numFmtId="1" fontId="41" fillId="28" borderId="34" xfId="0" applyNumberFormat="1" applyFont="1" applyFill="1" applyBorder="1" applyAlignment="1" applyProtection="1">
      <alignment horizontal="center"/>
      <protection locked="0"/>
    </xf>
    <xf numFmtId="0" fontId="13" fillId="2" borderId="110" xfId="0" applyFont="1" applyFill="1" applyBorder="1" applyProtection="1">
      <protection locked="0"/>
    </xf>
    <xf numFmtId="0" fontId="13" fillId="2" borderId="110" xfId="0" applyFont="1" applyFill="1" applyBorder="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xmlns=""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xmlns=""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xmlns=""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xmlns=""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xmlns=""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xmlns="" id="{00000000-0008-0000-0A00-000002000000}"/>
            </a:ext>
          </a:extLst>
        </xdr:cNvPr>
        <xdr:cNvGrpSpPr/>
      </xdr:nvGrpSpPr>
      <xdr:grpSpPr>
        <a:xfrm>
          <a:off x="299358" y="134471"/>
          <a:ext cx="18455821" cy="2098123"/>
          <a:chOff x="10997237" y="5479676"/>
          <a:chExt cx="8857420" cy="1900278"/>
        </a:xfrm>
      </xdr:grpSpPr>
      <xdr:pic>
        <xdr:nvPicPr>
          <xdr:cNvPr id="3" name="Picture 2">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xmlns=""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xmlns=""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xmlns=""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xmlns=""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xmlns=""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xmlns=""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xmlns="" id="{00000000-0008-0000-0C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xmlns=""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xmlns=""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xmlns=""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xmlns=""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xmlns=""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xmlns=""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xmlns=""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xmlns=""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xmlns=""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xmlns="" id="{00000000-0008-0000-0200-000004000000}"/>
            </a:ext>
          </a:extLst>
        </xdr:cNvPr>
        <xdr:cNvGrpSpPr/>
      </xdr:nvGrpSpPr>
      <xdr:grpSpPr>
        <a:xfrm>
          <a:off x="123825" y="76200"/>
          <a:ext cx="19348186" cy="1971675"/>
          <a:chOff x="10997237" y="5479676"/>
          <a:chExt cx="8857420" cy="1900278"/>
        </a:xfrm>
      </xdr:grpSpPr>
      <xdr:pic>
        <xdr:nvPicPr>
          <xdr:cNvPr id="5" name="Picture 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xmlns=""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xmlns=""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xmlns=""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xmlns=""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xmlns="" id="{00000000-0008-0000-0400-000002000000}"/>
            </a:ext>
          </a:extLst>
        </xdr:cNvPr>
        <xdr:cNvGrpSpPr/>
      </xdr:nvGrpSpPr>
      <xdr:grpSpPr>
        <a:xfrm>
          <a:off x="135155" y="47006"/>
          <a:ext cx="19787658" cy="2334449"/>
          <a:chOff x="11005139" y="5482585"/>
          <a:chExt cx="8857420" cy="1900278"/>
        </a:xfrm>
      </xdr:grpSpPr>
      <xdr:pic>
        <xdr:nvPicPr>
          <xdr:cNvPr id="3" name="Picture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xmlns=""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xmlns=""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xmlns=""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xmlns=""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xmlns=""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xmlns=""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171450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xmlns=""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171450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xmlns=""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xmlns=""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xmlns=""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xmlns="" id="{00000000-0008-0000-0600-000002000000}"/>
            </a:ext>
          </a:extLst>
        </xdr:cNvPr>
        <xdr:cNvGrpSpPr/>
      </xdr:nvGrpSpPr>
      <xdr:grpSpPr>
        <a:xfrm>
          <a:off x="102950" y="0"/>
          <a:ext cx="19408748" cy="2187348"/>
          <a:chOff x="10997237" y="5479676"/>
          <a:chExt cx="8857420" cy="1900278"/>
        </a:xfrm>
      </xdr:grpSpPr>
      <xdr:pic>
        <xdr:nvPicPr>
          <xdr:cNvPr id="3" name="Picture 2">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xmlns=""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xmlns="" id="{00000000-0008-0000-0700-000003000000}"/>
            </a:ext>
          </a:extLst>
        </xdr:cNvPr>
        <xdr:cNvGrpSpPr/>
      </xdr:nvGrpSpPr>
      <xdr:grpSpPr>
        <a:xfrm>
          <a:off x="490393" y="281441"/>
          <a:ext cx="15376673" cy="1571964"/>
          <a:chOff x="11207347" y="5630816"/>
          <a:chExt cx="8999966" cy="1385141"/>
        </a:xfrm>
      </xdr:grpSpPr>
      <xdr:sp macro="" textlink="">
        <xdr:nvSpPr>
          <xdr:cNvPr id="5" name="Rectangle 4">
            <a:extLst>
              <a:ext uri="{FF2B5EF4-FFF2-40B4-BE49-F238E27FC236}">
                <a16:creationId xmlns:a16="http://schemas.microsoft.com/office/drawing/2014/main" xmlns=""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xmlns=""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xmlns=""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xmlns=""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xmlns=""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xmlns=""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xmlns=""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xmlns=""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xmlns="" id="{00000000-0008-0000-0900-000003000000}"/>
            </a:ext>
          </a:extLst>
        </xdr:cNvPr>
        <xdr:cNvGrpSpPr/>
      </xdr:nvGrpSpPr>
      <xdr:grpSpPr>
        <a:xfrm>
          <a:off x="417711" y="216648"/>
          <a:ext cx="17509665" cy="2248020"/>
          <a:chOff x="11176383" y="5659979"/>
          <a:chExt cx="6311801" cy="1821373"/>
        </a:xfrm>
      </xdr:grpSpPr>
      <xdr:sp macro="" textlink="">
        <xdr:nvSpPr>
          <xdr:cNvPr id="4" name="Rectangle 3">
            <a:extLst>
              <a:ext uri="{FF2B5EF4-FFF2-40B4-BE49-F238E27FC236}">
                <a16:creationId xmlns:a16="http://schemas.microsoft.com/office/drawing/2014/main" xmlns=""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xmlns=""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C17" sqref="C17"/>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61" t="s">
        <v>174</v>
      </c>
      <c r="C3" s="761"/>
    </row>
    <row r="4" spans="1:3" ht="11.25" customHeight="1"/>
    <row r="5" spans="1:3" s="30" customFormat="1" ht="25.5" customHeight="1">
      <c r="B5" s="60" t="s">
        <v>420</v>
      </c>
      <c r="C5" s="60" t="s">
        <v>173</v>
      </c>
    </row>
    <row r="6" spans="1:3" s="176" customFormat="1" ht="48" customHeight="1">
      <c r="A6" s="241"/>
      <c r="B6" s="618" t="s">
        <v>170</v>
      </c>
      <c r="C6" s="671" t="s">
        <v>599</v>
      </c>
    </row>
    <row r="7" spans="1:3" s="176" customFormat="1" ht="21" customHeight="1">
      <c r="A7" s="241"/>
      <c r="B7" s="612" t="s">
        <v>552</v>
      </c>
      <c r="C7" s="672" t="s">
        <v>612</v>
      </c>
    </row>
    <row r="8" spans="1:3" s="176" customFormat="1" ht="32.25" customHeight="1">
      <c r="B8" s="612" t="s">
        <v>367</v>
      </c>
      <c r="C8" s="673" t="s">
        <v>600</v>
      </c>
    </row>
    <row r="9" spans="1:3" s="176" customFormat="1" ht="27.75" customHeight="1">
      <c r="B9" s="612" t="s">
        <v>169</v>
      </c>
      <c r="C9" s="673" t="s">
        <v>601</v>
      </c>
    </row>
    <row r="10" spans="1:3" s="176" customFormat="1" ht="33" customHeight="1">
      <c r="B10" s="612" t="s">
        <v>597</v>
      </c>
      <c r="C10" s="672" t="s">
        <v>605</v>
      </c>
    </row>
    <row r="11" spans="1:3" s="176" customFormat="1" ht="26.25" customHeight="1">
      <c r="B11" s="627" t="s">
        <v>368</v>
      </c>
      <c r="C11" s="675" t="s">
        <v>602</v>
      </c>
    </row>
    <row r="12" spans="1:3" s="176" customFormat="1" ht="39.75" customHeight="1">
      <c r="B12" s="612" t="s">
        <v>369</v>
      </c>
      <c r="C12" s="673" t="s">
        <v>603</v>
      </c>
    </row>
    <row r="13" spans="1:3" s="176" customFormat="1" ht="18" customHeight="1">
      <c r="B13" s="612" t="s">
        <v>370</v>
      </c>
      <c r="C13" s="673" t="s">
        <v>604</v>
      </c>
    </row>
    <row r="14" spans="1:3" s="176" customFormat="1" ht="13.5" customHeight="1">
      <c r="B14" s="612"/>
      <c r="C14" s="674"/>
    </row>
    <row r="15" spans="1:3" s="176" customFormat="1" ht="18" customHeight="1">
      <c r="B15" s="612" t="s">
        <v>668</v>
      </c>
      <c r="C15" s="672" t="s">
        <v>666</v>
      </c>
    </row>
    <row r="16" spans="1:3" s="176" customFormat="1" ht="8.25" customHeight="1">
      <c r="B16" s="612"/>
      <c r="C16" s="674"/>
    </row>
    <row r="17" spans="2:3" s="176" customFormat="1" ht="33" customHeight="1">
      <c r="B17" s="676" t="s">
        <v>598</v>
      </c>
      <c r="C17" s="677" t="s">
        <v>667</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A487" zoomScale="90" zoomScaleNormal="90" zoomScaleSheetLayoutView="80" zoomScalePageLayoutView="85" workbookViewId="0">
      <selection activeCell="G530" sqref="G530"/>
    </sheetView>
  </sheetViews>
  <sheetFormatPr defaultColWidth="9.140625" defaultRowHeight="14.25" outlineLevelRow="1" outlineLevelCol="1"/>
  <cols>
    <col min="1" max="1" width="4.7109375" style="509" customWidth="1"/>
    <col min="2" max="2" width="43.710937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11"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11"/>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08" t="s">
        <v>551</v>
      </c>
      <c r="D5" s="809"/>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11" t="s">
        <v>505</v>
      </c>
      <c r="C7" s="812" t="s">
        <v>631</v>
      </c>
      <c r="D7" s="812"/>
      <c r="E7" s="812"/>
      <c r="F7" s="812"/>
      <c r="G7" s="812"/>
      <c r="H7" s="812"/>
      <c r="I7" s="812"/>
      <c r="J7" s="812"/>
      <c r="K7" s="812"/>
      <c r="L7" s="812"/>
      <c r="M7" s="812"/>
      <c r="N7" s="812"/>
      <c r="O7" s="812"/>
      <c r="P7" s="812"/>
      <c r="Q7" s="812"/>
      <c r="R7" s="812"/>
      <c r="S7" s="812"/>
      <c r="T7" s="812"/>
      <c r="U7" s="812"/>
      <c r="V7" s="812"/>
      <c r="W7" s="812"/>
      <c r="X7" s="812"/>
      <c r="Y7" s="606"/>
      <c r="Z7" s="606"/>
      <c r="AA7" s="606"/>
      <c r="AB7" s="606"/>
      <c r="AC7" s="606"/>
      <c r="AD7" s="606"/>
      <c r="AE7" s="270"/>
      <c r="AF7" s="270"/>
      <c r="AG7" s="270"/>
      <c r="AH7" s="270"/>
      <c r="AI7" s="270"/>
      <c r="AJ7" s="270"/>
      <c r="AK7" s="270"/>
      <c r="AL7" s="270"/>
    </row>
    <row r="8" spans="1:39" s="271" customFormat="1" ht="58.5" customHeight="1">
      <c r="A8" s="509"/>
      <c r="B8" s="811"/>
      <c r="C8" s="812" t="s">
        <v>569</v>
      </c>
      <c r="D8" s="812"/>
      <c r="E8" s="812"/>
      <c r="F8" s="812"/>
      <c r="G8" s="812"/>
      <c r="H8" s="812"/>
      <c r="I8" s="812"/>
      <c r="J8" s="812"/>
      <c r="K8" s="812"/>
      <c r="L8" s="812"/>
      <c r="M8" s="812"/>
      <c r="N8" s="812"/>
      <c r="O8" s="812"/>
      <c r="P8" s="812"/>
      <c r="Q8" s="812"/>
      <c r="R8" s="812"/>
      <c r="S8" s="812"/>
      <c r="T8" s="812"/>
      <c r="U8" s="812"/>
      <c r="V8" s="812"/>
      <c r="W8" s="812"/>
      <c r="X8" s="812"/>
      <c r="Y8" s="606"/>
      <c r="Z8" s="606"/>
      <c r="AA8" s="606"/>
      <c r="AB8" s="606"/>
      <c r="AC8" s="606"/>
      <c r="AD8" s="606"/>
      <c r="AE8" s="272"/>
      <c r="AF8" s="255"/>
      <c r="AG8" s="255"/>
      <c r="AH8" s="255"/>
      <c r="AI8" s="255"/>
      <c r="AJ8" s="255"/>
      <c r="AK8" s="255"/>
      <c r="AL8" s="255"/>
      <c r="AM8" s="256"/>
    </row>
    <row r="9" spans="1:39" s="271" customFormat="1" ht="57.75" customHeight="1">
      <c r="A9" s="509"/>
      <c r="B9" s="273"/>
      <c r="C9" s="812" t="s">
        <v>568</v>
      </c>
      <c r="D9" s="812"/>
      <c r="E9" s="812"/>
      <c r="F9" s="812"/>
      <c r="G9" s="812"/>
      <c r="H9" s="812"/>
      <c r="I9" s="812"/>
      <c r="J9" s="812"/>
      <c r="K9" s="812"/>
      <c r="L9" s="812"/>
      <c r="M9" s="812"/>
      <c r="N9" s="812"/>
      <c r="O9" s="812"/>
      <c r="P9" s="812"/>
      <c r="Q9" s="812"/>
      <c r="R9" s="812"/>
      <c r="S9" s="812"/>
      <c r="T9" s="812"/>
      <c r="U9" s="812"/>
      <c r="V9" s="812"/>
      <c r="W9" s="812"/>
      <c r="X9" s="812"/>
      <c r="Y9" s="606"/>
      <c r="Z9" s="606"/>
      <c r="AA9" s="606"/>
      <c r="AB9" s="606"/>
      <c r="AC9" s="606"/>
      <c r="AD9" s="606"/>
      <c r="AE9" s="272"/>
      <c r="AF9" s="255"/>
      <c r="AG9" s="255"/>
      <c r="AH9" s="255"/>
      <c r="AI9" s="255"/>
      <c r="AJ9" s="255"/>
      <c r="AK9" s="255"/>
      <c r="AL9" s="255"/>
      <c r="AM9" s="256"/>
    </row>
    <row r="10" spans="1:39" ht="41.25" customHeight="1">
      <c r="B10" s="275"/>
      <c r="C10" s="812" t="s">
        <v>634</v>
      </c>
      <c r="D10" s="812"/>
      <c r="E10" s="812"/>
      <c r="F10" s="812"/>
      <c r="G10" s="812"/>
      <c r="H10" s="812"/>
      <c r="I10" s="812"/>
      <c r="J10" s="812"/>
      <c r="K10" s="812"/>
      <c r="L10" s="812"/>
      <c r="M10" s="812"/>
      <c r="N10" s="812"/>
      <c r="O10" s="812"/>
      <c r="P10" s="812"/>
      <c r="Q10" s="812"/>
      <c r="R10" s="812"/>
      <c r="S10" s="812"/>
      <c r="T10" s="812"/>
      <c r="U10" s="812"/>
      <c r="V10" s="812"/>
      <c r="W10" s="812"/>
      <c r="X10" s="812"/>
      <c r="Y10" s="606"/>
      <c r="Z10" s="606"/>
      <c r="AA10" s="606"/>
      <c r="AB10" s="606"/>
      <c r="AC10" s="606"/>
      <c r="AD10" s="606"/>
      <c r="AE10" s="272"/>
      <c r="AF10" s="276"/>
      <c r="AG10" s="276"/>
      <c r="AH10" s="276"/>
      <c r="AI10" s="276"/>
      <c r="AJ10" s="276"/>
      <c r="AK10" s="276"/>
      <c r="AL10" s="276"/>
    </row>
    <row r="11" spans="1:39" ht="53.25" customHeight="1">
      <c r="C11" s="812" t="s">
        <v>619</v>
      </c>
      <c r="D11" s="812"/>
      <c r="E11" s="812"/>
      <c r="F11" s="812"/>
      <c r="G11" s="812"/>
      <c r="H11" s="812"/>
      <c r="I11" s="812"/>
      <c r="J11" s="812"/>
      <c r="K11" s="812"/>
      <c r="L11" s="812"/>
      <c r="M11" s="812"/>
      <c r="N11" s="812"/>
      <c r="O11" s="812"/>
      <c r="P11" s="812"/>
      <c r="Q11" s="812"/>
      <c r="R11" s="812"/>
      <c r="S11" s="812"/>
      <c r="T11" s="812"/>
      <c r="U11" s="812"/>
      <c r="V11" s="812"/>
      <c r="W11" s="812"/>
      <c r="X11" s="812"/>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11"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11"/>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13" t="s">
        <v>211</v>
      </c>
      <c r="C19" s="815" t="s">
        <v>33</v>
      </c>
      <c r="D19" s="284" t="s">
        <v>422</v>
      </c>
      <c r="E19" s="817" t="s">
        <v>209</v>
      </c>
      <c r="F19" s="818"/>
      <c r="G19" s="818"/>
      <c r="H19" s="818"/>
      <c r="I19" s="818"/>
      <c r="J19" s="818"/>
      <c r="K19" s="818"/>
      <c r="L19" s="818"/>
      <c r="M19" s="819"/>
      <c r="N19" s="823" t="s">
        <v>213</v>
      </c>
      <c r="O19" s="284" t="s">
        <v>423</v>
      </c>
      <c r="P19" s="817" t="s">
        <v>212</v>
      </c>
      <c r="Q19" s="818"/>
      <c r="R19" s="818"/>
      <c r="S19" s="818"/>
      <c r="T19" s="818"/>
      <c r="U19" s="818"/>
      <c r="V19" s="818"/>
      <c r="W19" s="818"/>
      <c r="X19" s="819"/>
      <c r="Y19" s="820" t="s">
        <v>243</v>
      </c>
      <c r="Z19" s="821"/>
      <c r="AA19" s="821"/>
      <c r="AB19" s="821"/>
      <c r="AC19" s="821"/>
      <c r="AD19" s="821"/>
      <c r="AE19" s="821"/>
      <c r="AF19" s="821"/>
      <c r="AG19" s="821"/>
      <c r="AH19" s="821"/>
      <c r="AI19" s="821"/>
      <c r="AJ19" s="821"/>
      <c r="AK19" s="821"/>
      <c r="AL19" s="821"/>
      <c r="AM19" s="822"/>
    </row>
    <row r="20" spans="1:39" s="283" customFormat="1" ht="59.25" customHeight="1">
      <c r="A20" s="509"/>
      <c r="B20" s="814"/>
      <c r="C20" s="816"/>
      <c r="D20" s="285">
        <v>2011</v>
      </c>
      <c r="E20" s="285">
        <v>2012</v>
      </c>
      <c r="F20" s="285">
        <v>2013</v>
      </c>
      <c r="G20" s="285">
        <v>2014</v>
      </c>
      <c r="H20" s="285">
        <v>2015</v>
      </c>
      <c r="I20" s="285">
        <v>2016</v>
      </c>
      <c r="J20" s="285">
        <v>2017</v>
      </c>
      <c r="K20" s="285">
        <v>2018</v>
      </c>
      <c r="L20" s="285">
        <v>2019</v>
      </c>
      <c r="M20" s="285">
        <v>2020</v>
      </c>
      <c r="N20" s="824"/>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GS"50kW</v>
      </c>
      <c r="AB20" s="286" t="str">
        <f>'1.  LRAMVA Summary'!G52</f>
        <v>USL</v>
      </c>
      <c r="AC20" s="286" t="str">
        <f>'1.  LRAMVA Summary'!H52</f>
        <v>Streetlights</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kWh</v>
      </c>
      <c r="AC21" s="291" t="str">
        <f>'1.  LRAMVA Summary'!H53</f>
        <v>kW</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587</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13" t="s">
        <v>211</v>
      </c>
      <c r="C147" s="815" t="s">
        <v>33</v>
      </c>
      <c r="D147" s="284" t="s">
        <v>422</v>
      </c>
      <c r="E147" s="817" t="s">
        <v>209</v>
      </c>
      <c r="F147" s="818"/>
      <c r="G147" s="818"/>
      <c r="H147" s="818"/>
      <c r="I147" s="818"/>
      <c r="J147" s="818"/>
      <c r="K147" s="818"/>
      <c r="L147" s="818"/>
      <c r="M147" s="819"/>
      <c r="N147" s="823" t="s">
        <v>213</v>
      </c>
      <c r="O147" s="284" t="s">
        <v>423</v>
      </c>
      <c r="P147" s="817" t="s">
        <v>212</v>
      </c>
      <c r="Q147" s="818"/>
      <c r="R147" s="818"/>
      <c r="S147" s="818"/>
      <c r="T147" s="818"/>
      <c r="U147" s="818"/>
      <c r="V147" s="818"/>
      <c r="W147" s="818"/>
      <c r="X147" s="819"/>
      <c r="Y147" s="820" t="s">
        <v>243</v>
      </c>
      <c r="Z147" s="821"/>
      <c r="AA147" s="821"/>
      <c r="AB147" s="821"/>
      <c r="AC147" s="821"/>
      <c r="AD147" s="821"/>
      <c r="AE147" s="821"/>
      <c r="AF147" s="821"/>
      <c r="AG147" s="821"/>
      <c r="AH147" s="821"/>
      <c r="AI147" s="821"/>
      <c r="AJ147" s="821"/>
      <c r="AK147" s="821"/>
      <c r="AL147" s="821"/>
      <c r="AM147" s="822"/>
    </row>
    <row r="148" spans="1:39" ht="60.75" customHeight="1">
      <c r="B148" s="814"/>
      <c r="C148" s="816"/>
      <c r="D148" s="285">
        <v>2012</v>
      </c>
      <c r="E148" s="285">
        <v>2013</v>
      </c>
      <c r="F148" s="285">
        <v>2014</v>
      </c>
      <c r="G148" s="285">
        <v>2015</v>
      </c>
      <c r="H148" s="285">
        <v>2016</v>
      </c>
      <c r="I148" s="285">
        <v>2017</v>
      </c>
      <c r="J148" s="285">
        <v>2018</v>
      </c>
      <c r="K148" s="285">
        <v>2019</v>
      </c>
      <c r="L148" s="285">
        <v>2020</v>
      </c>
      <c r="M148" s="285">
        <v>2021</v>
      </c>
      <c r="N148" s="824"/>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GS"50kW</v>
      </c>
      <c r="AB148" s="285" t="str">
        <f>'1.  LRAMVA Summary'!G52</f>
        <v>USL</v>
      </c>
      <c r="AC148" s="285" t="str">
        <f>'1.  LRAMVA Summary'!H52</f>
        <v>Streetlights</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kWh</v>
      </c>
      <c r="AC149" s="291" t="str">
        <f>'1.  LRAMVA Summary'!H53</f>
        <v>kW</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587</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13" t="s">
        <v>211</v>
      </c>
      <c r="C276" s="815" t="s">
        <v>33</v>
      </c>
      <c r="D276" s="284" t="s">
        <v>422</v>
      </c>
      <c r="E276" s="817" t="s">
        <v>209</v>
      </c>
      <c r="F276" s="818"/>
      <c r="G276" s="818"/>
      <c r="H276" s="818"/>
      <c r="I276" s="818"/>
      <c r="J276" s="818"/>
      <c r="K276" s="818"/>
      <c r="L276" s="818"/>
      <c r="M276" s="819"/>
      <c r="N276" s="823" t="s">
        <v>213</v>
      </c>
      <c r="O276" s="284" t="s">
        <v>423</v>
      </c>
      <c r="P276" s="817" t="s">
        <v>212</v>
      </c>
      <c r="Q276" s="818"/>
      <c r="R276" s="818"/>
      <c r="S276" s="818"/>
      <c r="T276" s="818"/>
      <c r="U276" s="818"/>
      <c r="V276" s="818"/>
      <c r="W276" s="818"/>
      <c r="X276" s="819"/>
      <c r="Y276" s="820" t="s">
        <v>243</v>
      </c>
      <c r="Z276" s="821"/>
      <c r="AA276" s="821"/>
      <c r="AB276" s="821"/>
      <c r="AC276" s="821"/>
      <c r="AD276" s="821"/>
      <c r="AE276" s="821"/>
      <c r="AF276" s="821"/>
      <c r="AG276" s="821"/>
      <c r="AH276" s="821"/>
      <c r="AI276" s="821"/>
      <c r="AJ276" s="821"/>
      <c r="AK276" s="821"/>
      <c r="AL276" s="821"/>
      <c r="AM276" s="822"/>
    </row>
    <row r="277" spans="1:39" ht="60.75" customHeight="1">
      <c r="B277" s="814"/>
      <c r="C277" s="816"/>
      <c r="D277" s="285">
        <v>2013</v>
      </c>
      <c r="E277" s="285">
        <v>2014</v>
      </c>
      <c r="F277" s="285">
        <v>2015</v>
      </c>
      <c r="G277" s="285">
        <v>2016</v>
      </c>
      <c r="H277" s="285">
        <v>2017</v>
      </c>
      <c r="I277" s="285">
        <v>2018</v>
      </c>
      <c r="J277" s="285">
        <v>2019</v>
      </c>
      <c r="K277" s="285">
        <v>2020</v>
      </c>
      <c r="L277" s="285">
        <v>2021</v>
      </c>
      <c r="M277" s="285">
        <v>2022</v>
      </c>
      <c r="N277" s="824"/>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GS"50kW</v>
      </c>
      <c r="AB277" s="285" t="str">
        <f>'1.  LRAMVA Summary'!G52</f>
        <v>USL</v>
      </c>
      <c r="AC277" s="285" t="str">
        <f>'1.  LRAMVA Summary'!H52</f>
        <v>Streetlights</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kWh</v>
      </c>
      <c r="AC278" s="291" t="str">
        <f>'1.  LRAMVA Summary'!H53</f>
        <v>kW</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587</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13" t="s">
        <v>211</v>
      </c>
      <c r="C405" s="815" t="s">
        <v>33</v>
      </c>
      <c r="D405" s="284" t="s">
        <v>422</v>
      </c>
      <c r="E405" s="817" t="s">
        <v>209</v>
      </c>
      <c r="F405" s="818"/>
      <c r="G405" s="818"/>
      <c r="H405" s="818"/>
      <c r="I405" s="818"/>
      <c r="J405" s="818"/>
      <c r="K405" s="818"/>
      <c r="L405" s="818"/>
      <c r="M405" s="819"/>
      <c r="N405" s="823" t="s">
        <v>213</v>
      </c>
      <c r="O405" s="284" t="s">
        <v>423</v>
      </c>
      <c r="P405" s="817" t="s">
        <v>212</v>
      </c>
      <c r="Q405" s="818"/>
      <c r="R405" s="818"/>
      <c r="S405" s="818"/>
      <c r="T405" s="818"/>
      <c r="U405" s="818"/>
      <c r="V405" s="818"/>
      <c r="W405" s="818"/>
      <c r="X405" s="819"/>
      <c r="Y405" s="820" t="s">
        <v>243</v>
      </c>
      <c r="Z405" s="821"/>
      <c r="AA405" s="821"/>
      <c r="AB405" s="821"/>
      <c r="AC405" s="821"/>
      <c r="AD405" s="821"/>
      <c r="AE405" s="821"/>
      <c r="AF405" s="821"/>
      <c r="AG405" s="821"/>
      <c r="AH405" s="821"/>
      <c r="AI405" s="821"/>
      <c r="AJ405" s="821"/>
      <c r="AK405" s="821"/>
      <c r="AL405" s="821"/>
      <c r="AM405" s="822"/>
    </row>
    <row r="406" spans="1:40" ht="45.75" customHeight="1">
      <c r="B406" s="814"/>
      <c r="C406" s="816"/>
      <c r="D406" s="285">
        <v>2014</v>
      </c>
      <c r="E406" s="285">
        <v>2015</v>
      </c>
      <c r="F406" s="285">
        <v>2016</v>
      </c>
      <c r="G406" s="285">
        <v>2017</v>
      </c>
      <c r="H406" s="285">
        <v>2018</v>
      </c>
      <c r="I406" s="285">
        <v>2019</v>
      </c>
      <c r="J406" s="285">
        <v>2020</v>
      </c>
      <c r="K406" s="285">
        <v>2021</v>
      </c>
      <c r="L406" s="285">
        <v>2022</v>
      </c>
      <c r="M406" s="285">
        <v>2023</v>
      </c>
      <c r="N406" s="824"/>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GS"50kW</v>
      </c>
      <c r="AB406" s="285" t="str">
        <f>'1.  LRAMVA Summary'!G52</f>
        <v>USL</v>
      </c>
      <c r="AC406" s="285" t="str">
        <f>'1.  LRAMVA Summary'!H52</f>
        <v>Streetlights</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kWh</v>
      </c>
      <c r="AC407" s="291" t="str">
        <f>'1.  LRAMVA Summary'!H53</f>
        <v>kW</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587</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526</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abSelected="1" topLeftCell="A666" zoomScale="70" zoomScaleNormal="70" workbookViewId="0">
      <pane xSplit="2" topLeftCell="C1" activePane="topRight" state="frozen"/>
      <selection pane="topRight" activeCell="N665" sqref="N665"/>
    </sheetView>
  </sheetViews>
  <sheetFormatPr defaultColWidth="9.140625" defaultRowHeight="15" outlineLevelRow="1" outlineLevelCol="1"/>
  <cols>
    <col min="1" max="1" width="4.5703125" style="522" customWidth="1"/>
    <col min="2" max="2" width="44.140625" style="427" customWidth="1"/>
    <col min="3" max="3" width="13.42578125" style="427" customWidth="1"/>
    <col min="4" max="4" width="17" style="427" customWidth="1"/>
    <col min="5" max="13" width="9.140625" style="427" customWidth="1" outlineLevel="1"/>
    <col min="14" max="14" width="13.5703125" style="427" customWidth="1" outlineLevel="1"/>
    <col min="15" max="15" width="15.7109375" style="427" customWidth="1"/>
    <col min="16" max="24" width="9.140625" style="427" customWidth="1" outlineLevel="1"/>
    <col min="25" max="25" width="16.5703125" style="427" customWidth="1"/>
    <col min="26" max="27" width="15"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5703125" style="427" customWidth="1"/>
    <col min="40" max="40" width="11.7109375" style="427" customWidth="1"/>
    <col min="41" max="16384" width="9.140625" style="427"/>
  </cols>
  <sheetData>
    <row r="13" spans="2:39" ht="15.75" thickBot="1"/>
    <row r="14" spans="2:39" ht="26.25" customHeight="1" thickBot="1">
      <c r="B14" s="811"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11"/>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11"/>
      <c r="C16" s="808" t="s">
        <v>551</v>
      </c>
      <c r="D16" s="809"/>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11" t="s">
        <v>505</v>
      </c>
      <c r="C18" s="812" t="s">
        <v>691</v>
      </c>
      <c r="D18" s="812"/>
      <c r="E18" s="812"/>
      <c r="F18" s="812"/>
      <c r="G18" s="812"/>
      <c r="H18" s="812"/>
      <c r="I18" s="812"/>
      <c r="J18" s="812"/>
      <c r="K18" s="812"/>
      <c r="L18" s="812"/>
      <c r="M18" s="812"/>
      <c r="N18" s="812"/>
      <c r="O18" s="812"/>
      <c r="P18" s="812"/>
      <c r="Q18" s="812"/>
      <c r="R18" s="812"/>
      <c r="S18" s="812"/>
      <c r="T18" s="812"/>
      <c r="U18" s="812"/>
      <c r="V18" s="812"/>
      <c r="W18" s="812"/>
      <c r="X18" s="812"/>
      <c r="Y18" s="606"/>
      <c r="Z18" s="606"/>
      <c r="AA18" s="606"/>
      <c r="AB18" s="606"/>
      <c r="AC18" s="606"/>
      <c r="AD18" s="606"/>
      <c r="AE18" s="270"/>
      <c r="AF18" s="265"/>
      <c r="AG18" s="265"/>
      <c r="AH18" s="265"/>
      <c r="AI18" s="265"/>
      <c r="AJ18" s="265"/>
      <c r="AK18" s="265"/>
      <c r="AL18" s="265"/>
      <c r="AM18" s="265"/>
    </row>
    <row r="19" spans="2:39" ht="45.75" customHeight="1">
      <c r="B19" s="811"/>
      <c r="C19" s="812" t="s">
        <v>570</v>
      </c>
      <c r="D19" s="812"/>
      <c r="E19" s="812"/>
      <c r="F19" s="812"/>
      <c r="G19" s="812"/>
      <c r="H19" s="812"/>
      <c r="I19" s="812"/>
      <c r="J19" s="812"/>
      <c r="K19" s="812"/>
      <c r="L19" s="812"/>
      <c r="M19" s="812"/>
      <c r="N19" s="812"/>
      <c r="O19" s="812"/>
      <c r="P19" s="812"/>
      <c r="Q19" s="812"/>
      <c r="R19" s="812"/>
      <c r="S19" s="812"/>
      <c r="T19" s="812"/>
      <c r="U19" s="812"/>
      <c r="V19" s="812"/>
      <c r="W19" s="812"/>
      <c r="X19" s="812"/>
      <c r="Y19" s="606"/>
      <c r="Z19" s="606"/>
      <c r="AA19" s="606"/>
      <c r="AB19" s="606"/>
      <c r="AC19" s="606"/>
      <c r="AD19" s="606"/>
      <c r="AE19" s="270"/>
      <c r="AF19" s="265"/>
      <c r="AG19" s="265"/>
      <c r="AH19" s="265"/>
      <c r="AI19" s="265"/>
      <c r="AJ19" s="265"/>
      <c r="AK19" s="265"/>
      <c r="AL19" s="265"/>
      <c r="AM19" s="265"/>
    </row>
    <row r="20" spans="2:39" ht="62.25" customHeight="1">
      <c r="B20" s="273"/>
      <c r="C20" s="812" t="s">
        <v>568</v>
      </c>
      <c r="D20" s="812"/>
      <c r="E20" s="812"/>
      <c r="F20" s="812"/>
      <c r="G20" s="812"/>
      <c r="H20" s="812"/>
      <c r="I20" s="812"/>
      <c r="J20" s="812"/>
      <c r="K20" s="812"/>
      <c r="L20" s="812"/>
      <c r="M20" s="812"/>
      <c r="N20" s="812"/>
      <c r="O20" s="812"/>
      <c r="P20" s="812"/>
      <c r="Q20" s="812"/>
      <c r="R20" s="812"/>
      <c r="S20" s="812"/>
      <c r="T20" s="812"/>
      <c r="U20" s="812"/>
      <c r="V20" s="812"/>
      <c r="W20" s="812"/>
      <c r="X20" s="812"/>
      <c r="Y20" s="606"/>
      <c r="Z20" s="606"/>
      <c r="AA20" s="606"/>
      <c r="AB20" s="606"/>
      <c r="AC20" s="606"/>
      <c r="AD20" s="606"/>
      <c r="AE20" s="428"/>
      <c r="AF20" s="265"/>
      <c r="AG20" s="265"/>
      <c r="AH20" s="265"/>
      <c r="AI20" s="265"/>
      <c r="AJ20" s="265"/>
      <c r="AK20" s="265"/>
      <c r="AL20" s="265"/>
      <c r="AM20" s="265"/>
    </row>
    <row r="21" spans="2:39" ht="37.5" customHeight="1">
      <c r="B21" s="273"/>
      <c r="C21" s="812" t="s">
        <v>634</v>
      </c>
      <c r="D21" s="812"/>
      <c r="E21" s="812"/>
      <c r="F21" s="812"/>
      <c r="G21" s="812"/>
      <c r="H21" s="812"/>
      <c r="I21" s="812"/>
      <c r="J21" s="812"/>
      <c r="K21" s="812"/>
      <c r="L21" s="812"/>
      <c r="M21" s="812"/>
      <c r="N21" s="812"/>
      <c r="O21" s="812"/>
      <c r="P21" s="812"/>
      <c r="Q21" s="812"/>
      <c r="R21" s="812"/>
      <c r="S21" s="812"/>
      <c r="T21" s="812"/>
      <c r="U21" s="812"/>
      <c r="V21" s="812"/>
      <c r="W21" s="812"/>
      <c r="X21" s="812"/>
      <c r="Y21" s="606"/>
      <c r="Z21" s="606"/>
      <c r="AA21" s="606"/>
      <c r="AB21" s="606"/>
      <c r="AC21" s="606"/>
      <c r="AD21" s="606"/>
      <c r="AE21" s="276"/>
      <c r="AF21" s="265"/>
      <c r="AG21" s="265"/>
      <c r="AH21" s="265"/>
      <c r="AI21" s="265"/>
      <c r="AJ21" s="265"/>
      <c r="AK21" s="265"/>
      <c r="AL21" s="265"/>
      <c r="AM21" s="265"/>
    </row>
    <row r="22" spans="2:39" ht="54.75" customHeight="1">
      <c r="B22" s="273"/>
      <c r="C22" s="812" t="s">
        <v>618</v>
      </c>
      <c r="D22" s="812"/>
      <c r="E22" s="812"/>
      <c r="F22" s="812"/>
      <c r="G22" s="812"/>
      <c r="H22" s="812"/>
      <c r="I22" s="812"/>
      <c r="J22" s="812"/>
      <c r="K22" s="812"/>
      <c r="L22" s="812"/>
      <c r="M22" s="812"/>
      <c r="N22" s="812"/>
      <c r="O22" s="812"/>
      <c r="P22" s="812"/>
      <c r="Q22" s="812"/>
      <c r="R22" s="812"/>
      <c r="S22" s="812"/>
      <c r="T22" s="812"/>
      <c r="U22" s="812"/>
      <c r="V22" s="812"/>
      <c r="W22" s="812"/>
      <c r="X22" s="812"/>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11"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11"/>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13" t="s">
        <v>211</v>
      </c>
      <c r="C34" s="815" t="s">
        <v>33</v>
      </c>
      <c r="D34" s="284" t="s">
        <v>422</v>
      </c>
      <c r="E34" s="817" t="s">
        <v>209</v>
      </c>
      <c r="F34" s="818"/>
      <c r="G34" s="818"/>
      <c r="H34" s="818"/>
      <c r="I34" s="818"/>
      <c r="J34" s="818"/>
      <c r="K34" s="818"/>
      <c r="L34" s="818"/>
      <c r="M34" s="819"/>
      <c r="N34" s="823" t="s">
        <v>213</v>
      </c>
      <c r="O34" s="284" t="s">
        <v>423</v>
      </c>
      <c r="P34" s="817" t="s">
        <v>212</v>
      </c>
      <c r="Q34" s="818"/>
      <c r="R34" s="818"/>
      <c r="S34" s="818"/>
      <c r="T34" s="818"/>
      <c r="U34" s="818"/>
      <c r="V34" s="818"/>
      <c r="W34" s="818"/>
      <c r="X34" s="819"/>
      <c r="Y34" s="820" t="s">
        <v>243</v>
      </c>
      <c r="Z34" s="821"/>
      <c r="AA34" s="821"/>
      <c r="AB34" s="821"/>
      <c r="AC34" s="821"/>
      <c r="AD34" s="821"/>
      <c r="AE34" s="821"/>
      <c r="AF34" s="821"/>
      <c r="AG34" s="821"/>
      <c r="AH34" s="821"/>
      <c r="AI34" s="821"/>
      <c r="AJ34" s="821"/>
      <c r="AK34" s="821"/>
      <c r="AL34" s="821"/>
      <c r="AM34" s="822"/>
    </row>
    <row r="35" spans="1:39" ht="65.25" customHeight="1">
      <c r="B35" s="814"/>
      <c r="C35" s="816"/>
      <c r="D35" s="285">
        <v>2015</v>
      </c>
      <c r="E35" s="285">
        <v>2016</v>
      </c>
      <c r="F35" s="285">
        <v>2017</v>
      </c>
      <c r="G35" s="285">
        <v>2018</v>
      </c>
      <c r="H35" s="285">
        <v>2019</v>
      </c>
      <c r="I35" s="285">
        <v>2020</v>
      </c>
      <c r="J35" s="285">
        <v>2021</v>
      </c>
      <c r="K35" s="285">
        <v>2022</v>
      </c>
      <c r="L35" s="285">
        <v>2023</v>
      </c>
      <c r="M35" s="429">
        <v>2024</v>
      </c>
      <c r="N35" s="824"/>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GS"50kW</v>
      </c>
      <c r="AB35" s="285" t="str">
        <f>'1.  LRAMVA Summary'!G52</f>
        <v>USL</v>
      </c>
      <c r="AC35" s="285" t="str">
        <f>'1.  LRAMVA Summary'!H52</f>
        <v>Streetlights</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kWh</v>
      </c>
      <c r="AC36" s="291" t="str">
        <f>'1.  LRAMVA Summary'!H53</f>
        <v>kW</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56537</v>
      </c>
      <c r="E38" s="295">
        <v>56056</v>
      </c>
      <c r="F38" s="295">
        <v>56056</v>
      </c>
      <c r="G38" s="295">
        <v>56056</v>
      </c>
      <c r="H38" s="295">
        <v>56056</v>
      </c>
      <c r="I38" s="295">
        <v>56056</v>
      </c>
      <c r="J38" s="295">
        <v>56056</v>
      </c>
      <c r="K38" s="295">
        <v>55922</v>
      </c>
      <c r="L38" s="295">
        <v>55922</v>
      </c>
      <c r="M38" s="295">
        <v>55922</v>
      </c>
      <c r="N38" s="291"/>
      <c r="O38" s="295">
        <v>4</v>
      </c>
      <c r="P38" s="295">
        <v>4</v>
      </c>
      <c r="Q38" s="295">
        <v>4</v>
      </c>
      <c r="R38" s="295">
        <v>4</v>
      </c>
      <c r="S38" s="295">
        <v>4</v>
      </c>
      <c r="T38" s="295">
        <v>4</v>
      </c>
      <c r="U38" s="295">
        <v>4</v>
      </c>
      <c r="V38" s="295">
        <v>4</v>
      </c>
      <c r="W38" s="295">
        <v>4</v>
      </c>
      <c r="X38" s="295">
        <v>4</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v>9530</v>
      </c>
      <c r="E39" s="295">
        <v>9415</v>
      </c>
      <c r="F39" s="295">
        <v>9415</v>
      </c>
      <c r="G39" s="295">
        <v>9415</v>
      </c>
      <c r="H39" s="295">
        <v>9415</v>
      </c>
      <c r="I39" s="295">
        <v>9415</v>
      </c>
      <c r="J39" s="295">
        <v>9415</v>
      </c>
      <c r="K39" s="295">
        <v>9413</v>
      </c>
      <c r="L39" s="295">
        <v>9413</v>
      </c>
      <c r="M39" s="295">
        <v>9413</v>
      </c>
      <c r="N39" s="468"/>
      <c r="O39" s="295">
        <v>1</v>
      </c>
      <c r="P39" s="295">
        <v>1</v>
      </c>
      <c r="Q39" s="295">
        <v>1</v>
      </c>
      <c r="R39" s="295">
        <v>1</v>
      </c>
      <c r="S39" s="295">
        <v>1</v>
      </c>
      <c r="T39" s="295">
        <v>1</v>
      </c>
      <c r="U39" s="295">
        <v>1</v>
      </c>
      <c r="V39" s="295">
        <v>1</v>
      </c>
      <c r="W39" s="295">
        <v>1</v>
      </c>
      <c r="X39" s="295">
        <v>1</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v>72774</v>
      </c>
      <c r="E41" s="295">
        <v>71480</v>
      </c>
      <c r="F41" s="295">
        <v>71480</v>
      </c>
      <c r="G41" s="295">
        <v>71480</v>
      </c>
      <c r="H41" s="295">
        <v>71480</v>
      </c>
      <c r="I41" s="295">
        <v>71480</v>
      </c>
      <c r="J41" s="295">
        <v>71480</v>
      </c>
      <c r="K41" s="295">
        <v>71443</v>
      </c>
      <c r="L41" s="295">
        <v>71443</v>
      </c>
      <c r="M41" s="295">
        <v>71443</v>
      </c>
      <c r="N41" s="291"/>
      <c r="O41" s="295">
        <v>5</v>
      </c>
      <c r="P41" s="295">
        <v>5</v>
      </c>
      <c r="Q41" s="295">
        <v>5</v>
      </c>
      <c r="R41" s="295">
        <v>5</v>
      </c>
      <c r="S41" s="295">
        <v>5</v>
      </c>
      <c r="T41" s="295">
        <v>5</v>
      </c>
      <c r="U41" s="295">
        <v>5</v>
      </c>
      <c r="V41" s="295">
        <v>5</v>
      </c>
      <c r="W41" s="295">
        <v>5</v>
      </c>
      <c r="X41" s="295">
        <v>5</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v>753</v>
      </c>
      <c r="E42" s="295">
        <v>744</v>
      </c>
      <c r="F42" s="295">
        <v>744</v>
      </c>
      <c r="G42" s="295">
        <v>744</v>
      </c>
      <c r="H42" s="295">
        <v>744</v>
      </c>
      <c r="I42" s="295">
        <v>744</v>
      </c>
      <c r="J42" s="295">
        <v>744</v>
      </c>
      <c r="K42" s="295">
        <v>742</v>
      </c>
      <c r="L42" s="295">
        <v>742</v>
      </c>
      <c r="M42" s="295">
        <v>742</v>
      </c>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v>7749</v>
      </c>
      <c r="E44" s="295">
        <v>7749</v>
      </c>
      <c r="F44" s="295">
        <v>7749</v>
      </c>
      <c r="G44" s="295">
        <v>7644</v>
      </c>
      <c r="H44" s="295">
        <v>3256</v>
      </c>
      <c r="I44" s="295">
        <v>0</v>
      </c>
      <c r="J44" s="295">
        <v>0</v>
      </c>
      <c r="K44" s="295">
        <v>0</v>
      </c>
      <c r="L44" s="295">
        <v>0</v>
      </c>
      <c r="M44" s="295">
        <v>0</v>
      </c>
      <c r="N44" s="291"/>
      <c r="O44" s="295">
        <v>1</v>
      </c>
      <c r="P44" s="295">
        <v>1</v>
      </c>
      <c r="Q44" s="295">
        <v>1</v>
      </c>
      <c r="R44" s="295">
        <v>1</v>
      </c>
      <c r="S44" s="295">
        <v>0</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677</v>
      </c>
      <c r="C47" s="291" t="s">
        <v>25</v>
      </c>
      <c r="D47" s="295">
        <v>72943</v>
      </c>
      <c r="E47" s="295">
        <v>72943</v>
      </c>
      <c r="F47" s="295">
        <v>72943</v>
      </c>
      <c r="G47" s="295">
        <v>72943</v>
      </c>
      <c r="H47" s="295">
        <v>72943</v>
      </c>
      <c r="I47" s="295">
        <v>72943</v>
      </c>
      <c r="J47" s="295">
        <v>72943</v>
      </c>
      <c r="K47" s="295">
        <v>72943</v>
      </c>
      <c r="L47" s="295">
        <v>72943</v>
      </c>
      <c r="M47" s="295">
        <v>72943</v>
      </c>
      <c r="N47" s="291"/>
      <c r="O47" s="295">
        <v>37</v>
      </c>
      <c r="P47" s="295">
        <v>37</v>
      </c>
      <c r="Q47" s="295">
        <v>37</v>
      </c>
      <c r="R47" s="295">
        <v>37</v>
      </c>
      <c r="S47" s="295">
        <v>37</v>
      </c>
      <c r="T47" s="295">
        <v>37</v>
      </c>
      <c r="U47" s="295">
        <v>37</v>
      </c>
      <c r="V47" s="295">
        <v>37</v>
      </c>
      <c r="W47" s="295">
        <v>37</v>
      </c>
      <c r="X47" s="295">
        <v>37</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v>1073</v>
      </c>
      <c r="E48" s="295">
        <v>1073</v>
      </c>
      <c r="F48" s="295">
        <v>1073</v>
      </c>
      <c r="G48" s="295">
        <v>1073</v>
      </c>
      <c r="H48" s="295">
        <v>1073</v>
      </c>
      <c r="I48" s="295">
        <v>1073</v>
      </c>
      <c r="J48" s="295">
        <v>1073</v>
      </c>
      <c r="K48" s="295">
        <v>1073</v>
      </c>
      <c r="L48" s="295">
        <v>1073</v>
      </c>
      <c r="M48" s="295">
        <v>1073</v>
      </c>
      <c r="N48" s="468"/>
      <c r="O48" s="295">
        <v>1</v>
      </c>
      <c r="P48" s="295">
        <v>1</v>
      </c>
      <c r="Q48" s="295">
        <v>1</v>
      </c>
      <c r="R48" s="295">
        <v>1</v>
      </c>
      <c r="S48" s="295">
        <v>1</v>
      </c>
      <c r="T48" s="295">
        <v>1</v>
      </c>
      <c r="U48" s="295">
        <v>1</v>
      </c>
      <c r="V48" s="295">
        <v>1</v>
      </c>
      <c r="W48" s="295">
        <v>1</v>
      </c>
      <c r="X48" s="295">
        <v>1</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94378</v>
      </c>
      <c r="E57" s="295">
        <v>94378</v>
      </c>
      <c r="F57" s="295">
        <v>94378</v>
      </c>
      <c r="G57" s="295">
        <v>94378</v>
      </c>
      <c r="H57" s="295">
        <v>94378</v>
      </c>
      <c r="I57" s="295">
        <v>94378</v>
      </c>
      <c r="J57" s="295">
        <v>93978</v>
      </c>
      <c r="K57" s="295">
        <v>93978</v>
      </c>
      <c r="L57" s="295">
        <v>93978</v>
      </c>
      <c r="M57" s="295">
        <v>92676</v>
      </c>
      <c r="N57" s="295">
        <v>12</v>
      </c>
      <c r="O57" s="295">
        <v>3</v>
      </c>
      <c r="P57" s="295">
        <v>3</v>
      </c>
      <c r="Q57" s="295">
        <v>3</v>
      </c>
      <c r="R57" s="295">
        <v>3</v>
      </c>
      <c r="S57" s="295">
        <v>3</v>
      </c>
      <c r="T57" s="295">
        <v>3</v>
      </c>
      <c r="U57" s="295">
        <v>3</v>
      </c>
      <c r="V57" s="295">
        <v>3</v>
      </c>
      <c r="W57" s="295">
        <v>3</v>
      </c>
      <c r="X57" s="295">
        <v>3</v>
      </c>
      <c r="Y57" s="533"/>
      <c r="Z57" s="533">
        <v>0.08</v>
      </c>
      <c r="AA57" s="533">
        <v>0.92</v>
      </c>
      <c r="AB57" s="410"/>
      <c r="AC57" s="533"/>
      <c r="AD57" s="410"/>
      <c r="AE57" s="410"/>
      <c r="AF57" s="415"/>
      <c r="AG57" s="415"/>
      <c r="AH57" s="415"/>
      <c r="AI57" s="415"/>
      <c r="AJ57" s="415"/>
      <c r="AK57" s="415"/>
      <c r="AL57" s="415"/>
      <c r="AM57" s="296">
        <f>SUM(Y57:AL57)</f>
        <v>1</v>
      </c>
    </row>
    <row r="58" spans="1:39" outlineLevel="1">
      <c r="B58" s="294" t="s">
        <v>267</v>
      </c>
      <c r="C58" s="291" t="s">
        <v>163</v>
      </c>
      <c r="D58" s="295">
        <v>6678</v>
      </c>
      <c r="E58" s="295">
        <v>6678</v>
      </c>
      <c r="F58" s="295">
        <v>6678</v>
      </c>
      <c r="G58" s="295">
        <v>6678</v>
      </c>
      <c r="H58" s="295">
        <v>6678</v>
      </c>
      <c r="I58" s="295">
        <v>6678</v>
      </c>
      <c r="J58" s="295">
        <v>7078</v>
      </c>
      <c r="K58" s="295">
        <v>7078</v>
      </c>
      <c r="L58" s="295">
        <v>7078</v>
      </c>
      <c r="M58" s="295">
        <v>6960</v>
      </c>
      <c r="N58" s="295">
        <v>12</v>
      </c>
      <c r="O58" s="295">
        <v>1</v>
      </c>
      <c r="P58" s="295">
        <v>1</v>
      </c>
      <c r="Q58" s="295">
        <v>1</v>
      </c>
      <c r="R58" s="295">
        <v>1</v>
      </c>
      <c r="S58" s="295">
        <v>1</v>
      </c>
      <c r="T58" s="295">
        <v>1</v>
      </c>
      <c r="U58" s="295">
        <v>1</v>
      </c>
      <c r="V58" s="295">
        <v>1</v>
      </c>
      <c r="W58" s="295">
        <v>1</v>
      </c>
      <c r="X58" s="295">
        <v>1</v>
      </c>
      <c r="Y58" s="411">
        <f>Y57</f>
        <v>0</v>
      </c>
      <c r="Z58" s="411">
        <f>Z57</f>
        <v>0.08</v>
      </c>
      <c r="AA58" s="411">
        <f t="shared" ref="AA58" si="66">AA57</f>
        <v>0.92</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v>11838</v>
      </c>
      <c r="E60" s="295">
        <v>11838</v>
      </c>
      <c r="F60" s="295">
        <v>6948</v>
      </c>
      <c r="G60" s="295">
        <v>2583</v>
      </c>
      <c r="H60" s="295">
        <v>2583</v>
      </c>
      <c r="I60" s="295">
        <v>2583</v>
      </c>
      <c r="J60" s="295">
        <v>2583</v>
      </c>
      <c r="K60" s="295">
        <v>2583</v>
      </c>
      <c r="L60" s="295">
        <v>2583</v>
      </c>
      <c r="M60" s="295">
        <v>2583</v>
      </c>
      <c r="N60" s="295">
        <v>12</v>
      </c>
      <c r="O60" s="295">
        <v>3</v>
      </c>
      <c r="P60" s="295">
        <v>3</v>
      </c>
      <c r="Q60" s="295">
        <v>2</v>
      </c>
      <c r="R60" s="295">
        <v>1</v>
      </c>
      <c r="S60" s="295">
        <v>1</v>
      </c>
      <c r="T60" s="295">
        <v>1</v>
      </c>
      <c r="U60" s="295">
        <v>1</v>
      </c>
      <c r="V60" s="295">
        <v>1</v>
      </c>
      <c r="W60" s="295">
        <v>1</v>
      </c>
      <c r="X60" s="295">
        <v>1</v>
      </c>
      <c r="Y60" s="415"/>
      <c r="Z60" s="410">
        <v>1</v>
      </c>
      <c r="AA60" s="410"/>
      <c r="AB60" s="410"/>
      <c r="AC60" s="410"/>
      <c r="AD60" s="410"/>
      <c r="AE60" s="410"/>
      <c r="AF60" s="415"/>
      <c r="AG60" s="415"/>
      <c r="AH60" s="415"/>
      <c r="AI60" s="415"/>
      <c r="AJ60" s="415"/>
      <c r="AK60" s="415"/>
      <c r="AL60" s="415"/>
      <c r="AM60" s="296">
        <f>SUM(Y60:AL60)</f>
        <v>1</v>
      </c>
    </row>
    <row r="61" spans="1:39" outlineLevel="1">
      <c r="B61" s="294" t="s">
        <v>267</v>
      </c>
      <c r="C61" s="291" t="s">
        <v>163</v>
      </c>
      <c r="D61" s="295">
        <v>-2984</v>
      </c>
      <c r="E61" s="295">
        <v>-2984</v>
      </c>
      <c r="F61" s="295">
        <v>1906</v>
      </c>
      <c r="G61" s="295">
        <v>1906</v>
      </c>
      <c r="H61" s="295">
        <v>1906</v>
      </c>
      <c r="I61" s="295">
        <v>1906</v>
      </c>
      <c r="J61" s="295">
        <v>1906</v>
      </c>
      <c r="K61" s="295">
        <v>1906</v>
      </c>
      <c r="L61" s="295">
        <v>1906</v>
      </c>
      <c r="M61" s="295">
        <v>1906</v>
      </c>
      <c r="N61" s="295">
        <v>12</v>
      </c>
      <c r="O61" s="295">
        <v>-1</v>
      </c>
      <c r="P61" s="295">
        <v>-1</v>
      </c>
      <c r="Q61" s="295">
        <v>0</v>
      </c>
      <c r="R61" s="295">
        <v>0</v>
      </c>
      <c r="S61" s="295">
        <v>0</v>
      </c>
      <c r="T61" s="295">
        <v>0</v>
      </c>
      <c r="U61" s="295">
        <v>0</v>
      </c>
      <c r="V61" s="295">
        <v>0</v>
      </c>
      <c r="W61" s="295">
        <v>0</v>
      </c>
      <c r="X61" s="295">
        <v>0</v>
      </c>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v>8496</v>
      </c>
      <c r="E70" s="295">
        <v>8496</v>
      </c>
      <c r="F70" s="295">
        <v>8496</v>
      </c>
      <c r="G70" s="295">
        <v>8496</v>
      </c>
      <c r="H70" s="295">
        <v>8496</v>
      </c>
      <c r="I70" s="295">
        <v>8496</v>
      </c>
      <c r="J70" s="295">
        <v>8496</v>
      </c>
      <c r="K70" s="295">
        <v>8496</v>
      </c>
      <c r="L70" s="295">
        <v>5896</v>
      </c>
      <c r="M70" s="295">
        <v>5896</v>
      </c>
      <c r="N70" s="295">
        <v>12</v>
      </c>
      <c r="O70" s="295">
        <v>1</v>
      </c>
      <c r="P70" s="295">
        <v>1</v>
      </c>
      <c r="Q70" s="295">
        <v>1</v>
      </c>
      <c r="R70" s="295">
        <v>1</v>
      </c>
      <c r="S70" s="295">
        <v>1</v>
      </c>
      <c r="T70" s="295">
        <v>1</v>
      </c>
      <c r="U70" s="295">
        <v>1</v>
      </c>
      <c r="V70" s="295">
        <v>1</v>
      </c>
      <c r="W70" s="295">
        <v>1</v>
      </c>
      <c r="X70" s="295">
        <v>1</v>
      </c>
      <c r="Y70" s="426"/>
      <c r="Z70" s="410"/>
      <c r="AA70" s="410">
        <v>1</v>
      </c>
      <c r="AB70" s="410"/>
      <c r="AC70" s="410"/>
      <c r="AD70" s="410"/>
      <c r="AE70" s="410"/>
      <c r="AF70" s="415"/>
      <c r="AG70" s="415"/>
      <c r="AH70" s="415"/>
      <c r="AI70" s="415"/>
      <c r="AJ70" s="415"/>
      <c r="AK70" s="415"/>
      <c r="AL70" s="415"/>
      <c r="AM70" s="296">
        <f>SUM(Y70:AL70)</f>
        <v>1</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1</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v>30756</v>
      </c>
      <c r="E80" s="295">
        <v>24137</v>
      </c>
      <c r="F80" s="295">
        <v>22908</v>
      </c>
      <c r="G80" s="295">
        <v>22482</v>
      </c>
      <c r="H80" s="295">
        <v>22482</v>
      </c>
      <c r="I80" s="295">
        <v>22482</v>
      </c>
      <c r="J80" s="295">
        <v>22482</v>
      </c>
      <c r="K80" s="295">
        <v>22482</v>
      </c>
      <c r="L80" s="295">
        <v>11378</v>
      </c>
      <c r="M80" s="295">
        <v>11378</v>
      </c>
      <c r="N80" s="295">
        <v>12</v>
      </c>
      <c r="O80" s="295">
        <v>2</v>
      </c>
      <c r="P80" s="295">
        <v>2</v>
      </c>
      <c r="Q80" s="295">
        <v>2</v>
      </c>
      <c r="R80" s="295">
        <v>2</v>
      </c>
      <c r="S80" s="295">
        <v>2</v>
      </c>
      <c r="T80" s="295">
        <v>2</v>
      </c>
      <c r="U80" s="295">
        <v>2</v>
      </c>
      <c r="V80" s="295">
        <v>2</v>
      </c>
      <c r="W80" s="295">
        <v>1</v>
      </c>
      <c r="X80" s="295">
        <v>1</v>
      </c>
      <c r="Y80" s="533">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v>22966</v>
      </c>
      <c r="E121" s="295">
        <v>22966</v>
      </c>
      <c r="F121" s="295">
        <v>22966</v>
      </c>
      <c r="G121" s="295">
        <v>22966</v>
      </c>
      <c r="H121" s="295">
        <v>22966</v>
      </c>
      <c r="I121" s="295">
        <v>22966</v>
      </c>
      <c r="J121" s="295">
        <v>22966</v>
      </c>
      <c r="K121" s="295">
        <v>22966</v>
      </c>
      <c r="L121" s="295">
        <v>22966</v>
      </c>
      <c r="M121" s="295">
        <v>22966</v>
      </c>
      <c r="N121" s="295">
        <v>12</v>
      </c>
      <c r="O121" s="295">
        <v>4</v>
      </c>
      <c r="P121" s="295">
        <v>4</v>
      </c>
      <c r="Q121" s="295">
        <v>4</v>
      </c>
      <c r="R121" s="295">
        <v>4</v>
      </c>
      <c r="S121" s="295">
        <v>4</v>
      </c>
      <c r="T121" s="295">
        <v>4</v>
      </c>
      <c r="U121" s="295">
        <v>4</v>
      </c>
      <c r="V121" s="295">
        <v>4</v>
      </c>
      <c r="W121" s="295">
        <v>4</v>
      </c>
      <c r="X121" s="295">
        <v>4</v>
      </c>
      <c r="Y121" s="426"/>
      <c r="Z121" s="533"/>
      <c r="AA121" s="533">
        <v>1</v>
      </c>
      <c r="AB121" s="410"/>
      <c r="AC121" s="533"/>
      <c r="AD121" s="410"/>
      <c r="AE121" s="410"/>
      <c r="AF121" s="415"/>
      <c r="AG121" s="415"/>
      <c r="AH121" s="415"/>
      <c r="AI121" s="415"/>
      <c r="AJ121" s="415"/>
      <c r="AK121" s="415"/>
      <c r="AL121" s="415"/>
      <c r="AM121" s="296">
        <f>SUM(Y121:AL121)</f>
        <v>1</v>
      </c>
    </row>
    <row r="122" spans="1:39" outlineLevel="1">
      <c r="B122" s="294" t="s">
        <v>267</v>
      </c>
      <c r="C122" s="291" t="s">
        <v>163</v>
      </c>
      <c r="D122" s="295">
        <v>16786</v>
      </c>
      <c r="E122" s="295">
        <v>16786</v>
      </c>
      <c r="F122" s="295">
        <v>16786</v>
      </c>
      <c r="G122" s="295">
        <v>16786</v>
      </c>
      <c r="H122" s="295">
        <v>16786</v>
      </c>
      <c r="I122" s="295">
        <v>16786</v>
      </c>
      <c r="J122" s="295">
        <v>16786</v>
      </c>
      <c r="K122" s="295">
        <v>16786</v>
      </c>
      <c r="L122" s="295">
        <v>16786</v>
      </c>
      <c r="M122" s="295">
        <v>16786</v>
      </c>
      <c r="N122" s="295">
        <v>12</v>
      </c>
      <c r="O122" s="295">
        <v>-1</v>
      </c>
      <c r="P122" s="295">
        <v>-1</v>
      </c>
      <c r="Q122" s="295">
        <v>-1</v>
      </c>
      <c r="R122" s="295">
        <v>-1</v>
      </c>
      <c r="S122" s="295">
        <v>-1</v>
      </c>
      <c r="T122" s="295">
        <v>-1</v>
      </c>
      <c r="U122" s="295">
        <v>-1</v>
      </c>
      <c r="V122" s="295">
        <v>-1</v>
      </c>
      <c r="W122" s="295">
        <v>-1</v>
      </c>
      <c r="X122" s="295">
        <v>-1</v>
      </c>
      <c r="Y122" s="411">
        <f>Y121</f>
        <v>0</v>
      </c>
      <c r="Z122" s="411">
        <f t="shared" ref="Z122" si="241">Z121</f>
        <v>0</v>
      </c>
      <c r="AA122" s="411">
        <f t="shared" ref="AA122" si="242">AA121</f>
        <v>1</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410273</v>
      </c>
      <c r="E195" s="329"/>
      <c r="F195" s="329"/>
      <c r="G195" s="329"/>
      <c r="H195" s="329"/>
      <c r="I195" s="329"/>
      <c r="J195" s="329"/>
      <c r="K195" s="329"/>
      <c r="L195" s="329"/>
      <c r="M195" s="329"/>
      <c r="N195" s="329"/>
      <c r="O195" s="329">
        <f>SUM(O38:O193)</f>
        <v>61</v>
      </c>
      <c r="P195" s="329"/>
      <c r="Q195" s="329"/>
      <c r="R195" s="329"/>
      <c r="S195" s="329"/>
      <c r="T195" s="329"/>
      <c r="U195" s="329"/>
      <c r="V195" s="329"/>
      <c r="W195" s="329"/>
      <c r="X195" s="329"/>
      <c r="Y195" s="329">
        <f>IF(Y36="kWh",SUMPRODUCT(D38:D193,Y38:Y193))</f>
        <v>252115</v>
      </c>
      <c r="Z195" s="329">
        <f>IF(Z36="kWh",SUMPRODUCT(D38:D193,Z38:Z193))</f>
        <v>16938.48</v>
      </c>
      <c r="AA195" s="329">
        <f>IF(AA36="kw",SUMPRODUCT(N38:N193,O38:O193,AA38:AA193),SUMPRODUCT(D38:D193,AA38:AA193))</f>
        <v>92.16</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243597</v>
      </c>
      <c r="Z208" s="291">
        <f>SUMPRODUCT(E38:E193,Z38:Z193)</f>
        <v>16938.48</v>
      </c>
      <c r="AA208" s="291">
        <f>IF(AA36="kw",SUMPRODUCT(N38:N193,P38:P193,AA38:AA193),SUMPRODUCT(E38:E193,AA38:AA193))</f>
        <v>92.16</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242368</v>
      </c>
      <c r="Z209" s="291">
        <f>SUMPRODUCT(F38:F193,Z38:Z193)</f>
        <v>16938.48</v>
      </c>
      <c r="AA209" s="291">
        <f>IF(AA36="kw",SUMPRODUCT(N38:N193,Q38:Q193,AA38:AA193),SUMPRODUCT(F38:F193,AA38:AA193))</f>
        <v>92.16</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241837</v>
      </c>
      <c r="Z210" s="291">
        <f>SUMPRODUCT(G38:G193,Z38:Z193)</f>
        <v>12573.48</v>
      </c>
      <c r="AA210" s="291">
        <f>IF(AA36="kw",SUMPRODUCT(N38:N193,R38:R193,AA38:AA193),SUMPRODUCT(G38:G193,AA38:AA193))</f>
        <v>92.16</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237449</v>
      </c>
      <c r="Z211" s="291">
        <f>SUMPRODUCT(H38:H193,Z38:Z193)</f>
        <v>12573.48</v>
      </c>
      <c r="AA211" s="291">
        <f>IF(AA36="kw",SUMPRODUCT(N38:N193,S38:S193,AA38:AA193),SUMPRODUCT(H38:H193,AA38:AA193))</f>
        <v>92.16</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234193</v>
      </c>
      <c r="Z212" s="326">
        <f>SUMPRODUCT(I38:I193,Z38:Z193)</f>
        <v>12573.48</v>
      </c>
      <c r="AA212" s="326">
        <f>IF(AA36="kw",SUMPRODUCT(N38:N193,T38:T193,AA38:AA193),SUMPRODUCT(I38:I193,AA38:AA193))</f>
        <v>92.16</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587</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13" t="s">
        <v>211</v>
      </c>
      <c r="C217" s="815" t="s">
        <v>33</v>
      </c>
      <c r="D217" s="284" t="s">
        <v>422</v>
      </c>
      <c r="E217" s="817" t="s">
        <v>209</v>
      </c>
      <c r="F217" s="818"/>
      <c r="G217" s="818"/>
      <c r="H217" s="818"/>
      <c r="I217" s="818"/>
      <c r="J217" s="818"/>
      <c r="K217" s="818"/>
      <c r="L217" s="818"/>
      <c r="M217" s="819"/>
      <c r="N217" s="823" t="s">
        <v>213</v>
      </c>
      <c r="O217" s="284" t="s">
        <v>423</v>
      </c>
      <c r="P217" s="817" t="s">
        <v>212</v>
      </c>
      <c r="Q217" s="818"/>
      <c r="R217" s="818"/>
      <c r="S217" s="818"/>
      <c r="T217" s="818"/>
      <c r="U217" s="818"/>
      <c r="V217" s="818"/>
      <c r="W217" s="818"/>
      <c r="X217" s="819"/>
      <c r="Y217" s="820" t="s">
        <v>243</v>
      </c>
      <c r="Z217" s="821"/>
      <c r="AA217" s="821"/>
      <c r="AB217" s="821"/>
      <c r="AC217" s="821"/>
      <c r="AD217" s="821"/>
      <c r="AE217" s="821"/>
      <c r="AF217" s="821"/>
      <c r="AG217" s="821"/>
      <c r="AH217" s="821"/>
      <c r="AI217" s="821"/>
      <c r="AJ217" s="821"/>
      <c r="AK217" s="821"/>
      <c r="AL217" s="821"/>
      <c r="AM217" s="822"/>
    </row>
    <row r="218" spans="1:39" ht="60.75" customHeight="1">
      <c r="B218" s="814"/>
      <c r="C218" s="816"/>
      <c r="D218" s="285">
        <v>2016</v>
      </c>
      <c r="E218" s="285">
        <v>2017</v>
      </c>
      <c r="F218" s="285">
        <v>2018</v>
      </c>
      <c r="G218" s="285">
        <v>2019</v>
      </c>
      <c r="H218" s="285">
        <v>2020</v>
      </c>
      <c r="I218" s="285">
        <v>2021</v>
      </c>
      <c r="J218" s="285">
        <v>2022</v>
      </c>
      <c r="K218" s="285">
        <v>2023</v>
      </c>
      <c r="L218" s="285">
        <v>2024</v>
      </c>
      <c r="M218" s="285">
        <v>2025</v>
      </c>
      <c r="N218" s="824"/>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GS"50kW</v>
      </c>
      <c r="AB218" s="285" t="str">
        <f>'1.  LRAMVA Summary'!G52</f>
        <v>USL</v>
      </c>
      <c r="AC218" s="285" t="str">
        <f>'1.  LRAMVA Summary'!H52</f>
        <v>Streetlights</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kWh</v>
      </c>
      <c r="AC219" s="291" t="str">
        <f>'1.  LRAMVA Summary'!H53</f>
        <v>kW</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677</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v>251468</v>
      </c>
      <c r="E288" s="295">
        <v>251468</v>
      </c>
      <c r="F288" s="295">
        <v>251468</v>
      </c>
      <c r="G288" s="295">
        <v>251468</v>
      </c>
      <c r="H288" s="295">
        <v>251468</v>
      </c>
      <c r="I288" s="295">
        <v>251468</v>
      </c>
      <c r="J288" s="295">
        <v>251468</v>
      </c>
      <c r="K288" s="295">
        <v>251306</v>
      </c>
      <c r="L288" s="295">
        <v>251306</v>
      </c>
      <c r="M288" s="295">
        <v>250170</v>
      </c>
      <c r="N288" s="291"/>
      <c r="O288" s="295">
        <v>17</v>
      </c>
      <c r="P288" s="295">
        <v>17</v>
      </c>
      <c r="Q288" s="295">
        <v>17</v>
      </c>
      <c r="R288" s="295">
        <v>17</v>
      </c>
      <c r="S288" s="295">
        <v>17</v>
      </c>
      <c r="T288" s="295">
        <v>17</v>
      </c>
      <c r="U288" s="295">
        <v>17</v>
      </c>
      <c r="V288" s="295">
        <v>17</v>
      </c>
      <c r="W288" s="295">
        <v>17</v>
      </c>
      <c r="X288" s="295">
        <v>16</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v>25422</v>
      </c>
      <c r="E289" s="295">
        <v>25422</v>
      </c>
      <c r="F289" s="295">
        <v>25422</v>
      </c>
      <c r="G289" s="295">
        <v>25422</v>
      </c>
      <c r="H289" s="295">
        <v>25422</v>
      </c>
      <c r="I289" s="295">
        <v>25422</v>
      </c>
      <c r="J289" s="295">
        <v>25422</v>
      </c>
      <c r="K289" s="295">
        <v>25422</v>
      </c>
      <c r="L289" s="295">
        <v>25422</v>
      </c>
      <c r="M289" s="295">
        <v>25461</v>
      </c>
      <c r="N289" s="291"/>
      <c r="O289" s="295">
        <v>2</v>
      </c>
      <c r="P289" s="295">
        <v>2</v>
      </c>
      <c r="Q289" s="295">
        <v>2</v>
      </c>
      <c r="R289" s="295">
        <v>2</v>
      </c>
      <c r="S289" s="295">
        <v>2</v>
      </c>
      <c r="T289" s="295">
        <v>2</v>
      </c>
      <c r="U289" s="295">
        <v>2</v>
      </c>
      <c r="V289" s="295">
        <v>2</v>
      </c>
      <c r="W289" s="295">
        <v>2</v>
      </c>
      <c r="X289" s="295">
        <v>2</v>
      </c>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v>59640</v>
      </c>
      <c r="E291" s="295">
        <v>59640</v>
      </c>
      <c r="F291" s="295">
        <v>59640</v>
      </c>
      <c r="G291" s="295">
        <v>59640</v>
      </c>
      <c r="H291" s="295">
        <v>59640</v>
      </c>
      <c r="I291" s="295">
        <v>59640</v>
      </c>
      <c r="J291" s="295">
        <v>59640</v>
      </c>
      <c r="K291" s="295">
        <v>59640</v>
      </c>
      <c r="L291" s="295">
        <v>59640</v>
      </c>
      <c r="M291" s="295">
        <v>59640</v>
      </c>
      <c r="N291" s="291"/>
      <c r="O291" s="295">
        <v>17</v>
      </c>
      <c r="P291" s="295">
        <v>17</v>
      </c>
      <c r="Q291" s="295">
        <v>17</v>
      </c>
      <c r="R291" s="295">
        <v>17</v>
      </c>
      <c r="S291" s="295">
        <v>17</v>
      </c>
      <c r="T291" s="295">
        <v>17</v>
      </c>
      <c r="U291" s="295">
        <v>17</v>
      </c>
      <c r="V291" s="295">
        <v>17</v>
      </c>
      <c r="W291" s="295">
        <v>17</v>
      </c>
      <c r="X291" s="295">
        <v>17</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c r="E292" s="295"/>
      <c r="F292" s="295"/>
      <c r="G292" s="295"/>
      <c r="H292" s="295"/>
      <c r="I292" s="295"/>
      <c r="J292" s="295"/>
      <c r="K292" s="295"/>
      <c r="L292" s="295"/>
      <c r="M292" s="295"/>
      <c r="N292" s="291"/>
      <c r="O292" s="295"/>
      <c r="P292" s="295"/>
      <c r="Q292" s="295"/>
      <c r="R292" s="295"/>
      <c r="S292" s="295"/>
      <c r="T292" s="295"/>
      <c r="U292" s="295"/>
      <c r="V292" s="295"/>
      <c r="W292" s="295"/>
      <c r="X292" s="295"/>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295">
        <v>107754</v>
      </c>
      <c r="E304" s="295">
        <v>106951</v>
      </c>
      <c r="F304" s="295">
        <v>106951</v>
      </c>
      <c r="G304" s="295">
        <v>106951</v>
      </c>
      <c r="H304" s="295">
        <v>106951</v>
      </c>
      <c r="I304" s="295">
        <v>106951</v>
      </c>
      <c r="J304" s="295">
        <v>106951</v>
      </c>
      <c r="K304" s="295">
        <v>106951</v>
      </c>
      <c r="L304" s="295">
        <v>106951</v>
      </c>
      <c r="M304" s="295">
        <v>106951</v>
      </c>
      <c r="N304" s="295">
        <v>12</v>
      </c>
      <c r="O304" s="295">
        <v>42</v>
      </c>
      <c r="P304" s="295">
        <v>42</v>
      </c>
      <c r="Q304" s="295">
        <v>42</v>
      </c>
      <c r="R304" s="295">
        <v>42</v>
      </c>
      <c r="S304" s="295">
        <v>42</v>
      </c>
      <c r="T304" s="295">
        <v>42</v>
      </c>
      <c r="U304" s="295">
        <v>42</v>
      </c>
      <c r="V304" s="295">
        <v>42</v>
      </c>
      <c r="W304" s="295">
        <v>42</v>
      </c>
      <c r="X304" s="295">
        <v>42</v>
      </c>
      <c r="Y304" s="426"/>
      <c r="Z304" s="410">
        <v>0.06</v>
      </c>
      <c r="AA304" s="410">
        <v>0.94</v>
      </c>
      <c r="AB304" s="410"/>
      <c r="AC304" s="410"/>
      <c r="AD304" s="410"/>
      <c r="AE304" s="410"/>
      <c r="AF304" s="410"/>
      <c r="AG304" s="415"/>
      <c r="AH304" s="415"/>
      <c r="AI304" s="415"/>
      <c r="AJ304" s="415"/>
      <c r="AK304" s="415"/>
      <c r="AL304" s="415"/>
      <c r="AM304" s="296">
        <f>SUM(Y304:AL304)</f>
        <v>1</v>
      </c>
    </row>
    <row r="305" spans="1:39" outlineLevel="1">
      <c r="B305" s="294" t="s">
        <v>289</v>
      </c>
      <c r="C305" s="291" t="s">
        <v>163</v>
      </c>
      <c r="D305" s="295">
        <v>6376</v>
      </c>
      <c r="E305" s="295">
        <v>7179</v>
      </c>
      <c r="F305" s="295">
        <v>7179</v>
      </c>
      <c r="G305" s="295">
        <v>7179</v>
      </c>
      <c r="H305" s="295">
        <v>7179</v>
      </c>
      <c r="I305" s="295">
        <v>7179</v>
      </c>
      <c r="J305" s="295">
        <v>7179</v>
      </c>
      <c r="K305" s="295">
        <v>7179</v>
      </c>
      <c r="L305" s="295">
        <v>7179</v>
      </c>
      <c r="M305" s="295">
        <v>7179</v>
      </c>
      <c r="N305" s="295">
        <v>12</v>
      </c>
      <c r="O305" s="295">
        <v>2</v>
      </c>
      <c r="P305" s="295">
        <v>2</v>
      </c>
      <c r="Q305" s="295">
        <v>2</v>
      </c>
      <c r="R305" s="295">
        <v>2</v>
      </c>
      <c r="S305" s="295">
        <v>2</v>
      </c>
      <c r="T305" s="295">
        <v>2</v>
      </c>
      <c r="U305" s="295">
        <v>2</v>
      </c>
      <c r="V305" s="295">
        <v>2</v>
      </c>
      <c r="W305" s="295">
        <v>2</v>
      </c>
      <c r="X305" s="295">
        <v>2</v>
      </c>
      <c r="Y305" s="411">
        <f>Y304</f>
        <v>0</v>
      </c>
      <c r="Z305" s="411">
        <f t="shared" ref="Z305" si="811">Z304</f>
        <v>0.06</v>
      </c>
      <c r="AA305" s="411">
        <f t="shared" ref="AA305" si="812">AA304</f>
        <v>0.94</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outlineLevel="1">
      <c r="B308" s="294" t="s">
        <v>289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 si="824">Z307</f>
        <v>0</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v>
      </c>
      <c r="AA311" s="411">
        <f t="shared" ref="AA311" si="838">AA310</f>
        <v>0</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450660</v>
      </c>
      <c r="E378" s="329"/>
      <c r="F378" s="329"/>
      <c r="G378" s="329"/>
      <c r="H378" s="329"/>
      <c r="I378" s="329"/>
      <c r="J378" s="329"/>
      <c r="K378" s="329"/>
      <c r="L378" s="329"/>
      <c r="M378" s="329"/>
      <c r="N378" s="329"/>
      <c r="O378" s="329">
        <f>SUM(O221:O376)</f>
        <v>80</v>
      </c>
      <c r="P378" s="329"/>
      <c r="Q378" s="329"/>
      <c r="R378" s="329"/>
      <c r="S378" s="329"/>
      <c r="T378" s="329"/>
      <c r="U378" s="329"/>
      <c r="V378" s="329"/>
      <c r="W378" s="329"/>
      <c r="X378" s="329"/>
      <c r="Y378" s="329">
        <f>IF(Y219="kWh",SUMPRODUCT(D221:D376,Y221:Y376))</f>
        <v>336530</v>
      </c>
      <c r="Z378" s="329">
        <f>IF(Z219="kWh",SUMPRODUCT(D221:D376,Z221:Z376))</f>
        <v>6847.8</v>
      </c>
      <c r="AA378" s="329">
        <f>IF(AA219="kw",SUMPRODUCT(N221:N376,O221:O376,AA221:AA376),SUMPRODUCT(D221:D376,AA221:AA376))</f>
        <v>496.32</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1.4500000000000001E-2</v>
      </c>
      <c r="Z381" s="341">
        <f>HLOOKUP(Z$35,'3.  Distribution Rates'!$C$122:$P$133,8,FALSE)</f>
        <v>1.37E-2</v>
      </c>
      <c r="AA381" s="341">
        <f>HLOOKUP(AA$35,'3.  Distribution Rates'!$C$122:$P$133,8,FALSE)</f>
        <v>2.5331000000000001</v>
      </c>
      <c r="AB381" s="341">
        <f>HLOOKUP(AB$35,'3.  Distribution Rates'!$C$122:$P$133,8,FALSE)</f>
        <v>9.9000000000000008E-3</v>
      </c>
      <c r="AC381" s="341">
        <f>HLOOKUP(AC$35,'3.  Distribution Rates'!$C$122:$P$133,8,FALSE)</f>
        <v>7.2483000000000004</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3">SUM(Y385:AL385)</f>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3532.1565000000001</v>
      </c>
      <c r="Z386" s="378">
        <f t="shared" si="1124"/>
        <v>232.057176</v>
      </c>
      <c r="AA386" s="378">
        <f t="shared" si="1124"/>
        <v>233.45049600000002</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9">
        <f t="shared" si="1123"/>
        <v>3997.6641719999998</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4879.6850000000004</v>
      </c>
      <c r="Z387" s="378">
        <f t="shared" ref="Z387:AL387" si="1125">Z378*Z381</f>
        <v>93.81486000000001</v>
      </c>
      <c r="AA387" s="378">
        <f t="shared" si="1125"/>
        <v>1257.228192</v>
      </c>
      <c r="AB387" s="378">
        <f t="shared" si="1125"/>
        <v>0</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9">
        <f t="shared" si="1123"/>
        <v>6230.7280520000004</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8411.8415000000005</v>
      </c>
      <c r="Z388" s="346">
        <f t="shared" ref="Z388:AE388" si="1126">SUM(Z382:Z387)</f>
        <v>325.87203599999998</v>
      </c>
      <c r="AA388" s="346">
        <f t="shared" si="1126"/>
        <v>1490.678688</v>
      </c>
      <c r="AB388" s="346">
        <f t="shared" si="1126"/>
        <v>0</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10228.392223999999</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10228.392223999999</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336530</v>
      </c>
      <c r="Z392" s="291">
        <f>SUMPRODUCT(E221:E376,Z221:Z376)</f>
        <v>6847.7999999999993</v>
      </c>
      <c r="AA392" s="291">
        <f t="shared" ref="AA392:AL392" si="1130">IF(AA219="kw",SUMPRODUCT($N$221:$N$376,$P$221:$P$376,AA221:AA376),SUMPRODUCT($E$221:$E$376,AA221:AA376))</f>
        <v>496.32</v>
      </c>
      <c r="AB392" s="291">
        <f t="shared" si="1130"/>
        <v>0</v>
      </c>
      <c r="AC392" s="291">
        <f t="shared" si="1130"/>
        <v>0</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336530</v>
      </c>
      <c r="Z393" s="291">
        <f>SUMPRODUCT(F221:F376,Z221:Z376)</f>
        <v>6847.7999999999993</v>
      </c>
      <c r="AA393" s="291">
        <f t="shared" ref="AA393:AL393" si="1131">IF(AA219="kw",SUMPRODUCT($N$221:$N$376,$Q$221:$Q$376,AA221:AA376),SUMPRODUCT($F$221:$F$376,AA221:AA376))</f>
        <v>496.32</v>
      </c>
      <c r="AB393" s="291">
        <f t="shared" si="1131"/>
        <v>0</v>
      </c>
      <c r="AC393" s="291">
        <f t="shared" si="1131"/>
        <v>0</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336530</v>
      </c>
      <c r="Z394" s="291">
        <f>SUMPRODUCT(G221:G376,Z221:Z376)</f>
        <v>6847.7999999999993</v>
      </c>
      <c r="AA394" s="291">
        <f t="shared" ref="AA394:AL394" si="1132">IF(AA219="kw",SUMPRODUCT($N$221:$N$376,$R$221:$R$376,AA221:AA376),SUMPRODUCT($G$221:$G$376,AA221:AA376))</f>
        <v>496.32</v>
      </c>
      <c r="AB394" s="291">
        <f t="shared" si="1132"/>
        <v>0</v>
      </c>
      <c r="AC394" s="291">
        <f t="shared" si="1132"/>
        <v>0</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336530</v>
      </c>
      <c r="Z395" s="326">
        <f>SUMPRODUCT(H221:H376,Z221:Z376)</f>
        <v>6847.7999999999993</v>
      </c>
      <c r="AA395" s="326">
        <f t="shared" ref="AA395:AL395" si="1133">IF(AA219="kw",SUMPRODUCT($N$221:$N$376,$S$221:$S$376,AA221:AA376),SUMPRODUCT($H$221:$H$376,AA221:AA376))</f>
        <v>496.32</v>
      </c>
      <c r="AB395" s="326">
        <f t="shared" si="1133"/>
        <v>0</v>
      </c>
      <c r="AC395" s="326">
        <f t="shared" si="1133"/>
        <v>0</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587</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526</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13" t="s">
        <v>211</v>
      </c>
      <c r="C400" s="815" t="s">
        <v>33</v>
      </c>
      <c r="D400" s="284" t="s">
        <v>422</v>
      </c>
      <c r="E400" s="817" t="s">
        <v>209</v>
      </c>
      <c r="F400" s="818"/>
      <c r="G400" s="818"/>
      <c r="H400" s="818"/>
      <c r="I400" s="818"/>
      <c r="J400" s="818"/>
      <c r="K400" s="818"/>
      <c r="L400" s="818"/>
      <c r="M400" s="819"/>
      <c r="N400" s="823" t="s">
        <v>213</v>
      </c>
      <c r="O400" s="284" t="s">
        <v>423</v>
      </c>
      <c r="P400" s="817" t="s">
        <v>212</v>
      </c>
      <c r="Q400" s="818"/>
      <c r="R400" s="818"/>
      <c r="S400" s="818"/>
      <c r="T400" s="818"/>
      <c r="U400" s="818"/>
      <c r="V400" s="818"/>
      <c r="W400" s="818"/>
      <c r="X400" s="819"/>
      <c r="Y400" s="820" t="s">
        <v>243</v>
      </c>
      <c r="Z400" s="821"/>
      <c r="AA400" s="821"/>
      <c r="AB400" s="821"/>
      <c r="AC400" s="821"/>
      <c r="AD400" s="821"/>
      <c r="AE400" s="821"/>
      <c r="AF400" s="821"/>
      <c r="AG400" s="821"/>
      <c r="AH400" s="821"/>
      <c r="AI400" s="821"/>
      <c r="AJ400" s="821"/>
      <c r="AK400" s="821"/>
      <c r="AL400" s="821"/>
      <c r="AM400" s="822"/>
    </row>
    <row r="401" spans="1:39" ht="61.5" customHeight="1">
      <c r="B401" s="814"/>
      <c r="C401" s="816"/>
      <c r="D401" s="285">
        <v>2017</v>
      </c>
      <c r="E401" s="285">
        <v>2018</v>
      </c>
      <c r="F401" s="285">
        <v>2019</v>
      </c>
      <c r="G401" s="285">
        <v>2020</v>
      </c>
      <c r="H401" s="285">
        <v>2021</v>
      </c>
      <c r="I401" s="285">
        <v>2022</v>
      </c>
      <c r="J401" s="285">
        <v>2023</v>
      </c>
      <c r="K401" s="285">
        <v>2024</v>
      </c>
      <c r="L401" s="285">
        <v>2025</v>
      </c>
      <c r="M401" s="285">
        <v>2026</v>
      </c>
      <c r="N401" s="824"/>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GS"50kW</v>
      </c>
      <c r="AB401" s="285" t="str">
        <f>'1.  LRAMVA Summary'!G52</f>
        <v>USL</v>
      </c>
      <c r="AC401" s="285" t="str">
        <f>'1.  LRAMVA Summary'!H52</f>
        <v>Streetlights</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kWh</v>
      </c>
      <c r="AC402" s="291" t="str">
        <f>'1.  LRAMVA Summary'!H53</f>
        <v>kW</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677</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v>229067</v>
      </c>
      <c r="E471" s="295">
        <v>184277</v>
      </c>
      <c r="F471" s="295">
        <v>184277</v>
      </c>
      <c r="G471" s="295">
        <v>184277</v>
      </c>
      <c r="H471" s="295">
        <v>184277</v>
      </c>
      <c r="I471" s="295">
        <v>184277</v>
      </c>
      <c r="J471" s="295">
        <v>184277</v>
      </c>
      <c r="K471" s="295">
        <v>184276</v>
      </c>
      <c r="L471" s="295">
        <v>184276</v>
      </c>
      <c r="M471" s="295">
        <v>183829</v>
      </c>
      <c r="N471" s="291"/>
      <c r="O471" s="295">
        <v>16</v>
      </c>
      <c r="P471" s="295">
        <v>13</v>
      </c>
      <c r="Q471" s="295">
        <v>13</v>
      </c>
      <c r="R471" s="295">
        <v>13</v>
      </c>
      <c r="S471" s="295">
        <v>13</v>
      </c>
      <c r="T471" s="295">
        <v>13</v>
      </c>
      <c r="U471" s="295">
        <v>13</v>
      </c>
      <c r="V471" s="295">
        <v>13</v>
      </c>
      <c r="W471" s="295">
        <v>13</v>
      </c>
      <c r="X471" s="295">
        <v>13</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v>68284</v>
      </c>
      <c r="E474" s="295">
        <v>68284</v>
      </c>
      <c r="F474" s="295">
        <v>68284</v>
      </c>
      <c r="G474" s="295">
        <v>68284</v>
      </c>
      <c r="H474" s="295">
        <v>68284</v>
      </c>
      <c r="I474" s="295">
        <v>68284</v>
      </c>
      <c r="J474" s="295">
        <v>68284</v>
      </c>
      <c r="K474" s="295">
        <v>68284</v>
      </c>
      <c r="L474" s="295">
        <v>68284</v>
      </c>
      <c r="M474" s="295">
        <v>68284</v>
      </c>
      <c r="N474" s="291"/>
      <c r="O474" s="295">
        <v>19</v>
      </c>
      <c r="P474" s="295">
        <v>19</v>
      </c>
      <c r="Q474" s="295">
        <v>19</v>
      </c>
      <c r="R474" s="295">
        <v>19</v>
      </c>
      <c r="S474" s="295">
        <v>19</v>
      </c>
      <c r="T474" s="295">
        <v>19</v>
      </c>
      <c r="U474" s="295">
        <v>19</v>
      </c>
      <c r="V474" s="295">
        <v>19</v>
      </c>
      <c r="W474" s="295">
        <v>19</v>
      </c>
      <c r="X474" s="295">
        <v>19</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outlineLevel="1">
      <c r="A477" s="532">
        <v>23</v>
      </c>
      <c r="B477" s="757" t="s">
        <v>732</v>
      </c>
      <c r="C477" s="291" t="s">
        <v>25</v>
      </c>
      <c r="D477" s="295">
        <v>211346</v>
      </c>
      <c r="E477" s="295">
        <v>153054</v>
      </c>
      <c r="F477" s="295">
        <v>153054</v>
      </c>
      <c r="G477" s="295">
        <v>153054</v>
      </c>
      <c r="H477" s="295">
        <v>153054</v>
      </c>
      <c r="I477" s="295">
        <v>153054</v>
      </c>
      <c r="J477" s="295">
        <v>153054</v>
      </c>
      <c r="K477" s="295">
        <v>153051</v>
      </c>
      <c r="L477" s="295">
        <v>153051</v>
      </c>
      <c r="M477" s="295">
        <v>153051</v>
      </c>
      <c r="N477" s="291"/>
      <c r="O477" s="295">
        <v>14</v>
      </c>
      <c r="P477" s="295">
        <v>11</v>
      </c>
      <c r="Q477" s="295">
        <v>11</v>
      </c>
      <c r="R477" s="295">
        <v>11</v>
      </c>
      <c r="S477" s="295">
        <v>11</v>
      </c>
      <c r="T477" s="295">
        <v>11</v>
      </c>
      <c r="U477" s="295">
        <v>11</v>
      </c>
      <c r="V477" s="295">
        <v>11</v>
      </c>
      <c r="W477" s="295">
        <v>11</v>
      </c>
      <c r="X477" s="295">
        <v>11</v>
      </c>
      <c r="Y477" s="410">
        <v>1</v>
      </c>
      <c r="Z477" s="410"/>
      <c r="AA477" s="410"/>
      <c r="AB477" s="410"/>
      <c r="AC477" s="410"/>
      <c r="AD477" s="410"/>
      <c r="AE477" s="410"/>
      <c r="AF477" s="410"/>
      <c r="AG477" s="410"/>
      <c r="AH477" s="410"/>
      <c r="AI477" s="410"/>
      <c r="AJ477" s="410"/>
      <c r="AK477" s="410"/>
      <c r="AL477" s="410"/>
      <c r="AM477" s="296">
        <f>SUM(Y477:AL477)</f>
        <v>1</v>
      </c>
    </row>
    <row r="478" spans="1:39"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1</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24</v>
      </c>
      <c r="B480" s="428" t="s">
        <v>116</v>
      </c>
      <c r="C480" s="291" t="s">
        <v>25</v>
      </c>
      <c r="D480" s="295">
        <v>49037</v>
      </c>
      <c r="E480" s="295">
        <v>49037</v>
      </c>
      <c r="F480" s="295">
        <v>49037</v>
      </c>
      <c r="G480" s="295">
        <v>49037</v>
      </c>
      <c r="H480" s="295">
        <v>49037</v>
      </c>
      <c r="I480" s="295">
        <v>49037</v>
      </c>
      <c r="J480" s="295">
        <v>49037</v>
      </c>
      <c r="K480" s="295">
        <v>49037</v>
      </c>
      <c r="L480" s="295">
        <v>49037</v>
      </c>
      <c r="M480" s="295">
        <v>48999</v>
      </c>
      <c r="N480" s="291"/>
      <c r="O480" s="295">
        <v>4</v>
      </c>
      <c r="P480" s="295">
        <v>4</v>
      </c>
      <c r="Q480" s="295">
        <v>4</v>
      </c>
      <c r="R480" s="295">
        <v>4</v>
      </c>
      <c r="S480" s="295">
        <v>4</v>
      </c>
      <c r="T480" s="295">
        <v>4</v>
      </c>
      <c r="U480" s="295">
        <v>4</v>
      </c>
      <c r="V480" s="295">
        <v>4</v>
      </c>
      <c r="W480" s="295">
        <v>4</v>
      </c>
      <c r="X480" s="295">
        <v>4</v>
      </c>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outlineLevel="1">
      <c r="A485" s="532"/>
      <c r="B485" s="431" t="s">
        <v>308</v>
      </c>
      <c r="C485" s="291" t="s">
        <v>163</v>
      </c>
      <c r="D485" s="295"/>
      <c r="E485" s="295"/>
      <c r="F485" s="295"/>
      <c r="G485" s="295"/>
      <c r="H485" s="295"/>
      <c r="I485" s="295"/>
      <c r="J485" s="295"/>
      <c r="K485" s="295"/>
      <c r="L485" s="295"/>
      <c r="M485" s="295"/>
      <c r="N485" s="295">
        <v>12</v>
      </c>
      <c r="O485" s="295"/>
      <c r="P485" s="295"/>
      <c r="Q485" s="295"/>
      <c r="R485" s="295"/>
      <c r="S485" s="295"/>
      <c r="T485" s="295"/>
      <c r="U485" s="295"/>
      <c r="V485" s="295"/>
      <c r="W485" s="295"/>
      <c r="X485" s="295"/>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26</v>
      </c>
      <c r="B487" s="428" t="s">
        <v>118</v>
      </c>
      <c r="C487" s="291" t="s">
        <v>25</v>
      </c>
      <c r="D487" s="295">
        <v>699111</v>
      </c>
      <c r="E487" s="295">
        <v>700883</v>
      </c>
      <c r="F487" s="295">
        <v>700883</v>
      </c>
      <c r="G487" s="295">
        <v>700883</v>
      </c>
      <c r="H487" s="295">
        <v>700883</v>
      </c>
      <c r="I487" s="295">
        <v>509917</v>
      </c>
      <c r="J487" s="295">
        <v>509917</v>
      </c>
      <c r="K487" s="295">
        <v>509917</v>
      </c>
      <c r="L487" s="295">
        <v>509917</v>
      </c>
      <c r="M487" s="295">
        <v>509917</v>
      </c>
      <c r="N487" s="295">
        <v>12</v>
      </c>
      <c r="O487" s="295">
        <v>116</v>
      </c>
      <c r="P487" s="295">
        <v>116</v>
      </c>
      <c r="Q487" s="295">
        <v>116</v>
      </c>
      <c r="R487" s="295">
        <v>116</v>
      </c>
      <c r="S487" s="295">
        <v>116</v>
      </c>
      <c r="T487" s="295">
        <v>84</v>
      </c>
      <c r="U487" s="295">
        <v>84</v>
      </c>
      <c r="V487" s="295">
        <v>84</v>
      </c>
      <c r="W487" s="295">
        <v>84</v>
      </c>
      <c r="X487" s="295">
        <v>84</v>
      </c>
      <c r="Y487" s="426"/>
      <c r="Z487" s="410">
        <v>0.08</v>
      </c>
      <c r="AA487" s="410">
        <v>0.92</v>
      </c>
      <c r="AB487" s="410"/>
      <c r="AC487" s="410"/>
      <c r="AD487" s="410"/>
      <c r="AE487" s="410"/>
      <c r="AF487" s="415"/>
      <c r="AG487" s="415"/>
      <c r="AH487" s="415"/>
      <c r="AI487" s="415"/>
      <c r="AJ487" s="415"/>
      <c r="AK487" s="415"/>
      <c r="AL487" s="415"/>
      <c r="AM487" s="296">
        <f>SUM(Y487:AL487)</f>
        <v>1</v>
      </c>
    </row>
    <row r="488" spans="1:39"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7">Z487</f>
        <v>0.08</v>
      </c>
      <c r="AA488" s="411">
        <f t="shared" ref="AA488" si="1388">AA487</f>
        <v>0.92</v>
      </c>
      <c r="AB488" s="411">
        <f t="shared" ref="AB488" si="1389">AB487</f>
        <v>0</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0</v>
      </c>
      <c r="AA491" s="411">
        <f t="shared" ref="AA491" si="1401">AA490</f>
        <v>0</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0</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757" t="s">
        <v>733</v>
      </c>
      <c r="C512" s="291" t="s">
        <v>25</v>
      </c>
      <c r="D512" s="295">
        <v>2360</v>
      </c>
      <c r="E512" s="295">
        <v>2360</v>
      </c>
      <c r="F512" s="295">
        <v>2360</v>
      </c>
      <c r="G512" s="295">
        <v>2360</v>
      </c>
      <c r="H512" s="295">
        <v>2360</v>
      </c>
      <c r="I512" s="295">
        <v>2360</v>
      </c>
      <c r="J512" s="295">
        <v>2360</v>
      </c>
      <c r="K512" s="295">
        <v>2360</v>
      </c>
      <c r="L512" s="295">
        <v>2360</v>
      </c>
      <c r="M512" s="295">
        <v>2360</v>
      </c>
      <c r="N512" s="295">
        <v>0</v>
      </c>
      <c r="O512" s="295"/>
      <c r="P512" s="295"/>
      <c r="Q512" s="295"/>
      <c r="R512" s="295"/>
      <c r="S512" s="295"/>
      <c r="T512" s="295"/>
      <c r="U512" s="295"/>
      <c r="V512" s="295"/>
      <c r="W512" s="295"/>
      <c r="X512" s="295"/>
      <c r="Y512" s="426">
        <v>1</v>
      </c>
      <c r="Z512" s="410"/>
      <c r="AA512" s="410"/>
      <c r="AB512" s="410"/>
      <c r="AC512" s="410"/>
      <c r="AD512" s="410"/>
      <c r="AE512" s="410"/>
      <c r="AF512" s="415"/>
      <c r="AG512" s="415"/>
      <c r="AH512" s="415"/>
      <c r="AI512" s="415"/>
      <c r="AJ512" s="415"/>
      <c r="AK512" s="415"/>
      <c r="AL512" s="415"/>
      <c r="AM512" s="296">
        <f>SUM(Y512:AL512)</f>
        <v>1</v>
      </c>
    </row>
    <row r="513" spans="1:39" outlineLevel="1">
      <c r="A513" s="532"/>
      <c r="B513" s="431" t="s">
        <v>308</v>
      </c>
      <c r="C513" s="291" t="s">
        <v>163</v>
      </c>
      <c r="D513" s="295"/>
      <c r="E513" s="295"/>
      <c r="F513" s="295"/>
      <c r="G513" s="295"/>
      <c r="H513" s="295"/>
      <c r="I513" s="295"/>
      <c r="J513" s="295"/>
      <c r="K513" s="295"/>
      <c r="L513" s="295"/>
      <c r="M513" s="295"/>
      <c r="N513" s="295">
        <v>0</v>
      </c>
      <c r="O513" s="295"/>
      <c r="P513" s="295"/>
      <c r="Q513" s="295"/>
      <c r="R513" s="295"/>
      <c r="S513" s="295"/>
      <c r="T513" s="295"/>
      <c r="U513" s="295"/>
      <c r="V513" s="295"/>
      <c r="W513" s="295"/>
      <c r="X513" s="295"/>
      <c r="Y513" s="411">
        <f>Y512</f>
        <v>1</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308</v>
      </c>
      <c r="C516" s="291" t="s">
        <v>163</v>
      </c>
      <c r="D516" s="295"/>
      <c r="E516" s="295"/>
      <c r="F516" s="295"/>
      <c r="G516" s="295"/>
      <c r="H516" s="295"/>
      <c r="I516" s="295"/>
      <c r="J516" s="295"/>
      <c r="K516" s="295"/>
      <c r="L516" s="295"/>
      <c r="M516" s="295"/>
      <c r="N516" s="295">
        <v>0</v>
      </c>
      <c r="O516" s="295"/>
      <c r="P516" s="295"/>
      <c r="Q516" s="295"/>
      <c r="R516" s="295"/>
      <c r="S516" s="295"/>
      <c r="T516" s="295"/>
      <c r="U516" s="295"/>
      <c r="V516" s="295"/>
      <c r="W516" s="295"/>
      <c r="X516" s="295"/>
      <c r="Y516" s="411">
        <f>Y515</f>
        <v>0</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outlineLevel="1">
      <c r="A519" s="532">
        <v>36</v>
      </c>
      <c r="B519" s="757" t="s">
        <v>734</v>
      </c>
      <c r="C519" s="291" t="s">
        <v>25</v>
      </c>
      <c r="D519" s="295">
        <v>672</v>
      </c>
      <c r="E519" s="295">
        <v>672</v>
      </c>
      <c r="F519" s="295">
        <v>672</v>
      </c>
      <c r="G519" s="295">
        <v>672</v>
      </c>
      <c r="H519" s="295">
        <v>672</v>
      </c>
      <c r="I519" s="295">
        <v>672</v>
      </c>
      <c r="J519" s="295">
        <v>672</v>
      </c>
      <c r="K519" s="295">
        <v>672</v>
      </c>
      <c r="L519" s="295">
        <v>672</v>
      </c>
      <c r="M519" s="295">
        <v>672</v>
      </c>
      <c r="N519" s="295">
        <v>12</v>
      </c>
      <c r="O519" s="295"/>
      <c r="P519" s="295"/>
      <c r="Q519" s="295"/>
      <c r="R519" s="295"/>
      <c r="S519" s="295"/>
      <c r="T519" s="295"/>
      <c r="U519" s="295"/>
      <c r="V519" s="295"/>
      <c r="W519" s="295"/>
      <c r="X519" s="295"/>
      <c r="Y519" s="426">
        <v>1</v>
      </c>
      <c r="Z519" s="410"/>
      <c r="AA519" s="410"/>
      <c r="AB519" s="410"/>
      <c r="AC519" s="410"/>
      <c r="AD519" s="410"/>
      <c r="AE519" s="410"/>
      <c r="AF519" s="415"/>
      <c r="AG519" s="415"/>
      <c r="AH519" s="415"/>
      <c r="AI519" s="415"/>
      <c r="AJ519" s="415"/>
      <c r="AK519" s="415"/>
      <c r="AL519" s="415"/>
      <c r="AM519" s="296">
        <f>SUM(Y519:AL519)</f>
        <v>1</v>
      </c>
    </row>
    <row r="520" spans="1:39"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1</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1259877</v>
      </c>
      <c r="E561" s="329"/>
      <c r="F561" s="329"/>
      <c r="G561" s="329"/>
      <c r="H561" s="329"/>
      <c r="I561" s="329"/>
      <c r="J561" s="329"/>
      <c r="K561" s="329"/>
      <c r="L561" s="329"/>
      <c r="M561" s="329"/>
      <c r="N561" s="329"/>
      <c r="O561" s="329">
        <f>SUM(O404:O559)</f>
        <v>169</v>
      </c>
      <c r="P561" s="329"/>
      <c r="Q561" s="329"/>
      <c r="R561" s="329"/>
      <c r="S561" s="329"/>
      <c r="T561" s="329"/>
      <c r="U561" s="329"/>
      <c r="V561" s="329"/>
      <c r="W561" s="329"/>
      <c r="X561" s="329"/>
      <c r="Y561" s="329">
        <f>IF(Y402="kWh",SUMPRODUCT(D404:D559,Y404:Y559))</f>
        <v>560766</v>
      </c>
      <c r="Z561" s="329">
        <f>IF(Z402="kWh",SUMPRODUCT(D404:D559,Z404:Z559))</f>
        <v>55928.880000000005</v>
      </c>
      <c r="AA561" s="329">
        <f>IF(AA402="kw",SUMPRODUCT(N404:N559,O404:O559,AA404:AA559),SUMPRODUCT(D404:D559,AA404:AA559))</f>
        <v>1280.6400000000001</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533328</v>
      </c>
      <c r="Z562" s="392">
        <f>HLOOKUP(Z218,'2. LRAMVA Threshold'!$B$42:$Q$53,9,FALSE)</f>
        <v>216607</v>
      </c>
      <c r="AA562" s="392">
        <f>HLOOKUP(AA218,'2. LRAMVA Threshold'!$B$42:$Q$53,9,FALSE)</f>
        <v>2175.8487914922475</v>
      </c>
      <c r="AB562" s="392">
        <f>HLOOKUP(AB218,'2. LRAMVA Threshold'!$B$42:$Q$53,9,FALSE)</f>
        <v>2759</v>
      </c>
      <c r="AC562" s="392">
        <f>HLOOKUP(AC218,'2. LRAMVA Threshold'!$B$42:$Q$53,9,FALSE)</f>
        <v>38.69265799140554</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1.15E-2</v>
      </c>
      <c r="Z564" s="341">
        <f>HLOOKUP(Z$35,'3.  Distribution Rates'!$C$122:$P$133,9,FALSE)</f>
        <v>1.5299999999999999E-2</v>
      </c>
      <c r="AA564" s="341">
        <f>HLOOKUP(AA$35,'3.  Distribution Rates'!$C$122:$P$133,9,FALSE)</f>
        <v>2.8635999999999999</v>
      </c>
      <c r="AB564" s="341">
        <f>HLOOKUP(AB$35,'3.  Distribution Rates'!$C$122:$P$133,9,FALSE)</f>
        <v>2.8999999999999998E-3</v>
      </c>
      <c r="AC564" s="341">
        <f>HLOOKUP(AC$35,'3.  Distribution Rates'!$C$122:$P$133,9,FALSE)</f>
        <v>5.7111999999999998</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99">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99"/>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99"/>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99"/>
        <v>0</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2787.232</v>
      </c>
      <c r="Z569" s="378">
        <f t="shared" si="1700"/>
        <v>259.15874399999996</v>
      </c>
      <c r="AA569" s="378">
        <f t="shared" si="1700"/>
        <v>263.90937600000001</v>
      </c>
      <c r="AB569" s="378">
        <f>AB209*AB564</f>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9">
        <f t="shared" si="1699"/>
        <v>3310.3001199999999</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3870.0949999999998</v>
      </c>
      <c r="Z570" s="378">
        <f>Z392*Z564</f>
        <v>104.77133999999998</v>
      </c>
      <c r="AA570" s="378">
        <f t="shared" ref="AA570:AL570" si="1701">AA392*AA564</f>
        <v>1421.2619519999998</v>
      </c>
      <c r="AB570" s="378">
        <f>AB392*AB564</f>
        <v>0</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9">
        <f t="shared" si="1699"/>
        <v>5396.1282919999994</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6448.8090000000002</v>
      </c>
      <c r="Z571" s="378">
        <f t="shared" ref="Z571:AL571" si="1702">Z561*Z564</f>
        <v>855.71186399999999</v>
      </c>
      <c r="AA571" s="378">
        <f t="shared" si="1702"/>
        <v>3667.2407040000003</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9">
        <f t="shared" si="1699"/>
        <v>10971.761568</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13106.135999999999</v>
      </c>
      <c r="Z572" s="346">
        <f>SUM(Z565:Z571)</f>
        <v>1219.641948</v>
      </c>
      <c r="AA572" s="346">
        <f t="shared" ref="AA572:AE572" si="1703">SUM(AA565:AA571)</f>
        <v>5352.4120320000002</v>
      </c>
      <c r="AB572" s="346">
        <f t="shared" si="1703"/>
        <v>0</v>
      </c>
      <c r="AC572" s="346">
        <f t="shared" si="1703"/>
        <v>0</v>
      </c>
      <c r="AD572" s="346">
        <f>SUM(AD565:AD571)</f>
        <v>0</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19678.189979999999</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6133.2719999999999</v>
      </c>
      <c r="Z573" s="347">
        <f t="shared" ref="Z573:AE573" si="1705">Z562*Z564</f>
        <v>3314.0870999999997</v>
      </c>
      <c r="AA573" s="347">
        <f t="shared" si="1705"/>
        <v>6230.7605993172001</v>
      </c>
      <c r="AB573" s="347">
        <f t="shared" si="1705"/>
        <v>8.0010999999999992</v>
      </c>
      <c r="AC573" s="347">
        <f t="shared" si="1705"/>
        <v>220.9815083205153</v>
      </c>
      <c r="AD573" s="347">
        <f>AD562*AD564</f>
        <v>0</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15907.102307637715</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3771.0876723622841</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457684</v>
      </c>
      <c r="Z576" s="291">
        <f>SUMPRODUCT(E404:E559,Z404:Z559)</f>
        <v>56070.64</v>
      </c>
      <c r="AA576" s="291">
        <f>IF(AA402="kw",SUMPRODUCT($N$404:$N$559,$P$404:$P$559,AA404:AA559),SUMPRODUCT($E$404:$E$559,AA404:AA559))</f>
        <v>1280.6400000000001</v>
      </c>
      <c r="AB576" s="291">
        <f>IF(AB402="kw",SUMPRODUCT($N$404:$N$559,$P$404:$P$559,AB404:AB559),SUMPRODUCT($E$404:$E$559,AB404:AB559))</f>
        <v>0</v>
      </c>
      <c r="AC576" s="291">
        <f>IF(AC402="kw",SUMPRODUCT($N$404:$N$559,$P$404:$P$559,AC404:AC559),SUMPRODUCT($E$404:$E$559,AC404:AC559))</f>
        <v>0</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457684</v>
      </c>
      <c r="Z577" s="291">
        <f>SUMPRODUCT(F404:F559,Z404:Z559)</f>
        <v>56070.64</v>
      </c>
      <c r="AA577" s="291">
        <f t="shared" ref="AA577:AL577" si="1708">IF(AA402="kw",SUMPRODUCT($N$404:$N$559,$Q$404:$Q$559,AA404:AA559),SUMPRODUCT($F$404:$F$559,AA404:AA559))</f>
        <v>1280.6400000000001</v>
      </c>
      <c r="AB577" s="291">
        <f t="shared" si="1708"/>
        <v>0</v>
      </c>
      <c r="AC577" s="291">
        <f>IF(AC402="kw",SUMPRODUCT($N$404:$N$559,$Q$404:$Q$559,AC404:AC559),SUMPRODUCT($F$404:$F$559,AC404:AC559))</f>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457684</v>
      </c>
      <c r="Z578" s="326">
        <f>SUMPRODUCT(G404:G559,Z404:Z559)</f>
        <v>56070.64</v>
      </c>
      <c r="AA578" s="326">
        <f t="shared" ref="AA578:AL578" si="1709">IF(AA402="kw",SUMPRODUCT($N$404:$N$559,$R$404:$R$559,AA404:AA559),SUMPRODUCT($G$404:$G$559,AA404:AA559))</f>
        <v>1280.6400000000001</v>
      </c>
      <c r="AB578" s="326">
        <f t="shared" si="1709"/>
        <v>0</v>
      </c>
      <c r="AC578" s="326">
        <f>IF(AC402="kw",SUMPRODUCT($N$404:$N$559,$R$404:$R$559,AC404:AC559),SUMPRODUCT($G$404:$G$559,AC404:AC559))</f>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587</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526</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13" t="s">
        <v>211</v>
      </c>
      <c r="C583" s="815" t="s">
        <v>33</v>
      </c>
      <c r="D583" s="284" t="s">
        <v>422</v>
      </c>
      <c r="E583" s="817" t="s">
        <v>209</v>
      </c>
      <c r="F583" s="818"/>
      <c r="G583" s="818"/>
      <c r="H583" s="818"/>
      <c r="I583" s="818"/>
      <c r="J583" s="818"/>
      <c r="K583" s="818"/>
      <c r="L583" s="818"/>
      <c r="M583" s="819"/>
      <c r="N583" s="823" t="s">
        <v>213</v>
      </c>
      <c r="O583" s="284" t="s">
        <v>423</v>
      </c>
      <c r="P583" s="817" t="s">
        <v>212</v>
      </c>
      <c r="Q583" s="818"/>
      <c r="R583" s="818"/>
      <c r="S583" s="818"/>
      <c r="T583" s="818"/>
      <c r="U583" s="818"/>
      <c r="V583" s="818"/>
      <c r="W583" s="818"/>
      <c r="X583" s="819"/>
      <c r="Y583" s="820" t="s">
        <v>243</v>
      </c>
      <c r="Z583" s="821"/>
      <c r="AA583" s="821"/>
      <c r="AB583" s="821"/>
      <c r="AC583" s="821"/>
      <c r="AD583" s="821"/>
      <c r="AE583" s="821"/>
      <c r="AF583" s="821"/>
      <c r="AG583" s="821"/>
      <c r="AH583" s="821"/>
      <c r="AI583" s="821"/>
      <c r="AJ583" s="821"/>
      <c r="AK583" s="821"/>
      <c r="AL583" s="821"/>
      <c r="AM583" s="822"/>
    </row>
    <row r="584" spans="1:39" ht="68.25" customHeight="1">
      <c r="B584" s="814"/>
      <c r="C584" s="816"/>
      <c r="D584" s="285">
        <v>2018</v>
      </c>
      <c r="E584" s="285">
        <v>2019</v>
      </c>
      <c r="F584" s="285">
        <v>2020</v>
      </c>
      <c r="G584" s="285">
        <v>2021</v>
      </c>
      <c r="H584" s="285">
        <v>2022</v>
      </c>
      <c r="I584" s="285">
        <v>2023</v>
      </c>
      <c r="J584" s="285">
        <v>2024</v>
      </c>
      <c r="K584" s="285">
        <v>2025</v>
      </c>
      <c r="L584" s="285">
        <v>2026</v>
      </c>
      <c r="M584" s="285">
        <v>2027</v>
      </c>
      <c r="N584" s="824"/>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GS"50kW</v>
      </c>
      <c r="AB584" s="285" t="str">
        <f>'1.  LRAMVA Summary'!G52</f>
        <v>USL</v>
      </c>
      <c r="AC584" s="285" t="str">
        <f>'1.  LRAMVA Summary'!H52</f>
        <v>Streetlights</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kWh</v>
      </c>
      <c r="AC585" s="291" t="str">
        <f>'1.  LRAMVA Summary'!H53</f>
        <v>kW</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75"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75"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outlineLevel="1">
      <c r="A596" s="532">
        <v>4</v>
      </c>
      <c r="B596" s="520" t="s">
        <v>677</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30"/>
    </row>
    <row r="631" spans="1:40"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7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v>32863.858079999998</v>
      </c>
      <c r="E657" s="295">
        <v>32863.858079999998</v>
      </c>
      <c r="F657" s="295">
        <v>32863.858079999998</v>
      </c>
      <c r="G657" s="295"/>
      <c r="H657" s="295"/>
      <c r="I657" s="295"/>
      <c r="J657" s="295"/>
      <c r="K657" s="295"/>
      <c r="L657" s="295"/>
      <c r="M657" s="295"/>
      <c r="N657" s="291"/>
      <c r="O657" s="295"/>
      <c r="P657" s="295"/>
      <c r="Q657" s="295"/>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outlineLevel="1">
      <c r="A660" s="532">
        <v>23</v>
      </c>
      <c r="B660" s="757" t="s">
        <v>732</v>
      </c>
      <c r="C660" s="291" t="s">
        <v>25</v>
      </c>
      <c r="D660" s="295">
        <v>83487.869650534209</v>
      </c>
      <c r="E660" s="295">
        <f>D660+((F660-D660)/2)</f>
        <v>83144.707781508696</v>
      </c>
      <c r="F660" s="295">
        <v>82801.545912483183</v>
      </c>
      <c r="G660" s="295"/>
      <c r="H660" s="295"/>
      <c r="I660" s="295"/>
      <c r="J660" s="295"/>
      <c r="K660" s="295"/>
      <c r="L660" s="295"/>
      <c r="M660" s="295"/>
      <c r="N660" s="291"/>
      <c r="O660" s="295"/>
      <c r="P660" s="295"/>
      <c r="Q660" s="295"/>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0">Z667</f>
        <v>0</v>
      </c>
      <c r="AA668" s="411">
        <f t="shared" ref="AA668" si="1951">AA667</f>
        <v>0</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outlineLevel="1">
      <c r="A670" s="532">
        <v>26</v>
      </c>
      <c r="B670" s="428" t="s">
        <v>118</v>
      </c>
      <c r="C670" s="291" t="s">
        <v>25</v>
      </c>
      <c r="D670" s="295">
        <v>588279.53268486087</v>
      </c>
      <c r="E670" s="295">
        <f>D670+((F670-D670)/2)</f>
        <v>586824.98090912867</v>
      </c>
      <c r="F670" s="295">
        <v>585370.4291333966</v>
      </c>
      <c r="G670" s="295"/>
      <c r="H670" s="295"/>
      <c r="I670" s="295"/>
      <c r="J670" s="295"/>
      <c r="K670" s="295"/>
      <c r="L670" s="295"/>
      <c r="M670" s="295"/>
      <c r="N670" s="295">
        <v>12</v>
      </c>
      <c r="O670" s="295"/>
      <c r="P670" s="295"/>
      <c r="Q670" s="295"/>
      <c r="R670" s="295"/>
      <c r="S670" s="295"/>
      <c r="T670" s="295"/>
      <c r="U670" s="295"/>
      <c r="V670" s="295"/>
      <c r="W670" s="295"/>
      <c r="X670" s="295"/>
      <c r="Y670" s="426"/>
      <c r="Z670" s="410">
        <v>0.08</v>
      </c>
      <c r="AA670" s="410">
        <v>0.92</v>
      </c>
      <c r="AB670" s="410"/>
      <c r="AC670" s="410"/>
      <c r="AD670" s="410"/>
      <c r="AE670" s="410"/>
      <c r="AF670" s="415"/>
      <c r="AG670" s="415"/>
      <c r="AH670" s="415"/>
      <c r="AI670" s="415"/>
      <c r="AJ670" s="415"/>
      <c r="AK670" s="415"/>
      <c r="AL670" s="415"/>
      <c r="AM670" s="296">
        <f>SUM(Y670:AL670)</f>
        <v>1</v>
      </c>
    </row>
    <row r="671" spans="1:39"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3">Z670</f>
        <v>0.08</v>
      </c>
      <c r="AA671" s="411">
        <f t="shared" ref="AA671" si="1964">AA670</f>
        <v>0.92</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6">Z673</f>
        <v>0</v>
      </c>
      <c r="AA674" s="411">
        <f t="shared" ref="AA674" si="1977">AA673</f>
        <v>0</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757" t="s">
        <v>736</v>
      </c>
      <c r="C679" s="291" t="s">
        <v>25</v>
      </c>
      <c r="D679" s="295">
        <v>45130.339999999967</v>
      </c>
      <c r="E679" s="295">
        <v>45130.339999999967</v>
      </c>
      <c r="F679" s="295">
        <v>45130.339999999967</v>
      </c>
      <c r="G679" s="295"/>
      <c r="H679" s="295"/>
      <c r="I679" s="295"/>
      <c r="J679" s="295"/>
      <c r="K679" s="295"/>
      <c r="L679" s="295"/>
      <c r="M679" s="295"/>
      <c r="N679" s="295">
        <v>3</v>
      </c>
      <c r="O679" s="295"/>
      <c r="P679" s="295"/>
      <c r="Q679" s="295"/>
      <c r="R679" s="295"/>
      <c r="S679" s="295"/>
      <c r="T679" s="295"/>
      <c r="U679" s="295"/>
      <c r="V679" s="295"/>
      <c r="W679" s="295"/>
      <c r="X679" s="295"/>
      <c r="Y679" s="426"/>
      <c r="Z679" s="410">
        <v>1</v>
      </c>
      <c r="AA679" s="410"/>
      <c r="AB679" s="410"/>
      <c r="AC679" s="410"/>
      <c r="AD679" s="410"/>
      <c r="AE679" s="410"/>
      <c r="AF679" s="415"/>
      <c r="AG679" s="415"/>
      <c r="AH679" s="415"/>
      <c r="AI679" s="415"/>
      <c r="AJ679" s="415"/>
      <c r="AK679" s="415"/>
      <c r="AL679" s="415"/>
      <c r="AM679" s="296">
        <f>SUM(Y679:AL679)</f>
        <v>1</v>
      </c>
    </row>
    <row r="680" spans="1:39"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2">Z679</f>
        <v>1</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4">Z692</f>
        <v>0</v>
      </c>
      <c r="AA693" s="411">
        <f t="shared" ref="AA693" si="2055">AA692</f>
        <v>0</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749761.60041539499</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116351.72773053421</v>
      </c>
      <c r="Z744" s="329">
        <f>IF(Z585="kWh",SUMPRODUCT(D587:D742,Z587:Z742))</f>
        <v>92192.702614788839</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533328</v>
      </c>
      <c r="Z745" s="392">
        <f>HLOOKUP(Z401,'2. LRAMVA Threshold'!$B$42:$Q$53,10,FALSE)</f>
        <v>216607</v>
      </c>
      <c r="AA745" s="392">
        <f>HLOOKUP(AA401,'2. LRAMVA Threshold'!$B$42:$Q$53,10,FALSE)</f>
        <v>2175.8487914922475</v>
      </c>
      <c r="AB745" s="392">
        <f>HLOOKUP(AB401,'2. LRAMVA Threshold'!$B$42:$Q$53,10,FALSE)</f>
        <v>2759</v>
      </c>
      <c r="AC745" s="392">
        <f>HLOOKUP(AC401,'2. LRAMVA Threshold'!$B$42:$Q$53,10,FALSE)</f>
        <v>38.69265799140554</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7.7999999999999996E-3</v>
      </c>
      <c r="Z747" s="341">
        <f>HLOOKUP(Z$35,'3.  Distribution Rates'!$C$122:$P$133,10,FALSE)</f>
        <v>1.54E-2</v>
      </c>
      <c r="AA747" s="341">
        <f>HLOOKUP(AA$35,'3.  Distribution Rates'!$C$122:$P$133,10,FALSE)</f>
        <v>3.0051999999999999</v>
      </c>
      <c r="AB747" s="341">
        <f>HLOOKUP(AB$35,'3.  Distribution Rates'!$C$122:$P$133,10,FALSE)</f>
        <v>2.0999999999999999E-3</v>
      </c>
      <c r="AC747" s="341">
        <f>HLOOKUP(AC$35,'3.  Distribution Rates'!$C$122:$P$133,10,FALSE)</f>
        <v>4.1649000000000003</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5">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5"/>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5"/>
        <v>0</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5"/>
        <v>0</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Y210*Y747</f>
        <v>1886.3285999999998</v>
      </c>
      <c r="Z752" s="378">
        <f t="shared" ref="Z752:AL752" si="2276">Z210*Z747</f>
        <v>193.63159200000001</v>
      </c>
      <c r="AA752" s="378">
        <f t="shared" si="2276"/>
        <v>276.95923199999999</v>
      </c>
      <c r="AB752" s="378">
        <f t="shared" si="2276"/>
        <v>0</v>
      </c>
      <c r="AC752" s="378">
        <f t="shared" si="2276"/>
        <v>0</v>
      </c>
      <c r="AD752" s="378">
        <f t="shared" si="2276"/>
        <v>0</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9">
        <f t="shared" si="2275"/>
        <v>2356.9194240000002</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2624.9339999999997</v>
      </c>
      <c r="Z753" s="378">
        <f t="shared" si="2277"/>
        <v>105.45612</v>
      </c>
      <c r="AA753" s="378">
        <f t="shared" si="2277"/>
        <v>1491.5408639999998</v>
      </c>
      <c r="AB753" s="378">
        <f t="shared" si="2277"/>
        <v>0</v>
      </c>
      <c r="AC753" s="378">
        <f t="shared" si="2277"/>
        <v>0</v>
      </c>
      <c r="AD753" s="378">
        <f t="shared" si="2277"/>
        <v>0</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9">
        <f t="shared" si="2275"/>
        <v>4221.9309839999996</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3569.9351999999999</v>
      </c>
      <c r="Z754" s="378">
        <f t="shared" si="2278"/>
        <v>863.48785599999997</v>
      </c>
      <c r="AA754" s="378">
        <f t="shared" si="2278"/>
        <v>3848.5793280000003</v>
      </c>
      <c r="AB754" s="378">
        <f t="shared" si="2278"/>
        <v>0</v>
      </c>
      <c r="AC754" s="378">
        <f t="shared" si="2278"/>
        <v>0</v>
      </c>
      <c r="AD754" s="378">
        <f t="shared" si="2278"/>
        <v>0</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9">
        <f t="shared" si="2275"/>
        <v>8282.0023839999994</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907.54347629816687</v>
      </c>
      <c r="Z755" s="378">
        <f t="shared" ref="Z755:AL755" si="2279">Z744*Z747</f>
        <v>1419.7676202677483</v>
      </c>
      <c r="AA755" s="378">
        <f t="shared" si="2279"/>
        <v>0</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9">
        <f t="shared" si="2275"/>
        <v>2327.3110965659152</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8988.7412762981676</v>
      </c>
      <c r="Z756" s="346">
        <f>SUM(Z748:Z755)</f>
        <v>2582.3431882677482</v>
      </c>
      <c r="AA756" s="346">
        <f t="shared" ref="AA756:AE756" si="2280">SUM(AA748:AA755)</f>
        <v>5617.0794239999996</v>
      </c>
      <c r="AB756" s="346">
        <f t="shared" si="2280"/>
        <v>0</v>
      </c>
      <c r="AC756" s="346">
        <f t="shared" si="2280"/>
        <v>0</v>
      </c>
      <c r="AD756" s="346">
        <f t="shared" si="2280"/>
        <v>0</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17188.163888565916</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4159.9583999999995</v>
      </c>
      <c r="Z757" s="347">
        <f t="shared" ref="Z757:AE757" si="2282">Z745*Z747</f>
        <v>3335.7478000000001</v>
      </c>
      <c r="AA757" s="347">
        <f t="shared" si="2282"/>
        <v>6538.8607881925018</v>
      </c>
      <c r="AB757" s="347">
        <f t="shared" si="2282"/>
        <v>5.7938999999999998</v>
      </c>
      <c r="AC757" s="347">
        <f t="shared" si="2282"/>
        <v>161.15105126840496</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14201.511939460908</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2986.6519491050076</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116008.56586150869</v>
      </c>
      <c r="Z760" s="291">
        <f>SUMPRODUCT(E587:E742,Z587:Z742)</f>
        <v>92076.338472730262</v>
      </c>
      <c r="AA760" s="291">
        <f t="shared" ref="AA760:AL760" si="2284">IF(AA585="kw",SUMPRODUCT($N$587:$N$742,$P$587:$P$742,AA587:AA742),SUMPRODUCT($E$587:$E$742,AA587:AA742))</f>
        <v>0</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115665.40399248319</v>
      </c>
      <c r="Z761" s="326">
        <f>SUMPRODUCT(F587:F742,Z587:Z742)</f>
        <v>91959.974330671699</v>
      </c>
      <c r="AA761" s="326">
        <f t="shared" ref="AA761:AL761" si="2285">IF(AA585="kw",SUMPRODUCT($N$587:$N$742,$Q$587:$Q$742,AA587:AA742),SUMPRODUCT($F$587:$F$742,AA587:AA742))</f>
        <v>0</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587</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526</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13" t="s">
        <v>211</v>
      </c>
      <c r="C766" s="815" t="s">
        <v>33</v>
      </c>
      <c r="D766" s="284" t="s">
        <v>422</v>
      </c>
      <c r="E766" s="817" t="s">
        <v>209</v>
      </c>
      <c r="F766" s="818"/>
      <c r="G766" s="818"/>
      <c r="H766" s="818"/>
      <c r="I766" s="818"/>
      <c r="J766" s="818"/>
      <c r="K766" s="818"/>
      <c r="L766" s="818"/>
      <c r="M766" s="819"/>
      <c r="N766" s="823" t="s">
        <v>213</v>
      </c>
      <c r="O766" s="284" t="s">
        <v>423</v>
      </c>
      <c r="P766" s="817" t="s">
        <v>212</v>
      </c>
      <c r="Q766" s="818"/>
      <c r="R766" s="818"/>
      <c r="S766" s="818"/>
      <c r="T766" s="818"/>
      <c r="U766" s="818"/>
      <c r="V766" s="818"/>
      <c r="W766" s="818"/>
      <c r="X766" s="819"/>
      <c r="Y766" s="820" t="s">
        <v>243</v>
      </c>
      <c r="Z766" s="821"/>
      <c r="AA766" s="821"/>
      <c r="AB766" s="821"/>
      <c r="AC766" s="821"/>
      <c r="AD766" s="821"/>
      <c r="AE766" s="821"/>
      <c r="AF766" s="821"/>
      <c r="AG766" s="821"/>
      <c r="AH766" s="821"/>
      <c r="AI766" s="821"/>
      <c r="AJ766" s="821"/>
      <c r="AK766" s="821"/>
      <c r="AL766" s="821"/>
      <c r="AM766" s="822"/>
    </row>
    <row r="767" spans="1:40" ht="65.25" customHeight="1">
      <c r="B767" s="814"/>
      <c r="C767" s="816"/>
      <c r="D767" s="285">
        <v>2019</v>
      </c>
      <c r="E767" s="285">
        <v>2020</v>
      </c>
      <c r="F767" s="285">
        <v>2021</v>
      </c>
      <c r="G767" s="285">
        <v>2022</v>
      </c>
      <c r="H767" s="285">
        <v>2023</v>
      </c>
      <c r="I767" s="285">
        <v>2024</v>
      </c>
      <c r="J767" s="285">
        <v>2025</v>
      </c>
      <c r="K767" s="285">
        <v>2026</v>
      </c>
      <c r="L767" s="285">
        <v>2027</v>
      </c>
      <c r="M767" s="285">
        <v>2028</v>
      </c>
      <c r="N767" s="824"/>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GS"50kW</v>
      </c>
      <c r="AB767" s="285" t="str">
        <f>'1.  LRAMVA Summary'!G52</f>
        <v>USL</v>
      </c>
      <c r="AC767" s="285" t="str">
        <f>'1.  LRAMVA Summary'!H52</f>
        <v>Streetlights</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kWh</v>
      </c>
      <c r="AC768" s="291" t="str">
        <f>'1.  LRAMVA Summary'!H53</f>
        <v>kW</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hidden="1"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7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7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2">
        <v>4</v>
      </c>
      <c r="B779" s="520" t="s">
        <v>677</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idden="1"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7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9">Z853</f>
        <v>0</v>
      </c>
      <c r="AA854" s="411">
        <f t="shared" ref="AA854" si="2540">AA853</f>
        <v>0</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0</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v>
      </c>
      <c r="AA860" s="411">
        <f t="shared" ref="AA860" si="2566">AA859</f>
        <v>0</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0</v>
      </c>
      <c r="AA876" s="411">
        <f t="shared" ref="AA876" si="2630">AA875</f>
        <v>0</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3.8999999999999998E-3</v>
      </c>
      <c r="Z930" s="341">
        <f>HLOOKUP(Z$35,'3.  Distribution Rates'!$C$122:$P$133,11,FALSE)</f>
        <v>1.5599999999999999E-2</v>
      </c>
      <c r="AA930" s="341">
        <f>HLOOKUP(AA$35,'3.  Distribution Rates'!$C$122:$P$133,11,FALSE)</f>
        <v>3.0594999999999999</v>
      </c>
      <c r="AB930" s="341">
        <f>HLOOKUP(AB$35,'3.  Distribution Rates'!$C$122:$P$133,11,FALSE)</f>
        <v>1.6000000000000001E-3</v>
      </c>
      <c r="AC930" s="341">
        <f>HLOOKUP(AC$35,'3.  Distribution Rates'!$C$122:$P$133,11,FALSE)</f>
        <v>4.2149000000000001</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0">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0"/>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0"/>
        <v>0</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0"/>
        <v>0</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1">Y211*Y930</f>
        <v>926.05109999999991</v>
      </c>
      <c r="Z935" s="378">
        <f t="shared" si="2851"/>
        <v>196.14628799999997</v>
      </c>
      <c r="AA935" s="378">
        <f t="shared" si="2851"/>
        <v>281.96351999999996</v>
      </c>
      <c r="AB935" s="378">
        <f t="shared" si="2851"/>
        <v>0</v>
      </c>
      <c r="AC935" s="378">
        <f t="shared" si="2851"/>
        <v>0</v>
      </c>
      <c r="AD935" s="378">
        <f t="shared" si="2851"/>
        <v>0</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9">
        <f t="shared" si="2850"/>
        <v>1404.1609079999998</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2">Y394*Y930</f>
        <v>1312.4669999999999</v>
      </c>
      <c r="Z936" s="378">
        <f t="shared" si="2852"/>
        <v>106.82567999999998</v>
      </c>
      <c r="AA936" s="378">
        <f t="shared" si="2852"/>
        <v>1518.4910399999999</v>
      </c>
      <c r="AB936" s="378">
        <f t="shared" si="2852"/>
        <v>0</v>
      </c>
      <c r="AC936" s="378">
        <f t="shared" si="2852"/>
        <v>0</v>
      </c>
      <c r="AD936" s="378">
        <f t="shared" si="2852"/>
        <v>0</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9">
        <f t="shared" si="2850"/>
        <v>2937.7837199999994</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3">Y577*Y930</f>
        <v>1784.9675999999999</v>
      </c>
      <c r="Z937" s="378">
        <f t="shared" si="2853"/>
        <v>874.70198399999992</v>
      </c>
      <c r="AA937" s="378">
        <f t="shared" si="2853"/>
        <v>3918.1180800000002</v>
      </c>
      <c r="AB937" s="378">
        <f t="shared" si="2853"/>
        <v>0</v>
      </c>
      <c r="AC937" s="378">
        <f t="shared" si="2853"/>
        <v>0</v>
      </c>
      <c r="AD937" s="378">
        <f t="shared" si="2853"/>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9">
        <f t="shared" si="2850"/>
        <v>6577.7876639999995</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4">Y760*Y930</f>
        <v>452.43340685988386</v>
      </c>
      <c r="Z938" s="378">
        <f t="shared" si="2854"/>
        <v>1436.390880174592</v>
      </c>
      <c r="AA938" s="378">
        <f t="shared" si="2854"/>
        <v>0</v>
      </c>
      <c r="AB938" s="378">
        <f t="shared" si="2854"/>
        <v>0</v>
      </c>
      <c r="AC938" s="378">
        <f t="shared" si="2854"/>
        <v>0</v>
      </c>
      <c r="AD938" s="378">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9">
        <f t="shared" si="2850"/>
        <v>1888.8242870344759</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5">Z927*Z930</f>
        <v>0</v>
      </c>
      <c r="AA939" s="378">
        <f t="shared" si="2855"/>
        <v>0</v>
      </c>
      <c r="AB939" s="378">
        <f t="shared" si="2855"/>
        <v>0</v>
      </c>
      <c r="AC939" s="378">
        <f t="shared" si="2855"/>
        <v>0</v>
      </c>
      <c r="AD939" s="378">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9">
        <f t="shared" si="2850"/>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4475.9191068598839</v>
      </c>
      <c r="Z940" s="346">
        <f t="shared" ref="Z940:AE940" si="2856">SUM(Z931:Z939)</f>
        <v>2614.0648321745921</v>
      </c>
      <c r="AA940" s="346">
        <f t="shared" si="2856"/>
        <v>5718.5726400000003</v>
      </c>
      <c r="AB940" s="346">
        <f t="shared" si="2856"/>
        <v>0</v>
      </c>
      <c r="AC940" s="346">
        <f t="shared" si="2856"/>
        <v>0</v>
      </c>
      <c r="AD940" s="346">
        <f t="shared" si="2856"/>
        <v>0</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12808.556579034475</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58">Z928*Z930</f>
        <v>0</v>
      </c>
      <c r="AA941" s="347">
        <f t="shared" si="2858"/>
        <v>0</v>
      </c>
      <c r="AB941" s="347">
        <f t="shared" si="2858"/>
        <v>0</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0</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12808.556579034475</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0">IF(AA768="kw",SUMPRODUCT($N$770:$N$925,$P$770:$P$925,AA770:AA925),SUMPRODUCT($E$770:$E$925,AA770:AA925))</f>
        <v>0</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587</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90" t="s">
        <v>526</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13" t="s">
        <v>211</v>
      </c>
      <c r="C949" s="815" t="s">
        <v>33</v>
      </c>
      <c r="D949" s="284" t="s">
        <v>422</v>
      </c>
      <c r="E949" s="817" t="s">
        <v>209</v>
      </c>
      <c r="F949" s="818"/>
      <c r="G949" s="818"/>
      <c r="H949" s="818"/>
      <c r="I949" s="818"/>
      <c r="J949" s="818"/>
      <c r="K949" s="818"/>
      <c r="L949" s="818"/>
      <c r="M949" s="819"/>
      <c r="N949" s="823" t="s">
        <v>213</v>
      </c>
      <c r="O949" s="284" t="s">
        <v>423</v>
      </c>
      <c r="P949" s="817" t="s">
        <v>212</v>
      </c>
      <c r="Q949" s="818"/>
      <c r="R949" s="818"/>
      <c r="S949" s="818"/>
      <c r="T949" s="818"/>
      <c r="U949" s="818"/>
      <c r="V949" s="818"/>
      <c r="W949" s="818"/>
      <c r="X949" s="819"/>
      <c r="Y949" s="820" t="s">
        <v>243</v>
      </c>
      <c r="Z949" s="821"/>
      <c r="AA949" s="821"/>
      <c r="AB949" s="821"/>
      <c r="AC949" s="821"/>
      <c r="AD949" s="821"/>
      <c r="AE949" s="821"/>
      <c r="AF949" s="821"/>
      <c r="AG949" s="821"/>
      <c r="AH949" s="821"/>
      <c r="AI949" s="821"/>
      <c r="AJ949" s="821"/>
      <c r="AK949" s="821"/>
      <c r="AL949" s="821"/>
      <c r="AM949" s="822"/>
    </row>
    <row r="950" spans="1:39" ht="65.25" customHeight="1">
      <c r="B950" s="814"/>
      <c r="C950" s="816"/>
      <c r="D950" s="285">
        <v>2020</v>
      </c>
      <c r="E950" s="285">
        <v>2021</v>
      </c>
      <c r="F950" s="285">
        <v>2022</v>
      </c>
      <c r="G950" s="285">
        <v>2023</v>
      </c>
      <c r="H950" s="285">
        <v>2024</v>
      </c>
      <c r="I950" s="285">
        <v>2025</v>
      </c>
      <c r="J950" s="285">
        <v>2026</v>
      </c>
      <c r="K950" s="285">
        <v>2027</v>
      </c>
      <c r="L950" s="285">
        <v>2028</v>
      </c>
      <c r="M950" s="285">
        <v>2029</v>
      </c>
      <c r="N950" s="824"/>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GS"50kW</v>
      </c>
      <c r="AB950" s="285" t="str">
        <f>'1.  LRAMVA Summary'!G52</f>
        <v>USL</v>
      </c>
      <c r="AC950" s="285" t="str">
        <f>'1.  LRAMVA Summary'!H52</f>
        <v>Streetlights</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kWh</v>
      </c>
      <c r="AC951" s="291" t="str">
        <f>'1.  LRAMVA Summary'!H53</f>
        <v>kW</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677</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v>
      </c>
      <c r="AJ1099" s="411">
        <f t="shared" ref="AJ1099" si="3382">AJ1098</f>
        <v>0</v>
      </c>
      <c r="AK1099" s="411">
        <f t="shared" ref="AK1099" si="3383">AK1098</f>
        <v>0</v>
      </c>
      <c r="AL1099" s="411">
        <f t="shared" ref="AL1099" si="3384">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4">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4"/>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4"/>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4"/>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9">
        <f t="shared" si="3424"/>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0</v>
      </c>
      <c r="AA1119" s="378">
        <f t="shared" si="3426"/>
        <v>0</v>
      </c>
      <c r="AB1119" s="378">
        <f t="shared" si="3426"/>
        <v>0</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9">
        <f t="shared" si="3424"/>
        <v>0</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0</v>
      </c>
      <c r="AA1120" s="378">
        <f t="shared" si="3427"/>
        <v>0</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9">
        <f t="shared" si="3424"/>
        <v>0</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0</v>
      </c>
      <c r="AA1121" s="378">
        <f t="shared" si="3428"/>
        <v>0</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9">
        <f t="shared" si="3424"/>
        <v>0</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0</v>
      </c>
      <c r="AA1122" s="378">
        <f t="shared" si="3429"/>
        <v>0</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9">
        <f t="shared" si="3424"/>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9">
        <f t="shared" si="3424"/>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0</v>
      </c>
      <c r="AA1124" s="346">
        <f t="shared" si="3431"/>
        <v>0</v>
      </c>
      <c r="AB1124" s="346">
        <f t="shared" si="3431"/>
        <v>0</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0</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587</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526</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E118" zoomScale="90" zoomScaleNormal="90" workbookViewId="0">
      <selection activeCell="M135" sqref="M135:M146"/>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26" t="s">
        <v>664</v>
      </c>
      <c r="D8" s="826"/>
      <c r="E8" s="826"/>
      <c r="F8" s="826"/>
      <c r="G8" s="826"/>
      <c r="H8" s="826"/>
      <c r="I8" s="826"/>
      <c r="J8" s="826"/>
      <c r="K8" s="826"/>
      <c r="L8" s="826"/>
      <c r="M8" s="826"/>
      <c r="N8" s="826"/>
      <c r="O8" s="826"/>
      <c r="P8" s="826"/>
      <c r="Q8" s="826"/>
      <c r="R8" s="826"/>
      <c r="S8" s="826"/>
      <c r="T8" s="105"/>
      <c r="U8" s="105"/>
      <c r="V8" s="105"/>
      <c r="W8" s="105"/>
    </row>
    <row r="9" spans="1:28" s="9" customFormat="1" ht="46.9" customHeight="1">
      <c r="B9" s="55"/>
      <c r="C9" s="788" t="s">
        <v>675</v>
      </c>
      <c r="D9" s="788"/>
      <c r="E9" s="788"/>
      <c r="F9" s="788"/>
      <c r="G9" s="788"/>
      <c r="H9" s="788"/>
      <c r="I9" s="788"/>
      <c r="J9" s="788"/>
      <c r="K9" s="788"/>
      <c r="L9" s="788"/>
      <c r="M9" s="788"/>
      <c r="N9" s="788"/>
      <c r="O9" s="788"/>
      <c r="P9" s="788"/>
      <c r="Q9" s="788"/>
      <c r="R9" s="788"/>
      <c r="S9" s="788"/>
      <c r="T9" s="105"/>
      <c r="U9" s="105"/>
      <c r="V9" s="105"/>
      <c r="W9" s="105"/>
    </row>
    <row r="10" spans="1:28" s="9" customFormat="1" ht="37.9" customHeight="1">
      <c r="B10" s="88"/>
      <c r="C10" s="804" t="s">
        <v>676</v>
      </c>
      <c r="D10" s="788"/>
      <c r="E10" s="788"/>
      <c r="F10" s="788"/>
      <c r="G10" s="788"/>
      <c r="H10" s="788"/>
      <c r="I10" s="788"/>
      <c r="J10" s="788"/>
      <c r="K10" s="788"/>
      <c r="L10" s="788"/>
      <c r="M10" s="788"/>
      <c r="N10" s="788"/>
      <c r="O10" s="788"/>
      <c r="P10" s="788"/>
      <c r="Q10" s="788"/>
      <c r="R10" s="788"/>
      <c r="S10" s="788"/>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25" t="s">
        <v>235</v>
      </c>
      <c r="C12" s="825"/>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GS"50kW</v>
      </c>
      <c r="L14" s="204" t="str">
        <f>'1.  LRAMVA Summary'!G52</f>
        <v>USL</v>
      </c>
      <c r="M14" s="204" t="str">
        <f>'1.  LRAMVA Summary'!H52</f>
        <v>Streetlights</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7">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7">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0.64257122569444447</v>
      </c>
      <c r="J91" s="230">
        <f>(SUM('1.  LRAMVA Summary'!E$54:E$68)+SUM('1.  LRAMVA Summary'!E$69:E$70)*(MONTH($E91)-1)/12)*$H91</f>
        <v>2.4893002749999997E-2</v>
      </c>
      <c r="K91" s="230">
        <f>(SUM('1.  LRAMVA Summary'!F$54:F$68)+SUM('1.  LRAMVA Summary'!F$69:F$70)*(MONTH($E91)-1)/12)*$H91</f>
        <v>0.11387128866666667</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0.78133551711111104</v>
      </c>
    </row>
    <row r="92" spans="2:23" s="9" customFormat="1" ht="14.25" customHeight="1">
      <c r="B92" s="66"/>
      <c r="E92" s="214">
        <v>42430</v>
      </c>
      <c r="F92" s="214" t="s">
        <v>183</v>
      </c>
      <c r="G92" s="215" t="s">
        <v>65</v>
      </c>
      <c r="H92" s="229">
        <f t="shared" si="34"/>
        <v>9.1666666666666665E-4</v>
      </c>
      <c r="I92" s="230">
        <f>(SUM('1.  LRAMVA Summary'!D$54:D$68)+SUM('1.  LRAMVA Summary'!D$69:D$70)*(MONTH($E92)-1)/12)*$H92</f>
        <v>1.2851424513888889</v>
      </c>
      <c r="J92" s="230">
        <f>(SUM('1.  LRAMVA Summary'!E$54:E$68)+SUM('1.  LRAMVA Summary'!E$69:E$70)*(MONTH($E92)-1)/12)*$H92</f>
        <v>4.9786005499999994E-2</v>
      </c>
      <c r="K92" s="230">
        <f>(SUM('1.  LRAMVA Summary'!F$54:F$68)+SUM('1.  LRAMVA Summary'!F$69:F$70)*(MONTH($E92)-1)/12)*$H92</f>
        <v>0.22774257733333333</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1.5626710342222221</v>
      </c>
    </row>
    <row r="93" spans="2:23" s="8" customFormat="1">
      <c r="B93" s="239"/>
      <c r="D93" s="9"/>
      <c r="E93" s="214">
        <v>42461</v>
      </c>
      <c r="F93" s="214" t="s">
        <v>183</v>
      </c>
      <c r="G93" s="215" t="s">
        <v>66</v>
      </c>
      <c r="H93" s="229">
        <f>$C$36/12</f>
        <v>9.1666666666666665E-4</v>
      </c>
      <c r="I93" s="230">
        <f>(SUM('1.  LRAMVA Summary'!D$54:D$68)+SUM('1.  LRAMVA Summary'!D$69:D$70)*(MONTH($E93)-1)/12)*$H93</f>
        <v>1.9277136770833334</v>
      </c>
      <c r="J93" s="230">
        <f>(SUM('1.  LRAMVA Summary'!E$54:E$68)+SUM('1.  LRAMVA Summary'!E$69:E$70)*(MONTH($E93)-1)/12)*$H93</f>
        <v>7.4679008249999998E-2</v>
      </c>
      <c r="K93" s="230">
        <f>(SUM('1.  LRAMVA Summary'!F$54:F$68)+SUM('1.  LRAMVA Summary'!F$69:F$70)*(MONTH($E93)-1)/12)*$H93</f>
        <v>0.34161386599999999</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2.3440065513333335</v>
      </c>
    </row>
    <row r="94" spans="2:23" s="9" customFormat="1">
      <c r="B94" s="66"/>
      <c r="E94" s="214">
        <v>42491</v>
      </c>
      <c r="F94" s="214" t="s">
        <v>183</v>
      </c>
      <c r="G94" s="215" t="s">
        <v>66</v>
      </c>
      <c r="H94" s="229">
        <f t="shared" ref="H94:H95" si="36">$C$36/12</f>
        <v>9.1666666666666665E-4</v>
      </c>
      <c r="I94" s="230">
        <f>(SUM('1.  LRAMVA Summary'!D$54:D$68)+SUM('1.  LRAMVA Summary'!D$69:D$70)*(MONTH($E94)-1)/12)*$H94</f>
        <v>2.5702849027777779</v>
      </c>
      <c r="J94" s="230">
        <f>(SUM('1.  LRAMVA Summary'!E$54:E$68)+SUM('1.  LRAMVA Summary'!E$69:E$70)*(MONTH($E94)-1)/12)*$H94</f>
        <v>9.9572010999999988E-2</v>
      </c>
      <c r="K94" s="230">
        <f>(SUM('1.  LRAMVA Summary'!F$54:F$68)+SUM('1.  LRAMVA Summary'!F$69:F$70)*(MONTH($E94)-1)/12)*$H94</f>
        <v>0.45548515466666667</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3.1253420684444442</v>
      </c>
    </row>
    <row r="95" spans="2:23" s="238" customFormat="1">
      <c r="B95" s="237"/>
      <c r="D95" s="9"/>
      <c r="E95" s="214">
        <v>42522</v>
      </c>
      <c r="F95" s="214" t="s">
        <v>183</v>
      </c>
      <c r="G95" s="215" t="s">
        <v>66</v>
      </c>
      <c r="H95" s="229">
        <f t="shared" si="36"/>
        <v>9.1666666666666665E-4</v>
      </c>
      <c r="I95" s="230">
        <f>(SUM('1.  LRAMVA Summary'!D$54:D$68)+SUM('1.  LRAMVA Summary'!D$69:D$70)*(MONTH($E95)-1)/12)*$H95</f>
        <v>3.2128561284722221</v>
      </c>
      <c r="J95" s="230">
        <f>(SUM('1.  LRAMVA Summary'!E$54:E$68)+SUM('1.  LRAMVA Summary'!E$69:E$70)*(MONTH($E95)-1)/12)*$H95</f>
        <v>0.12446501374999999</v>
      </c>
      <c r="K95" s="230">
        <f>(SUM('1.  LRAMVA Summary'!F$54:F$68)+SUM('1.  LRAMVA Summary'!F$69:F$70)*(MONTH($E95)-1)/12)*$H95</f>
        <v>0.56935644333333335</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3.9066775855555553</v>
      </c>
    </row>
    <row r="96" spans="2:23" s="9" customFormat="1">
      <c r="B96" s="66"/>
      <c r="E96" s="214">
        <v>42552</v>
      </c>
      <c r="F96" s="214" t="s">
        <v>183</v>
      </c>
      <c r="G96" s="215" t="s">
        <v>68</v>
      </c>
      <c r="H96" s="229">
        <f>$C$37/12</f>
        <v>9.1666666666666665E-4</v>
      </c>
      <c r="I96" s="230">
        <f>(SUM('1.  LRAMVA Summary'!D$54:D$68)+SUM('1.  LRAMVA Summary'!D$69:D$70)*(MONTH($E96)-1)/12)*$H96</f>
        <v>3.8554273541666668</v>
      </c>
      <c r="J96" s="230">
        <f>(SUM('1.  LRAMVA Summary'!E$54:E$68)+SUM('1.  LRAMVA Summary'!E$69:E$70)*(MONTH($E96)-1)/12)*$H96</f>
        <v>0.1493580165</v>
      </c>
      <c r="K96" s="230">
        <f>(SUM('1.  LRAMVA Summary'!F$54:F$68)+SUM('1.  LRAMVA Summary'!F$69:F$70)*(MONTH($E96)-1)/12)*$H96</f>
        <v>0.68322773199999998</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4.6880131026666669</v>
      </c>
    </row>
    <row r="97" spans="2:23" s="9" customFormat="1">
      <c r="B97" s="66"/>
      <c r="E97" s="214">
        <v>42583</v>
      </c>
      <c r="F97" s="214" t="s">
        <v>183</v>
      </c>
      <c r="G97" s="215" t="s">
        <v>68</v>
      </c>
      <c r="H97" s="229">
        <f t="shared" ref="H97:H98" si="37">$C$37/12</f>
        <v>9.1666666666666665E-4</v>
      </c>
      <c r="I97" s="230">
        <f>(SUM('1.  LRAMVA Summary'!D$54:D$68)+SUM('1.  LRAMVA Summary'!D$69:D$70)*(MONTH($E97)-1)/12)*$H97</f>
        <v>4.4979985798611111</v>
      </c>
      <c r="J97" s="230">
        <f>(SUM('1.  LRAMVA Summary'!E$54:E$68)+SUM('1.  LRAMVA Summary'!E$69:E$70)*(MONTH($E97)-1)/12)*$H97</f>
        <v>0.17425101925</v>
      </c>
      <c r="K97" s="230">
        <f>(SUM('1.  LRAMVA Summary'!F$54:F$68)+SUM('1.  LRAMVA Summary'!F$69:F$70)*(MONTH($E97)-1)/12)*$H97</f>
        <v>0.7970990206666666</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5.4693486197777776</v>
      </c>
    </row>
    <row r="98" spans="2:23" s="9" customFormat="1">
      <c r="B98" s="66"/>
      <c r="E98" s="214">
        <v>42614</v>
      </c>
      <c r="F98" s="214" t="s">
        <v>183</v>
      </c>
      <c r="G98" s="215" t="s">
        <v>68</v>
      </c>
      <c r="H98" s="229">
        <f t="shared" si="37"/>
        <v>9.1666666666666665E-4</v>
      </c>
      <c r="I98" s="230">
        <f>(SUM('1.  LRAMVA Summary'!D$54:D$68)+SUM('1.  LRAMVA Summary'!D$69:D$70)*(MONTH($E98)-1)/12)*$H98</f>
        <v>5.1405698055555558</v>
      </c>
      <c r="J98" s="230">
        <f>(SUM('1.  LRAMVA Summary'!E$54:E$68)+SUM('1.  LRAMVA Summary'!E$69:E$70)*(MONTH($E98)-1)/12)*$H98</f>
        <v>0.19914402199999998</v>
      </c>
      <c r="K98" s="230">
        <f>(SUM('1.  LRAMVA Summary'!F$54:F$68)+SUM('1.  LRAMVA Summary'!F$69:F$70)*(MONTH($E98)-1)/12)*$H98</f>
        <v>0.91097030933333334</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6.2506841368888884</v>
      </c>
    </row>
    <row r="99" spans="2:23" s="9" customFormat="1">
      <c r="B99" s="66"/>
      <c r="E99" s="214">
        <v>42644</v>
      </c>
      <c r="F99" s="214" t="s">
        <v>183</v>
      </c>
      <c r="G99" s="215" t="s">
        <v>69</v>
      </c>
      <c r="H99" s="210">
        <f>$C$38/12</f>
        <v>9.1666666666666665E-4</v>
      </c>
      <c r="I99" s="230">
        <f>(SUM('1.  LRAMVA Summary'!D$54:D$68)+SUM('1.  LRAMVA Summary'!D$69:D$70)*(MONTH($E99)-1)/12)*$H99</f>
        <v>5.7831410312499996</v>
      </c>
      <c r="J99" s="230">
        <f>(SUM('1.  LRAMVA Summary'!E$54:E$68)+SUM('1.  LRAMVA Summary'!E$69:E$70)*(MONTH($E99)-1)/12)*$H99</f>
        <v>0.22403702474999995</v>
      </c>
      <c r="K99" s="230">
        <f>(SUM('1.  LRAMVA Summary'!F$54:F$68)+SUM('1.  LRAMVA Summary'!F$69:F$70)*(MONTH($E99)-1)/12)*$H99</f>
        <v>1.0248415979999999</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7.032019654</v>
      </c>
    </row>
    <row r="100" spans="2:23" s="9" customFormat="1">
      <c r="B100" s="66"/>
      <c r="E100" s="214">
        <v>42675</v>
      </c>
      <c r="F100" s="214" t="s">
        <v>183</v>
      </c>
      <c r="G100" s="215" t="s">
        <v>69</v>
      </c>
      <c r="H100" s="210">
        <f t="shared" ref="H100:H101" si="38">$C$38/12</f>
        <v>9.1666666666666665E-4</v>
      </c>
      <c r="I100" s="230">
        <f>(SUM('1.  LRAMVA Summary'!D$54:D$68)+SUM('1.  LRAMVA Summary'!D$69:D$70)*(MONTH($E100)-1)/12)*$H100</f>
        <v>6.4257122569444443</v>
      </c>
      <c r="J100" s="230">
        <f>(SUM('1.  LRAMVA Summary'!E$54:E$68)+SUM('1.  LRAMVA Summary'!E$69:E$70)*(MONTH($E100)-1)/12)*$H100</f>
        <v>0.24893002749999998</v>
      </c>
      <c r="K100" s="230">
        <f>(SUM('1.  LRAMVA Summary'!F$54:F$68)+SUM('1.  LRAMVA Summary'!F$69:F$70)*(MONTH($E100)-1)/12)*$H100</f>
        <v>1.1387128866666667</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7.8133551711111107</v>
      </c>
    </row>
    <row r="101" spans="2:23" s="9" customFormat="1">
      <c r="B101" s="66"/>
      <c r="E101" s="214">
        <v>42705</v>
      </c>
      <c r="F101" s="214" t="s">
        <v>183</v>
      </c>
      <c r="G101" s="215" t="s">
        <v>69</v>
      </c>
      <c r="H101" s="210">
        <f t="shared" si="38"/>
        <v>9.1666666666666665E-4</v>
      </c>
      <c r="I101" s="230">
        <f>(SUM('1.  LRAMVA Summary'!D$54:D$68)+SUM('1.  LRAMVA Summary'!D$69:D$70)*(MONTH($E101)-1)/12)*$H101</f>
        <v>7.0682834826388889</v>
      </c>
      <c r="J101" s="230">
        <f>(SUM('1.  LRAMVA Summary'!E$54:E$68)+SUM('1.  LRAMVA Summary'!E$69:E$70)*(MONTH($E101)-1)/12)*$H101</f>
        <v>0.27382303024999999</v>
      </c>
      <c r="K101" s="230">
        <f>(SUM('1.  LRAMVA Summary'!F$54:F$68)+SUM('1.  LRAMVA Summary'!F$69:F$70)*(MONTH($E101)-1)/12)*$H101</f>
        <v>1.2525841753333331</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8.5946906882222223</v>
      </c>
    </row>
    <row r="102" spans="2:23" s="9" customFormat="1" ht="15.75" thickBot="1">
      <c r="B102" s="66"/>
      <c r="E102" s="216" t="s">
        <v>466</v>
      </c>
      <c r="F102" s="216"/>
      <c r="G102" s="217"/>
      <c r="H102" s="218"/>
      <c r="I102" s="219">
        <f>SUM(I89:I101)</f>
        <v>42.409700895833339</v>
      </c>
      <c r="J102" s="219">
        <f>SUM(J89:J101)</f>
        <v>1.6429381814999997</v>
      </c>
      <c r="K102" s="219">
        <f t="shared" ref="K102:O102" si="39">SUM(K89:K101)</f>
        <v>7.5155050519999991</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51.568144129333334</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42.409700895833339</v>
      </c>
      <c r="J104" s="228">
        <f t="shared" ref="J104" si="41">J102+J103</f>
        <v>1.6429381814999997</v>
      </c>
      <c r="K104" s="228">
        <f t="shared" ref="K104" si="42">K102+K103</f>
        <v>7.5155050519999991</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51.568144129333334</v>
      </c>
    </row>
    <row r="105" spans="2:23" s="9" customFormat="1">
      <c r="B105" s="66"/>
      <c r="E105" s="214">
        <v>42736</v>
      </c>
      <c r="F105" s="214" t="s">
        <v>184</v>
      </c>
      <c r="G105" s="215" t="s">
        <v>65</v>
      </c>
      <c r="H105" s="240">
        <f>$C$39/12</f>
        <v>9.1666666666666665E-4</v>
      </c>
      <c r="I105" s="230">
        <f>(SUM('1.  LRAMVA Summary'!D$54:D$71)+SUM('1.  LRAMVA Summary'!D$72:D$73)*(MONTH($E105)-1)/12)*$H105</f>
        <v>7.7108547083333336</v>
      </c>
      <c r="J105" s="230">
        <f>(SUM('1.  LRAMVA Summary'!E$54:E$71)+SUM('1.  LRAMVA Summary'!E$72:E$73)*(MONTH($E105)-1)/12)*$H105</f>
        <v>0.29871603299999999</v>
      </c>
      <c r="K105" s="230">
        <f>(SUM('1.  LRAMVA Summary'!F$54:F$71)+SUM('1.  LRAMVA Summary'!F$72:F$73)*(MONTH($E105)-1)/12)*$H105</f>
        <v>1.366455464</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9.3760262053333339</v>
      </c>
    </row>
    <row r="106" spans="2:23" s="9" customFormat="1">
      <c r="B106" s="66"/>
      <c r="E106" s="214">
        <v>42767</v>
      </c>
      <c r="F106" s="214" t="s">
        <v>184</v>
      </c>
      <c r="G106" s="215" t="s">
        <v>65</v>
      </c>
      <c r="H106" s="240">
        <f t="shared" ref="H106:H107" si="48">$C$39/12</f>
        <v>9.1666666666666665E-4</v>
      </c>
      <c r="I106" s="230">
        <f>(SUM('1.  LRAMVA Summary'!D$54:D$71)+SUM('1.  LRAMVA Summary'!D$72:D$73)*(MONTH($E106)-1)/12)*$H106</f>
        <v>8.2435040416666663</v>
      </c>
      <c r="J106" s="230">
        <f>(SUM('1.  LRAMVA Summary'!E$54:E$71)+SUM('1.  LRAMVA Summary'!E$72:E$73)*(MONTH($E106)-1)/12)*$H106</f>
        <v>0.13872369499999998</v>
      </c>
      <c r="K106" s="230">
        <f>(SUM('1.  LRAMVA Summary'!F$54:F$71)+SUM('1.  LRAMVA Summary'!F$72:F$73)*(MONTH($E106)-1)/12)*$H106</f>
        <v>1.2993593928854916</v>
      </c>
      <c r="L106" s="230">
        <f>(SUM('1.  LRAMVA Summary'!G$54:G$71)+SUM('1.  LRAMVA Summary'!G$72:G$73)*(MONTH($E106)-1)/12)*$H106</f>
        <v>-6.1119513888888881E-4</v>
      </c>
      <c r="M106" s="230">
        <f>(SUM('1.  LRAMVA Summary'!H$54:H$71)+SUM('1.  LRAMVA Summary'!H$72:H$73)*(MONTH($E106)-1)/12)*$H106</f>
        <v>-1.6880531885594918E-2</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9.6640954025276731</v>
      </c>
    </row>
    <row r="107" spans="2:23" s="9" customFormat="1">
      <c r="B107" s="66"/>
      <c r="E107" s="214">
        <v>42795</v>
      </c>
      <c r="F107" s="214" t="s">
        <v>184</v>
      </c>
      <c r="G107" s="215" t="s">
        <v>65</v>
      </c>
      <c r="H107" s="240">
        <f t="shared" si="48"/>
        <v>9.1666666666666665E-4</v>
      </c>
      <c r="I107" s="230">
        <f>(SUM('1.  LRAMVA Summary'!D$54:D$71)+SUM('1.  LRAMVA Summary'!D$72:D$73)*(MONTH($E107)-1)/12)*$H107</f>
        <v>8.7761533749999998</v>
      </c>
      <c r="J107" s="230">
        <f>(SUM('1.  LRAMVA Summary'!E$54:E$71)+SUM('1.  LRAMVA Summary'!E$72:E$73)*(MONTH($E107)-1)/12)*$H107</f>
        <v>-2.1268643E-2</v>
      </c>
      <c r="K107" s="230">
        <f>(SUM('1.  LRAMVA Summary'!F$54:F$71)+SUM('1.  LRAMVA Summary'!F$72:F$73)*(MONTH($E107)-1)/12)*$H107</f>
        <v>1.2322633217709833</v>
      </c>
      <c r="L107" s="230">
        <f>(SUM('1.  LRAMVA Summary'!G$54:G$71)+SUM('1.  LRAMVA Summary'!G$72:G$73)*(MONTH($E107)-1)/12)*$H107</f>
        <v>-1.2223902777777776E-3</v>
      </c>
      <c r="M107" s="230">
        <f>(SUM('1.  LRAMVA Summary'!H$54:H$71)+SUM('1.  LRAMVA Summary'!H$72:H$73)*(MONTH($E107)-1)/12)*$H107</f>
        <v>-3.3761063771189835E-2</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9.9521645997220141</v>
      </c>
    </row>
    <row r="108" spans="2:23" s="8" customFormat="1">
      <c r="B108" s="239"/>
      <c r="E108" s="214">
        <v>42826</v>
      </c>
      <c r="F108" s="214" t="s">
        <v>184</v>
      </c>
      <c r="G108" s="215" t="s">
        <v>66</v>
      </c>
      <c r="H108" s="240">
        <f>$C$40/12</f>
        <v>9.1666666666666665E-4</v>
      </c>
      <c r="I108" s="230">
        <f>(SUM('1.  LRAMVA Summary'!D$54:D$71)+SUM('1.  LRAMVA Summary'!D$72:D$73)*(MONTH($E108)-1)/12)*$H108</f>
        <v>9.3088027083333333</v>
      </c>
      <c r="J108" s="230">
        <f>(SUM('1.  LRAMVA Summary'!E$54:E$71)+SUM('1.  LRAMVA Summary'!E$72:E$73)*(MONTH($E108)-1)/12)*$H108</f>
        <v>-0.18126098099999996</v>
      </c>
      <c r="K108" s="230">
        <f>(SUM('1.  LRAMVA Summary'!F$54:F$71)+SUM('1.  LRAMVA Summary'!F$72:F$73)*(MONTH($E108)-1)/12)*$H108</f>
        <v>1.165167250656475</v>
      </c>
      <c r="L108" s="230">
        <f>(SUM('1.  LRAMVA Summary'!G$54:G$71)+SUM('1.  LRAMVA Summary'!G$72:G$73)*(MONTH($E108)-1)/12)*$H108</f>
        <v>-1.8335854166666664E-3</v>
      </c>
      <c r="M108" s="230">
        <f>(SUM('1.  LRAMVA Summary'!H$54:H$71)+SUM('1.  LRAMVA Summary'!H$72:H$73)*(MONTH($E108)-1)/12)*$H108</f>
        <v>-5.0641595656784756E-2</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10.240233796916359</v>
      </c>
    </row>
    <row r="109" spans="2:23" s="9" customFormat="1">
      <c r="B109" s="66"/>
      <c r="E109" s="214">
        <v>42856</v>
      </c>
      <c r="F109" s="214" t="s">
        <v>184</v>
      </c>
      <c r="G109" s="215" t="s">
        <v>66</v>
      </c>
      <c r="H109" s="240">
        <f t="shared" ref="H109:H110" si="50">$C$40/12</f>
        <v>9.1666666666666665E-4</v>
      </c>
      <c r="I109" s="230">
        <f>(SUM('1.  LRAMVA Summary'!D$54:D$71)+SUM('1.  LRAMVA Summary'!D$72:D$73)*(MONTH($E109)-1)/12)*$H109</f>
        <v>9.8414520416666651</v>
      </c>
      <c r="J109" s="230">
        <f>(SUM('1.  LRAMVA Summary'!E$54:E$71)+SUM('1.  LRAMVA Summary'!E$72:E$73)*(MONTH($E109)-1)/12)*$H109</f>
        <v>-0.341253319</v>
      </c>
      <c r="K109" s="230">
        <f>(SUM('1.  LRAMVA Summary'!F$54:F$71)+SUM('1.  LRAMVA Summary'!F$72:F$73)*(MONTH($E109)-1)/12)*$H109</f>
        <v>1.0980711795419666</v>
      </c>
      <c r="L109" s="230">
        <f>(SUM('1.  LRAMVA Summary'!G$54:G$71)+SUM('1.  LRAMVA Summary'!G$72:G$73)*(MONTH($E109)-1)/12)*$H109</f>
        <v>-2.4447805555555552E-3</v>
      </c>
      <c r="M109" s="230">
        <f>(SUM('1.  LRAMVA Summary'!H$54:H$71)+SUM('1.  LRAMVA Summary'!H$72:H$73)*(MONTH($E109)-1)/12)*$H109</f>
        <v>-6.752212754237967E-2</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10.528302994110696</v>
      </c>
    </row>
    <row r="110" spans="2:23" s="238" customFormat="1">
      <c r="B110" s="237"/>
      <c r="E110" s="214">
        <v>42887</v>
      </c>
      <c r="F110" s="214" t="s">
        <v>184</v>
      </c>
      <c r="G110" s="215" t="s">
        <v>66</v>
      </c>
      <c r="H110" s="240">
        <f t="shared" si="50"/>
        <v>9.1666666666666665E-4</v>
      </c>
      <c r="I110" s="230">
        <f>(SUM('1.  LRAMVA Summary'!D$54:D$71)+SUM('1.  LRAMVA Summary'!D$72:D$73)*(MONTH($E110)-1)/12)*$H110</f>
        <v>10.374101374999999</v>
      </c>
      <c r="J110" s="230">
        <f>(SUM('1.  LRAMVA Summary'!E$54:E$71)+SUM('1.  LRAMVA Summary'!E$72:E$73)*(MONTH($E110)-1)/12)*$H110</f>
        <v>-0.50124565700000001</v>
      </c>
      <c r="K110" s="230">
        <f>(SUM('1.  LRAMVA Summary'!F$54:F$71)+SUM('1.  LRAMVA Summary'!F$72:F$73)*(MONTH($E110)-1)/12)*$H110</f>
        <v>1.0309751084274583</v>
      </c>
      <c r="L110" s="230">
        <f>(SUM('1.  LRAMVA Summary'!G$54:G$71)+SUM('1.  LRAMVA Summary'!G$72:G$73)*(MONTH($E110)-1)/12)*$H110</f>
        <v>-3.0559756944444441E-3</v>
      </c>
      <c r="M110" s="230">
        <f>(SUM('1.  LRAMVA Summary'!H$54:H$71)+SUM('1.  LRAMVA Summary'!H$72:H$73)*(MONTH($E110)-1)/12)*$H110</f>
        <v>-8.4402659427974591E-2</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10.816372191305039</v>
      </c>
    </row>
    <row r="111" spans="2:23" s="9" customFormat="1">
      <c r="B111" s="66"/>
      <c r="E111" s="214">
        <v>42917</v>
      </c>
      <c r="F111" s="214" t="s">
        <v>184</v>
      </c>
      <c r="G111" s="215" t="s">
        <v>68</v>
      </c>
      <c r="H111" s="240">
        <f>$C$41/12</f>
        <v>9.1666666666666665E-4</v>
      </c>
      <c r="I111" s="230">
        <f>(SUM('1.  LRAMVA Summary'!D$54:D$71)+SUM('1.  LRAMVA Summary'!D$72:D$73)*(MONTH($E111)-1)/12)*$H111</f>
        <v>10.906750708333332</v>
      </c>
      <c r="J111" s="230">
        <f>(SUM('1.  LRAMVA Summary'!E$54:E$71)+SUM('1.  LRAMVA Summary'!E$72:E$73)*(MONTH($E111)-1)/12)*$H111</f>
        <v>-0.66123799499999991</v>
      </c>
      <c r="K111" s="230">
        <f>(SUM('1.  LRAMVA Summary'!F$54:F$71)+SUM('1.  LRAMVA Summary'!F$72:F$73)*(MONTH($E111)-1)/12)*$H111</f>
        <v>0.96387903731294999</v>
      </c>
      <c r="L111" s="230">
        <f>(SUM('1.  LRAMVA Summary'!G$54:G$71)+SUM('1.  LRAMVA Summary'!G$72:G$73)*(MONTH($E111)-1)/12)*$H111</f>
        <v>-3.6671708333333329E-3</v>
      </c>
      <c r="M111" s="230">
        <f>(SUM('1.  LRAMVA Summary'!H$54:H$71)+SUM('1.  LRAMVA Summary'!H$72:H$73)*(MONTH($E111)-1)/12)*$H111</f>
        <v>-0.10128319131356951</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11.104441388499378</v>
      </c>
    </row>
    <row r="112" spans="2:23" s="9" customFormat="1">
      <c r="B112" s="66"/>
      <c r="E112" s="214">
        <v>42948</v>
      </c>
      <c r="F112" s="214" t="s">
        <v>184</v>
      </c>
      <c r="G112" s="215" t="s">
        <v>68</v>
      </c>
      <c r="H112" s="240">
        <f t="shared" ref="H112:H113" si="51">$C$41/12</f>
        <v>9.1666666666666665E-4</v>
      </c>
      <c r="I112" s="230">
        <f>(SUM('1.  LRAMVA Summary'!D$54:D$71)+SUM('1.  LRAMVA Summary'!D$72:D$73)*(MONTH($E112)-1)/12)*$H112</f>
        <v>11.439400041666666</v>
      </c>
      <c r="J112" s="230">
        <f>(SUM('1.  LRAMVA Summary'!E$54:E$71)+SUM('1.  LRAMVA Summary'!E$72:E$73)*(MONTH($E112)-1)/12)*$H112</f>
        <v>-0.82123033299999992</v>
      </c>
      <c r="K112" s="230">
        <f>(SUM('1.  LRAMVA Summary'!F$54:F$71)+SUM('1.  LRAMVA Summary'!F$72:F$73)*(MONTH($E112)-1)/12)*$H112</f>
        <v>0.89678296619844167</v>
      </c>
      <c r="L112" s="230">
        <f>(SUM('1.  LRAMVA Summary'!G$54:G$71)+SUM('1.  LRAMVA Summary'!G$72:G$73)*(MONTH($E112)-1)/12)*$H112</f>
        <v>-4.2783659722222213E-3</v>
      </c>
      <c r="M112" s="230">
        <f>(SUM('1.  LRAMVA Summary'!H$54:H$71)+SUM('1.  LRAMVA Summary'!H$72:H$73)*(MONTH($E112)-1)/12)*$H112</f>
        <v>-0.11816372319916443</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11.392510585693723</v>
      </c>
    </row>
    <row r="113" spans="2:23" s="9" customFormat="1">
      <c r="B113" s="66"/>
      <c r="E113" s="214">
        <v>42979</v>
      </c>
      <c r="F113" s="214" t="s">
        <v>184</v>
      </c>
      <c r="G113" s="215" t="s">
        <v>68</v>
      </c>
      <c r="H113" s="240">
        <f t="shared" si="51"/>
        <v>9.1666666666666665E-4</v>
      </c>
      <c r="I113" s="230">
        <f>(SUM('1.  LRAMVA Summary'!D$54:D$71)+SUM('1.  LRAMVA Summary'!D$72:D$73)*(MONTH($E113)-1)/12)*$H113</f>
        <v>11.972049374999999</v>
      </c>
      <c r="J113" s="230">
        <f>(SUM('1.  LRAMVA Summary'!E$54:E$71)+SUM('1.  LRAMVA Summary'!E$72:E$73)*(MONTH($E113)-1)/12)*$H113</f>
        <v>-0.98122267099999994</v>
      </c>
      <c r="K113" s="230">
        <f>(SUM('1.  LRAMVA Summary'!F$54:F$71)+SUM('1.  LRAMVA Summary'!F$72:F$73)*(MONTH($E113)-1)/12)*$H113</f>
        <v>0.82968689508393334</v>
      </c>
      <c r="L113" s="230">
        <f>(SUM('1.  LRAMVA Summary'!G$54:G$71)+SUM('1.  LRAMVA Summary'!G$72:G$73)*(MONTH($E113)-1)/12)*$H113</f>
        <v>-4.8895611111111105E-3</v>
      </c>
      <c r="M113" s="230">
        <f>(SUM('1.  LRAMVA Summary'!H$54:H$71)+SUM('1.  LRAMVA Summary'!H$72:H$73)*(MONTH($E113)-1)/12)*$H113</f>
        <v>-0.13504425508475934</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11.680579782888062</v>
      </c>
    </row>
    <row r="114" spans="2:23" s="9" customFormat="1">
      <c r="B114" s="66"/>
      <c r="E114" s="214">
        <v>43009</v>
      </c>
      <c r="F114" s="214" t="s">
        <v>184</v>
      </c>
      <c r="G114" s="215" t="s">
        <v>69</v>
      </c>
      <c r="H114" s="240">
        <f>$C$42/12</f>
        <v>1.25E-3</v>
      </c>
      <c r="I114" s="230">
        <f>(SUM('1.  LRAMVA Summary'!D$54:D$71)+SUM('1.  LRAMVA Summary'!D$72:D$73)*(MONTH($E114)-1)/12)*$H114</f>
        <v>17.051861875</v>
      </c>
      <c r="J114" s="230">
        <f>(SUM('1.  LRAMVA Summary'!E$54:E$71)+SUM('1.  LRAMVA Summary'!E$72:E$73)*(MONTH($E114)-1)/12)*$H114</f>
        <v>-1.5562022849999999</v>
      </c>
      <c r="K114" s="230">
        <f>(SUM('1.  LRAMVA Summary'!F$54:F$71)+SUM('1.  LRAMVA Summary'!F$72:F$73)*(MONTH($E114)-1)/12)*$H114</f>
        <v>1.039896578140125</v>
      </c>
      <c r="L114" s="230">
        <f>(SUM('1.  LRAMVA Summary'!G$54:G$71)+SUM('1.  LRAMVA Summary'!G$72:G$73)*(MONTH($E114)-1)/12)*$H114</f>
        <v>-7.501031249999999E-3</v>
      </c>
      <c r="M114" s="230">
        <f>(SUM('1.  LRAMVA Summary'!H$54:H$71)+SUM('1.  LRAMVA Summary'!H$72:H$73)*(MONTH($E114)-1)/12)*$H114</f>
        <v>-0.20717016405048308</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16.320884972839639</v>
      </c>
    </row>
    <row r="115" spans="2:23" s="9" customFormat="1">
      <c r="B115" s="66"/>
      <c r="E115" s="214">
        <v>43040</v>
      </c>
      <c r="F115" s="214" t="s">
        <v>184</v>
      </c>
      <c r="G115" s="215" t="s">
        <v>69</v>
      </c>
      <c r="H115" s="240">
        <f t="shared" ref="H115:H116" si="52">$C$42/12</f>
        <v>1.25E-3</v>
      </c>
      <c r="I115" s="230">
        <f>(SUM('1.  LRAMVA Summary'!D$54:D$71)+SUM('1.  LRAMVA Summary'!D$72:D$73)*(MONTH($E115)-1)/12)*$H115</f>
        <v>17.778201875000001</v>
      </c>
      <c r="J115" s="230">
        <f>(SUM('1.  LRAMVA Summary'!E$54:E$71)+SUM('1.  LRAMVA Summary'!E$72:E$73)*(MONTH($E115)-1)/12)*$H115</f>
        <v>-1.774373655</v>
      </c>
      <c r="K115" s="230">
        <f>(SUM('1.  LRAMVA Summary'!F$54:F$71)+SUM('1.  LRAMVA Summary'!F$72:F$73)*(MONTH($E115)-1)/12)*$H115</f>
        <v>0.94840193571124998</v>
      </c>
      <c r="L115" s="230">
        <f>(SUM('1.  LRAMVA Summary'!G$54:G$71)+SUM('1.  LRAMVA Summary'!G$72:G$73)*(MONTH($E115)-1)/12)*$H115</f>
        <v>-8.3344791666666671E-3</v>
      </c>
      <c r="M115" s="230">
        <f>(SUM('1.  LRAMVA Summary'!H$54:H$71)+SUM('1.  LRAMVA Summary'!H$72:H$73)*(MONTH($E115)-1)/12)*$H115</f>
        <v>-0.23018907116720344</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16.713706605377379</v>
      </c>
    </row>
    <row r="116" spans="2:23" s="9" customFormat="1">
      <c r="B116" s="66"/>
      <c r="E116" s="214">
        <v>43070</v>
      </c>
      <c r="F116" s="214" t="s">
        <v>184</v>
      </c>
      <c r="G116" s="215" t="s">
        <v>69</v>
      </c>
      <c r="H116" s="240">
        <f t="shared" si="52"/>
        <v>1.25E-3</v>
      </c>
      <c r="I116" s="230">
        <f>(SUM('1.  LRAMVA Summary'!D$54:D$71)+SUM('1.  LRAMVA Summary'!D$72:D$73)*(MONTH($E116)-1)/12)*$H116</f>
        <v>18.504541875000001</v>
      </c>
      <c r="J116" s="230">
        <f>(SUM('1.  LRAMVA Summary'!E$54:E$71)+SUM('1.  LRAMVA Summary'!E$72:E$73)*(MONTH($E116)-1)/12)*$H116</f>
        <v>-1.9925450250000001</v>
      </c>
      <c r="K116" s="230">
        <f>(SUM('1.  LRAMVA Summary'!F$54:F$71)+SUM('1.  LRAMVA Summary'!F$72:F$73)*(MONTH($E116)-1)/12)*$H116</f>
        <v>0.85690729328237514</v>
      </c>
      <c r="L116" s="230">
        <f>(SUM('1.  LRAMVA Summary'!G$54:G$71)+SUM('1.  LRAMVA Summary'!G$72:G$73)*(MONTH($E116)-1)/12)*$H116</f>
        <v>-9.1679270833333326E-3</v>
      </c>
      <c r="M116" s="230">
        <f>(SUM('1.  LRAMVA Summary'!H$54:H$71)+SUM('1.  LRAMVA Summary'!H$72:H$73)*(MONTH($E116)-1)/12)*$H116</f>
        <v>-0.25320797828392377</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17.106528237915121</v>
      </c>
    </row>
    <row r="117" spans="2:23" s="9" customFormat="1" ht="15.75" thickBot="1">
      <c r="B117" s="66"/>
      <c r="E117" s="216" t="s">
        <v>467</v>
      </c>
      <c r="F117" s="216"/>
      <c r="G117" s="217"/>
      <c r="H117" s="218"/>
      <c r="I117" s="219">
        <f>SUM(I104:I116)</f>
        <v>184.31737489583338</v>
      </c>
      <c r="J117" s="219">
        <f>SUM(J104:J116)</f>
        <v>-6.7514626545</v>
      </c>
      <c r="K117" s="219">
        <f t="shared" ref="K117:O117" si="53">SUM(K104:K116)</f>
        <v>20.243351475011451</v>
      </c>
      <c r="L117" s="219">
        <f t="shared" si="53"/>
        <v>-4.7006462499999999E-2</v>
      </c>
      <c r="M117" s="219">
        <f t="shared" si="53"/>
        <v>-1.2982663613830274</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196.46399089246174</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184.31737489583338</v>
      </c>
      <c r="J119" s="228">
        <f t="shared" ref="J119" si="55">J117+J118</f>
        <v>-6.7514626545</v>
      </c>
      <c r="K119" s="228">
        <f t="shared" ref="K119" si="56">K117+K118</f>
        <v>20.243351475011451</v>
      </c>
      <c r="L119" s="228">
        <f t="shared" ref="L119" si="57">L117+L118</f>
        <v>-4.7006462499999999E-2</v>
      </c>
      <c r="M119" s="228">
        <f t="shared" ref="M119" si="58">M117+M118</f>
        <v>-1.2982663613830274</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196.46399089246174</v>
      </c>
    </row>
    <row r="120" spans="2:23" s="9" customFormat="1">
      <c r="B120" s="66"/>
      <c r="E120" s="214">
        <v>43101</v>
      </c>
      <c r="F120" s="214" t="s">
        <v>185</v>
      </c>
      <c r="G120" s="215" t="s">
        <v>65</v>
      </c>
      <c r="H120" s="240">
        <f>$C$43/12</f>
        <v>1.25E-3</v>
      </c>
      <c r="I120" s="230">
        <f>(SUM('1.  LRAMVA Summary'!D$54:D$74)+SUM('1.  LRAMVA Summary'!D$75:D$76)*(MONTH($E120)-1)/12)*$H120</f>
        <v>19.230881875000001</v>
      </c>
      <c r="J120" s="230">
        <f>(SUM('1.  LRAMVA Summary'!E$54:E$74)+SUM('1.  LRAMVA Summary'!E$75:E$76)*(MONTH($E120)-1)/12)*$H120</f>
        <v>-2.2107163949999999</v>
      </c>
      <c r="K120" s="230">
        <f>(SUM('1.  LRAMVA Summary'!F$54:F$74)+SUM('1.  LRAMVA Summary'!F$75:F$76)*(MONTH($E120)-1)/12)*$H120</f>
        <v>0.76541265085350008</v>
      </c>
      <c r="L120" s="230">
        <f>(SUM('1.  LRAMVA Summary'!G$54:G$74)+SUM('1.  LRAMVA Summary'!G$75:G$76)*(MONTH($E120)-1)/12)*$H120</f>
        <v>-1.0001375E-2</v>
      </c>
      <c r="M120" s="230">
        <f>(SUM('1.  LRAMVA Summary'!H$54:H$74)+SUM('1.  LRAMVA Summary'!H$75:H$76)*(MONTH($E120)-1)/12)*$H120</f>
        <v>-0.27622688540064416</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17.499349870452857</v>
      </c>
    </row>
    <row r="121" spans="2:23" s="9" customFormat="1">
      <c r="B121" s="66"/>
      <c r="E121" s="214">
        <v>43132</v>
      </c>
      <c r="F121" s="214" t="s">
        <v>185</v>
      </c>
      <c r="G121" s="215" t="s">
        <v>65</v>
      </c>
      <c r="H121" s="240">
        <f t="shared" ref="H121:H122" si="62">$C$43/12</f>
        <v>1.25E-3</v>
      </c>
      <c r="I121" s="230">
        <f>(SUM('1.  LRAMVA Summary'!D$54:D$74)+SUM('1.  LRAMVA Summary'!D$75:D$76)*(MONTH($E121)-1)/12)*$H121</f>
        <v>19.733880091281062</v>
      </c>
      <c r="J121" s="230">
        <f>(SUM('1.  LRAMVA Summary'!E$54:E$74)+SUM('1.  LRAMVA Summary'!E$75:E$76)*(MONTH($E121)-1)/12)*$H121</f>
        <v>-2.2891960420554427</v>
      </c>
      <c r="K121" s="230">
        <f>(SUM('1.  LRAMVA Summary'!F$54:F$74)+SUM('1.  LRAMVA Summary'!F$75:F$76)*(MONTH($E121)-1)/12)*$H121</f>
        <v>0.66939375875011442</v>
      </c>
      <c r="L121" s="230">
        <f>(SUM('1.  LRAMVA Summary'!G$54:G$74)+SUM('1.  LRAMVA Summary'!G$75:G$76)*(MONTH($E121)-1)/12)*$H121</f>
        <v>-1.0604906249999999E-2</v>
      </c>
      <c r="M121" s="230">
        <f>(SUM('1.  LRAMVA Summary'!H$54:H$74)+SUM('1.  LRAMVA Summary'!H$75:H$76)*(MONTH($E121)-1)/12)*$H121</f>
        <v>-0.29301345324110301</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17.810459448484632</v>
      </c>
    </row>
    <row r="122" spans="2:23" s="9" customFormat="1">
      <c r="B122" s="66"/>
      <c r="E122" s="214">
        <v>43160</v>
      </c>
      <c r="F122" s="214" t="s">
        <v>185</v>
      </c>
      <c r="G122" s="215" t="s">
        <v>65</v>
      </c>
      <c r="H122" s="240">
        <f t="shared" si="62"/>
        <v>1.25E-3</v>
      </c>
      <c r="I122" s="230">
        <f>(SUM('1.  LRAMVA Summary'!D$54:D$74)+SUM('1.  LRAMVA Summary'!D$75:D$76)*(MONTH($E122)-1)/12)*$H122</f>
        <v>20.236878307562119</v>
      </c>
      <c r="J122" s="230">
        <f>(SUM('1.  LRAMVA Summary'!E$54:E$74)+SUM('1.  LRAMVA Summary'!E$75:E$76)*(MONTH($E122)-1)/12)*$H122</f>
        <v>-2.3676756891108854</v>
      </c>
      <c r="K122" s="230">
        <f>(SUM('1.  LRAMVA Summary'!F$54:F$74)+SUM('1.  LRAMVA Summary'!F$75:F$76)*(MONTH($E122)-1)/12)*$H122</f>
        <v>0.57337486664672876</v>
      </c>
      <c r="L122" s="230">
        <f>(SUM('1.  LRAMVA Summary'!G$54:G$74)+SUM('1.  LRAMVA Summary'!G$75:G$76)*(MONTH($E122)-1)/12)*$H122</f>
        <v>-1.12084375E-2</v>
      </c>
      <c r="M122" s="230">
        <f>(SUM('1.  LRAMVA Summary'!H$54:H$74)+SUM('1.  LRAMVA Summary'!H$75:H$76)*(MONTH($E122)-1)/12)*$H122</f>
        <v>-0.30980002108156185</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18.121569026516401</v>
      </c>
    </row>
    <row r="123" spans="2:23" s="8" customFormat="1">
      <c r="B123" s="239"/>
      <c r="E123" s="214">
        <v>43191</v>
      </c>
      <c r="F123" s="214" t="s">
        <v>185</v>
      </c>
      <c r="G123" s="215" t="s">
        <v>66</v>
      </c>
      <c r="H123" s="240">
        <f>$C$44/12</f>
        <v>1.575E-3</v>
      </c>
      <c r="I123" s="230">
        <f>(SUM('1.  LRAMVA Summary'!D$54:D$74)+SUM('1.  LRAMVA Summary'!D$75:D$76)*(MONTH($E123)-1)/12)*$H123</f>
        <v>26.132244420042404</v>
      </c>
      <c r="J123" s="230">
        <f>(SUM('1.  LRAMVA Summary'!E$54:E$74)+SUM('1.  LRAMVA Summary'!E$75:E$76)*(MONTH($E123)-1)/12)*$H123</f>
        <v>-3.0821557235695738</v>
      </c>
      <c r="K123" s="230">
        <f>(SUM('1.  LRAMVA Summary'!F$54:F$74)+SUM('1.  LRAMVA Summary'!F$75:F$76)*(MONTH($E123)-1)/12)*$H123</f>
        <v>0.60146852792461236</v>
      </c>
      <c r="L123" s="230">
        <f>(SUM('1.  LRAMVA Summary'!G$54:G$74)+SUM('1.  LRAMVA Summary'!G$75:G$76)*(MONTH($E123)-1)/12)*$H123</f>
        <v>-1.4883080625E-2</v>
      </c>
      <c r="M123" s="230">
        <f>(SUM('1.  LRAMVA Summary'!H$54:H$74)+SUM('1.  LRAMVA Summary'!H$75:H$76)*(MONTH($E123)-1)/12)*$H123</f>
        <v>-0.41149910204174606</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23.225175041730697</v>
      </c>
    </row>
    <row r="124" spans="2:23" s="9" customFormat="1">
      <c r="B124" s="66"/>
      <c r="E124" s="214">
        <v>43221</v>
      </c>
      <c r="F124" s="214" t="s">
        <v>185</v>
      </c>
      <c r="G124" s="215" t="s">
        <v>66</v>
      </c>
      <c r="H124" s="240">
        <f t="shared" ref="H124:H125" si="64">$C$44/12</f>
        <v>1.575E-3</v>
      </c>
      <c r="I124" s="230">
        <f>(SUM('1.  LRAMVA Summary'!D$54:D$74)+SUM('1.  LRAMVA Summary'!D$75:D$76)*(MONTH($E124)-1)/12)*$H124</f>
        <v>26.766022172556536</v>
      </c>
      <c r="J124" s="230">
        <f>(SUM('1.  LRAMVA Summary'!E$54:E$74)+SUM('1.  LRAMVA Summary'!E$75:E$76)*(MONTH($E124)-1)/12)*$H124</f>
        <v>-3.1810400788594322</v>
      </c>
      <c r="K124" s="230">
        <f>(SUM('1.  LRAMVA Summary'!F$54:F$74)+SUM('1.  LRAMVA Summary'!F$75:F$76)*(MONTH($E124)-1)/12)*$H124</f>
        <v>0.48048472387434643</v>
      </c>
      <c r="L124" s="230">
        <f>(SUM('1.  LRAMVA Summary'!G$54:G$74)+SUM('1.  LRAMVA Summary'!G$75:G$76)*(MONTH($E124)-1)/12)*$H124</f>
        <v>-1.5643529999999999E-2</v>
      </c>
      <c r="M124" s="230">
        <f>(SUM('1.  LRAMVA Summary'!H$54:H$74)+SUM('1.  LRAMVA Summary'!H$75:H$76)*(MONTH($E124)-1)/12)*$H124</f>
        <v>-0.43265017752072421</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23.617173110050729</v>
      </c>
    </row>
    <row r="125" spans="2:23" s="238" customFormat="1">
      <c r="B125" s="237"/>
      <c r="E125" s="214">
        <v>43252</v>
      </c>
      <c r="F125" s="214" t="s">
        <v>185</v>
      </c>
      <c r="G125" s="215" t="s">
        <v>66</v>
      </c>
      <c r="H125" s="240">
        <f t="shared" si="64"/>
        <v>1.575E-3</v>
      </c>
      <c r="I125" s="230">
        <f>(SUM('1.  LRAMVA Summary'!D$54:D$74)+SUM('1.  LRAMVA Summary'!D$75:D$76)*(MONTH($E125)-1)/12)*$H125</f>
        <v>27.399799925070674</v>
      </c>
      <c r="J125" s="230">
        <f>(SUM('1.  LRAMVA Summary'!E$54:E$74)+SUM('1.  LRAMVA Summary'!E$75:E$76)*(MONTH($E125)-1)/12)*$H125</f>
        <v>-3.2799244341492897</v>
      </c>
      <c r="K125" s="230">
        <f>(SUM('1.  LRAMVA Summary'!F$54:F$74)+SUM('1.  LRAMVA Summary'!F$75:F$76)*(MONTH($E125)-1)/12)*$H125</f>
        <v>0.35950091982408044</v>
      </c>
      <c r="L125" s="230">
        <f>(SUM('1.  LRAMVA Summary'!G$54:G$74)+SUM('1.  LRAMVA Summary'!G$75:G$76)*(MONTH($E125)-1)/12)*$H125</f>
        <v>-1.6403979374999999E-2</v>
      </c>
      <c r="M125" s="230">
        <f>(SUM('1.  LRAMVA Summary'!H$54:H$74)+SUM('1.  LRAMVA Summary'!H$75:H$76)*(MONTH($E125)-1)/12)*$H125</f>
        <v>-0.45380125299970236</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24.00917117837076</v>
      </c>
    </row>
    <row r="126" spans="2:23" s="9" customFormat="1">
      <c r="B126" s="66"/>
      <c r="E126" s="214">
        <v>43282</v>
      </c>
      <c r="F126" s="214" t="s">
        <v>185</v>
      </c>
      <c r="G126" s="215" t="s">
        <v>68</v>
      </c>
      <c r="H126" s="240">
        <f>$C$45/12</f>
        <v>1.575E-3</v>
      </c>
      <c r="I126" s="230">
        <f>(SUM('1.  LRAMVA Summary'!D$54:D$74)+SUM('1.  LRAMVA Summary'!D$75:D$76)*(MONTH($E126)-1)/12)*$H126</f>
        <v>28.033577677584805</v>
      </c>
      <c r="J126" s="230">
        <f>(SUM('1.  LRAMVA Summary'!E$54:E$74)+SUM('1.  LRAMVA Summary'!E$75:E$76)*(MONTH($E126)-1)/12)*$H126</f>
        <v>-3.3788087894391481</v>
      </c>
      <c r="K126" s="230">
        <f>(SUM('1.  LRAMVA Summary'!F$54:F$74)+SUM('1.  LRAMVA Summary'!F$75:F$76)*(MONTH($E126)-1)/12)*$H126</f>
        <v>0.23851711577381457</v>
      </c>
      <c r="L126" s="230">
        <f>(SUM('1.  LRAMVA Summary'!G$54:G$74)+SUM('1.  LRAMVA Summary'!G$75:G$76)*(MONTH($E126)-1)/12)*$H126</f>
        <v>-1.7164428749999999E-2</v>
      </c>
      <c r="M126" s="230">
        <f>(SUM('1.  LRAMVA Summary'!H$54:H$74)+SUM('1.  LRAMVA Summary'!H$75:H$76)*(MONTH($E126)-1)/12)*$H126</f>
        <v>-0.47495232847868052</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24.401169246690792</v>
      </c>
    </row>
    <row r="127" spans="2:23" s="9" customFormat="1">
      <c r="B127" s="66"/>
      <c r="E127" s="214">
        <v>43313</v>
      </c>
      <c r="F127" s="214" t="s">
        <v>185</v>
      </c>
      <c r="G127" s="215" t="s">
        <v>68</v>
      </c>
      <c r="H127" s="240">
        <f t="shared" ref="H127:H128" si="65">$C$45/12</f>
        <v>1.575E-3</v>
      </c>
      <c r="I127" s="230">
        <f>(SUM('1.  LRAMVA Summary'!D$54:D$74)+SUM('1.  LRAMVA Summary'!D$75:D$76)*(MONTH($E127)-1)/12)*$H127</f>
        <v>28.667355430098944</v>
      </c>
      <c r="J127" s="230">
        <f>(SUM('1.  LRAMVA Summary'!E$54:E$74)+SUM('1.  LRAMVA Summary'!E$75:E$76)*(MONTH($E127)-1)/12)*$H127</f>
        <v>-3.4776931447290065</v>
      </c>
      <c r="K127" s="230">
        <f>(SUM('1.  LRAMVA Summary'!F$54:F$74)+SUM('1.  LRAMVA Summary'!F$75:F$76)*(MONTH($E127)-1)/12)*$H127</f>
        <v>0.1175333117235486</v>
      </c>
      <c r="L127" s="230">
        <f>(SUM('1.  LRAMVA Summary'!G$54:G$74)+SUM('1.  LRAMVA Summary'!G$75:G$76)*(MONTH($E127)-1)/12)*$H127</f>
        <v>-1.7924878124999998E-2</v>
      </c>
      <c r="M127" s="230">
        <f>(SUM('1.  LRAMVA Summary'!H$54:H$74)+SUM('1.  LRAMVA Summary'!H$75:H$76)*(MONTH($E127)-1)/12)*$H127</f>
        <v>-0.49610340395765867</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24.793167315010827</v>
      </c>
    </row>
    <row r="128" spans="2:23" s="9" customFormat="1">
      <c r="B128" s="66"/>
      <c r="E128" s="214">
        <v>43344</v>
      </c>
      <c r="F128" s="214" t="s">
        <v>185</v>
      </c>
      <c r="G128" s="215" t="s">
        <v>68</v>
      </c>
      <c r="H128" s="240">
        <f t="shared" si="65"/>
        <v>1.575E-3</v>
      </c>
      <c r="I128" s="230">
        <f>(SUM('1.  LRAMVA Summary'!D$54:D$74)+SUM('1.  LRAMVA Summary'!D$75:D$76)*(MONTH($E128)-1)/12)*$H128</f>
        <v>29.301133182613075</v>
      </c>
      <c r="J128" s="230">
        <f>(SUM('1.  LRAMVA Summary'!E$54:E$74)+SUM('1.  LRAMVA Summary'!E$75:E$76)*(MONTH($E128)-1)/12)*$H128</f>
        <v>-3.576577500018864</v>
      </c>
      <c r="K128" s="230">
        <f>(SUM('1.  LRAMVA Summary'!F$54:F$74)+SUM('1.  LRAMVA Summary'!F$75:F$76)*(MONTH($E128)-1)/12)*$H128</f>
        <v>-3.4504923267172074E-3</v>
      </c>
      <c r="L128" s="230">
        <f>(SUM('1.  LRAMVA Summary'!G$54:G$74)+SUM('1.  LRAMVA Summary'!G$75:G$76)*(MONTH($E128)-1)/12)*$H128</f>
        <v>-1.8685327500000001E-2</v>
      </c>
      <c r="M128" s="230">
        <f>(SUM('1.  LRAMVA Summary'!H$54:H$74)+SUM('1.  LRAMVA Summary'!H$75:H$76)*(MONTH($E128)-1)/12)*$H128</f>
        <v>-0.51725447943663683</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25.185165383330858</v>
      </c>
    </row>
    <row r="129" spans="2:23" s="9" customFormat="1">
      <c r="B129" s="66"/>
      <c r="E129" s="214">
        <v>43374</v>
      </c>
      <c r="F129" s="214" t="s">
        <v>185</v>
      </c>
      <c r="G129" s="215" t="s">
        <v>69</v>
      </c>
      <c r="H129" s="240">
        <f>$C$46/12</f>
        <v>1.8083333333333335E-3</v>
      </c>
      <c r="I129" s="230">
        <f>(SUM('1.  LRAMVA Summary'!D$54:D$74)+SUM('1.  LRAMVA Summary'!D$75:D$76)*(MONTH($E129)-1)/12)*$H129</f>
        <v>34.369712555146059</v>
      </c>
      <c r="J129" s="230">
        <f>(SUM('1.  LRAMVA Summary'!E$54:E$74)+SUM('1.  LRAMVA Summary'!E$75:E$76)*(MONTH($E129)-1)/12)*$H129</f>
        <v>-4.2199747227618669</v>
      </c>
      <c r="K129" s="230">
        <f>(SUM('1.  LRAMVA Summary'!F$54:F$74)+SUM('1.  LRAMVA Summary'!F$75:F$76)*(MONTH($E129)-1)/12)*$H129</f>
        <v>-0.14286900695135107</v>
      </c>
      <c r="L129" s="230">
        <f>(SUM('1.  LRAMVA Summary'!G$54:G$74)+SUM('1.  LRAMVA Summary'!G$75:G$76)*(MONTH($E129)-1)/12)*$H129</f>
        <v>-2.2326632708333335E-2</v>
      </c>
      <c r="M129" s="230">
        <f>(SUM('1.  LRAMVA Summary'!H$54:H$74)+SUM('1.  LRAMVA Summary'!H$75:H$76)*(MONTH($E129)-1)/12)*$H129</f>
        <v>-0.6181693408290394</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29.36637285189547</v>
      </c>
    </row>
    <row r="130" spans="2:23" s="9" customFormat="1">
      <c r="B130" s="66"/>
      <c r="E130" s="214">
        <v>43405</v>
      </c>
      <c r="F130" s="214" t="s">
        <v>185</v>
      </c>
      <c r="G130" s="215" t="s">
        <v>69</v>
      </c>
      <c r="H130" s="240">
        <f t="shared" ref="H130:H131" si="66">$C$46/12</f>
        <v>1.8083333333333335E-3</v>
      </c>
      <c r="I130" s="230">
        <f>(SUM('1.  LRAMVA Summary'!D$54:D$74)+SUM('1.  LRAMVA Summary'!D$75:D$76)*(MONTH($E130)-1)/12)*$H130</f>
        <v>35.097383308032661</v>
      </c>
      <c r="J130" s="230">
        <f>(SUM('1.  LRAMVA Summary'!E$54:E$74)+SUM('1.  LRAMVA Summary'!E$75:E$76)*(MONTH($E130)-1)/12)*$H130</f>
        <v>-4.3335086121687407</v>
      </c>
      <c r="K130" s="230">
        <f>(SUM('1.  LRAMVA Summary'!F$54:F$74)+SUM('1.  LRAMVA Summary'!F$75:F$76)*(MONTH($E130)-1)/12)*$H130</f>
        <v>-0.28177633752758241</v>
      </c>
      <c r="L130" s="230">
        <f>(SUM('1.  LRAMVA Summary'!G$54:G$74)+SUM('1.  LRAMVA Summary'!G$75:G$76)*(MONTH($E130)-1)/12)*$H130</f>
        <v>-2.3199741249999999E-2</v>
      </c>
      <c r="M130" s="230">
        <f>(SUM('1.  LRAMVA Summary'!H$54:H$74)+SUM('1.  LRAMVA Summary'!H$75:H$76)*(MONTH($E130)-1)/12)*$H130</f>
        <v>-0.64245390897156984</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29.816444708114766</v>
      </c>
    </row>
    <row r="131" spans="2:23" s="9" customFormat="1">
      <c r="B131" s="66"/>
      <c r="E131" s="214">
        <v>43435</v>
      </c>
      <c r="F131" s="214" t="s">
        <v>185</v>
      </c>
      <c r="G131" s="215" t="s">
        <v>69</v>
      </c>
      <c r="H131" s="240">
        <f t="shared" si="66"/>
        <v>1.8083333333333335E-3</v>
      </c>
      <c r="I131" s="230">
        <f>(SUM('1.  LRAMVA Summary'!D$54:D$74)+SUM('1.  LRAMVA Summary'!D$75:D$76)*(MONTH($E131)-1)/12)*$H131</f>
        <v>35.825054060919257</v>
      </c>
      <c r="J131" s="230">
        <f>(SUM('1.  LRAMVA Summary'!E$54:E$74)+SUM('1.  LRAMVA Summary'!E$75:E$76)*(MONTH($E131)-1)/12)*$H131</f>
        <v>-4.4470425015756145</v>
      </c>
      <c r="K131" s="230">
        <f>(SUM('1.  LRAMVA Summary'!F$54:F$74)+SUM('1.  LRAMVA Summary'!F$75:F$76)*(MONTH($E131)-1)/12)*$H131</f>
        <v>-0.42068366810381352</v>
      </c>
      <c r="L131" s="230">
        <f>(SUM('1.  LRAMVA Summary'!G$54:G$74)+SUM('1.  LRAMVA Summary'!G$75:G$76)*(MONTH($E131)-1)/12)*$H131</f>
        <v>-2.4072849791666667E-2</v>
      </c>
      <c r="M131" s="230">
        <f>(SUM('1.  LRAMVA Summary'!H$54:H$74)+SUM('1.  LRAMVA Summary'!H$75:H$76)*(MONTH($E131)-1)/12)*$H131</f>
        <v>-0.66673847711410028</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30.266516564334061</v>
      </c>
    </row>
    <row r="132" spans="2:23" s="9" customFormat="1" ht="15.75" thickBot="1">
      <c r="B132" s="66"/>
      <c r="E132" s="216" t="s">
        <v>468</v>
      </c>
      <c r="F132" s="216"/>
      <c r="G132" s="217"/>
      <c r="H132" s="218"/>
      <c r="I132" s="219">
        <f>SUM(I119:I131)</f>
        <v>515.11129790174095</v>
      </c>
      <c r="J132" s="219">
        <f>SUM(J119:J131)</f>
        <v>-46.595776287937866</v>
      </c>
      <c r="K132" s="219">
        <f t="shared" ref="K132:O132" si="67">SUM(K119:K131)</f>
        <v>23.200257845472731</v>
      </c>
      <c r="L132" s="219">
        <f t="shared" si="67"/>
        <v>-0.24912562937499999</v>
      </c>
      <c r="M132" s="219">
        <f t="shared" si="67"/>
        <v>-6.8909291924561948</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484.57572463744452</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515.11129790174095</v>
      </c>
      <c r="J134" s="228">
        <f t="shared" ref="J134" si="69">J132+J133</f>
        <v>-46.595776287937866</v>
      </c>
      <c r="K134" s="228">
        <f t="shared" ref="K134" si="70">K132+K133</f>
        <v>23.200257845472731</v>
      </c>
      <c r="L134" s="228">
        <f t="shared" ref="L134" si="71">L132+L133</f>
        <v>-0.24912562937499999</v>
      </c>
      <c r="M134" s="228">
        <f t="shared" ref="M134" si="72">M132+M133</f>
        <v>-6.8909291924561948</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484.57572463744452</v>
      </c>
    </row>
    <row r="135" spans="2:23" s="9" customFormat="1">
      <c r="B135" s="66"/>
      <c r="E135" s="214">
        <v>43466</v>
      </c>
      <c r="F135" s="214" t="s">
        <v>186</v>
      </c>
      <c r="G135" s="215" t="s">
        <v>65</v>
      </c>
      <c r="H135" s="240">
        <f>$C$47/12</f>
        <v>2.0416666666666669E-3</v>
      </c>
      <c r="I135" s="230">
        <f>(SUM('1.  LRAMVA Summary'!D$54:D$77)+SUM('1.  LRAMVA Summary'!D$78:D$79)*(MONTH($E135)-1)/12)*$H135</f>
        <v>41.269205434942094</v>
      </c>
      <c r="J135" s="230">
        <f>(SUM('1.  LRAMVA Summary'!E$54:E$77)+SUM('1.  LRAMVA Summary'!E$78:E$79)*(MONTH($E135)-1)/12)*$H135</f>
        <v>-5.1490378607866818</v>
      </c>
      <c r="K135" s="230">
        <f>(SUM('1.  LRAMVA Summary'!F$54:F$77)+SUM('1.  LRAMVA Summary'!F$78:F$79)*(MONTH($E135)-1)/12)*$H135</f>
        <v>-0.63179628883230865</v>
      </c>
      <c r="L135" s="230">
        <f>(SUM('1.  LRAMVA Summary'!G$54:G$77)+SUM('1.  LRAMVA Summary'!G$78:G$79)*(MONTH($E135)-1)/12)*$H135</f>
        <v>-2.8164791666666664E-2</v>
      </c>
      <c r="M135" s="230">
        <f>(SUM('1.  LRAMVA Summary'!H$54:H$77)+SUM('1.  LRAMVA Summary'!H$78:H$79)*(MONTH($E135)-1)/12)*$H135</f>
        <v>-0.78018730916071222</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34.680019184495727</v>
      </c>
    </row>
    <row r="136" spans="2:23" s="9" customFormat="1">
      <c r="B136" s="66"/>
      <c r="E136" s="214">
        <v>43497</v>
      </c>
      <c r="F136" s="214" t="s">
        <v>186</v>
      </c>
      <c r="G136" s="215" t="s">
        <v>65</v>
      </c>
      <c r="H136" s="240">
        <f t="shared" ref="H136:H137" si="75">$C$47/12</f>
        <v>2.0416666666666669E-3</v>
      </c>
      <c r="I136" s="230">
        <f>(SUM('1.  LRAMVA Summary'!D$54:D$77)+SUM('1.  LRAMVA Summary'!D$78:D$79)*(MONTH($E136)-1)/12)*$H136</f>
        <v>42.030733338539783</v>
      </c>
      <c r="J136" s="230">
        <f>(SUM('1.  LRAMVA Summary'!E$54:E$77)+SUM('1.  LRAMVA Summary'!E$78:E$79)*(MONTH($E136)-1)/12)*$H136</f>
        <v>-4.7042837747569761</v>
      </c>
      <c r="K136" s="230">
        <f>(SUM('1.  LRAMVA Summary'!F$54:F$77)+SUM('1.  LRAMVA Summary'!F$78:F$79)*(MONTH($E136)-1)/12)*$H136</f>
        <v>0.34115530616769146</v>
      </c>
      <c r="L136" s="230">
        <f>(SUM('1.  LRAMVA Summary'!G$54:G$77)+SUM('1.  LRAMVA Summary'!G$78:G$79)*(MONTH($E136)-1)/12)*$H136</f>
        <v>-2.8164791666666664E-2</v>
      </c>
      <c r="M136" s="230">
        <f>(SUM('1.  LRAMVA Summary'!H$54:H$77)+SUM('1.  LRAMVA Summary'!H$78:H$79)*(MONTH($E136)-1)/12)*$H136</f>
        <v>-0.78018730916071222</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36.859252769123124</v>
      </c>
    </row>
    <row r="137" spans="2:23" s="9" customFormat="1">
      <c r="B137" s="66"/>
      <c r="E137" s="214">
        <v>43525</v>
      </c>
      <c r="F137" s="214" t="s">
        <v>186</v>
      </c>
      <c r="G137" s="215" t="s">
        <v>65</v>
      </c>
      <c r="H137" s="240">
        <f t="shared" si="75"/>
        <v>2.0416666666666669E-3</v>
      </c>
      <c r="I137" s="230">
        <f>(SUM('1.  LRAMVA Summary'!D$54:D$77)+SUM('1.  LRAMVA Summary'!D$78:D$79)*(MONTH($E137)-1)/12)*$H137</f>
        <v>42.792261242137471</v>
      </c>
      <c r="J137" s="230">
        <f>(SUM('1.  LRAMVA Summary'!E$54:E$77)+SUM('1.  LRAMVA Summary'!E$78:E$79)*(MONTH($E137)-1)/12)*$H137</f>
        <v>-4.2595296887272713</v>
      </c>
      <c r="K137" s="230">
        <f>(SUM('1.  LRAMVA Summary'!F$54:F$77)+SUM('1.  LRAMVA Summary'!F$78:F$79)*(MONTH($E137)-1)/12)*$H137</f>
        <v>1.3141069011676916</v>
      </c>
      <c r="L137" s="230">
        <f>(SUM('1.  LRAMVA Summary'!G$54:G$77)+SUM('1.  LRAMVA Summary'!G$78:G$79)*(MONTH($E137)-1)/12)*$H137</f>
        <v>-2.8164791666666664E-2</v>
      </c>
      <c r="M137" s="230">
        <f>(SUM('1.  LRAMVA Summary'!H$54:H$77)+SUM('1.  LRAMVA Summary'!H$78:H$79)*(MONTH($E137)-1)/12)*$H137</f>
        <v>-0.78018730916071222</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39.038486353750514</v>
      </c>
    </row>
    <row r="138" spans="2:23" s="8" customFormat="1">
      <c r="B138" s="239"/>
      <c r="E138" s="214">
        <v>43556</v>
      </c>
      <c r="F138" s="214" t="s">
        <v>186</v>
      </c>
      <c r="G138" s="215" t="s">
        <v>66</v>
      </c>
      <c r="H138" s="240">
        <f>$C$48/12</f>
        <v>1.8166666666666667E-3</v>
      </c>
      <c r="I138" s="230">
        <f>(SUM('1.  LRAMVA Summary'!D$54:D$77)+SUM('1.  LRAMVA Summary'!D$78:D$79)*(MONTH($E138)-1)/12)*$H138</f>
        <v>38.753983811307201</v>
      </c>
      <c r="J138" s="230">
        <f>(SUM('1.  LRAMVA Summary'!E$54:E$77)+SUM('1.  LRAMVA Summary'!E$78:E$79)*(MONTH($E138)-1)/12)*$H138</f>
        <v>-3.3943717607676303</v>
      </c>
      <c r="K138" s="230">
        <f>(SUM('1.  LRAMVA Summary'!F$54:F$77)+SUM('1.  LRAMVA Summary'!F$78:F$79)*(MONTH($E138)-1)/12)*$H138</f>
        <v>2.0350153149573749</v>
      </c>
      <c r="L138" s="230">
        <f>(SUM('1.  LRAMVA Summary'!G$54:G$77)+SUM('1.  LRAMVA Summary'!G$78:G$79)*(MONTH($E138)-1)/12)*$H138</f>
        <v>-2.5060916666666665E-2</v>
      </c>
      <c r="M138" s="230">
        <f>(SUM('1.  LRAMVA Summary'!H$54:H$77)+SUM('1.  LRAMVA Summary'!H$78:H$79)*(MONTH($E138)-1)/12)*$H138</f>
        <v>-0.69420748325320514</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36.675358965577068</v>
      </c>
    </row>
    <row r="139" spans="2:23" s="9" customFormat="1">
      <c r="B139" s="66"/>
      <c r="E139" s="214">
        <v>43586</v>
      </c>
      <c r="F139" s="214" t="s">
        <v>186</v>
      </c>
      <c r="G139" s="215" t="s">
        <v>66</v>
      </c>
      <c r="H139" s="240">
        <f>$C$48/12</f>
        <v>1.8166666666666667E-3</v>
      </c>
      <c r="I139" s="230">
        <f>(SUM('1.  LRAMVA Summary'!D$54:D$77)+SUM('1.  LRAMVA Summary'!D$78:D$79)*(MONTH($E139)-1)/12)*$H139</f>
        <v>39.431588231651268</v>
      </c>
      <c r="J139" s="230">
        <f>(SUM('1.  LRAMVA Summary'!E$54:E$77)+SUM('1.  LRAMVA Summary'!E$78:E$79)*(MONTH($E139)-1)/12)*$H139</f>
        <v>-2.998631390341199</v>
      </c>
      <c r="K139" s="230">
        <f>(SUM('1.  LRAMVA Summary'!F$54:F$77)+SUM('1.  LRAMVA Summary'!F$78:F$79)*(MONTH($E139)-1)/12)*$H139</f>
        <v>2.9007436729573746</v>
      </c>
      <c r="L139" s="230">
        <f>(SUM('1.  LRAMVA Summary'!G$54:G$77)+SUM('1.  LRAMVA Summary'!G$78:G$79)*(MONTH($E139)-1)/12)*$H139</f>
        <v>-2.5060916666666665E-2</v>
      </c>
      <c r="M139" s="230">
        <f>(SUM('1.  LRAMVA Summary'!H$54:H$77)+SUM('1.  LRAMVA Summary'!H$78:H$79)*(MONTH($E139)-1)/12)*$H139</f>
        <v>-0.69420748325320514</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38.614432114347572</v>
      </c>
    </row>
    <row r="140" spans="2:23" s="9" customFormat="1">
      <c r="B140" s="66"/>
      <c r="E140" s="214">
        <v>43617</v>
      </c>
      <c r="F140" s="214" t="s">
        <v>186</v>
      </c>
      <c r="G140" s="215" t="s">
        <v>66</v>
      </c>
      <c r="H140" s="240">
        <f t="shared" ref="H140" si="77">$C$48/12</f>
        <v>1.8166666666666667E-3</v>
      </c>
      <c r="I140" s="230">
        <f>(SUM('1.  LRAMVA Summary'!D$54:D$77)+SUM('1.  LRAMVA Summary'!D$78:D$79)*(MONTH($E140)-1)/12)*$H140</f>
        <v>40.109192651995329</v>
      </c>
      <c r="J140" s="230">
        <f>(SUM('1.  LRAMVA Summary'!E$54:E$77)+SUM('1.  LRAMVA Summary'!E$78:E$79)*(MONTH($E140)-1)/12)*$H140</f>
        <v>-2.6028910199147677</v>
      </c>
      <c r="K140" s="230">
        <f>(SUM('1.  LRAMVA Summary'!F$54:F$77)+SUM('1.  LRAMVA Summary'!F$78:F$79)*(MONTH($E140)-1)/12)*$H140</f>
        <v>3.7664720309573747</v>
      </c>
      <c r="L140" s="230">
        <f>(SUM('1.  LRAMVA Summary'!G$54:G$77)+SUM('1.  LRAMVA Summary'!G$78:G$79)*(MONTH($E140)-1)/12)*$H140</f>
        <v>-2.5060916666666665E-2</v>
      </c>
      <c r="M140" s="230">
        <f>(SUM('1.  LRAMVA Summary'!H$54:H$77)+SUM('1.  LRAMVA Summary'!H$78:H$79)*(MONTH($E140)-1)/12)*$H140</f>
        <v>-0.69420748325320514</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40.553505263118062</v>
      </c>
    </row>
    <row r="141" spans="2:23" s="9" customFormat="1">
      <c r="B141" s="66"/>
      <c r="E141" s="214">
        <v>43647</v>
      </c>
      <c r="F141" s="214" t="s">
        <v>186</v>
      </c>
      <c r="G141" s="215" t="s">
        <v>68</v>
      </c>
      <c r="H141" s="240">
        <f>$C$49/12</f>
        <v>1.8166666666666667E-3</v>
      </c>
      <c r="I141" s="230">
        <f>(SUM('1.  LRAMVA Summary'!D$54:D$77)+SUM('1.  LRAMVA Summary'!D$78:D$79)*(MONTH($E141)-1)/12)*$H141</f>
        <v>40.786797072339397</v>
      </c>
      <c r="J141" s="230">
        <f>(SUM('1.  LRAMVA Summary'!E$54:E$77)+SUM('1.  LRAMVA Summary'!E$78:E$79)*(MONTH($E141)-1)/12)*$H141</f>
        <v>-2.2071506494883364</v>
      </c>
      <c r="K141" s="230">
        <f>(SUM('1.  LRAMVA Summary'!F$54:F$77)+SUM('1.  LRAMVA Summary'!F$78:F$79)*(MONTH($E141)-1)/12)*$H141</f>
        <v>4.6322003889573757</v>
      </c>
      <c r="L141" s="230">
        <f>(SUM('1.  LRAMVA Summary'!G$54:G$77)+SUM('1.  LRAMVA Summary'!G$78:G$79)*(MONTH($E141)-1)/12)*$H141</f>
        <v>-2.5060916666666665E-2</v>
      </c>
      <c r="M141" s="230">
        <f>(SUM('1.  LRAMVA Summary'!H$54:H$77)+SUM('1.  LRAMVA Summary'!H$78:H$79)*(MONTH($E141)-1)/12)*$H141</f>
        <v>-0.69420748325320514</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42.492578411888566</v>
      </c>
    </row>
    <row r="142" spans="2:23" s="9" customFormat="1">
      <c r="B142" s="66"/>
      <c r="E142" s="214">
        <v>43678</v>
      </c>
      <c r="F142" s="214" t="s">
        <v>186</v>
      </c>
      <c r="G142" s="215" t="s">
        <v>68</v>
      </c>
      <c r="H142" s="240">
        <f>$C$49/12</f>
        <v>1.8166666666666667E-3</v>
      </c>
      <c r="I142" s="230">
        <f>(SUM('1.  LRAMVA Summary'!D$54:D$77)+SUM('1.  LRAMVA Summary'!D$78:D$79)*(MONTH($E142)-1)/12)*$H142</f>
        <v>41.464401492683464</v>
      </c>
      <c r="J142" s="230">
        <f>(SUM('1.  LRAMVA Summary'!E$54:E$77)+SUM('1.  LRAMVA Summary'!E$78:E$79)*(MONTH($E142)-1)/12)*$H142</f>
        <v>-1.8114102790619049</v>
      </c>
      <c r="K142" s="230">
        <f>(SUM('1.  LRAMVA Summary'!F$54:F$77)+SUM('1.  LRAMVA Summary'!F$78:F$79)*(MONTH($E142)-1)/12)*$H142</f>
        <v>5.497928746957375</v>
      </c>
      <c r="L142" s="230">
        <f>(SUM('1.  LRAMVA Summary'!G$54:G$77)+SUM('1.  LRAMVA Summary'!G$78:G$79)*(MONTH($E142)-1)/12)*$H142</f>
        <v>-2.5060916666666665E-2</v>
      </c>
      <c r="M142" s="230">
        <f>(SUM('1.  LRAMVA Summary'!H$54:H$77)+SUM('1.  LRAMVA Summary'!H$78:H$79)*(MONTH($E142)-1)/12)*$H142</f>
        <v>-0.69420748325320514</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44.431651560659063</v>
      </c>
    </row>
    <row r="143" spans="2:23" s="9" customFormat="1">
      <c r="B143" s="66"/>
      <c r="E143" s="214">
        <v>43709</v>
      </c>
      <c r="F143" s="214" t="s">
        <v>186</v>
      </c>
      <c r="G143" s="215" t="s">
        <v>68</v>
      </c>
      <c r="H143" s="240">
        <f>$C$49/12</f>
        <v>1.8166666666666667E-3</v>
      </c>
      <c r="I143" s="230">
        <f>(SUM('1.  LRAMVA Summary'!D$54:D$77)+SUM('1.  LRAMVA Summary'!D$78:D$79)*(MONTH($E143)-1)/12)*$H143</f>
        <v>42.142005913027532</v>
      </c>
      <c r="J143" s="230">
        <f>(SUM('1.  LRAMVA Summary'!E$54:E$77)+SUM('1.  LRAMVA Summary'!E$78:E$79)*(MONTH($E143)-1)/12)*$H143</f>
        <v>-1.4156699086354738</v>
      </c>
      <c r="K143" s="230">
        <f>(SUM('1.  LRAMVA Summary'!F$54:F$77)+SUM('1.  LRAMVA Summary'!F$78:F$79)*(MONTH($E143)-1)/12)*$H143</f>
        <v>6.3636571049573751</v>
      </c>
      <c r="L143" s="230">
        <f>(SUM('1.  LRAMVA Summary'!G$54:G$77)+SUM('1.  LRAMVA Summary'!G$78:G$79)*(MONTH($E143)-1)/12)*$H143</f>
        <v>-2.5060916666666665E-2</v>
      </c>
      <c r="M143" s="230">
        <f>(SUM('1.  LRAMVA Summary'!H$54:H$77)+SUM('1.  LRAMVA Summary'!H$78:H$79)*(MONTH($E143)-1)/12)*$H143</f>
        <v>-0.69420748325320514</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46.37072470942956</v>
      </c>
    </row>
    <row r="144" spans="2:23" s="9" customFormat="1">
      <c r="B144" s="66"/>
      <c r="E144" s="214">
        <v>43739</v>
      </c>
      <c r="F144" s="214" t="s">
        <v>186</v>
      </c>
      <c r="G144" s="215" t="s">
        <v>69</v>
      </c>
      <c r="H144" s="240">
        <f>$C$50/12</f>
        <v>1.8166666666666667E-3</v>
      </c>
      <c r="I144" s="230">
        <f>(SUM('1.  LRAMVA Summary'!D$54:D$77)+SUM('1.  LRAMVA Summary'!D$78:D$79)*(MONTH($E144)-1)/12)*$H144</f>
        <v>42.819610333371593</v>
      </c>
      <c r="J144" s="230">
        <f>(SUM('1.  LRAMVA Summary'!E$54:E$77)+SUM('1.  LRAMVA Summary'!E$78:E$79)*(MONTH($E144)-1)/12)*$H144</f>
        <v>-1.019929538209043</v>
      </c>
      <c r="K144" s="230">
        <f>(SUM('1.  LRAMVA Summary'!F$54:F$77)+SUM('1.  LRAMVA Summary'!F$78:F$79)*(MONTH($E144)-1)/12)*$H144</f>
        <v>7.2293854629573744</v>
      </c>
      <c r="L144" s="230">
        <f>(SUM('1.  LRAMVA Summary'!G$54:G$77)+SUM('1.  LRAMVA Summary'!G$78:G$79)*(MONTH($E144)-1)/12)*$H144</f>
        <v>-2.5060916666666665E-2</v>
      </c>
      <c r="M144" s="230">
        <f>(SUM('1.  LRAMVA Summary'!H$54:H$77)+SUM('1.  LRAMVA Summary'!H$78:H$79)*(MONTH($E144)-1)/12)*$H144</f>
        <v>-0.69420748325320514</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48.309797858200049</v>
      </c>
    </row>
    <row r="145" spans="2:23" s="9" customFormat="1">
      <c r="B145" s="66"/>
      <c r="E145" s="214">
        <v>43770</v>
      </c>
      <c r="F145" s="214" t="s">
        <v>186</v>
      </c>
      <c r="G145" s="215" t="s">
        <v>69</v>
      </c>
      <c r="H145" s="240">
        <f t="shared" ref="H145:H146" si="78">$C$50/12</f>
        <v>1.8166666666666667E-3</v>
      </c>
      <c r="I145" s="230">
        <f>(SUM('1.  LRAMVA Summary'!D$54:D$77)+SUM('1.  LRAMVA Summary'!D$78:D$79)*(MONTH($E145)-1)/12)*$H145</f>
        <v>43.49721475371566</v>
      </c>
      <c r="J145" s="230">
        <f>(SUM('1.  LRAMVA Summary'!E$54:E$77)+SUM('1.  LRAMVA Summary'!E$78:E$79)*(MONTH($E145)-1)/12)*$H145</f>
        <v>-0.62418916778261124</v>
      </c>
      <c r="K145" s="230">
        <f>(SUM('1.  LRAMVA Summary'!F$54:F$77)+SUM('1.  LRAMVA Summary'!F$78:F$79)*(MONTH($E145)-1)/12)*$H145</f>
        <v>8.0951138209573745</v>
      </c>
      <c r="L145" s="230">
        <f>(SUM('1.  LRAMVA Summary'!G$54:G$77)+SUM('1.  LRAMVA Summary'!G$78:G$79)*(MONTH($E145)-1)/12)*$H145</f>
        <v>-2.5060916666666665E-2</v>
      </c>
      <c r="M145" s="230">
        <f>(SUM('1.  LRAMVA Summary'!H$54:H$77)+SUM('1.  LRAMVA Summary'!H$78:H$79)*(MONTH($E145)-1)/12)*$H145</f>
        <v>-0.69420748325320514</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50.248871006970546</v>
      </c>
    </row>
    <row r="146" spans="2:23" s="9" customFormat="1">
      <c r="B146" s="66"/>
      <c r="E146" s="214">
        <v>43800</v>
      </c>
      <c r="F146" s="214" t="s">
        <v>186</v>
      </c>
      <c r="G146" s="215" t="s">
        <v>69</v>
      </c>
      <c r="H146" s="240">
        <f t="shared" si="78"/>
        <v>1.8166666666666667E-3</v>
      </c>
      <c r="I146" s="230">
        <f>(SUM('1.  LRAMVA Summary'!D$54:D$77)+SUM('1.  LRAMVA Summary'!D$78:D$79)*(MONTH($E146)-1)/12)*$H146</f>
        <v>44.174819174059721</v>
      </c>
      <c r="J146" s="230">
        <f>(SUM('1.  LRAMVA Summary'!E$54:E$77)+SUM('1.  LRAMVA Summary'!E$78:E$79)*(MONTH($E146)-1)/12)*$H146</f>
        <v>-0.22844879735617993</v>
      </c>
      <c r="K146" s="230">
        <f>(SUM('1.  LRAMVA Summary'!F$54:F$77)+SUM('1.  LRAMVA Summary'!F$78:F$79)*(MONTH($E146)-1)/12)*$H146</f>
        <v>8.9608421789573764</v>
      </c>
      <c r="L146" s="230">
        <f>(SUM('1.  LRAMVA Summary'!G$54:G$77)+SUM('1.  LRAMVA Summary'!G$78:G$79)*(MONTH($E146)-1)/12)*$H146</f>
        <v>-2.5060916666666665E-2</v>
      </c>
      <c r="M146" s="230">
        <f>(SUM('1.  LRAMVA Summary'!H$54:H$77)+SUM('1.  LRAMVA Summary'!H$78:H$79)*(MONTH($E146)-1)/12)*$H146</f>
        <v>-0.69420748325320514</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52.187944155741043</v>
      </c>
    </row>
    <row r="147" spans="2:23" s="9" customFormat="1" ht="15.75" thickBot="1">
      <c r="B147" s="66"/>
      <c r="E147" s="216" t="s">
        <v>469</v>
      </c>
      <c r="F147" s="216"/>
      <c r="G147" s="217"/>
      <c r="H147" s="218"/>
      <c r="I147" s="219">
        <f>SUM(I134:I146)</f>
        <v>1014.3831113515115</v>
      </c>
      <c r="J147" s="219">
        <f>SUM(J134:J146)</f>
        <v>-77.011320123765955</v>
      </c>
      <c r="K147" s="219">
        <f t="shared" ref="K147:O147" si="79">SUM(K134:K146)</f>
        <v>73.70508248659219</v>
      </c>
      <c r="L147" s="219">
        <f t="shared" si="79"/>
        <v>-0.55916825437499995</v>
      </c>
      <c r="M147" s="219">
        <f t="shared" si="79"/>
        <v>-15.479358469217177</v>
      </c>
      <c r="N147" s="219">
        <f t="shared" si="79"/>
        <v>0</v>
      </c>
      <c r="O147" s="219">
        <f t="shared" si="79"/>
        <v>0</v>
      </c>
      <c r="P147" s="219">
        <f t="shared" ref="P147:V147" si="80">SUM(P134:P146)</f>
        <v>0</v>
      </c>
      <c r="Q147" s="219">
        <f t="shared" si="80"/>
        <v>0</v>
      </c>
      <c r="R147" s="219">
        <f t="shared" si="80"/>
        <v>0</v>
      </c>
      <c r="S147" s="219">
        <f t="shared" si="80"/>
        <v>0</v>
      </c>
      <c r="T147" s="219">
        <f t="shared" si="80"/>
        <v>0</v>
      </c>
      <c r="U147" s="219">
        <f t="shared" si="80"/>
        <v>0</v>
      </c>
      <c r="V147" s="219">
        <f t="shared" si="80"/>
        <v>0</v>
      </c>
      <c r="W147" s="219">
        <f>SUM(W134:W146)</f>
        <v>995.03834699074525</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1014.3831113515115</v>
      </c>
      <c r="J149" s="228">
        <f t="shared" ref="J149" si="81">J147+J148</f>
        <v>-77.011320123765955</v>
      </c>
      <c r="K149" s="228">
        <f t="shared" ref="K149" si="82">K147+K148</f>
        <v>73.70508248659219</v>
      </c>
      <c r="L149" s="228">
        <f t="shared" ref="L149" si="83">L147+L148</f>
        <v>-0.55916825437499995</v>
      </c>
      <c r="M149" s="228">
        <f t="shared" ref="M149" si="84">M147+M148</f>
        <v>-15.479358469217177</v>
      </c>
      <c r="N149" s="228">
        <f t="shared" ref="N149" si="85">N147+N148</f>
        <v>0</v>
      </c>
      <c r="O149" s="228">
        <f t="shared" ref="O149:V149" si="86">O147+O148</f>
        <v>0</v>
      </c>
      <c r="P149" s="228">
        <f t="shared" si="86"/>
        <v>0</v>
      </c>
      <c r="Q149" s="228">
        <f t="shared" si="86"/>
        <v>0</v>
      </c>
      <c r="R149" s="228">
        <f t="shared" si="86"/>
        <v>0</v>
      </c>
      <c r="S149" s="228">
        <f t="shared" si="86"/>
        <v>0</v>
      </c>
      <c r="T149" s="228">
        <f t="shared" si="86"/>
        <v>0</v>
      </c>
      <c r="U149" s="228">
        <f t="shared" si="86"/>
        <v>0</v>
      </c>
      <c r="V149" s="228">
        <f t="shared" si="86"/>
        <v>0</v>
      </c>
      <c r="W149" s="228">
        <f>W147+W148</f>
        <v>995.03834699074525</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7">$C$51/12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8">SUM(I151:V151)</f>
        <v>0</v>
      </c>
    </row>
    <row r="152" spans="2:23" s="9" customFormat="1">
      <c r="B152" s="66"/>
      <c r="E152" s="214">
        <v>43891</v>
      </c>
      <c r="F152" s="214" t="s">
        <v>187</v>
      </c>
      <c r="G152" s="215" t="s">
        <v>65</v>
      </c>
      <c r="H152" s="240">
        <f t="shared" si="87"/>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8"/>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8"/>
        <v>0</v>
      </c>
    </row>
    <row r="154" spans="2:23" s="9" customFormat="1">
      <c r="B154" s="66"/>
      <c r="E154" s="214">
        <v>43952</v>
      </c>
      <c r="F154" s="214" t="s">
        <v>187</v>
      </c>
      <c r="G154" s="215" t="s">
        <v>66</v>
      </c>
      <c r="H154" s="240">
        <f t="shared" ref="H154:H155" si="89">$C$52/12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8"/>
        <v>0</v>
      </c>
    </row>
    <row r="155" spans="2:23" s="9" customFormat="1">
      <c r="B155" s="66"/>
      <c r="E155" s="214">
        <v>43983</v>
      </c>
      <c r="F155" s="214" t="s">
        <v>187</v>
      </c>
      <c r="G155" s="215" t="s">
        <v>66</v>
      </c>
      <c r="H155" s="240">
        <f t="shared" si="89"/>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8"/>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8"/>
        <v>0</v>
      </c>
    </row>
    <row r="157" spans="2:23" s="9" customFormat="1">
      <c r="B157" s="66"/>
      <c r="E157" s="214">
        <v>44044</v>
      </c>
      <c r="F157" s="214" t="s">
        <v>187</v>
      </c>
      <c r="G157" s="215" t="s">
        <v>68</v>
      </c>
      <c r="H157" s="240">
        <f t="shared" ref="H157:H158" si="90">$C$53/12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8"/>
        <v>0</v>
      </c>
    </row>
    <row r="158" spans="2:23" s="9" customFormat="1">
      <c r="B158" s="66"/>
      <c r="E158" s="214">
        <v>44075</v>
      </c>
      <c r="F158" s="214" t="s">
        <v>187</v>
      </c>
      <c r="G158" s="215" t="s">
        <v>68</v>
      </c>
      <c r="H158" s="240">
        <f t="shared" si="90"/>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8"/>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8"/>
        <v>0</v>
      </c>
    </row>
    <row r="160" spans="2:23" s="9" customFormat="1">
      <c r="B160" s="66"/>
      <c r="E160" s="214">
        <v>44136</v>
      </c>
      <c r="F160" s="214" t="s">
        <v>187</v>
      </c>
      <c r="G160" s="215" t="s">
        <v>69</v>
      </c>
      <c r="H160" s="240">
        <f t="shared" ref="H160:H161" si="91">$C$54/12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8"/>
        <v>0</v>
      </c>
    </row>
    <row r="161" spans="2:23" s="9" customFormat="1">
      <c r="B161" s="66"/>
      <c r="E161" s="214">
        <v>44166</v>
      </c>
      <c r="F161" s="214" t="s">
        <v>187</v>
      </c>
      <c r="G161" s="215" t="s">
        <v>69</v>
      </c>
      <c r="H161" s="240">
        <f t="shared" si="91"/>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470</v>
      </c>
      <c r="F162" s="216"/>
      <c r="G162" s="217"/>
      <c r="H162" s="218"/>
      <c r="I162" s="219">
        <f>SUM(I149:I161)</f>
        <v>1014.3831113515115</v>
      </c>
      <c r="J162" s="219">
        <f>SUM(J149:J161)</f>
        <v>-77.011320123765955</v>
      </c>
      <c r="K162" s="219">
        <f t="shared" ref="K162:O162" si="92">SUM(K149:K161)</f>
        <v>73.70508248659219</v>
      </c>
      <c r="L162" s="219">
        <f t="shared" si="92"/>
        <v>-0.55916825437499995</v>
      </c>
      <c r="M162" s="219">
        <f t="shared" si="92"/>
        <v>-15.479358469217177</v>
      </c>
      <c r="N162" s="219">
        <f t="shared" si="92"/>
        <v>0</v>
      </c>
      <c r="O162" s="219">
        <f t="shared" si="92"/>
        <v>0</v>
      </c>
      <c r="P162" s="219">
        <f t="shared" ref="P162:V162" si="93">SUM(P149:P161)</f>
        <v>0</v>
      </c>
      <c r="Q162" s="219">
        <f t="shared" si="93"/>
        <v>0</v>
      </c>
      <c r="R162" s="219">
        <f t="shared" si="93"/>
        <v>0</v>
      </c>
      <c r="S162" s="219">
        <f t="shared" si="93"/>
        <v>0</v>
      </c>
      <c r="T162" s="219">
        <f t="shared" si="93"/>
        <v>0</v>
      </c>
      <c r="U162" s="219">
        <f t="shared" si="93"/>
        <v>0</v>
      </c>
      <c r="V162" s="219">
        <f t="shared" si="93"/>
        <v>0</v>
      </c>
      <c r="W162" s="219">
        <f>SUM(W149:W161)</f>
        <v>995.03834699074525</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526</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2"/>
  <sheetViews>
    <sheetView topLeftCell="A22" zoomScale="90" zoomScaleNormal="90" workbookViewId="0">
      <selection activeCell="G14" sqref="G14"/>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5"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614</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608</v>
      </c>
      <c r="C17" s="90"/>
      <c r="D17" s="611" t="s">
        <v>586</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621</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620</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622</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632</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591</v>
      </c>
      <c r="H23" s="10"/>
      <c r="I23" s="10"/>
      <c r="J23" s="10"/>
    </row>
    <row r="24" spans="2:73" s="670" customFormat="1" ht="21" customHeight="1">
      <c r="B24" s="702" t="s">
        <v>595</v>
      </c>
      <c r="C24" s="827" t="s">
        <v>596</v>
      </c>
      <c r="D24" s="827"/>
      <c r="E24" s="827"/>
      <c r="F24" s="827"/>
      <c r="G24" s="827"/>
      <c r="H24" s="678" t="s">
        <v>593</v>
      </c>
      <c r="I24" s="678" t="s">
        <v>592</v>
      </c>
      <c r="J24" s="678" t="s">
        <v>594</v>
      </c>
      <c r="K24" s="669"/>
      <c r="L24" s="670" t="s">
        <v>596</v>
      </c>
      <c r="AQ24" s="670" t="s">
        <v>596</v>
      </c>
      <c r="BU24" s="669"/>
    </row>
    <row r="25" spans="2:73" s="250" customFormat="1" ht="49.5" customHeight="1">
      <c r="B25" s="245" t="s">
        <v>473</v>
      </c>
      <c r="C25" s="245" t="s">
        <v>211</v>
      </c>
      <c r="D25" s="628" t="s">
        <v>474</v>
      </c>
      <c r="E25" s="245" t="s">
        <v>208</v>
      </c>
      <c r="F25" s="245" t="s">
        <v>475</v>
      </c>
      <c r="G25" s="245" t="s">
        <v>476</v>
      </c>
      <c r="H25" s="628" t="s">
        <v>477</v>
      </c>
      <c r="I25" s="636" t="s">
        <v>584</v>
      </c>
      <c r="J25" s="643" t="s">
        <v>585</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2"/>
      <c r="C27" s="692"/>
      <c r="D27" s="692"/>
      <c r="E27" s="692"/>
      <c r="F27" s="692"/>
      <c r="G27" s="692"/>
      <c r="H27" s="692"/>
      <c r="I27" s="644"/>
      <c r="J27" s="644"/>
      <c r="K27" s="633"/>
      <c r="L27" s="696"/>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c r="AW27" s="697"/>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5.75">
      <c r="B28" s="692"/>
      <c r="C28" s="692"/>
      <c r="D28" s="692"/>
      <c r="E28" s="692"/>
      <c r="F28" s="692"/>
      <c r="G28" s="692"/>
      <c r="H28" s="692"/>
      <c r="I28" s="644"/>
      <c r="J28" s="644"/>
      <c r="K28" s="633"/>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c r="AW28" s="697"/>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customHeight="1">
      <c r="B29" s="692"/>
      <c r="C29" s="692"/>
      <c r="D29" s="692"/>
      <c r="E29" s="692"/>
      <c r="F29" s="692"/>
      <c r="G29" s="692"/>
      <c r="H29" s="692"/>
      <c r="I29" s="644"/>
      <c r="J29" s="644"/>
      <c r="K29" s="633"/>
      <c r="L29" s="696"/>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c r="AW29" s="697"/>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5.75">
      <c r="B30" s="692"/>
      <c r="C30" s="692"/>
      <c r="D30" s="692"/>
      <c r="E30" s="692"/>
      <c r="F30" s="692"/>
      <c r="G30" s="692"/>
      <c r="H30" s="692"/>
      <c r="I30" s="644"/>
      <c r="J30" s="644"/>
      <c r="K30" s="633"/>
      <c r="L30" s="696"/>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c r="AW30" s="697"/>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5.75">
      <c r="B31" s="692"/>
      <c r="C31" s="692"/>
      <c r="D31" s="692"/>
      <c r="E31" s="692"/>
      <c r="F31" s="692"/>
      <c r="G31" s="692"/>
      <c r="H31" s="692"/>
      <c r="I31" s="644"/>
      <c r="J31" s="644"/>
      <c r="K31" s="633"/>
      <c r="L31" s="696"/>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c r="AW31" s="697"/>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5.75">
      <c r="B32" s="692"/>
      <c r="C32" s="692"/>
      <c r="D32" s="692"/>
      <c r="E32" s="692"/>
      <c r="F32" s="692"/>
      <c r="G32" s="692"/>
      <c r="H32" s="692"/>
      <c r="I32" s="644"/>
      <c r="J32" s="644"/>
      <c r="K32" s="633"/>
      <c r="L32" s="696"/>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c r="AW32" s="697"/>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5.75">
      <c r="B33" s="692"/>
      <c r="C33" s="692"/>
      <c r="D33" s="692"/>
      <c r="E33" s="692"/>
      <c r="F33" s="692"/>
      <c r="G33" s="692"/>
      <c r="H33" s="692"/>
      <c r="I33" s="644"/>
      <c r="J33" s="644"/>
      <c r="K33" s="633"/>
      <c r="L33" s="696"/>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c r="AW33" s="697"/>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5.75">
      <c r="B34" s="692"/>
      <c r="C34" s="692"/>
      <c r="D34" s="692"/>
      <c r="E34" s="692"/>
      <c r="F34" s="692"/>
      <c r="G34" s="692"/>
      <c r="H34" s="692"/>
      <c r="I34" s="644"/>
      <c r="J34" s="644"/>
      <c r="K34" s="633"/>
      <c r="L34" s="696"/>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c r="AW34" s="697"/>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5.75">
      <c r="B35" s="692"/>
      <c r="C35" s="692"/>
      <c r="D35" s="692"/>
      <c r="E35" s="692"/>
      <c r="F35" s="692"/>
      <c r="G35" s="692"/>
      <c r="H35" s="692"/>
      <c r="I35" s="644"/>
      <c r="J35" s="644"/>
      <c r="K35" s="633"/>
      <c r="L35" s="696"/>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c r="AW35" s="697"/>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5.75">
      <c r="B36" s="692"/>
      <c r="C36" s="692"/>
      <c r="D36" s="692"/>
      <c r="E36" s="692"/>
      <c r="F36" s="692"/>
      <c r="G36" s="692"/>
      <c r="H36" s="692"/>
      <c r="I36" s="644"/>
      <c r="J36" s="644"/>
      <c r="K36" s="633"/>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75">
      <c r="B37" s="692"/>
      <c r="C37" s="692"/>
      <c r="D37" s="692"/>
      <c r="E37" s="692"/>
      <c r="F37" s="692"/>
      <c r="G37" s="692"/>
      <c r="H37" s="692"/>
      <c r="I37" s="644"/>
      <c r="J37" s="644"/>
      <c r="K37" s="633"/>
      <c r="L37" s="696"/>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c r="AW37" s="697"/>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75">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c r="AW38" s="697"/>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75">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c r="AW39" s="697"/>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75">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c r="AW40" s="697"/>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75">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c r="AW41" s="697"/>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75">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75">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c r="AW43" s="697"/>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75">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75">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75">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75">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75">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75">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75">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75">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75">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75">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75">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75">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75">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75">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75">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75">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75">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75">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75">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75">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75">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75">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75">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75">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75">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75">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75">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75">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7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75">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75">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75">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U49"/>
  <sheetViews>
    <sheetView zoomScale="90" zoomScaleNormal="90" workbookViewId="0">
      <selection activeCell="B47" sqref="B47"/>
    </sheetView>
  </sheetViews>
  <sheetFormatPr defaultColWidth="9.140625" defaultRowHeight="15"/>
  <cols>
    <col min="1" max="1" width="9.140625" style="12"/>
    <col min="2" max="2" width="10.140625" style="12" customWidth="1"/>
    <col min="3" max="3" width="11.28515625" style="12" customWidth="1"/>
    <col min="4" max="4" width="13.28515625" style="12" customWidth="1"/>
    <col min="5" max="5" width="12.7109375" style="12" customWidth="1"/>
    <col min="6" max="6" width="12" style="12" customWidth="1"/>
    <col min="7" max="7" width="9.140625" style="12"/>
    <col min="8" max="8" width="24.5703125" style="12" customWidth="1"/>
    <col min="9" max="9" width="11.140625" style="12" customWidth="1"/>
    <col min="10" max="10" width="9.140625" style="12"/>
    <col min="11" max="11" width="11.5703125" style="12" customWidth="1"/>
    <col min="12" max="12" width="9.140625" style="12"/>
    <col min="13" max="13" width="26" style="12" customWidth="1"/>
    <col min="14" max="14" width="9.85546875" style="12" customWidth="1"/>
    <col min="15" max="15" width="9.140625" style="12"/>
    <col min="16" max="16" width="9.7109375" style="12" customWidth="1"/>
    <col min="17" max="16384" width="9.140625" style="12"/>
  </cols>
  <sheetData>
    <row r="12" spans="1:17" ht="24" customHeight="1" thickBot="1"/>
    <row r="13" spans="1:17" s="9" customFormat="1" ht="23.45" customHeight="1" thickBot="1">
      <c r="A13" s="588"/>
      <c r="B13" s="588" t="s">
        <v>171</v>
      </c>
      <c r="D13" s="126" t="s">
        <v>175</v>
      </c>
      <c r="E13" s="746"/>
      <c r="F13" s="177"/>
      <c r="G13" s="178"/>
      <c r="H13" s="179"/>
      <c r="K13" s="179"/>
      <c r="L13" s="177"/>
      <c r="M13" s="177"/>
      <c r="N13" s="177"/>
      <c r="O13" s="177"/>
      <c r="P13" s="177"/>
      <c r="Q13" s="180"/>
    </row>
    <row r="14" spans="1:17" s="9" customFormat="1" ht="15.6" customHeight="1">
      <c r="B14" s="551"/>
      <c r="D14" s="17"/>
      <c r="E14" s="17"/>
      <c r="F14" s="177"/>
      <c r="G14" s="178"/>
      <c r="H14" s="179"/>
      <c r="K14" s="179"/>
      <c r="L14" s="177"/>
      <c r="M14" s="177"/>
      <c r="N14" s="177"/>
      <c r="O14" s="177"/>
      <c r="P14" s="177"/>
      <c r="Q14" s="180"/>
    </row>
    <row r="15" spans="1:17" ht="15.75">
      <c r="B15" s="588" t="s">
        <v>505</v>
      </c>
    </row>
    <row r="16" spans="1:17" ht="15.75">
      <c r="B16" s="588"/>
    </row>
    <row r="17" spans="2:21" s="668" customFormat="1" ht="20.45" customHeight="1">
      <c r="B17" s="666" t="s">
        <v>665</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29" t="s">
        <v>719</v>
      </c>
      <c r="C18" s="829"/>
      <c r="D18" s="829"/>
      <c r="E18" s="829"/>
      <c r="F18" s="829"/>
      <c r="G18" s="829"/>
      <c r="H18" s="829"/>
      <c r="I18" s="829"/>
      <c r="J18" s="829"/>
      <c r="K18" s="829"/>
      <c r="L18" s="829"/>
      <c r="M18" s="829"/>
      <c r="N18" s="829"/>
      <c r="O18" s="829"/>
      <c r="P18" s="829"/>
      <c r="Q18" s="829"/>
      <c r="R18" s="829"/>
      <c r="S18" s="829"/>
      <c r="T18" s="829"/>
      <c r="U18" s="829"/>
    </row>
    <row r="21" spans="2:21" ht="21">
      <c r="B21" s="744" t="s">
        <v>703</v>
      </c>
    </row>
    <row r="23" spans="2:21" ht="21">
      <c r="B23" s="744" t="s">
        <v>704</v>
      </c>
      <c r="C23" s="745"/>
      <c r="E23" s="745"/>
      <c r="F23" s="745"/>
      <c r="H23" s="744" t="s">
        <v>705</v>
      </c>
    </row>
    <row r="24" spans="2:21" ht="18.600000000000001" customHeight="1">
      <c r="B24" s="828" t="s">
        <v>681</v>
      </c>
      <c r="C24" s="828"/>
      <c r="D24" s="828"/>
      <c r="E24" s="828"/>
      <c r="F24" s="828"/>
      <c r="H24" s="12" t="s">
        <v>689</v>
      </c>
      <c r="M24" s="12" t="s">
        <v>690</v>
      </c>
    </row>
    <row r="25" spans="2:21" ht="45">
      <c r="B25" s="741" t="s">
        <v>62</v>
      </c>
      <c r="C25" s="741" t="s">
        <v>682</v>
      </c>
      <c r="D25" s="741" t="s">
        <v>683</v>
      </c>
      <c r="E25" s="741" t="s">
        <v>685</v>
      </c>
      <c r="F25" s="741" t="s">
        <v>684</v>
      </c>
      <c r="H25" s="741" t="s">
        <v>686</v>
      </c>
      <c r="I25" s="741" t="s">
        <v>687</v>
      </c>
      <c r="J25" s="741" t="s">
        <v>688</v>
      </c>
      <c r="K25" s="741" t="s">
        <v>682</v>
      </c>
      <c r="M25" s="741" t="s">
        <v>686</v>
      </c>
      <c r="N25" s="741" t="s">
        <v>687</v>
      </c>
      <c r="O25" s="741" t="s">
        <v>688</v>
      </c>
      <c r="P25" s="741" t="s">
        <v>682</v>
      </c>
    </row>
    <row r="26" spans="2:21" ht="18">
      <c r="B26" s="748"/>
      <c r="C26" s="748" t="s">
        <v>693</v>
      </c>
      <c r="D26" s="748" t="s">
        <v>694</v>
      </c>
      <c r="E26" s="748" t="s">
        <v>695</v>
      </c>
      <c r="F26" s="748" t="s">
        <v>696</v>
      </c>
      <c r="H26" s="748"/>
      <c r="I26" s="748" t="s">
        <v>697</v>
      </c>
      <c r="J26" s="748" t="s">
        <v>698</v>
      </c>
      <c r="K26" s="748" t="s">
        <v>699</v>
      </c>
      <c r="M26" s="748"/>
      <c r="N26" s="748" t="s">
        <v>700</v>
      </c>
      <c r="O26" s="748" t="s">
        <v>701</v>
      </c>
      <c r="P26" s="748" t="s">
        <v>702</v>
      </c>
    </row>
    <row r="27" spans="2:21" ht="15.6" customHeight="1">
      <c r="B27" s="743" t="s">
        <v>707</v>
      </c>
      <c r="C27" s="751">
        <f>K49</f>
        <v>0</v>
      </c>
      <c r="D27" s="749"/>
      <c r="E27" s="742"/>
      <c r="F27" s="742"/>
      <c r="H27" s="742"/>
      <c r="I27" s="742"/>
      <c r="J27" s="742"/>
      <c r="K27" s="742">
        <f>I27*J27</f>
        <v>0</v>
      </c>
      <c r="M27" s="742"/>
      <c r="N27" s="742"/>
      <c r="O27" s="742"/>
      <c r="P27" s="742">
        <f>N27*O27</f>
        <v>0</v>
      </c>
    </row>
    <row r="28" spans="2:21" ht="15.6" customHeight="1">
      <c r="B28" s="743" t="s">
        <v>708</v>
      </c>
      <c r="C28" s="752">
        <f>P49</f>
        <v>0</v>
      </c>
      <c r="D28" s="753">
        <f>C28-C27</f>
        <v>0</v>
      </c>
      <c r="E28" s="742"/>
      <c r="F28" s="750">
        <f>D28*E28</f>
        <v>0</v>
      </c>
      <c r="H28" s="742"/>
      <c r="I28" s="742"/>
      <c r="J28" s="742"/>
      <c r="K28" s="742"/>
      <c r="M28" s="742"/>
      <c r="N28" s="742"/>
      <c r="O28" s="742"/>
      <c r="P28" s="742"/>
    </row>
    <row r="29" spans="2:21" ht="15.6" customHeight="1">
      <c r="B29" s="743" t="s">
        <v>709</v>
      </c>
      <c r="C29" s="742"/>
      <c r="D29" s="742"/>
      <c r="E29" s="742"/>
      <c r="F29" s="742"/>
      <c r="H29" s="742"/>
      <c r="I29" s="742"/>
      <c r="J29" s="742"/>
      <c r="K29" s="742"/>
      <c r="M29" s="742"/>
      <c r="N29" s="742"/>
      <c r="O29" s="742"/>
      <c r="P29" s="742"/>
    </row>
    <row r="30" spans="2:21" ht="15.6" customHeight="1">
      <c r="B30" s="743" t="s">
        <v>710</v>
      </c>
      <c r="C30" s="742"/>
      <c r="D30" s="742"/>
      <c r="E30" s="742"/>
      <c r="F30" s="742"/>
      <c r="H30" s="742"/>
      <c r="I30" s="742"/>
      <c r="J30" s="742"/>
      <c r="K30" s="742"/>
      <c r="M30" s="742"/>
      <c r="N30" s="742"/>
      <c r="O30" s="742"/>
      <c r="P30" s="742"/>
    </row>
    <row r="31" spans="2:21" ht="15.6" customHeight="1">
      <c r="B31" s="743" t="s">
        <v>711</v>
      </c>
      <c r="C31" s="742"/>
      <c r="D31" s="742"/>
      <c r="E31" s="742"/>
      <c r="F31" s="742"/>
      <c r="H31" s="742"/>
      <c r="I31" s="742"/>
      <c r="J31" s="742"/>
      <c r="K31" s="742"/>
      <c r="M31" s="742"/>
      <c r="N31" s="742"/>
      <c r="O31" s="742"/>
      <c r="P31" s="742"/>
    </row>
    <row r="32" spans="2:21" ht="15.6" customHeight="1">
      <c r="B32" s="743" t="s">
        <v>712</v>
      </c>
      <c r="C32" s="742"/>
      <c r="D32" s="742"/>
      <c r="E32" s="742"/>
      <c r="F32" s="742"/>
      <c r="H32" s="742"/>
      <c r="I32" s="742"/>
      <c r="J32" s="742"/>
      <c r="K32" s="742"/>
      <c r="M32" s="742"/>
      <c r="N32" s="742"/>
      <c r="O32" s="742"/>
      <c r="P32" s="742"/>
    </row>
    <row r="33" spans="2:16" ht="15.6" customHeight="1">
      <c r="B33" s="743" t="s">
        <v>713</v>
      </c>
      <c r="C33" s="742"/>
      <c r="D33" s="742"/>
      <c r="E33" s="742"/>
      <c r="F33" s="742"/>
      <c r="H33" s="742"/>
      <c r="I33" s="742"/>
      <c r="J33" s="742"/>
      <c r="K33" s="742"/>
      <c r="M33" s="742"/>
      <c r="N33" s="742"/>
      <c r="O33" s="742"/>
      <c r="P33" s="742"/>
    </row>
    <row r="34" spans="2:16" ht="15.6" customHeight="1">
      <c r="B34" s="743" t="s">
        <v>714</v>
      </c>
      <c r="C34" s="742"/>
      <c r="D34" s="742"/>
      <c r="E34" s="742"/>
      <c r="F34" s="742"/>
      <c r="H34" s="742"/>
      <c r="I34" s="742"/>
      <c r="J34" s="742"/>
      <c r="K34" s="742"/>
      <c r="M34" s="742"/>
      <c r="N34" s="742"/>
      <c r="O34" s="742"/>
      <c r="P34" s="742"/>
    </row>
    <row r="35" spans="2:16" ht="15.6" customHeight="1">
      <c r="B35" s="743" t="s">
        <v>715</v>
      </c>
      <c r="C35" s="742"/>
      <c r="D35" s="742"/>
      <c r="E35" s="742"/>
      <c r="F35" s="742"/>
      <c r="H35" s="742"/>
      <c r="I35" s="742"/>
      <c r="J35" s="742"/>
      <c r="K35" s="742"/>
      <c r="M35" s="742"/>
      <c r="N35" s="742"/>
      <c r="O35" s="742"/>
      <c r="P35" s="742"/>
    </row>
    <row r="36" spans="2:16" ht="15.6" customHeight="1">
      <c r="B36" s="743" t="s">
        <v>716</v>
      </c>
      <c r="C36" s="742"/>
      <c r="D36" s="742"/>
      <c r="E36" s="742"/>
      <c r="F36" s="742"/>
      <c r="H36" s="742"/>
      <c r="I36" s="742"/>
      <c r="J36" s="742"/>
      <c r="K36" s="742"/>
      <c r="M36" s="742"/>
      <c r="N36" s="742"/>
      <c r="O36" s="742"/>
      <c r="P36" s="742"/>
    </row>
    <row r="37" spans="2:16" ht="15.6" customHeight="1">
      <c r="B37" s="743" t="s">
        <v>717</v>
      </c>
      <c r="C37" s="742"/>
      <c r="D37" s="742"/>
      <c r="E37" s="742"/>
      <c r="F37" s="742"/>
      <c r="H37" s="742"/>
      <c r="I37" s="742"/>
      <c r="J37" s="742"/>
      <c r="K37" s="742"/>
      <c r="M37" s="742"/>
      <c r="N37" s="742"/>
      <c r="O37" s="742"/>
      <c r="P37" s="742"/>
    </row>
    <row r="38" spans="2:16" ht="15.6" customHeight="1">
      <c r="B38" s="743" t="s">
        <v>718</v>
      </c>
      <c r="C38" s="742"/>
      <c r="D38" s="742"/>
      <c r="E38" s="742"/>
      <c r="F38" s="742"/>
      <c r="H38" s="742"/>
      <c r="I38" s="742"/>
      <c r="J38" s="742"/>
      <c r="K38" s="742"/>
      <c r="M38" s="742"/>
      <c r="N38" s="742"/>
      <c r="O38" s="742"/>
      <c r="P38" s="742"/>
    </row>
    <row r="39" spans="2:16" ht="16.149999999999999" customHeight="1">
      <c r="B39" s="754" t="s">
        <v>26</v>
      </c>
      <c r="C39" s="755"/>
      <c r="D39" s="755"/>
      <c r="E39" s="755"/>
      <c r="F39" s="756">
        <f>SUM(F28:F38)</f>
        <v>0</v>
      </c>
      <c r="H39" s="742"/>
      <c r="I39" s="742"/>
      <c r="J39" s="742"/>
      <c r="K39" s="742"/>
      <c r="M39" s="742"/>
      <c r="N39" s="742"/>
      <c r="O39" s="742"/>
      <c r="P39" s="742"/>
    </row>
    <row r="40" spans="2:16">
      <c r="B40" s="743" t="s">
        <v>706</v>
      </c>
      <c r="C40" s="742"/>
      <c r="D40" s="742"/>
      <c r="E40" s="742"/>
      <c r="F40" s="742"/>
      <c r="H40" s="742"/>
      <c r="I40" s="742"/>
      <c r="J40" s="742"/>
      <c r="K40" s="742"/>
      <c r="M40" s="742"/>
      <c r="N40" s="742"/>
      <c r="O40" s="742"/>
      <c r="P40" s="742"/>
    </row>
    <row r="41" spans="2:16">
      <c r="B41" s="743" t="s">
        <v>706</v>
      </c>
      <c r="C41" s="742"/>
      <c r="D41" s="742"/>
      <c r="E41" s="742"/>
      <c r="F41" s="742"/>
      <c r="H41" s="742"/>
      <c r="I41" s="742"/>
      <c r="J41" s="742"/>
      <c r="K41" s="742"/>
      <c r="M41" s="742"/>
      <c r="N41" s="742"/>
      <c r="O41" s="742"/>
      <c r="P41" s="742"/>
    </row>
    <row r="42" spans="2:16">
      <c r="B42" s="743" t="s">
        <v>706</v>
      </c>
      <c r="C42" s="742"/>
      <c r="D42" s="742"/>
      <c r="E42" s="742"/>
      <c r="F42" s="742"/>
      <c r="H42" s="742"/>
      <c r="I42" s="742"/>
      <c r="J42" s="742"/>
      <c r="K42" s="742"/>
      <c r="M42" s="742"/>
      <c r="N42" s="742"/>
      <c r="O42" s="742"/>
      <c r="P42" s="742"/>
    </row>
    <row r="43" spans="2:16">
      <c r="B43" s="743" t="s">
        <v>706</v>
      </c>
      <c r="C43" s="742"/>
      <c r="D43" s="742"/>
      <c r="E43" s="742"/>
      <c r="F43" s="742"/>
      <c r="H43" s="742"/>
      <c r="I43" s="742"/>
      <c r="J43" s="742"/>
      <c r="K43" s="742"/>
      <c r="M43" s="742"/>
      <c r="N43" s="742"/>
      <c r="O43" s="742"/>
      <c r="P43" s="742"/>
    </row>
    <row r="44" spans="2:16">
      <c r="H44" s="742"/>
      <c r="I44" s="742"/>
      <c r="J44" s="742"/>
      <c r="K44" s="742"/>
      <c r="M44" s="742"/>
      <c r="N44" s="742"/>
      <c r="O44" s="742"/>
      <c r="P44" s="742"/>
    </row>
    <row r="45" spans="2:16">
      <c r="H45" s="742"/>
      <c r="I45" s="742"/>
      <c r="J45" s="742"/>
      <c r="K45" s="742"/>
      <c r="M45" s="742"/>
      <c r="N45" s="742"/>
      <c r="O45" s="742"/>
      <c r="P45" s="742"/>
    </row>
    <row r="46" spans="2:16">
      <c r="H46" s="742"/>
      <c r="I46" s="742"/>
      <c r="J46" s="742"/>
      <c r="K46" s="742"/>
      <c r="M46" s="742"/>
      <c r="N46" s="742"/>
      <c r="O46" s="742"/>
      <c r="P46" s="742"/>
    </row>
    <row r="47" spans="2:16">
      <c r="H47" s="742"/>
      <c r="I47" s="742"/>
      <c r="J47" s="742"/>
      <c r="K47" s="742"/>
      <c r="M47" s="742"/>
      <c r="N47" s="742"/>
      <c r="O47" s="742"/>
      <c r="P47" s="742"/>
    </row>
    <row r="48" spans="2:16">
      <c r="H48" s="742"/>
      <c r="I48" s="742"/>
      <c r="J48" s="742"/>
      <c r="K48" s="742"/>
      <c r="M48" s="742"/>
      <c r="N48" s="742"/>
      <c r="O48" s="742"/>
      <c r="P48" s="742"/>
    </row>
    <row r="49" spans="8:16">
      <c r="H49" s="754" t="s">
        <v>26</v>
      </c>
      <c r="I49" s="755"/>
      <c r="J49" s="755"/>
      <c r="K49" s="751">
        <f>SUM(K27:K48)</f>
        <v>0</v>
      </c>
      <c r="M49" s="754" t="s">
        <v>26</v>
      </c>
      <c r="N49" s="755"/>
      <c r="O49" s="755"/>
      <c r="P49" s="752">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53" activePane="bottomLeft" state="frozen"/>
      <selection pane="bottomLeft" activeCell="M24" sqref="M24"/>
    </sheetView>
  </sheetViews>
  <sheetFormatPr defaultColWidth="9.140625" defaultRowHeight="15"/>
  <cols>
    <col min="1" max="1" width="9.140625" style="12"/>
    <col min="2" max="2" width="36.85546875" style="704" customWidth="1"/>
    <col min="3" max="3" width="9.140625" style="10"/>
    <col min="4" max="16384" width="9.140625" style="12"/>
  </cols>
  <sheetData>
    <row r="16" spans="2:21" ht="26.25" customHeight="1">
      <c r="B16" s="705" t="s">
        <v>561</v>
      </c>
      <c r="C16" s="768" t="s">
        <v>505</v>
      </c>
      <c r="D16" s="769"/>
      <c r="E16" s="769"/>
      <c r="F16" s="769"/>
      <c r="G16" s="769"/>
      <c r="H16" s="769"/>
      <c r="I16" s="769"/>
      <c r="J16" s="769"/>
      <c r="K16" s="769"/>
      <c r="L16" s="769"/>
      <c r="M16" s="769"/>
      <c r="N16" s="769"/>
      <c r="O16" s="769"/>
      <c r="P16" s="769"/>
      <c r="Q16" s="769"/>
      <c r="R16" s="769"/>
      <c r="S16" s="769"/>
      <c r="T16" s="769"/>
      <c r="U16" s="769"/>
    </row>
    <row r="17" spans="2:21" ht="55.5" customHeight="1">
      <c r="B17" s="706" t="s">
        <v>635</v>
      </c>
      <c r="C17" s="770" t="s">
        <v>720</v>
      </c>
      <c r="D17" s="770"/>
      <c r="E17" s="770"/>
      <c r="F17" s="770"/>
      <c r="G17" s="770"/>
      <c r="H17" s="770"/>
      <c r="I17" s="770"/>
      <c r="J17" s="770"/>
      <c r="K17" s="770"/>
      <c r="L17" s="770"/>
      <c r="M17" s="770"/>
      <c r="N17" s="770"/>
      <c r="O17" s="770"/>
      <c r="P17" s="770"/>
      <c r="Q17" s="770"/>
      <c r="R17" s="770"/>
      <c r="S17" s="770"/>
      <c r="T17" s="770"/>
      <c r="U17" s="771"/>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639</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636</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64" t="s">
        <v>637</v>
      </c>
      <c r="D23" s="764"/>
      <c r="E23" s="764"/>
      <c r="F23" s="764"/>
      <c r="G23" s="764"/>
      <c r="H23" s="764"/>
      <c r="I23" s="764"/>
      <c r="J23" s="764"/>
      <c r="K23" s="764"/>
      <c r="L23" s="764"/>
      <c r="M23" s="764"/>
      <c r="N23" s="764"/>
      <c r="O23" s="764"/>
      <c r="P23" s="764"/>
      <c r="Q23" s="764"/>
      <c r="R23" s="764"/>
      <c r="S23" s="764"/>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640</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64" t="s">
        <v>638</v>
      </c>
      <c r="D27" s="764"/>
      <c r="E27" s="764"/>
      <c r="F27" s="764"/>
      <c r="G27" s="764"/>
      <c r="H27" s="764"/>
      <c r="I27" s="764"/>
      <c r="J27" s="764"/>
      <c r="K27" s="764"/>
      <c r="L27" s="764"/>
      <c r="M27" s="764"/>
      <c r="N27" s="764"/>
      <c r="O27" s="764"/>
      <c r="P27" s="764"/>
      <c r="Q27" s="764"/>
      <c r="R27" s="764"/>
      <c r="S27" s="764"/>
      <c r="T27" s="764"/>
      <c r="U27" s="765"/>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64" t="s">
        <v>641</v>
      </c>
      <c r="D29" s="764"/>
      <c r="E29" s="764"/>
      <c r="F29" s="764"/>
      <c r="G29" s="764"/>
      <c r="H29" s="764"/>
      <c r="I29" s="764"/>
      <c r="J29" s="764"/>
      <c r="K29" s="764"/>
      <c r="L29" s="764"/>
      <c r="M29" s="764"/>
      <c r="N29" s="764"/>
      <c r="O29" s="764"/>
      <c r="P29" s="764"/>
      <c r="Q29" s="764"/>
      <c r="R29" s="764"/>
      <c r="S29" s="764"/>
      <c r="T29" s="764"/>
      <c r="U29" s="765"/>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642</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643</v>
      </c>
      <c r="C33" s="772" t="s">
        <v>644</v>
      </c>
      <c r="D33" s="772"/>
      <c r="E33" s="772"/>
      <c r="F33" s="772"/>
      <c r="G33" s="772"/>
      <c r="H33" s="772"/>
      <c r="I33" s="772"/>
      <c r="J33" s="772"/>
      <c r="K33" s="772"/>
      <c r="L33" s="772"/>
      <c r="M33" s="772"/>
      <c r="N33" s="772"/>
      <c r="O33" s="772"/>
      <c r="P33" s="772"/>
      <c r="Q33" s="772"/>
      <c r="R33" s="772"/>
      <c r="S33" s="772"/>
      <c r="T33" s="772"/>
      <c r="U33" s="773"/>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645</v>
      </c>
      <c r="C35" s="720" t="s">
        <v>646</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647</v>
      </c>
      <c r="C37" s="766" t="s">
        <v>648</v>
      </c>
      <c r="D37" s="766"/>
      <c r="E37" s="766"/>
      <c r="F37" s="766"/>
      <c r="G37" s="766"/>
      <c r="H37" s="766"/>
      <c r="I37" s="766"/>
      <c r="J37" s="766"/>
      <c r="K37" s="766"/>
      <c r="L37" s="766"/>
      <c r="M37" s="766"/>
      <c r="N37" s="766"/>
      <c r="O37" s="766"/>
      <c r="P37" s="766"/>
      <c r="Q37" s="766"/>
      <c r="R37" s="766"/>
      <c r="S37" s="766"/>
      <c r="T37" s="766"/>
      <c r="U37" s="767"/>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649</v>
      </c>
      <c r="C39" s="722" t="s">
        <v>650</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651</v>
      </c>
      <c r="C41" s="774" t="s">
        <v>652</v>
      </c>
      <c r="D41" s="774"/>
      <c r="E41" s="774"/>
      <c r="F41" s="774"/>
      <c r="G41" s="774"/>
      <c r="H41" s="774"/>
      <c r="I41" s="774"/>
      <c r="J41" s="774"/>
      <c r="K41" s="774"/>
      <c r="L41" s="774"/>
      <c r="M41" s="774"/>
      <c r="N41" s="774"/>
      <c r="O41" s="774"/>
      <c r="P41" s="774"/>
      <c r="Q41" s="774"/>
      <c r="R41" s="774"/>
      <c r="S41" s="774"/>
      <c r="T41" s="774"/>
      <c r="U41" s="775"/>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653</v>
      </c>
      <c r="C43" s="720" t="s">
        <v>654</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762" t="s">
        <v>670</v>
      </c>
      <c r="D45" s="762"/>
      <c r="E45" s="762"/>
      <c r="F45" s="762"/>
      <c r="G45" s="762"/>
      <c r="H45" s="762"/>
      <c r="I45" s="762"/>
      <c r="J45" s="762"/>
      <c r="K45" s="762"/>
      <c r="L45" s="762"/>
      <c r="M45" s="762"/>
      <c r="N45" s="762"/>
      <c r="O45" s="762"/>
      <c r="P45" s="762"/>
      <c r="Q45" s="762"/>
      <c r="R45" s="762"/>
      <c r="S45" s="762"/>
      <c r="T45" s="762"/>
      <c r="U45" s="763"/>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762" t="s">
        <v>655</v>
      </c>
      <c r="D47" s="762"/>
      <c r="E47" s="762"/>
      <c r="F47" s="762"/>
      <c r="G47" s="762"/>
      <c r="H47" s="762"/>
      <c r="I47" s="762"/>
      <c r="J47" s="762"/>
      <c r="K47" s="762"/>
      <c r="L47" s="762"/>
      <c r="M47" s="762"/>
      <c r="N47" s="762"/>
      <c r="O47" s="762"/>
      <c r="P47" s="762"/>
      <c r="Q47" s="762"/>
      <c r="R47" s="762"/>
      <c r="S47" s="762"/>
      <c r="T47" s="762"/>
      <c r="U47" s="763"/>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762" t="s">
        <v>656</v>
      </c>
      <c r="D49" s="762"/>
      <c r="E49" s="762"/>
      <c r="F49" s="762"/>
      <c r="G49" s="762"/>
      <c r="H49" s="762"/>
      <c r="I49" s="762"/>
      <c r="J49" s="762"/>
      <c r="K49" s="762"/>
      <c r="L49" s="762"/>
      <c r="M49" s="762"/>
      <c r="N49" s="762"/>
      <c r="O49" s="762"/>
      <c r="P49" s="762"/>
      <c r="Q49" s="762"/>
      <c r="R49" s="762"/>
      <c r="S49" s="762"/>
      <c r="T49" s="762"/>
      <c r="U49" s="763"/>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762" t="s">
        <v>657</v>
      </c>
      <c r="D51" s="762"/>
      <c r="E51" s="762"/>
      <c r="F51" s="762"/>
      <c r="G51" s="762"/>
      <c r="H51" s="762"/>
      <c r="I51" s="762"/>
      <c r="J51" s="762"/>
      <c r="K51" s="762"/>
      <c r="L51" s="762"/>
      <c r="M51" s="762"/>
      <c r="N51" s="762"/>
      <c r="O51" s="762"/>
      <c r="P51" s="762"/>
      <c r="Q51" s="762"/>
      <c r="R51" s="762"/>
      <c r="S51" s="762"/>
      <c r="T51" s="762"/>
      <c r="U51" s="763"/>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764" t="s">
        <v>669</v>
      </c>
      <c r="D53" s="764"/>
      <c r="E53" s="764"/>
      <c r="F53" s="764"/>
      <c r="G53" s="764"/>
      <c r="H53" s="764"/>
      <c r="I53" s="764"/>
      <c r="J53" s="764"/>
      <c r="K53" s="764"/>
      <c r="L53" s="764"/>
      <c r="M53" s="764"/>
      <c r="N53" s="764"/>
      <c r="O53" s="764"/>
      <c r="P53" s="764"/>
      <c r="Q53" s="764"/>
      <c r="R53" s="764"/>
      <c r="S53" s="764"/>
      <c r="T53" s="764"/>
      <c r="U53" s="765"/>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658</v>
      </c>
      <c r="C55" s="766" t="s">
        <v>659</v>
      </c>
      <c r="D55" s="766"/>
      <c r="E55" s="766"/>
      <c r="F55" s="766"/>
      <c r="G55" s="766"/>
      <c r="H55" s="766"/>
      <c r="I55" s="766"/>
      <c r="J55" s="766"/>
      <c r="K55" s="766"/>
      <c r="L55" s="766"/>
      <c r="M55" s="766"/>
      <c r="N55" s="766"/>
      <c r="O55" s="766"/>
      <c r="P55" s="766"/>
      <c r="Q55" s="766"/>
      <c r="R55" s="766"/>
      <c r="S55" s="766"/>
      <c r="T55" s="766"/>
      <c r="U55" s="767"/>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660</v>
      </c>
      <c r="C57" s="766" t="s">
        <v>661</v>
      </c>
      <c r="D57" s="766"/>
      <c r="E57" s="766"/>
      <c r="F57" s="766"/>
      <c r="G57" s="766"/>
      <c r="H57" s="766"/>
      <c r="I57" s="766"/>
      <c r="J57" s="766"/>
      <c r="K57" s="766"/>
      <c r="L57" s="766"/>
      <c r="M57" s="766"/>
      <c r="N57" s="766"/>
      <c r="O57" s="766"/>
      <c r="P57" s="766"/>
      <c r="Q57" s="766"/>
      <c r="R57" s="766"/>
      <c r="S57" s="766"/>
      <c r="T57" s="766"/>
      <c r="U57" s="767"/>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662</v>
      </c>
      <c r="C59" s="727" t="s">
        <v>663</v>
      </c>
      <c r="D59" s="728"/>
      <c r="E59" s="728"/>
      <c r="F59" s="728"/>
      <c r="G59" s="728"/>
      <c r="H59" s="728"/>
      <c r="I59" s="728"/>
      <c r="J59" s="728"/>
      <c r="K59" s="728"/>
      <c r="L59" s="728"/>
      <c r="M59" s="728"/>
      <c r="N59" s="728"/>
      <c r="O59" s="728"/>
      <c r="P59" s="728"/>
      <c r="Q59" s="728"/>
      <c r="R59" s="728"/>
      <c r="S59" s="728"/>
      <c r="T59" s="728"/>
      <c r="U59" s="729"/>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16" zoomScale="80" zoomScaleNormal="80" workbookViewId="0">
      <selection activeCell="C19" sqref="C19"/>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77" t="s">
        <v>692</v>
      </c>
      <c r="C3" s="778"/>
      <c r="D3" s="778"/>
      <c r="E3" s="778"/>
      <c r="F3" s="779"/>
      <c r="G3" s="122"/>
    </row>
    <row r="4" spans="2:20" ht="16.5" customHeight="1">
      <c r="B4" s="780"/>
      <c r="C4" s="781"/>
      <c r="D4" s="781"/>
      <c r="E4" s="781"/>
      <c r="F4" s="782"/>
      <c r="G4" s="122"/>
    </row>
    <row r="5" spans="2:20" ht="71.25" customHeight="1">
      <c r="B5" s="780"/>
      <c r="C5" s="781"/>
      <c r="D5" s="781"/>
      <c r="E5" s="781"/>
      <c r="F5" s="782"/>
      <c r="G5" s="122"/>
    </row>
    <row r="6" spans="2:20" ht="21.75" customHeight="1">
      <c r="B6" s="783"/>
      <c r="C6" s="784"/>
      <c r="D6" s="784"/>
      <c r="E6" s="784"/>
      <c r="F6" s="785"/>
      <c r="G6" s="122"/>
    </row>
    <row r="8" spans="2:20" ht="21">
      <c r="B8" s="776" t="s">
        <v>481</v>
      </c>
      <c r="C8" s="776"/>
      <c r="D8" s="776"/>
      <c r="E8" s="776"/>
      <c r="F8" s="776"/>
      <c r="G8" s="776"/>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589</v>
      </c>
      <c r="G12" s="28"/>
      <c r="L12" s="33"/>
      <c r="M12" s="33"/>
      <c r="N12" s="33"/>
      <c r="O12" s="33"/>
      <c r="P12" s="33"/>
      <c r="Q12" s="68"/>
      <c r="S12" s="8"/>
      <c r="T12" s="8"/>
    </row>
    <row r="13" spans="2:20" s="9" customFormat="1" ht="26.25" customHeight="1" thickBot="1">
      <c r="B13" s="102"/>
      <c r="C13" s="124" t="s">
        <v>628</v>
      </c>
      <c r="G13" s="109"/>
      <c r="L13" s="33"/>
      <c r="M13" s="33"/>
      <c r="N13" s="33"/>
      <c r="O13" s="33"/>
      <c r="P13" s="33"/>
      <c r="Q13" s="68"/>
      <c r="S13" s="8"/>
      <c r="T13" s="8"/>
    </row>
    <row r="14" spans="2:20" s="9" customFormat="1" ht="26.25" customHeight="1" thickBot="1">
      <c r="B14" s="102"/>
      <c r="C14" s="172" t="s">
        <v>623</v>
      </c>
      <c r="G14" s="123"/>
      <c r="L14" s="33"/>
      <c r="M14" s="33"/>
      <c r="N14" s="33"/>
      <c r="O14" s="33"/>
      <c r="P14" s="33"/>
      <c r="Q14" s="68"/>
      <c r="S14" s="8"/>
      <c r="T14" s="8"/>
    </row>
    <row r="15" spans="2:20" s="9" customFormat="1" ht="26.25" customHeight="1" thickBot="1">
      <c r="B15" s="102"/>
      <c r="C15" s="172" t="s">
        <v>624</v>
      </c>
      <c r="G15" s="123"/>
      <c r="L15" s="33"/>
      <c r="M15" s="33"/>
      <c r="N15" s="33"/>
      <c r="O15" s="33"/>
      <c r="P15" s="33"/>
      <c r="Q15" s="68"/>
      <c r="S15" s="8"/>
      <c r="T15" s="8"/>
    </row>
    <row r="16" spans="2:20" s="9" customFormat="1" ht="26.25" customHeight="1" thickBot="1">
      <c r="B16" s="102"/>
      <c r="C16" s="172" t="s">
        <v>625</v>
      </c>
      <c r="G16" s="123"/>
      <c r="L16" s="33"/>
      <c r="M16" s="33"/>
      <c r="N16" s="33"/>
      <c r="O16" s="33"/>
      <c r="P16" s="33"/>
      <c r="Q16" s="68"/>
      <c r="S16" s="8"/>
      <c r="T16" s="8"/>
    </row>
    <row r="17" spans="2:20" s="9" customFormat="1" ht="26.25" customHeight="1" thickBot="1">
      <c r="B17" s="102"/>
      <c r="C17" s="124" t="s">
        <v>626</v>
      </c>
      <c r="G17" s="109"/>
      <c r="L17" s="33"/>
      <c r="M17" s="33"/>
      <c r="N17" s="33"/>
      <c r="O17" s="33"/>
      <c r="P17" s="33"/>
      <c r="Q17" s="68"/>
      <c r="S17" s="8"/>
      <c r="T17" s="8"/>
    </row>
    <row r="18" spans="2:20" s="9" customFormat="1" ht="26.25" customHeight="1" thickBot="1">
      <c r="B18" s="102"/>
      <c r="C18" s="124" t="s">
        <v>627</v>
      </c>
      <c r="G18" s="123"/>
      <c r="L18" s="33"/>
      <c r="M18" s="33"/>
      <c r="N18" s="33"/>
      <c r="O18" s="33"/>
      <c r="P18" s="33"/>
      <c r="Q18" s="68"/>
      <c r="S18" s="8"/>
      <c r="T18" s="8"/>
    </row>
    <row r="19" spans="2:20" s="9" customFormat="1" ht="26.25" customHeight="1" thickBot="1">
      <c r="B19" s="102"/>
      <c r="C19" s="124" t="s">
        <v>629</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7" t="s">
        <v>543</v>
      </c>
      <c r="C22" s="653" t="s">
        <v>437</v>
      </c>
      <c r="D22" s="656" t="s">
        <v>443</v>
      </c>
      <c r="E22" s="660" t="s">
        <v>588</v>
      </c>
      <c r="F22" s="656" t="s">
        <v>448</v>
      </c>
      <c r="G22" s="174"/>
      <c r="M22" s="645"/>
      <c r="T22" s="645"/>
    </row>
    <row r="23" spans="2:20" s="103" customFormat="1" ht="35.25" customHeight="1">
      <c r="B23" s="648" t="s">
        <v>458</v>
      </c>
      <c r="C23" s="654" t="s">
        <v>438</v>
      </c>
      <c r="D23" s="657" t="s">
        <v>444</v>
      </c>
      <c r="E23" s="661" t="s">
        <v>588</v>
      </c>
      <c r="F23" s="657" t="s">
        <v>448</v>
      </c>
      <c r="G23" s="174"/>
      <c r="M23" s="645"/>
      <c r="T23" s="645"/>
    </row>
    <row r="24" spans="2:20" s="103" customFormat="1" ht="34.5" customHeight="1">
      <c r="B24" s="648" t="s">
        <v>455</v>
      </c>
      <c r="C24" s="654" t="s">
        <v>438</v>
      </c>
      <c r="D24" s="657" t="s">
        <v>445</v>
      </c>
      <c r="E24" s="661" t="s">
        <v>588</v>
      </c>
      <c r="F24" s="657" t="s">
        <v>448</v>
      </c>
      <c r="G24" s="174"/>
      <c r="M24" s="645"/>
      <c r="T24" s="645"/>
    </row>
    <row r="25" spans="2:20" s="103" customFormat="1" ht="32.25" customHeight="1">
      <c r="B25" s="649" t="s">
        <v>456</v>
      </c>
      <c r="C25" s="654" t="s">
        <v>437</v>
      </c>
      <c r="D25" s="657" t="s">
        <v>446</v>
      </c>
      <c r="E25" s="662" t="s">
        <v>607</v>
      </c>
      <c r="F25" s="665"/>
      <c r="G25" s="174"/>
      <c r="M25" s="645"/>
      <c r="T25" s="645"/>
    </row>
    <row r="26" spans="2:20" s="103" customFormat="1" ht="30.75" customHeight="1">
      <c r="B26" s="650" t="s">
        <v>541</v>
      </c>
      <c r="C26" s="654" t="s">
        <v>437</v>
      </c>
      <c r="D26" s="657"/>
      <c r="E26" s="662"/>
      <c r="F26" s="665"/>
      <c r="G26" s="174"/>
      <c r="M26" s="645"/>
      <c r="T26" s="645"/>
    </row>
    <row r="27" spans="2:20" s="103" customFormat="1" ht="32.25" customHeight="1">
      <c r="B27" s="651" t="s">
        <v>542</v>
      </c>
      <c r="C27" s="654" t="s">
        <v>437</v>
      </c>
      <c r="D27" s="658" t="s">
        <v>538</v>
      </c>
      <c r="E27" s="662"/>
      <c r="F27" s="665"/>
      <c r="G27" s="174"/>
      <c r="M27" s="645"/>
      <c r="T27" s="645"/>
    </row>
    <row r="28" spans="2:20" s="103" customFormat="1" ht="27" customHeight="1">
      <c r="B28" s="649" t="s">
        <v>457</v>
      </c>
      <c r="C28" s="654" t="s">
        <v>440</v>
      </c>
      <c r="D28" s="657" t="s">
        <v>482</v>
      </c>
      <c r="E28" s="662" t="s">
        <v>459</v>
      </c>
      <c r="F28" s="665"/>
      <c r="G28" s="174"/>
      <c r="M28" s="645"/>
      <c r="T28" s="645"/>
    </row>
    <row r="29" spans="2:20" s="103" customFormat="1" ht="27" customHeight="1">
      <c r="B29" s="651" t="s">
        <v>452</v>
      </c>
      <c r="C29" s="654" t="s">
        <v>437</v>
      </c>
      <c r="D29" s="657"/>
      <c r="E29" s="662"/>
      <c r="F29" s="657" t="s">
        <v>407</v>
      </c>
      <c r="G29" s="174"/>
      <c r="M29" s="645"/>
      <c r="T29" s="645"/>
    </row>
    <row r="30" spans="2:20" s="103" customFormat="1" ht="32.25" customHeight="1">
      <c r="B30" s="649" t="s">
        <v>207</v>
      </c>
      <c r="C30" s="654" t="s">
        <v>442</v>
      </c>
      <c r="D30" s="657" t="s">
        <v>555</v>
      </c>
      <c r="E30" s="663"/>
      <c r="F30" s="657" t="s">
        <v>554</v>
      </c>
      <c r="G30" s="646"/>
      <c r="M30" s="645"/>
    </row>
    <row r="31" spans="2:20" s="103" customFormat="1" ht="27.75" customHeight="1">
      <c r="B31" s="652" t="s">
        <v>539</v>
      </c>
      <c r="C31" s="655" t="s">
        <v>441</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415</v>
      </c>
      <c r="E1" s="120" t="s">
        <v>450</v>
      </c>
      <c r="F1" s="120" t="s">
        <v>549</v>
      </c>
      <c r="G1" s="120" t="s">
        <v>571</v>
      </c>
      <c r="H1" s="120" t="s">
        <v>582</v>
      </c>
    </row>
    <row r="2" spans="1:8">
      <c r="A2" s="12" t="s">
        <v>29</v>
      </c>
      <c r="B2" s="12" t="s">
        <v>27</v>
      </c>
      <c r="C2" s="10">
        <v>2006</v>
      </c>
      <c r="D2" s="12" t="s">
        <v>416</v>
      </c>
      <c r="E2" s="10">
        <f>'2. LRAMVA Threshold'!D9</f>
        <v>2017</v>
      </c>
      <c r="F2" s="26" t="s">
        <v>170</v>
      </c>
      <c r="G2" s="12" t="s">
        <v>572</v>
      </c>
      <c r="H2" s="12" t="s">
        <v>590</v>
      </c>
    </row>
    <row r="3" spans="1:8">
      <c r="A3" s="12" t="s">
        <v>371</v>
      </c>
      <c r="B3" s="12" t="s">
        <v>27</v>
      </c>
      <c r="C3" s="10">
        <v>2007</v>
      </c>
      <c r="D3" s="12" t="s">
        <v>417</v>
      </c>
      <c r="E3" s="10">
        <f>'2. LRAMVA Threshold'!D24</f>
        <v>0</v>
      </c>
      <c r="F3" s="12" t="s">
        <v>550</v>
      </c>
      <c r="G3" s="12" t="s">
        <v>573</v>
      </c>
      <c r="H3" s="12" t="s">
        <v>583</v>
      </c>
    </row>
    <row r="4" spans="1:8">
      <c r="A4" s="12" t="s">
        <v>372</v>
      </c>
      <c r="B4" s="12" t="s">
        <v>28</v>
      </c>
      <c r="C4" s="10">
        <v>2008</v>
      </c>
      <c r="D4" s="12" t="s">
        <v>418</v>
      </c>
      <c r="F4" s="12" t="s">
        <v>169</v>
      </c>
      <c r="G4" s="12" t="s">
        <v>574</v>
      </c>
    </row>
    <row r="5" spans="1:8">
      <c r="A5" s="12" t="s">
        <v>373</v>
      </c>
      <c r="B5" s="12" t="s">
        <v>28</v>
      </c>
      <c r="C5" s="10">
        <v>2009</v>
      </c>
      <c r="F5" s="12" t="s">
        <v>368</v>
      </c>
      <c r="G5" s="12" t="s">
        <v>575</v>
      </c>
    </row>
    <row r="6" spans="1:8">
      <c r="A6" s="12" t="s">
        <v>374</v>
      </c>
      <c r="B6" s="12" t="s">
        <v>28</v>
      </c>
      <c r="C6" s="10">
        <v>2010</v>
      </c>
      <c r="F6" s="12" t="s">
        <v>369</v>
      </c>
      <c r="G6" s="12" t="s">
        <v>576</v>
      </c>
    </row>
    <row r="7" spans="1:8">
      <c r="A7" s="12" t="s">
        <v>375</v>
      </c>
      <c r="B7" s="12" t="s">
        <v>28</v>
      </c>
      <c r="C7" s="10">
        <v>2011</v>
      </c>
      <c r="F7" s="12" t="s">
        <v>370</v>
      </c>
      <c r="G7" s="12" t="s">
        <v>577</v>
      </c>
    </row>
    <row r="8" spans="1:8">
      <c r="A8" s="12" t="s">
        <v>376</v>
      </c>
      <c r="B8" s="12" t="s">
        <v>28</v>
      </c>
      <c r="C8" s="10">
        <v>2012</v>
      </c>
      <c r="F8" s="12" t="s">
        <v>558</v>
      </c>
      <c r="G8" s="12" t="s">
        <v>578</v>
      </c>
    </row>
    <row r="9" spans="1:8">
      <c r="A9" s="12" t="s">
        <v>377</v>
      </c>
      <c r="B9" s="12" t="s">
        <v>28</v>
      </c>
      <c r="C9" s="10">
        <v>2013</v>
      </c>
      <c r="G9" s="12" t="s">
        <v>579</v>
      </c>
    </row>
    <row r="10" spans="1:8">
      <c r="A10" s="12" t="s">
        <v>378</v>
      </c>
      <c r="B10" s="12" t="s">
        <v>28</v>
      </c>
      <c r="C10" s="10">
        <v>2014</v>
      </c>
      <c r="G10" s="12" t="s">
        <v>580</v>
      </c>
    </row>
    <row r="11" spans="1:8">
      <c r="A11" s="12" t="s">
        <v>379</v>
      </c>
      <c r="B11" s="12" t="s">
        <v>28</v>
      </c>
      <c r="C11" s="10">
        <v>2015</v>
      </c>
      <c r="G11" s="12" t="s">
        <v>581</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opLeftCell="A43" zoomScale="60" zoomScaleNormal="60" workbookViewId="0">
      <selection activeCell="F111" sqref="F111"/>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737</v>
      </c>
      <c r="D8" s="601"/>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727</v>
      </c>
      <c r="E14" s="130"/>
      <c r="F14" s="124" t="s">
        <v>548</v>
      </c>
      <c r="H14" s="542" t="s">
        <v>739</v>
      </c>
      <c r="J14" s="124" t="s">
        <v>515</v>
      </c>
      <c r="L14" s="132"/>
      <c r="N14" s="103"/>
      <c r="Q14" s="99"/>
      <c r="R14" s="96"/>
    </row>
    <row r="15" spans="2:22" ht="26.25" customHeight="1" thickBot="1">
      <c r="B15" s="124" t="s">
        <v>424</v>
      </c>
      <c r="C15" s="106"/>
      <c r="D15" s="542" t="s">
        <v>738</v>
      </c>
      <c r="F15" s="124" t="s">
        <v>414</v>
      </c>
      <c r="G15" s="127"/>
      <c r="H15" s="542" t="s">
        <v>740</v>
      </c>
      <c r="I15" s="17"/>
      <c r="J15" s="124" t="s">
        <v>516</v>
      </c>
      <c r="L15" s="132"/>
      <c r="M15" s="103"/>
      <c r="Q15" s="108"/>
      <c r="R15" s="96"/>
    </row>
    <row r="16" spans="2:22" ht="28.5" customHeight="1" thickBot="1">
      <c r="B16" s="124" t="s">
        <v>454</v>
      </c>
      <c r="C16" s="106"/>
      <c r="D16" s="543" t="s">
        <v>181</v>
      </c>
      <c r="E16" s="103"/>
      <c r="F16" s="124" t="s">
        <v>434</v>
      </c>
      <c r="G16" s="125"/>
      <c r="H16" s="543" t="s">
        <v>743</v>
      </c>
      <c r="I16" s="103"/>
      <c r="K16" s="195"/>
      <c r="L16" s="195"/>
      <c r="M16" s="195"/>
      <c r="N16" s="195"/>
      <c r="Q16" s="115"/>
      <c r="R16" s="96"/>
    </row>
    <row r="17" spans="1:21" ht="29.25" customHeight="1">
      <c r="B17" s="124" t="s">
        <v>421</v>
      </c>
      <c r="C17" s="106"/>
      <c r="D17" s="733">
        <v>65154</v>
      </c>
      <c r="E17" s="121"/>
      <c r="F17" s="740" t="s">
        <v>673</v>
      </c>
      <c r="G17" s="195"/>
      <c r="H17" s="734">
        <v>1</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435</v>
      </c>
      <c r="G19" s="603" t="s">
        <v>363</v>
      </c>
      <c r="H19" s="242">
        <f>SUM(R54,R57,R60,R63,R66,R69,R72,R75)</f>
        <v>47094.746092565911</v>
      </c>
      <c r="I19" s="17"/>
      <c r="J19" s="115"/>
      <c r="K19" s="115"/>
      <c r="L19" s="115"/>
      <c r="M19" s="115"/>
      <c r="N19" s="115"/>
      <c r="P19" s="115"/>
      <c r="Q19" s="115"/>
      <c r="R19" s="96"/>
    </row>
    <row r="20" spans="1:21" ht="27.75" customHeight="1" thickBot="1">
      <c r="E20" s="9"/>
      <c r="F20" s="124" t="s">
        <v>436</v>
      </c>
      <c r="G20" s="603" t="s">
        <v>364</v>
      </c>
      <c r="H20" s="131">
        <f>-SUM(R55,R58,R61,R64,R67,R70,R73,R76)</f>
        <v>30108.614247098623</v>
      </c>
      <c r="I20" s="17"/>
      <c r="J20" s="115"/>
      <c r="P20" s="115"/>
      <c r="Q20" s="115"/>
      <c r="R20" s="96"/>
    </row>
    <row r="21" spans="1:21" ht="27.75" customHeight="1" thickBot="1">
      <c r="C21" s="32"/>
      <c r="D21" s="32"/>
      <c r="E21" s="32"/>
      <c r="F21" s="124" t="s">
        <v>408</v>
      </c>
      <c r="G21" s="603" t="s">
        <v>365</v>
      </c>
      <c r="H21" s="188">
        <f>R84</f>
        <v>995.03834699074559</v>
      </c>
      <c r="I21" s="103"/>
      <c r="P21" s="115"/>
      <c r="Q21" s="115"/>
      <c r="R21" s="96"/>
    </row>
    <row r="22" spans="1:21" ht="27.75" customHeight="1">
      <c r="C22" s="32"/>
      <c r="D22" s="32"/>
      <c r="E22" s="32"/>
      <c r="F22" s="124" t="s">
        <v>510</v>
      </c>
      <c r="G22" s="603" t="s">
        <v>449</v>
      </c>
      <c r="H22" s="188">
        <f>H19-H20+H21</f>
        <v>17981.170192458034</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88" t="s">
        <v>680</v>
      </c>
      <c r="C26" s="788"/>
      <c r="D26" s="788"/>
      <c r="E26" s="788"/>
      <c r="F26" s="788"/>
      <c r="G26" s="788"/>
    </row>
    <row r="27" spans="1:21" ht="14.25" customHeight="1">
      <c r="A27" s="28"/>
      <c r="B27" s="548"/>
      <c r="C27" s="548"/>
      <c r="D27" s="538"/>
      <c r="E27" s="538"/>
      <c r="F27" s="538"/>
      <c r="G27" s="548"/>
    </row>
    <row r="28" spans="1:21" s="17" customFormat="1" ht="27" customHeight="1">
      <c r="B28" s="791" t="s">
        <v>507</v>
      </c>
      <c r="C28" s="792"/>
      <c r="D28" s="133" t="s">
        <v>41</v>
      </c>
      <c r="E28" s="134" t="s">
        <v>671</v>
      </c>
      <c r="F28" s="134" t="s">
        <v>408</v>
      </c>
      <c r="G28" s="135" t="s">
        <v>409</v>
      </c>
      <c r="T28" s="136"/>
      <c r="U28" s="136"/>
    </row>
    <row r="29" spans="1:21" ht="20.25" customHeight="1">
      <c r="B29" s="786" t="s">
        <v>29</v>
      </c>
      <c r="C29" s="787"/>
      <c r="D29" s="638" t="s">
        <v>27</v>
      </c>
      <c r="E29" s="138">
        <f>SUM(D54:D83)</f>
        <v>24689.407483158051</v>
      </c>
      <c r="F29" s="139">
        <f>D84</f>
        <v>1014.3831113515115</v>
      </c>
      <c r="G29" s="138">
        <f>E29+F29</f>
        <v>25703.790594509563</v>
      </c>
    </row>
    <row r="30" spans="1:21" ht="20.25" customHeight="1">
      <c r="B30" s="786" t="s">
        <v>371</v>
      </c>
      <c r="C30" s="787"/>
      <c r="D30" s="638" t="s">
        <v>27</v>
      </c>
      <c r="E30" s="140">
        <f>SUM(E54:E83)</f>
        <v>92.087104442340205</v>
      </c>
      <c r="F30" s="141">
        <f>E84</f>
        <v>-77.011320123765955</v>
      </c>
      <c r="G30" s="140">
        <f>E30+F30</f>
        <v>15.07578431857425</v>
      </c>
    </row>
    <row r="31" spans="1:21" ht="20.25" customHeight="1">
      <c r="B31" s="786" t="s">
        <v>729</v>
      </c>
      <c r="C31" s="787"/>
      <c r="D31" s="638" t="s">
        <v>28</v>
      </c>
      <c r="E31" s="140">
        <f>SUM(F54:F83)</f>
        <v>5409.1213964902981</v>
      </c>
      <c r="F31" s="141">
        <f>F84</f>
        <v>73.70508248659219</v>
      </c>
      <c r="G31" s="140">
        <f t="shared" ref="G31:G34" si="0">E31+F31</f>
        <v>5482.82647897689</v>
      </c>
    </row>
    <row r="32" spans="1:21" ht="20.25" customHeight="1">
      <c r="B32" s="786" t="s">
        <v>730</v>
      </c>
      <c r="C32" s="787"/>
      <c r="D32" s="638" t="s">
        <v>27</v>
      </c>
      <c r="E32" s="140">
        <f>SUM(G54:G83)</f>
        <v>-13.794999999999998</v>
      </c>
      <c r="F32" s="141">
        <f>G84</f>
        <v>-0.55916825437499995</v>
      </c>
      <c r="G32" s="140">
        <f t="shared" si="0"/>
        <v>-14.354168254374999</v>
      </c>
    </row>
    <row r="33" spans="2:22" ht="20.25" customHeight="1">
      <c r="B33" s="786" t="s">
        <v>731</v>
      </c>
      <c r="C33" s="787"/>
      <c r="D33" s="638" t="s">
        <v>28</v>
      </c>
      <c r="E33" s="140">
        <f>SUM(H54:H83)</f>
        <v>-382.13255958892023</v>
      </c>
      <c r="F33" s="141">
        <f>H84</f>
        <v>-15.479358469217177</v>
      </c>
      <c r="G33" s="140">
        <f>E33+F33</f>
        <v>-397.61191805813741</v>
      </c>
    </row>
    <row r="34" spans="2:22" ht="20.25" customHeight="1">
      <c r="B34" s="786"/>
      <c r="C34" s="787"/>
      <c r="D34" s="638"/>
      <c r="E34" s="140">
        <f>SUM(I54:I83)</f>
        <v>0</v>
      </c>
      <c r="F34" s="141">
        <f>I84</f>
        <v>0</v>
      </c>
      <c r="G34" s="140">
        <f t="shared" si="0"/>
        <v>0</v>
      </c>
    </row>
    <row r="35" spans="2:22" ht="20.25" customHeight="1">
      <c r="B35" s="786"/>
      <c r="C35" s="787"/>
      <c r="D35" s="638"/>
      <c r="E35" s="140">
        <f>SUM(J54:J83)</f>
        <v>0</v>
      </c>
      <c r="F35" s="141">
        <f>J84</f>
        <v>0</v>
      </c>
      <c r="G35" s="140">
        <f>E35+F35</f>
        <v>0</v>
      </c>
    </row>
    <row r="36" spans="2:22" ht="20.25" customHeight="1">
      <c r="B36" s="786"/>
      <c r="C36" s="787"/>
      <c r="D36" s="638"/>
      <c r="E36" s="140">
        <f>SUM(K54:K83)</f>
        <v>0</v>
      </c>
      <c r="F36" s="141">
        <f>K84</f>
        <v>0</v>
      </c>
      <c r="G36" s="140">
        <f t="shared" ref="G36:G42" si="1">E36+F36</f>
        <v>0</v>
      </c>
    </row>
    <row r="37" spans="2:22" ht="20.25" customHeight="1">
      <c r="B37" s="786"/>
      <c r="C37" s="787"/>
      <c r="D37" s="638"/>
      <c r="E37" s="140">
        <f>SUM(L54:L83)</f>
        <v>0</v>
      </c>
      <c r="F37" s="141">
        <f>L84</f>
        <v>0</v>
      </c>
      <c r="G37" s="140">
        <f t="shared" si="1"/>
        <v>0</v>
      </c>
    </row>
    <row r="38" spans="2:22" ht="20.25" customHeight="1">
      <c r="B38" s="786"/>
      <c r="C38" s="787"/>
      <c r="D38" s="638"/>
      <c r="E38" s="140">
        <f>SUM(M54:M83)</f>
        <v>0</v>
      </c>
      <c r="F38" s="141">
        <f>M84</f>
        <v>0</v>
      </c>
      <c r="G38" s="140">
        <f t="shared" si="1"/>
        <v>0</v>
      </c>
    </row>
    <row r="39" spans="2:22" ht="20.25" customHeight="1">
      <c r="B39" s="786"/>
      <c r="C39" s="787"/>
      <c r="D39" s="638"/>
      <c r="E39" s="140">
        <f>SUM(N54:N83)</f>
        <v>0</v>
      </c>
      <c r="F39" s="141">
        <f>N84</f>
        <v>0</v>
      </c>
      <c r="G39" s="140">
        <f t="shared" si="1"/>
        <v>0</v>
      </c>
    </row>
    <row r="40" spans="2:22" ht="20.25" customHeight="1">
      <c r="B40" s="786"/>
      <c r="C40" s="787"/>
      <c r="D40" s="638"/>
      <c r="E40" s="140">
        <f>SUM(O54:O83)</f>
        <v>0</v>
      </c>
      <c r="F40" s="141">
        <f>O84</f>
        <v>0</v>
      </c>
      <c r="G40" s="140">
        <f t="shared" si="1"/>
        <v>0</v>
      </c>
    </row>
    <row r="41" spans="2:22" ht="20.25" customHeight="1">
      <c r="B41" s="786"/>
      <c r="C41" s="787"/>
      <c r="D41" s="638"/>
      <c r="E41" s="140">
        <f>SUM(P54:P83)</f>
        <v>0</v>
      </c>
      <c r="F41" s="141">
        <f>P84</f>
        <v>0</v>
      </c>
      <c r="G41" s="140">
        <f t="shared" si="1"/>
        <v>0</v>
      </c>
    </row>
    <row r="42" spans="2:22" ht="20.25" customHeight="1">
      <c r="B42" s="786"/>
      <c r="C42" s="787"/>
      <c r="D42" s="639"/>
      <c r="E42" s="142">
        <f>SUM(Q54:Q83)</f>
        <v>0</v>
      </c>
      <c r="F42" s="143">
        <f>Q84</f>
        <v>0</v>
      </c>
      <c r="G42" s="142">
        <f t="shared" si="1"/>
        <v>0</v>
      </c>
    </row>
    <row r="43" spans="2:22" s="8" customFormat="1" ht="21" customHeight="1">
      <c r="B43" s="789" t="s">
        <v>26</v>
      </c>
      <c r="C43" s="790"/>
      <c r="D43" s="137"/>
      <c r="E43" s="144">
        <f>SUM(E29:E42)</f>
        <v>29794.688424501772</v>
      </c>
      <c r="F43" s="144">
        <f>SUM(F29:F42)</f>
        <v>995.03834699074559</v>
      </c>
      <c r="G43" s="144">
        <f>SUM(G29:G42)</f>
        <v>30789.726771492515</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88" t="s">
        <v>610</v>
      </c>
      <c r="C48" s="788"/>
      <c r="D48" s="788"/>
      <c r="E48" s="788"/>
      <c r="F48" s="788"/>
      <c r="G48" s="788"/>
      <c r="H48" s="788"/>
      <c r="I48" s="788"/>
      <c r="J48" s="788"/>
      <c r="K48" s="788"/>
      <c r="L48" s="788"/>
      <c r="M48" s="617"/>
      <c r="N48" s="105"/>
      <c r="O48" s="105"/>
      <c r="P48" s="105"/>
      <c r="Q48" s="105"/>
      <c r="R48" s="105"/>
      <c r="T48" s="37"/>
      <c r="U48" s="19"/>
      <c r="V48" s="38"/>
    </row>
    <row r="49" spans="2:22" s="28" customFormat="1" ht="40.9" customHeight="1">
      <c r="B49" s="788" t="s">
        <v>564</v>
      </c>
      <c r="C49" s="788"/>
      <c r="D49" s="788"/>
      <c r="E49" s="788"/>
      <c r="F49" s="788"/>
      <c r="G49" s="788"/>
      <c r="H49" s="788"/>
      <c r="I49" s="788"/>
      <c r="J49" s="788"/>
      <c r="K49" s="788"/>
      <c r="L49" s="788"/>
      <c r="M49" s="617"/>
      <c r="N49" s="105"/>
      <c r="O49" s="105"/>
      <c r="P49" s="105"/>
      <c r="Q49" s="105"/>
      <c r="R49" s="105"/>
      <c r="T49" s="37"/>
      <c r="U49" s="19"/>
      <c r="V49" s="38"/>
    </row>
    <row r="50" spans="2:22" s="28" customFormat="1" ht="18" customHeight="1">
      <c r="B50" s="788" t="s">
        <v>679</v>
      </c>
      <c r="C50" s="788"/>
      <c r="D50" s="788"/>
      <c r="E50" s="788"/>
      <c r="F50" s="788"/>
      <c r="G50" s="788"/>
      <c r="H50" s="788"/>
      <c r="I50" s="788"/>
      <c r="J50" s="788"/>
      <c r="K50" s="788"/>
      <c r="L50" s="788"/>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GS"50kW</v>
      </c>
      <c r="G52" s="135" t="str">
        <f>IF($B32&lt;&gt;"",$B32,"")</f>
        <v>USL</v>
      </c>
      <c r="H52" s="135" t="str">
        <f>IF($B33&lt;&gt;"",$B33,"")</f>
        <v>Streetlights</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kWh</v>
      </c>
      <c r="H53" s="576" t="str">
        <f>D33</f>
        <v>kW</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8411.8415000000005</v>
      </c>
      <c r="E69" s="156">
        <f>'5.  2015-2020 LRAM'!Z388</f>
        <v>325.87203599999998</v>
      </c>
      <c r="F69" s="156">
        <f>'5.  2015-2020 LRAM'!AA388</f>
        <v>1490.678688</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10228.392224000001</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13106.135999999999</v>
      </c>
      <c r="E72" s="156">
        <f>'5.  2015-2020 LRAM'!Z572</f>
        <v>1219.641948</v>
      </c>
      <c r="F72" s="156">
        <f>'5.  2015-2020 LRAM'!AA572</f>
        <v>5352.4120320000002</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19678.189979999999</v>
      </c>
      <c r="U72" s="152"/>
      <c r="V72" s="153"/>
    </row>
    <row r="73" spans="2:22" s="163" customFormat="1">
      <c r="B73" s="154" t="s">
        <v>226</v>
      </c>
      <c r="C73" s="155"/>
      <c r="D73" s="156">
        <f>-'5.  2015-2020 LRAM'!Y573</f>
        <v>-6133.2719999999999</v>
      </c>
      <c r="E73" s="156">
        <f>-'5.  2015-2020 LRAM'!Z573</f>
        <v>-3314.0870999999997</v>
      </c>
      <c r="F73" s="156">
        <f>-'5.  2015-2020 LRAM'!AA573</f>
        <v>-6230.7605993172001</v>
      </c>
      <c r="G73" s="156">
        <f>-'5.  2015-2020 LRAM'!AB573</f>
        <v>-8.0010999999999992</v>
      </c>
      <c r="H73" s="156">
        <f>-'5.  2015-2020 LRAM'!AC573</f>
        <v>-220.9815083205153</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-15907.102307637715</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8988.7412762981676</v>
      </c>
      <c r="E75" s="156">
        <f>'5.  2015-2020 LRAM'!Z756</f>
        <v>2582.3431882677482</v>
      </c>
      <c r="F75" s="156">
        <f>'5.  2015-2020 LRAM'!AA756</f>
        <v>5617.0794239999996</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17188.163888565916</v>
      </c>
      <c r="U75" s="152"/>
      <c r="V75" s="153"/>
    </row>
    <row r="76" spans="2:22" s="163" customFormat="1" ht="16.5" customHeight="1">
      <c r="B76" s="154" t="s">
        <v>228</v>
      </c>
      <c r="C76" s="155"/>
      <c r="D76" s="156">
        <f>-'5.  2015-2020 LRAM'!Y757</f>
        <v>-4159.9583999999995</v>
      </c>
      <c r="E76" s="156">
        <f>-'5.  2015-2020 LRAM'!Z757</f>
        <v>-3335.7478000000001</v>
      </c>
      <c r="F76" s="156">
        <f>-'5.  2015-2020 LRAM'!AA757</f>
        <v>-6538.8607881925018</v>
      </c>
      <c r="G76" s="156">
        <f>-'5.  2015-2020 LRAM'!AB757</f>
        <v>-5.7938999999999998</v>
      </c>
      <c r="H76" s="156">
        <f>-'5.  2015-2020 LRAM'!AC757</f>
        <v>-161.15105126840496</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-14201.511939460908</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LRAM'!Y940</f>
        <v>4475.9191068598839</v>
      </c>
      <c r="E78" s="156">
        <f>'5.  2015-2020 LRAM'!Z940</f>
        <v>2614.0648321745921</v>
      </c>
      <c r="F78" s="156">
        <f>'5.  2015-2020 LRAM'!AA940</f>
        <v>5718.5726400000003</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12808.556579034477</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hidden="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1014.3831113515115</v>
      </c>
      <c r="E84" s="679">
        <f>'6.  Carrying Charges'!J162</f>
        <v>-77.011320123765955</v>
      </c>
      <c r="F84" s="679">
        <f>'6.  Carrying Charges'!K162</f>
        <v>73.70508248659219</v>
      </c>
      <c r="G84" s="679">
        <f>'6.  Carrying Charges'!L162</f>
        <v>-0.55916825437499995</v>
      </c>
      <c r="H84" s="679">
        <f>'6.  Carrying Charges'!M162</f>
        <v>-15.479358469217177</v>
      </c>
      <c r="I84" s="679">
        <f>'6.  Carrying Charges'!N162</f>
        <v>0</v>
      </c>
      <c r="J84" s="679">
        <f>'6.  Carrying Charges'!O162</f>
        <v>0</v>
      </c>
      <c r="K84" s="679">
        <f>'6.  Carrying Charges'!P162</f>
        <v>0</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995.03834699074559</v>
      </c>
      <c r="U84" s="152"/>
      <c r="V84" s="153"/>
    </row>
    <row r="85" spans="2:22" s="163" customFormat="1" ht="21.75" customHeight="1">
      <c r="B85" s="623" t="s">
        <v>240</v>
      </c>
      <c r="C85" s="624"/>
      <c r="D85" s="623">
        <f>SUM(D54:D77)+D84</f>
        <v>21227.871487649678</v>
      </c>
      <c r="E85" s="623">
        <f>SUM(E54:E77)+E84</f>
        <v>-2598.9890478560178</v>
      </c>
      <c r="F85" s="623">
        <f>SUM(F54:F77)+F84</f>
        <v>-235.74616102311001</v>
      </c>
      <c r="G85" s="623">
        <f>SUM(G54:G77)+G84</f>
        <v>-14.354168254374999</v>
      </c>
      <c r="H85" s="623">
        <f>SUM(H54:H77)+H84</f>
        <v>-397.61191805813741</v>
      </c>
      <c r="I85" s="623">
        <f t="shared" ref="I85:O85" si="2">SUM(I54:I77)+I84</f>
        <v>0</v>
      </c>
      <c r="J85" s="623">
        <f t="shared" si="2"/>
        <v>0</v>
      </c>
      <c r="K85" s="623">
        <f t="shared" si="2"/>
        <v>0</v>
      </c>
      <c r="L85" s="623">
        <f t="shared" si="2"/>
        <v>0</v>
      </c>
      <c r="M85" s="623">
        <f t="shared" si="2"/>
        <v>0</v>
      </c>
      <c r="N85" s="623">
        <f>SUM(N54:N77)+N84</f>
        <v>0</v>
      </c>
      <c r="O85" s="623">
        <f t="shared" si="2"/>
        <v>0</v>
      </c>
      <c r="P85" s="623">
        <f>SUM(P54:P77)+P84</f>
        <v>0</v>
      </c>
      <c r="Q85" s="623">
        <f>SUM(Q54:Q77)+Q84</f>
        <v>0</v>
      </c>
      <c r="R85" s="623">
        <f>SUM(R54:R77)+R84</f>
        <v>17981.170192458041</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0</v>
      </c>
      <c r="L93" s="556">
        <f>SUM('5.  2015-2020 LRAM'!Y1114:AL1114)</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0</v>
      </c>
      <c r="L94" s="556">
        <f>SUM('5.  2015-2020 LRAM'!Y1115:AL1115)</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0</v>
      </c>
      <c r="L95" s="556">
        <f>SUM('5.  2015-2020 LRAM'!Y1116:AL1116)</f>
        <v>0</v>
      </c>
      <c r="M95" s="556">
        <f>SUM(C95:L95)</f>
        <v>0</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0</v>
      </c>
      <c r="K96" s="556">
        <f>SUM('5.  2015-2020 LRAM'!Y934:AL934)</f>
        <v>0</v>
      </c>
      <c r="L96" s="556">
        <f>SUM('5.  2015-2020 LRAM'!Y1117:AL1117)</f>
        <v>0</v>
      </c>
      <c r="M96" s="556">
        <f>SUM(F96:L96)</f>
        <v>0</v>
      </c>
      <c r="T96" s="197"/>
      <c r="U96" s="197"/>
    </row>
    <row r="97" spans="2:21" s="90" customFormat="1" ht="23.25" hidden="1" customHeight="1">
      <c r="B97" s="198">
        <v>2015</v>
      </c>
      <c r="C97" s="559"/>
      <c r="D97" s="559"/>
      <c r="E97" s="559"/>
      <c r="F97" s="559"/>
      <c r="G97" s="557">
        <f>SUM('5.  2015-2020 LRAM'!Y203:AL203)</f>
        <v>0</v>
      </c>
      <c r="H97" s="556">
        <f>SUM('5.  2015-2020 LRAM'!Y386:AL386)</f>
        <v>3997.6641719999998</v>
      </c>
      <c r="I97" s="557">
        <f>SUM('5.  2015-2020 LRAM'!Y569:AL569)</f>
        <v>3310.3001199999999</v>
      </c>
      <c r="J97" s="556">
        <f>SUM('5.  2015-2020 LRAM'!Y752:AL752)</f>
        <v>2356.9194240000002</v>
      </c>
      <c r="K97" s="556">
        <f>SUM('5.  2015-2020 LRAM'!Y935:AL935)</f>
        <v>1404.1609079999998</v>
      </c>
      <c r="L97" s="556">
        <f>SUM('5.  2015-2020 LRAM'!Y1118:AL1118)</f>
        <v>0</v>
      </c>
      <c r="M97" s="556">
        <f>SUM(G97:L97)</f>
        <v>11069.044624</v>
      </c>
      <c r="T97" s="197"/>
      <c r="U97" s="197"/>
    </row>
    <row r="98" spans="2:21" s="90" customFormat="1" ht="23.25" hidden="1" customHeight="1">
      <c r="B98" s="198">
        <v>2016</v>
      </c>
      <c r="C98" s="559"/>
      <c r="D98" s="559"/>
      <c r="E98" s="559"/>
      <c r="F98" s="559"/>
      <c r="G98" s="559"/>
      <c r="H98" s="556">
        <f>SUM('5.  2015-2020 LRAM'!Y387:AL387)</f>
        <v>6230.7280520000004</v>
      </c>
      <c r="I98" s="557">
        <f>SUM('5.  2015-2020 LRAM'!Y570:AL570)</f>
        <v>5396.1282919999994</v>
      </c>
      <c r="J98" s="556">
        <f>SUM('5.  2015-2020 LRAM'!Y753:AL753)</f>
        <v>4221.9309839999996</v>
      </c>
      <c r="K98" s="556">
        <f>SUM('5.  2015-2020 LRAM'!Y936:AL936)</f>
        <v>2937.7837199999994</v>
      </c>
      <c r="L98" s="556">
        <f>SUM('5.  2015-2020 LRAM'!Y1119:AL1119)</f>
        <v>0</v>
      </c>
      <c r="M98" s="556">
        <f>SUM(H98:L98)</f>
        <v>18786.571047999998</v>
      </c>
      <c r="T98" s="197"/>
      <c r="U98" s="197"/>
    </row>
    <row r="99" spans="2:21" s="90" customFormat="1" ht="23.25" hidden="1" customHeight="1">
      <c r="B99" s="198">
        <v>2017</v>
      </c>
      <c r="C99" s="559"/>
      <c r="D99" s="559"/>
      <c r="E99" s="559"/>
      <c r="F99" s="559"/>
      <c r="G99" s="559"/>
      <c r="H99" s="559"/>
      <c r="I99" s="556">
        <f>SUM('5.  2015-2020 LRAM'!Y571:AL571)</f>
        <v>10971.761568</v>
      </c>
      <c r="J99" s="556">
        <f>SUM('5.  2015-2020 LRAM'!Y754:AL754)</f>
        <v>8282.0023839999994</v>
      </c>
      <c r="K99" s="556">
        <f>SUM('5.  2015-2020 LRAM'!Y937:AL937)</f>
        <v>6577.7876639999995</v>
      </c>
      <c r="L99" s="556">
        <f>SUM('5.  2015-2020 LRAM'!Y1120:AL1120)</f>
        <v>0</v>
      </c>
      <c r="M99" s="556">
        <f>SUM(I99:L99)</f>
        <v>25831.551616000001</v>
      </c>
      <c r="T99" s="197"/>
      <c r="U99" s="197"/>
    </row>
    <row r="100" spans="2:21" s="90" customFormat="1" ht="23.25" hidden="1" customHeight="1">
      <c r="B100" s="198">
        <v>2018</v>
      </c>
      <c r="C100" s="559"/>
      <c r="D100" s="559"/>
      <c r="E100" s="559"/>
      <c r="F100" s="559"/>
      <c r="G100" s="559"/>
      <c r="H100" s="559"/>
      <c r="I100" s="559"/>
      <c r="J100" s="556">
        <f>SUM('5.  2015-2020 LRAM'!Y755:AL755)</f>
        <v>2327.3110965659152</v>
      </c>
      <c r="K100" s="556">
        <f>SUM('5.  2015-2020 LRAM'!Y938:AL938)</f>
        <v>1888.8242870344759</v>
      </c>
      <c r="L100" s="556">
        <f>SUM('5.  2015-2020 LRAM'!Y1121:AL1121)</f>
        <v>0</v>
      </c>
      <c r="M100" s="556">
        <f>SUM(J100:L100)</f>
        <v>4216.1353836003909</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519</v>
      </c>
      <c r="C103" s="555">
        <f>C93</f>
        <v>0</v>
      </c>
      <c r="D103" s="556">
        <f>D93+D94</f>
        <v>0</v>
      </c>
      <c r="E103" s="556">
        <f>E93+E94+E95</f>
        <v>0</v>
      </c>
      <c r="F103" s="556">
        <f>F93+F94+F95+F96</f>
        <v>0</v>
      </c>
      <c r="G103" s="556">
        <f>G93+G94+G95+G96+G97</f>
        <v>0</v>
      </c>
      <c r="H103" s="556">
        <f>H93+H94+H95+H96+H97+H98</f>
        <v>10228.392223999999</v>
      </c>
      <c r="I103" s="556">
        <f>I93+I94+I95+I96+I97+I98+I99</f>
        <v>19678.189979999999</v>
      </c>
      <c r="J103" s="556">
        <f>J93+J94+J95+J96+J97+J98+J99+J100</f>
        <v>17188.163888565916</v>
      </c>
      <c r="K103" s="556">
        <f>K93+K94+K95+K96+K97+K98+K99+K100+K101</f>
        <v>12808.556579034475</v>
      </c>
      <c r="L103" s="556">
        <f>SUM(L93:L102)</f>
        <v>0</v>
      </c>
      <c r="M103" s="556">
        <f>SUM(M93:M102)</f>
        <v>59903.302671600388</v>
      </c>
      <c r="T103" s="199"/>
      <c r="U103" s="199"/>
    </row>
    <row r="104" spans="2:21" s="27" customFormat="1" ht="24.75" hidden="1" customHeight="1">
      <c r="B104" s="572" t="s">
        <v>518</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15907.102307637715</v>
      </c>
      <c r="J104" s="554">
        <f>'5.  2015-2020 LRAM'!AM757</f>
        <v>14201.511939460908</v>
      </c>
      <c r="K104" s="554">
        <f>'5.  2015-2020 LRAM'!AM941</f>
        <v>0</v>
      </c>
      <c r="L104" s="554">
        <f>'5.  2015-2020 LRAM'!AM1125</f>
        <v>0</v>
      </c>
      <c r="M104" s="556">
        <f>SUM(C104:L104)</f>
        <v>30108.614247098623</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51.568144129333334</v>
      </c>
      <c r="I105" s="554">
        <f>'6.  Carrying Charges'!W117</f>
        <v>196.46399089246174</v>
      </c>
      <c r="J105" s="554">
        <f>'6.  Carrying Charges'!W132</f>
        <v>484.57572463744452</v>
      </c>
      <c r="K105" s="554">
        <f>'6.  Carrying Charges'!W147</f>
        <v>995.03834699074525</v>
      </c>
      <c r="L105" s="554">
        <f>'6.  Carrying Charges'!W162</f>
        <v>995.03834699074525</v>
      </c>
      <c r="M105" s="556">
        <f>SUM(C105:L105)</f>
        <v>2722.68455364073</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10279.960368129332</v>
      </c>
      <c r="I106" s="554">
        <f t="shared" si="3"/>
        <v>3967.551663254746</v>
      </c>
      <c r="J106" s="554">
        <f t="shared" si="3"/>
        <v>3471.2276737424522</v>
      </c>
      <c r="K106" s="554">
        <f>K103-K104+K105</f>
        <v>13803.59492602522</v>
      </c>
      <c r="L106" s="554">
        <f>L103-L104+L105</f>
        <v>995.03834699074525</v>
      </c>
      <c r="M106" s="554">
        <f>M103-M104+M105</f>
        <v>32517.372978142495</v>
      </c>
    </row>
    <row r="107" spans="2:21" hidden="1"/>
    <row r="108" spans="2:21">
      <c r="B108" s="589" t="s">
        <v>526</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16" zoomScale="80" zoomScaleNormal="80" workbookViewId="0">
      <selection activeCell="D53" sqref="D53"/>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551</v>
      </c>
    </row>
    <row r="19" spans="2:8" ht="15.75">
      <c r="B19" s="537" t="s">
        <v>615</v>
      </c>
    </row>
    <row r="20" spans="2:8" ht="13.5" customHeight="1"/>
    <row r="21" spans="2:8" ht="40.9" customHeight="1">
      <c r="B21" s="788" t="s">
        <v>678</v>
      </c>
      <c r="C21" s="788"/>
      <c r="D21" s="788"/>
      <c r="E21" s="788"/>
      <c r="F21" s="788"/>
      <c r="G21" s="788"/>
      <c r="H21" s="788"/>
    </row>
    <row r="23" spans="2:8" s="609" customFormat="1" ht="15.75">
      <c r="B23" s="619" t="s">
        <v>546</v>
      </c>
      <c r="C23" s="619" t="s">
        <v>561</v>
      </c>
      <c r="D23" s="619" t="s">
        <v>545</v>
      </c>
      <c r="E23" s="797" t="s">
        <v>34</v>
      </c>
      <c r="F23" s="798"/>
      <c r="G23" s="797" t="s">
        <v>544</v>
      </c>
      <c r="H23" s="798"/>
    </row>
    <row r="24" spans="2:8">
      <c r="B24" s="608">
        <v>1</v>
      </c>
      <c r="C24" s="644"/>
      <c r="D24" s="607"/>
      <c r="E24" s="793"/>
      <c r="F24" s="794"/>
      <c r="G24" s="795"/>
      <c r="H24" s="796"/>
    </row>
    <row r="25" spans="2:8">
      <c r="B25" s="608">
        <v>2</v>
      </c>
      <c r="C25" s="644"/>
      <c r="D25" s="607"/>
      <c r="E25" s="793"/>
      <c r="F25" s="794"/>
      <c r="G25" s="795"/>
      <c r="H25" s="796"/>
    </row>
    <row r="26" spans="2:8">
      <c r="B26" s="608">
        <v>3</v>
      </c>
      <c r="C26" s="644"/>
      <c r="D26" s="607"/>
      <c r="E26" s="793"/>
      <c r="F26" s="794"/>
      <c r="G26" s="795"/>
      <c r="H26" s="796"/>
    </row>
    <row r="27" spans="2:8">
      <c r="B27" s="608">
        <v>4</v>
      </c>
      <c r="C27" s="644"/>
      <c r="D27" s="607"/>
      <c r="E27" s="793"/>
      <c r="F27" s="794"/>
      <c r="G27" s="795"/>
      <c r="H27" s="796"/>
    </row>
    <row r="28" spans="2:8">
      <c r="B28" s="608">
        <v>5</v>
      </c>
      <c r="C28" s="644"/>
      <c r="D28" s="607"/>
      <c r="E28" s="793"/>
      <c r="F28" s="794"/>
      <c r="G28" s="795"/>
      <c r="H28" s="796"/>
    </row>
    <row r="29" spans="2:8">
      <c r="B29" s="608">
        <v>6</v>
      </c>
      <c r="C29" s="644"/>
      <c r="D29" s="607"/>
      <c r="E29" s="793"/>
      <c r="F29" s="794"/>
      <c r="G29" s="795"/>
      <c r="H29" s="796"/>
    </row>
    <row r="30" spans="2:8">
      <c r="B30" s="608">
        <v>7</v>
      </c>
      <c r="C30" s="644"/>
      <c r="D30" s="607"/>
      <c r="E30" s="793"/>
      <c r="F30" s="794"/>
      <c r="G30" s="795"/>
      <c r="H30" s="796"/>
    </row>
    <row r="31" spans="2:8">
      <c r="B31" s="608">
        <v>8</v>
      </c>
      <c r="C31" s="644"/>
      <c r="D31" s="607"/>
      <c r="E31" s="793"/>
      <c r="F31" s="794"/>
      <c r="G31" s="795"/>
      <c r="H31" s="796"/>
    </row>
    <row r="32" spans="2:8">
      <c r="B32" s="608">
        <v>9</v>
      </c>
      <c r="C32" s="644"/>
      <c r="D32" s="607"/>
      <c r="E32" s="793"/>
      <c r="F32" s="794"/>
      <c r="G32" s="795"/>
      <c r="H32" s="796"/>
    </row>
    <row r="33" spans="2:8">
      <c r="B33" s="608">
        <v>10</v>
      </c>
      <c r="C33" s="644"/>
      <c r="D33" s="607"/>
      <c r="E33" s="793"/>
      <c r="F33" s="794"/>
      <c r="G33" s="795"/>
      <c r="H33" s="796"/>
    </row>
    <row r="34" spans="2:8">
      <c r="B34" s="608" t="s">
        <v>480</v>
      </c>
      <c r="C34" s="644"/>
      <c r="D34" s="607"/>
      <c r="E34" s="793"/>
      <c r="F34" s="794"/>
      <c r="G34" s="795"/>
      <c r="H34" s="796"/>
    </row>
    <row r="36" spans="2:8" ht="30.75" customHeight="1">
      <c r="B36" s="537" t="s">
        <v>611</v>
      </c>
    </row>
    <row r="37" spans="2:8" ht="23.25" customHeight="1">
      <c r="B37" s="568" t="s">
        <v>616</v>
      </c>
      <c r="C37" s="605"/>
      <c r="D37" s="605"/>
      <c r="E37" s="605"/>
      <c r="F37" s="605"/>
      <c r="G37" s="605"/>
      <c r="H37" s="605"/>
    </row>
    <row r="39" spans="2:8" s="90" customFormat="1" ht="15.75">
      <c r="B39" s="619" t="s">
        <v>546</v>
      </c>
      <c r="C39" s="619" t="s">
        <v>561</v>
      </c>
      <c r="D39" s="619" t="s">
        <v>545</v>
      </c>
      <c r="E39" s="797" t="s">
        <v>34</v>
      </c>
      <c r="F39" s="798"/>
      <c r="G39" s="797" t="s">
        <v>544</v>
      </c>
      <c r="H39" s="798"/>
    </row>
    <row r="40" spans="2:8">
      <c r="B40" s="608">
        <v>1</v>
      </c>
      <c r="C40" s="644"/>
      <c r="D40" s="607"/>
      <c r="E40" s="793"/>
      <c r="F40" s="794"/>
      <c r="G40" s="795"/>
      <c r="H40" s="796"/>
    </row>
    <row r="41" spans="2:8">
      <c r="B41" s="608">
        <v>2</v>
      </c>
      <c r="C41" s="644"/>
      <c r="D41" s="607"/>
      <c r="E41" s="793"/>
      <c r="F41" s="794"/>
      <c r="G41" s="795"/>
      <c r="H41" s="796"/>
    </row>
    <row r="42" spans="2:8">
      <c r="B42" s="608">
        <v>3</v>
      </c>
      <c r="C42" s="644"/>
      <c r="D42" s="607"/>
      <c r="E42" s="793"/>
      <c r="F42" s="794"/>
      <c r="G42" s="795"/>
      <c r="H42" s="796"/>
    </row>
    <row r="43" spans="2:8">
      <c r="B43" s="608">
        <v>4</v>
      </c>
      <c r="C43" s="644"/>
      <c r="D43" s="607"/>
      <c r="E43" s="793"/>
      <c r="F43" s="794"/>
      <c r="G43" s="795"/>
      <c r="H43" s="796"/>
    </row>
    <row r="44" spans="2:8">
      <c r="B44" s="608">
        <v>5</v>
      </c>
      <c r="C44" s="644"/>
      <c r="D44" s="607"/>
      <c r="E44" s="793"/>
      <c r="F44" s="794"/>
      <c r="G44" s="795"/>
      <c r="H44" s="796"/>
    </row>
    <row r="45" spans="2:8">
      <c r="B45" s="608">
        <v>6</v>
      </c>
      <c r="C45" s="644"/>
      <c r="D45" s="607"/>
      <c r="E45" s="793"/>
      <c r="F45" s="794"/>
      <c r="G45" s="795"/>
      <c r="H45" s="796"/>
    </row>
    <row r="46" spans="2:8">
      <c r="B46" s="608">
        <v>7</v>
      </c>
      <c r="C46" s="644"/>
      <c r="D46" s="607"/>
      <c r="E46" s="793"/>
      <c r="F46" s="794"/>
      <c r="G46" s="795"/>
      <c r="H46" s="796"/>
    </row>
    <row r="47" spans="2:8">
      <c r="B47" s="608">
        <v>8</v>
      </c>
      <c r="C47" s="644"/>
      <c r="D47" s="607"/>
      <c r="E47" s="793"/>
      <c r="F47" s="794"/>
      <c r="G47" s="795"/>
      <c r="H47" s="796"/>
    </row>
    <row r="48" spans="2:8">
      <c r="B48" s="608">
        <v>9</v>
      </c>
      <c r="C48" s="644"/>
      <c r="D48" s="607"/>
      <c r="E48" s="793"/>
      <c r="F48" s="794"/>
      <c r="G48" s="795"/>
      <c r="H48" s="796"/>
    </row>
    <row r="49" spans="2:8">
      <c r="B49" s="608">
        <v>10</v>
      </c>
      <c r="C49" s="644"/>
      <c r="D49" s="607"/>
      <c r="E49" s="793"/>
      <c r="F49" s="794"/>
      <c r="G49" s="795"/>
      <c r="H49" s="796"/>
    </row>
    <row r="50" spans="2:8">
      <c r="B50" s="608" t="s">
        <v>480</v>
      </c>
      <c r="C50" s="644"/>
      <c r="D50" s="607"/>
      <c r="E50" s="793"/>
      <c r="F50" s="794"/>
      <c r="G50" s="795"/>
      <c r="H50" s="796"/>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7" zoomScale="80" zoomScaleNormal="80" workbookViewId="0">
      <selection activeCell="G35" sqref="G35"/>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v>2017</v>
      </c>
    </row>
    <row r="10" spans="2:17" s="17" customFormat="1" ht="16.5" customHeight="1"/>
    <row r="11" spans="2:17" s="17" customFormat="1" ht="36.75" customHeight="1">
      <c r="B11" s="799" t="s">
        <v>563</v>
      </c>
      <c r="C11" s="799"/>
      <c r="D11" s="799"/>
      <c r="E11" s="799"/>
      <c r="F11" s="799"/>
      <c r="G11" s="799"/>
      <c r="H11" s="799"/>
      <c r="I11" s="799"/>
      <c r="J11" s="799"/>
      <c r="K11" s="799"/>
      <c r="L11" s="799"/>
      <c r="M11" s="799"/>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GS"50kW</v>
      </c>
      <c r="G13" s="243" t="str">
        <f>'1.  LRAMVA Summary'!G52</f>
        <v>USL</v>
      </c>
      <c r="H13" s="243" t="str">
        <f>'1.  LRAMVA Summary'!H52</f>
        <v>Streetlights</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kWh</v>
      </c>
      <c r="H14" s="579" t="str">
        <f>'1.  LRAMVA Summary'!H53</f>
        <v>kW</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1573384</v>
      </c>
      <c r="D15" s="451">
        <v>533328</v>
      </c>
      <c r="E15" s="451">
        <v>216607</v>
      </c>
      <c r="F15" s="451">
        <v>800737</v>
      </c>
      <c r="G15" s="451">
        <v>2759</v>
      </c>
      <c r="H15" s="451">
        <v>19953</v>
      </c>
      <c r="I15" s="451"/>
      <c r="J15" s="451"/>
      <c r="K15" s="451"/>
      <c r="L15" s="451"/>
      <c r="M15" s="451"/>
      <c r="N15" s="451"/>
      <c r="O15" s="451"/>
      <c r="P15" s="452"/>
      <c r="Q15" s="452"/>
    </row>
    <row r="16" spans="2:17" s="456" customFormat="1" ht="15.75" customHeight="1">
      <c r="B16" s="461" t="s">
        <v>28</v>
      </c>
      <c r="C16" s="626">
        <f>SUM(D16:Q16)</f>
        <v>2214.5414494836532</v>
      </c>
      <c r="D16" s="450"/>
      <c r="E16" s="450"/>
      <c r="F16" s="758">
        <f>F15*F22</f>
        <v>2175.8487914922475</v>
      </c>
      <c r="G16" s="450"/>
      <c r="H16" s="758">
        <f>H15*H22</f>
        <v>38.69265799140554</v>
      </c>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533328</v>
      </c>
      <c r="E18" s="192">
        <f t="shared" si="0"/>
        <v>216607</v>
      </c>
      <c r="F18" s="192">
        <f>IF(F14="kw",HLOOKUP(F14,F14:F16,3,FALSE),HLOOKUP(F14,F14:F16,2,FALSE))</f>
        <v>2175.8487914922475</v>
      </c>
      <c r="G18" s="192">
        <f t="shared" ref="G18:Q18" si="1">IF(G14="kw",HLOOKUP(G14,G14:G16,3,FALSE),HLOOKUP(G14,G14:G16,2,FALSE))</f>
        <v>2759</v>
      </c>
      <c r="H18" s="192">
        <f t="shared" si="1"/>
        <v>38.69265799140554</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672</v>
      </c>
      <c r="C20" s="453"/>
      <c r="D20" s="454"/>
      <c r="F20" s="759">
        <v>45032810</v>
      </c>
      <c r="G20" s="759"/>
      <c r="H20" s="759">
        <v>1122118</v>
      </c>
      <c r="I20" s="438" t="s">
        <v>741</v>
      </c>
    </row>
    <row r="21" spans="2:17" s="438" customFormat="1" ht="21" customHeight="1">
      <c r="B21" s="460" t="s">
        <v>366</v>
      </c>
      <c r="C21" s="453" t="s">
        <v>413</v>
      </c>
      <c r="D21" s="454"/>
      <c r="F21" s="759">
        <v>122368</v>
      </c>
      <c r="G21" s="759"/>
      <c r="H21" s="759">
        <v>2176</v>
      </c>
      <c r="I21" s="438" t="s">
        <v>742</v>
      </c>
    </row>
    <row r="22" spans="2:17" s="17" customFormat="1" ht="15.75" customHeight="1">
      <c r="B22" s="166"/>
      <c r="C22" s="167"/>
      <c r="D22" s="163"/>
      <c r="F22" s="760">
        <f>F21/F20</f>
        <v>2.7173076696746217E-3</v>
      </c>
      <c r="G22" s="760"/>
      <c r="H22" s="760">
        <f>H21/H20</f>
        <v>1.9391899960610204E-3</v>
      </c>
      <c r="I22" s="17" t="s">
        <v>744</v>
      </c>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799" t="s">
        <v>562</v>
      </c>
      <c r="C26" s="799"/>
      <c r="D26" s="799"/>
      <c r="E26" s="799"/>
      <c r="F26" s="799"/>
      <c r="G26" s="799"/>
      <c r="H26" s="799"/>
      <c r="I26" s="799"/>
      <c r="J26" s="799"/>
      <c r="K26" s="799"/>
      <c r="L26" s="799"/>
      <c r="M26" s="799"/>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GS"50kW</v>
      </c>
      <c r="G28" s="243" t="str">
        <f>'1.  LRAMVA Summary'!G52</f>
        <v>USL</v>
      </c>
      <c r="H28" s="243" t="str">
        <f>'1.  LRAMVA Summary'!H52</f>
        <v>Streetlights</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kWh</v>
      </c>
      <c r="H29" s="579" t="str">
        <f>'1.  LRAMVA Summary'!H53</f>
        <v>kW</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672</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799" t="s">
        <v>609</v>
      </c>
      <c r="C40" s="799"/>
      <c r="D40" s="799"/>
      <c r="E40" s="799"/>
      <c r="F40" s="799"/>
      <c r="G40" s="799"/>
      <c r="H40" s="799"/>
      <c r="I40" s="799"/>
      <c r="J40" s="799"/>
      <c r="K40" s="799"/>
      <c r="L40" s="799"/>
      <c r="M40" s="799"/>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606</v>
      </c>
      <c r="D42" s="243" t="str">
        <f>'1.  LRAMVA Summary'!D52</f>
        <v>Residential</v>
      </c>
      <c r="E42" s="243" t="str">
        <f>'1.  LRAMVA Summary'!E52</f>
        <v>GS&lt;50 kW</v>
      </c>
      <c r="F42" s="243" t="str">
        <f>'1.  LRAMVA Summary'!F52</f>
        <v>GS"50kW</v>
      </c>
      <c r="G42" s="243" t="str">
        <f>'1.  LRAMVA Summary'!G52</f>
        <v>USL</v>
      </c>
      <c r="H42" s="243" t="str">
        <f>'1.  LRAMVA Summary'!H52</f>
        <v>Streetlights</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kWh</v>
      </c>
      <c r="H43" s="583" t="str">
        <f>'1.  LRAMVA Summary'!H53</f>
        <v>kW</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2017</v>
      </c>
      <c r="D50" s="190">
        <f t="shared" ref="D50:I50" si="9">IF(ISBLANK($C$50),0,IF($C$50=$D$9,HLOOKUP(D43,D14:D18,5,FALSE),HLOOKUP(D43,D29:D33,5,FALSE)))</f>
        <v>533328</v>
      </c>
      <c r="E50" s="190">
        <f t="shared" si="9"/>
        <v>216607</v>
      </c>
      <c r="F50" s="190">
        <f t="shared" si="9"/>
        <v>2175.8487914922475</v>
      </c>
      <c r="G50" s="190">
        <f t="shared" si="9"/>
        <v>2759</v>
      </c>
      <c r="H50" s="190">
        <f t="shared" si="9"/>
        <v>38.69265799140554</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v>2017</v>
      </c>
      <c r="D51" s="190">
        <f t="shared" ref="D51:Q51" si="11">IF(ISBLANK($C$51),0,IF($C$51=$D$9,HLOOKUP(D43,D14:D18,5,FALSE),HLOOKUP(D43,D29:D33,5,FALSE)))</f>
        <v>533328</v>
      </c>
      <c r="E51" s="190">
        <f t="shared" si="11"/>
        <v>216607</v>
      </c>
      <c r="F51" s="190">
        <f t="shared" si="11"/>
        <v>2175.8487914922475</v>
      </c>
      <c r="G51" s="190">
        <f t="shared" si="11"/>
        <v>2759</v>
      </c>
      <c r="H51" s="190">
        <f t="shared" si="11"/>
        <v>38.69265799140554</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80" zoomScaleNormal="80" workbookViewId="0">
      <pane ySplit="14" topLeftCell="A15" activePane="bottomLeft" state="frozen"/>
      <selection pane="bottomLeft" activeCell="I17" sqref="I17"/>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5" t="s">
        <v>171</v>
      </c>
      <c r="C4" s="85" t="s">
        <v>175</v>
      </c>
      <c r="D4" s="85"/>
      <c r="E4" s="49"/>
    </row>
    <row r="5" spans="1:26" s="18" customFormat="1" ht="26.25" hidden="1" customHeight="1" outlineLevel="1" thickBot="1">
      <c r="A5" s="4"/>
      <c r="B5" s="805"/>
      <c r="C5" s="86" t="s">
        <v>172</v>
      </c>
      <c r="D5" s="86"/>
      <c r="E5" s="49"/>
    </row>
    <row r="6" spans="1:26" ht="26.25" hidden="1" customHeight="1" outlineLevel="1" thickBot="1">
      <c r="B6" s="805"/>
      <c r="C6" s="808" t="s">
        <v>551</v>
      </c>
      <c r="D6" s="809"/>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528</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803" t="s">
        <v>617</v>
      </c>
      <c r="C12" s="803"/>
      <c r="D12" s="803"/>
      <c r="E12" s="803"/>
      <c r="F12" s="803"/>
      <c r="G12" s="803"/>
      <c r="H12" s="803"/>
      <c r="I12" s="803"/>
      <c r="J12" s="803"/>
      <c r="K12" s="803"/>
      <c r="L12" s="803"/>
      <c r="M12" s="803"/>
      <c r="N12" s="803"/>
      <c r="O12" s="803"/>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721</v>
      </c>
      <c r="E14" s="472" t="s">
        <v>722</v>
      </c>
      <c r="F14" s="472" t="s">
        <v>723</v>
      </c>
      <c r="G14" s="472" t="s">
        <v>724</v>
      </c>
      <c r="H14" s="472" t="s">
        <v>725</v>
      </c>
      <c r="I14" s="472" t="s">
        <v>726</v>
      </c>
      <c r="J14" s="472" t="s">
        <v>565</v>
      </c>
      <c r="K14" s="472" t="s">
        <v>727</v>
      </c>
      <c r="L14" s="472" t="s">
        <v>728</v>
      </c>
      <c r="M14" s="472" t="s">
        <v>735</v>
      </c>
      <c r="N14" s="472" t="s">
        <v>566</v>
      </c>
      <c r="O14" s="472" t="s">
        <v>567</v>
      </c>
      <c r="P14" s="7"/>
    </row>
    <row r="15" spans="1:26" s="7" customFormat="1" ht="18.75" customHeight="1">
      <c r="B15" s="473" t="s">
        <v>188</v>
      </c>
      <c r="C15" s="806"/>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01"/>
      <c r="D16" s="477"/>
      <c r="E16" s="477"/>
      <c r="F16" s="477"/>
      <c r="G16" s="477"/>
      <c r="H16" s="477"/>
      <c r="I16" s="477">
        <v>4</v>
      </c>
      <c r="J16" s="477">
        <v>4</v>
      </c>
      <c r="K16" s="477"/>
      <c r="L16" s="477"/>
      <c r="M16" s="477"/>
      <c r="N16" s="477"/>
      <c r="O16" s="478"/>
    </row>
    <row r="17" spans="1:15" s="111" customFormat="1" ht="17.25" customHeight="1">
      <c r="B17" s="479" t="s">
        <v>560</v>
      </c>
      <c r="C17" s="807"/>
      <c r="D17" s="112">
        <v>8</v>
      </c>
      <c r="E17" s="112">
        <v>8</v>
      </c>
      <c r="F17" s="112">
        <v>8</v>
      </c>
      <c r="G17" s="112">
        <v>8</v>
      </c>
      <c r="H17" s="112">
        <v>8</v>
      </c>
      <c r="I17" s="112">
        <v>8</v>
      </c>
      <c r="J17" s="112">
        <v>8</v>
      </c>
      <c r="K17" s="112">
        <v>12</v>
      </c>
      <c r="L17" s="112">
        <v>12</v>
      </c>
      <c r="M17" s="112">
        <f t="shared" ref="M17:O17" si="0">12-M16</f>
        <v>12</v>
      </c>
      <c r="N17" s="112">
        <f t="shared" si="0"/>
        <v>12</v>
      </c>
      <c r="O17" s="113">
        <f t="shared" si="0"/>
        <v>12</v>
      </c>
    </row>
    <row r="18" spans="1:15" s="7" customFormat="1" ht="17.25" customHeight="1">
      <c r="B18" s="480" t="str">
        <f>'1.  LRAMVA Summary'!B29</f>
        <v>Residential</v>
      </c>
      <c r="C18" s="800" t="str">
        <f>'2. LRAMVA Threshold'!D43</f>
        <v>kWh</v>
      </c>
      <c r="D18" s="46">
        <v>1.49E-2</v>
      </c>
      <c r="E18" s="46">
        <v>1.46E-2</v>
      </c>
      <c r="F18" s="46">
        <v>1.44E-2</v>
      </c>
      <c r="G18" s="46">
        <v>1.4200000000000001E-2</v>
      </c>
      <c r="H18" s="46">
        <v>1.44E-2</v>
      </c>
      <c r="I18" s="46">
        <v>1.4500000000000001E-2</v>
      </c>
      <c r="J18" s="46">
        <v>1.4500000000000001E-2</v>
      </c>
      <c r="K18" s="46">
        <v>1.15E-2</v>
      </c>
      <c r="L18" s="46">
        <v>7.7999999999999996E-3</v>
      </c>
      <c r="M18" s="46">
        <v>3.8999999999999998E-3</v>
      </c>
      <c r="N18" s="46"/>
      <c r="O18" s="69"/>
    </row>
    <row r="19" spans="1:15" s="7" customFormat="1" ht="15" customHeight="1" outlineLevel="1">
      <c r="B19" s="536" t="s">
        <v>511</v>
      </c>
      <c r="C19" s="801"/>
      <c r="D19" s="46"/>
      <c r="E19" s="46"/>
      <c r="F19" s="46"/>
      <c r="G19" s="46"/>
      <c r="H19" s="46"/>
      <c r="I19" s="46"/>
      <c r="J19" s="46"/>
      <c r="K19" s="46"/>
      <c r="L19" s="46"/>
      <c r="M19" s="46"/>
      <c r="N19" s="46"/>
      <c r="O19" s="69"/>
    </row>
    <row r="20" spans="1:15" s="7" customFormat="1" ht="15" customHeight="1" outlineLevel="1">
      <c r="B20" s="536" t="s">
        <v>512</v>
      </c>
      <c r="C20" s="801"/>
      <c r="D20" s="46"/>
      <c r="E20" s="46"/>
      <c r="F20" s="46"/>
      <c r="G20" s="46"/>
      <c r="H20" s="46"/>
      <c r="I20" s="46"/>
      <c r="J20" s="46"/>
      <c r="K20" s="46"/>
      <c r="L20" s="46"/>
      <c r="M20" s="46"/>
      <c r="N20" s="46"/>
      <c r="O20" s="69"/>
    </row>
    <row r="21" spans="1:15" s="7" customFormat="1" ht="15" customHeight="1" outlineLevel="1">
      <c r="B21" s="536" t="s">
        <v>490</v>
      </c>
      <c r="C21" s="801"/>
      <c r="D21" s="46"/>
      <c r="E21" s="46"/>
      <c r="F21" s="46"/>
      <c r="G21" s="46"/>
      <c r="H21" s="46"/>
      <c r="I21" s="46"/>
      <c r="J21" s="46"/>
      <c r="K21" s="46"/>
      <c r="L21" s="46"/>
      <c r="M21" s="46"/>
      <c r="N21" s="46"/>
      <c r="O21" s="69"/>
    </row>
    <row r="22" spans="1:15" s="7" customFormat="1" ht="14.25" customHeight="1">
      <c r="B22" s="536" t="s">
        <v>513</v>
      </c>
      <c r="C22" s="802"/>
      <c r="D22" s="65">
        <f>SUM(D18:D21)</f>
        <v>1.49E-2</v>
      </c>
      <c r="E22" s="65">
        <f>SUM(E18:E21)</f>
        <v>1.46E-2</v>
      </c>
      <c r="F22" s="65">
        <f>SUM(F18:F21)</f>
        <v>1.44E-2</v>
      </c>
      <c r="G22" s="65">
        <f t="shared" ref="G22:N22" si="1">SUM(G18:G21)</f>
        <v>1.4200000000000001E-2</v>
      </c>
      <c r="H22" s="65">
        <f t="shared" si="1"/>
        <v>1.44E-2</v>
      </c>
      <c r="I22" s="65">
        <f t="shared" si="1"/>
        <v>1.4500000000000001E-2</v>
      </c>
      <c r="J22" s="65">
        <f t="shared" si="1"/>
        <v>1.4500000000000001E-2</v>
      </c>
      <c r="K22" s="65">
        <f t="shared" si="1"/>
        <v>1.15E-2</v>
      </c>
      <c r="L22" s="65">
        <f t="shared" si="1"/>
        <v>7.7999999999999996E-3</v>
      </c>
      <c r="M22" s="65">
        <f t="shared" si="1"/>
        <v>3.8999999999999998E-3</v>
      </c>
      <c r="N22" s="65">
        <f t="shared" si="1"/>
        <v>0</v>
      </c>
      <c r="O22" s="76"/>
    </row>
    <row r="23" spans="1:15" s="63" customFormat="1">
      <c r="A23" s="62"/>
      <c r="B23" s="492" t="s">
        <v>514</v>
      </c>
      <c r="C23" s="482"/>
      <c r="D23" s="483"/>
      <c r="E23" s="484">
        <f>ROUND(SUM(D22*E16+E22*E17)/12,4)</f>
        <v>9.7000000000000003E-3</v>
      </c>
      <c r="F23" s="484">
        <f>ROUND(SUM(E22*F16+F22*F17)/12,4)</f>
        <v>9.5999999999999992E-3</v>
      </c>
      <c r="G23" s="484">
        <f>ROUND(SUM(F22*G16+G22*G17)/12,4)</f>
        <v>9.4999999999999998E-3</v>
      </c>
      <c r="H23" s="484">
        <f>ROUND(SUM(G22*H16+H22*H17)/12,4)</f>
        <v>9.5999999999999992E-3</v>
      </c>
      <c r="I23" s="484">
        <f>ROUND(SUM(H22*I16+I22*I17)/12,4)</f>
        <v>1.4500000000000001E-2</v>
      </c>
      <c r="J23" s="484">
        <f t="shared" ref="J23:N23" si="2">ROUND(SUM(I22*J16+J22*J17)/12,4)</f>
        <v>1.4500000000000001E-2</v>
      </c>
      <c r="K23" s="484">
        <f t="shared" si="2"/>
        <v>1.15E-2</v>
      </c>
      <c r="L23" s="484">
        <f t="shared" si="2"/>
        <v>7.7999999999999996E-3</v>
      </c>
      <c r="M23" s="484">
        <f t="shared" si="2"/>
        <v>3.8999999999999998E-3</v>
      </c>
      <c r="N23" s="484">
        <f t="shared" si="2"/>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00" t="str">
        <f>'2. LRAMVA Threshold'!E43</f>
        <v>kWh</v>
      </c>
      <c r="D25" s="46">
        <v>1.32E-2</v>
      </c>
      <c r="E25" s="46">
        <v>1.3299999999999999E-2</v>
      </c>
      <c r="F25" s="46">
        <v>1.34E-2</v>
      </c>
      <c r="G25" s="46">
        <v>1.35E-2</v>
      </c>
      <c r="H25" s="46">
        <v>1.3599999999999999E-2</v>
      </c>
      <c r="I25" s="46">
        <v>1.37E-2</v>
      </c>
      <c r="J25" s="46">
        <v>1.37E-2</v>
      </c>
      <c r="K25" s="46">
        <v>1.5299999999999999E-2</v>
      </c>
      <c r="L25" s="46">
        <v>1.54E-2</v>
      </c>
      <c r="M25" s="46">
        <v>1.5599999999999999E-2</v>
      </c>
      <c r="N25" s="46"/>
      <c r="O25" s="69"/>
    </row>
    <row r="26" spans="1:15" s="18" customFormat="1" outlineLevel="1">
      <c r="A26" s="4"/>
      <c r="B26" s="536" t="s">
        <v>511</v>
      </c>
      <c r="C26" s="801"/>
      <c r="D26" s="46"/>
      <c r="E26" s="46"/>
      <c r="F26" s="46"/>
      <c r="G26" s="46"/>
      <c r="H26" s="46"/>
      <c r="I26" s="46"/>
      <c r="J26" s="46"/>
      <c r="K26" s="46"/>
      <c r="L26" s="46"/>
      <c r="M26" s="46"/>
      <c r="N26" s="46"/>
      <c r="O26" s="69"/>
    </row>
    <row r="27" spans="1:15" s="18" customFormat="1" outlineLevel="1">
      <c r="A27" s="4"/>
      <c r="B27" s="536" t="s">
        <v>512</v>
      </c>
      <c r="C27" s="801"/>
      <c r="D27" s="46"/>
      <c r="E27" s="46"/>
      <c r="F27" s="46"/>
      <c r="G27" s="46"/>
      <c r="H27" s="46"/>
      <c r="I27" s="46"/>
      <c r="J27" s="46"/>
      <c r="K27" s="46"/>
      <c r="L27" s="46"/>
      <c r="M27" s="46"/>
      <c r="N27" s="46"/>
      <c r="O27" s="69"/>
    </row>
    <row r="28" spans="1:15" s="18" customFormat="1" outlineLevel="1">
      <c r="A28" s="4"/>
      <c r="B28" s="536" t="s">
        <v>490</v>
      </c>
      <c r="C28" s="801"/>
      <c r="D28" s="46"/>
      <c r="E28" s="46"/>
      <c r="F28" s="46"/>
      <c r="G28" s="46"/>
      <c r="H28" s="46"/>
      <c r="I28" s="46"/>
      <c r="J28" s="46"/>
      <c r="K28" s="46"/>
      <c r="L28" s="46"/>
      <c r="M28" s="46"/>
      <c r="N28" s="46"/>
      <c r="O28" s="69"/>
    </row>
    <row r="29" spans="1:15" s="18" customFormat="1">
      <c r="A29" s="4"/>
      <c r="B29" s="536" t="s">
        <v>513</v>
      </c>
      <c r="C29" s="802"/>
      <c r="D29" s="65">
        <f>SUM(D25:D28)</f>
        <v>1.32E-2</v>
      </c>
      <c r="E29" s="65">
        <f t="shared" ref="E29:N29" si="3">SUM(E25:E28)</f>
        <v>1.3299999999999999E-2</v>
      </c>
      <c r="F29" s="65">
        <f t="shared" si="3"/>
        <v>1.34E-2</v>
      </c>
      <c r="G29" s="65">
        <f t="shared" si="3"/>
        <v>1.35E-2</v>
      </c>
      <c r="H29" s="65">
        <f t="shared" si="3"/>
        <v>1.3599999999999999E-2</v>
      </c>
      <c r="I29" s="65">
        <f t="shared" si="3"/>
        <v>1.37E-2</v>
      </c>
      <c r="J29" s="65">
        <f t="shared" si="3"/>
        <v>1.37E-2</v>
      </c>
      <c r="K29" s="65">
        <f t="shared" si="3"/>
        <v>1.5299999999999999E-2</v>
      </c>
      <c r="L29" s="65">
        <f t="shared" si="3"/>
        <v>1.54E-2</v>
      </c>
      <c r="M29" s="65">
        <f t="shared" si="3"/>
        <v>1.5599999999999999E-2</v>
      </c>
      <c r="N29" s="65">
        <f t="shared" si="3"/>
        <v>0</v>
      </c>
      <c r="O29" s="76"/>
    </row>
    <row r="30" spans="1:15" s="18" customFormat="1">
      <c r="A30" s="4"/>
      <c r="B30" s="492" t="s">
        <v>514</v>
      </c>
      <c r="C30" s="488"/>
      <c r="D30" s="71"/>
      <c r="E30" s="484">
        <f>ROUND(SUM(D29*E16+E29*E17)/12,4)</f>
        <v>8.8999999999999999E-3</v>
      </c>
      <c r="F30" s="484">
        <f t="shared" ref="F30:N30" si="4">ROUND(SUM(E29*F16+F29*F17)/12,4)</f>
        <v>8.8999999999999999E-3</v>
      </c>
      <c r="G30" s="484">
        <f t="shared" si="4"/>
        <v>8.9999999999999993E-3</v>
      </c>
      <c r="H30" s="484">
        <f t="shared" si="4"/>
        <v>9.1000000000000004E-3</v>
      </c>
      <c r="I30" s="484">
        <f t="shared" si="4"/>
        <v>1.37E-2</v>
      </c>
      <c r="J30" s="484">
        <f>ROUND(SUM(I29*J16+J29*J17)/12,4)</f>
        <v>1.37E-2</v>
      </c>
      <c r="K30" s="484">
        <f t="shared" si="4"/>
        <v>1.5299999999999999E-2</v>
      </c>
      <c r="L30" s="484">
        <f t="shared" si="4"/>
        <v>1.54E-2</v>
      </c>
      <c r="M30" s="484">
        <f t="shared" si="4"/>
        <v>1.5599999999999999E-2</v>
      </c>
      <c r="N30" s="484">
        <f t="shared" si="4"/>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GS"50kW</v>
      </c>
      <c r="C32" s="800" t="str">
        <f>'2. LRAMVA Threshold'!F43</f>
        <v>kW</v>
      </c>
      <c r="D32" s="46">
        <v>2.1682999999999999</v>
      </c>
      <c r="E32" s="46">
        <v>2.2841</v>
      </c>
      <c r="F32" s="46">
        <v>2.3902999999999999</v>
      </c>
      <c r="G32" s="46">
        <v>2.4807000000000001</v>
      </c>
      <c r="H32" s="46">
        <v>2.508</v>
      </c>
      <c r="I32" s="46">
        <v>2.5331000000000001</v>
      </c>
      <c r="J32" s="46">
        <v>2.5331000000000001</v>
      </c>
      <c r="K32" s="46">
        <v>2.8635999999999999</v>
      </c>
      <c r="L32" s="46">
        <v>3.0051999999999999</v>
      </c>
      <c r="M32" s="46">
        <v>3.0594999999999999</v>
      </c>
      <c r="N32" s="46"/>
      <c r="O32" s="69"/>
    </row>
    <row r="33" spans="1:15" s="18" customFormat="1" outlineLevel="1">
      <c r="A33" s="4"/>
      <c r="B33" s="536" t="s">
        <v>511</v>
      </c>
      <c r="C33" s="801"/>
      <c r="D33" s="46"/>
      <c r="E33" s="46"/>
      <c r="F33" s="46"/>
      <c r="G33" s="46"/>
      <c r="H33" s="46"/>
      <c r="I33" s="46"/>
      <c r="J33" s="46"/>
      <c r="K33" s="46"/>
      <c r="L33" s="46"/>
      <c r="M33" s="46"/>
      <c r="N33" s="46"/>
      <c r="O33" s="69"/>
    </row>
    <row r="34" spans="1:15" s="18" customFormat="1" outlineLevel="1">
      <c r="A34" s="4"/>
      <c r="B34" s="536" t="s">
        <v>512</v>
      </c>
      <c r="C34" s="801"/>
      <c r="D34" s="46"/>
      <c r="E34" s="46"/>
      <c r="F34" s="46"/>
      <c r="G34" s="46"/>
      <c r="H34" s="46"/>
      <c r="I34" s="46"/>
      <c r="J34" s="46"/>
      <c r="K34" s="46"/>
      <c r="L34" s="46"/>
      <c r="M34" s="46"/>
      <c r="N34" s="46"/>
      <c r="O34" s="69"/>
    </row>
    <row r="35" spans="1:15" s="18" customFormat="1" outlineLevel="1">
      <c r="A35" s="4"/>
      <c r="B35" s="536" t="s">
        <v>490</v>
      </c>
      <c r="C35" s="801"/>
      <c r="D35" s="46"/>
      <c r="E35" s="46"/>
      <c r="F35" s="46"/>
      <c r="G35" s="46"/>
      <c r="H35" s="46"/>
      <c r="I35" s="46"/>
      <c r="J35" s="46"/>
      <c r="K35" s="46"/>
      <c r="L35" s="46"/>
      <c r="M35" s="46"/>
      <c r="N35" s="46"/>
      <c r="O35" s="69"/>
    </row>
    <row r="36" spans="1:15" s="18" customFormat="1">
      <c r="A36" s="4"/>
      <c r="B36" s="536" t="s">
        <v>513</v>
      </c>
      <c r="C36" s="802"/>
      <c r="D36" s="65">
        <f>SUM(D32:D35)</f>
        <v>2.1682999999999999</v>
      </c>
      <c r="E36" s="65">
        <f>SUM(E32:E35)</f>
        <v>2.2841</v>
      </c>
      <c r="F36" s="65">
        <f t="shared" ref="F36:M36" si="5">SUM(F32:F35)</f>
        <v>2.3902999999999999</v>
      </c>
      <c r="G36" s="65">
        <f t="shared" si="5"/>
        <v>2.4807000000000001</v>
      </c>
      <c r="H36" s="65">
        <f t="shared" si="5"/>
        <v>2.508</v>
      </c>
      <c r="I36" s="65">
        <f t="shared" si="5"/>
        <v>2.5331000000000001</v>
      </c>
      <c r="J36" s="65">
        <f t="shared" si="5"/>
        <v>2.5331000000000001</v>
      </c>
      <c r="K36" s="65">
        <f t="shared" si="5"/>
        <v>2.8635999999999999</v>
      </c>
      <c r="L36" s="65">
        <f t="shared" si="5"/>
        <v>3.0051999999999999</v>
      </c>
      <c r="M36" s="65">
        <f t="shared" si="5"/>
        <v>3.0594999999999999</v>
      </c>
      <c r="N36" s="65">
        <f>SUM(N32:N35)</f>
        <v>0</v>
      </c>
      <c r="O36" s="76"/>
    </row>
    <row r="37" spans="1:15" s="18" customFormat="1">
      <c r="A37" s="4"/>
      <c r="B37" s="492" t="s">
        <v>514</v>
      </c>
      <c r="C37" s="488"/>
      <c r="D37" s="71"/>
      <c r="E37" s="484">
        <f t="shared" ref="E37:N37" si="6">ROUND(SUM(D36*E16+E36*E17)/12,4)</f>
        <v>1.5226999999999999</v>
      </c>
      <c r="F37" s="484">
        <f t="shared" si="6"/>
        <v>1.5934999999999999</v>
      </c>
      <c r="G37" s="484">
        <f t="shared" si="6"/>
        <v>1.6537999999999999</v>
      </c>
      <c r="H37" s="484">
        <f t="shared" si="6"/>
        <v>1.6719999999999999</v>
      </c>
      <c r="I37" s="484">
        <f t="shared" si="6"/>
        <v>2.5247000000000002</v>
      </c>
      <c r="J37" s="484">
        <f t="shared" si="6"/>
        <v>2.5331000000000001</v>
      </c>
      <c r="K37" s="484">
        <f t="shared" si="6"/>
        <v>2.8635999999999999</v>
      </c>
      <c r="L37" s="484">
        <f t="shared" si="6"/>
        <v>3.0051999999999999</v>
      </c>
      <c r="M37" s="484">
        <f t="shared" si="6"/>
        <v>3.0594999999999999</v>
      </c>
      <c r="N37" s="484">
        <f t="shared" si="6"/>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USL</v>
      </c>
      <c r="C39" s="800" t="str">
        <f>'2. LRAMVA Threshold'!G43</f>
        <v>kWh</v>
      </c>
      <c r="D39" s="46">
        <v>7.4000000000000003E-3</v>
      </c>
      <c r="E39" s="46">
        <v>8.0999999999999996E-3</v>
      </c>
      <c r="F39" s="46">
        <v>8.9999999999999993E-3</v>
      </c>
      <c r="G39" s="46">
        <v>9.7000000000000003E-3</v>
      </c>
      <c r="H39" s="46">
        <v>9.7999999999999997E-3</v>
      </c>
      <c r="I39" s="46">
        <v>9.9000000000000008E-3</v>
      </c>
      <c r="J39" s="46">
        <v>9.9000000000000008E-3</v>
      </c>
      <c r="K39" s="46">
        <v>2.8999999999999998E-3</v>
      </c>
      <c r="L39" s="46">
        <v>2.0999999999999999E-3</v>
      </c>
      <c r="M39" s="46">
        <v>1.6000000000000001E-3</v>
      </c>
      <c r="N39" s="46"/>
      <c r="O39" s="69"/>
    </row>
    <row r="40" spans="1:15" s="18" customFormat="1" outlineLevel="1">
      <c r="A40" s="4"/>
      <c r="B40" s="536" t="s">
        <v>511</v>
      </c>
      <c r="C40" s="801"/>
      <c r="D40" s="46"/>
      <c r="E40" s="46"/>
      <c r="F40" s="46"/>
      <c r="G40" s="46"/>
      <c r="H40" s="46"/>
      <c r="I40" s="46"/>
      <c r="J40" s="46"/>
      <c r="K40" s="46"/>
      <c r="L40" s="46"/>
      <c r="M40" s="46"/>
      <c r="N40" s="46"/>
      <c r="O40" s="69"/>
    </row>
    <row r="41" spans="1:15" s="18" customFormat="1" outlineLevel="1">
      <c r="A41" s="4"/>
      <c r="B41" s="536" t="s">
        <v>512</v>
      </c>
      <c r="C41" s="801"/>
      <c r="D41" s="46"/>
      <c r="E41" s="46"/>
      <c r="F41" s="46"/>
      <c r="G41" s="46"/>
      <c r="H41" s="46"/>
      <c r="I41" s="46"/>
      <c r="J41" s="46"/>
      <c r="K41" s="46"/>
      <c r="L41" s="46"/>
      <c r="M41" s="46"/>
      <c r="N41" s="46"/>
      <c r="O41" s="69"/>
    </row>
    <row r="42" spans="1:15" s="18" customFormat="1" outlineLevel="1">
      <c r="A42" s="4"/>
      <c r="B42" s="536" t="s">
        <v>490</v>
      </c>
      <c r="C42" s="801"/>
      <c r="D42" s="46"/>
      <c r="E42" s="46"/>
      <c r="F42" s="46"/>
      <c r="G42" s="46"/>
      <c r="H42" s="46"/>
      <c r="I42" s="46"/>
      <c r="J42" s="46"/>
      <c r="K42" s="46"/>
      <c r="L42" s="46"/>
      <c r="M42" s="46"/>
      <c r="N42" s="46"/>
      <c r="O42" s="69"/>
    </row>
    <row r="43" spans="1:15" s="18" customFormat="1">
      <c r="A43" s="4"/>
      <c r="B43" s="536" t="s">
        <v>513</v>
      </c>
      <c r="C43" s="802"/>
      <c r="D43" s="65">
        <f>SUM(D39:D42)</f>
        <v>7.4000000000000003E-3</v>
      </c>
      <c r="E43" s="65">
        <f t="shared" ref="E43:N43" si="7">SUM(E39:E42)</f>
        <v>8.0999999999999996E-3</v>
      </c>
      <c r="F43" s="65">
        <f t="shared" si="7"/>
        <v>8.9999999999999993E-3</v>
      </c>
      <c r="G43" s="65">
        <f t="shared" si="7"/>
        <v>9.7000000000000003E-3</v>
      </c>
      <c r="H43" s="65">
        <f t="shared" si="7"/>
        <v>9.7999999999999997E-3</v>
      </c>
      <c r="I43" s="65">
        <f t="shared" si="7"/>
        <v>9.9000000000000008E-3</v>
      </c>
      <c r="J43" s="65">
        <f t="shared" si="7"/>
        <v>9.9000000000000008E-3</v>
      </c>
      <c r="K43" s="65">
        <f t="shared" si="7"/>
        <v>2.8999999999999998E-3</v>
      </c>
      <c r="L43" s="65">
        <f t="shared" si="7"/>
        <v>2.0999999999999999E-3</v>
      </c>
      <c r="M43" s="65">
        <f t="shared" si="7"/>
        <v>1.6000000000000001E-3</v>
      </c>
      <c r="N43" s="65">
        <f t="shared" si="7"/>
        <v>0</v>
      </c>
      <c r="O43" s="76"/>
    </row>
    <row r="44" spans="1:15" s="14" customFormat="1">
      <c r="A44" s="72"/>
      <c r="B44" s="492" t="s">
        <v>514</v>
      </c>
      <c r="C44" s="488"/>
      <c r="D44" s="71"/>
      <c r="E44" s="484">
        <f t="shared" ref="E44:N44" si="8">ROUND(SUM(D43*E16+E43*E17)/12,4)</f>
        <v>5.4000000000000003E-3</v>
      </c>
      <c r="F44" s="484">
        <f t="shared" si="8"/>
        <v>6.0000000000000001E-3</v>
      </c>
      <c r="G44" s="484">
        <f t="shared" si="8"/>
        <v>6.4999999999999997E-3</v>
      </c>
      <c r="H44" s="484">
        <f t="shared" si="8"/>
        <v>6.4999999999999997E-3</v>
      </c>
      <c r="I44" s="484">
        <f t="shared" si="8"/>
        <v>9.9000000000000008E-3</v>
      </c>
      <c r="J44" s="484">
        <f t="shared" si="8"/>
        <v>9.9000000000000008E-3</v>
      </c>
      <c r="K44" s="484">
        <f t="shared" si="8"/>
        <v>2.8999999999999998E-3</v>
      </c>
      <c r="L44" s="484">
        <f t="shared" si="8"/>
        <v>2.0999999999999999E-3</v>
      </c>
      <c r="M44" s="484">
        <f t="shared" si="8"/>
        <v>1.6000000000000001E-3</v>
      </c>
      <c r="N44" s="484">
        <f t="shared" si="8"/>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Streetlights</v>
      </c>
      <c r="C46" s="800" t="str">
        <f>'2. LRAMVA Threshold'!H43</f>
        <v>kW</v>
      </c>
      <c r="D46" s="46">
        <v>3.6732</v>
      </c>
      <c r="E46" s="46">
        <v>4.8878000000000004</v>
      </c>
      <c r="F46" s="46">
        <v>6.0431999999999997</v>
      </c>
      <c r="G46" s="46">
        <v>7.0983999999999998</v>
      </c>
      <c r="H46" s="46">
        <v>7.1764999999999999</v>
      </c>
      <c r="I46" s="46">
        <v>7.2483000000000004</v>
      </c>
      <c r="J46" s="46">
        <v>7.2483000000000004</v>
      </c>
      <c r="K46" s="46">
        <v>5.7111999999999998</v>
      </c>
      <c r="L46" s="46">
        <v>4.1649000000000003</v>
      </c>
      <c r="M46" s="46">
        <v>4.2149000000000001</v>
      </c>
      <c r="N46" s="46"/>
      <c r="O46" s="69"/>
    </row>
    <row r="47" spans="1:15" s="18" customFormat="1" outlineLevel="1">
      <c r="A47" s="4"/>
      <c r="B47" s="536" t="s">
        <v>511</v>
      </c>
      <c r="C47" s="801"/>
      <c r="D47" s="46"/>
      <c r="E47" s="46"/>
      <c r="F47" s="46"/>
      <c r="G47" s="46"/>
      <c r="H47" s="46"/>
      <c r="I47" s="46"/>
      <c r="J47" s="46"/>
      <c r="K47" s="46"/>
      <c r="L47" s="46"/>
      <c r="M47" s="46"/>
      <c r="N47" s="46"/>
      <c r="O47" s="69"/>
    </row>
    <row r="48" spans="1:15" s="18" customFormat="1" outlineLevel="1">
      <c r="A48" s="4"/>
      <c r="B48" s="536" t="s">
        <v>512</v>
      </c>
      <c r="C48" s="801"/>
      <c r="D48" s="46"/>
      <c r="E48" s="46"/>
      <c r="F48" s="46"/>
      <c r="G48" s="46"/>
      <c r="H48" s="46"/>
      <c r="I48" s="46"/>
      <c r="J48" s="46"/>
      <c r="K48" s="46"/>
      <c r="L48" s="46"/>
      <c r="M48" s="46"/>
      <c r="N48" s="46"/>
      <c r="O48" s="69"/>
    </row>
    <row r="49" spans="1:15" s="18" customFormat="1" outlineLevel="1">
      <c r="A49" s="4"/>
      <c r="B49" s="536" t="s">
        <v>490</v>
      </c>
      <c r="C49" s="801"/>
      <c r="D49" s="46"/>
      <c r="E49" s="46"/>
      <c r="F49" s="46"/>
      <c r="G49" s="46"/>
      <c r="H49" s="46"/>
      <c r="I49" s="46"/>
      <c r="J49" s="46"/>
      <c r="K49" s="46"/>
      <c r="L49" s="46"/>
      <c r="M49" s="46"/>
      <c r="N49" s="46"/>
      <c r="O49" s="69"/>
    </row>
    <row r="50" spans="1:15" s="18" customFormat="1">
      <c r="A50" s="4"/>
      <c r="B50" s="536" t="s">
        <v>513</v>
      </c>
      <c r="C50" s="802"/>
      <c r="D50" s="65">
        <f>SUM(D46:D49)</f>
        <v>3.6732</v>
      </c>
      <c r="E50" s="65">
        <f t="shared" ref="E50:N50" si="9">SUM(E46:E49)</f>
        <v>4.8878000000000004</v>
      </c>
      <c r="F50" s="65">
        <f t="shared" si="9"/>
        <v>6.0431999999999997</v>
      </c>
      <c r="G50" s="65">
        <f t="shared" si="9"/>
        <v>7.0983999999999998</v>
      </c>
      <c r="H50" s="65">
        <f t="shared" si="9"/>
        <v>7.1764999999999999</v>
      </c>
      <c r="I50" s="65">
        <f t="shared" si="9"/>
        <v>7.2483000000000004</v>
      </c>
      <c r="J50" s="65">
        <f t="shared" si="9"/>
        <v>7.2483000000000004</v>
      </c>
      <c r="K50" s="65">
        <f t="shared" si="9"/>
        <v>5.7111999999999998</v>
      </c>
      <c r="L50" s="65">
        <f t="shared" si="9"/>
        <v>4.1649000000000003</v>
      </c>
      <c r="M50" s="65">
        <f t="shared" si="9"/>
        <v>4.2149000000000001</v>
      </c>
      <c r="N50" s="65">
        <f t="shared" si="9"/>
        <v>0</v>
      </c>
      <c r="O50" s="76"/>
    </row>
    <row r="51" spans="1:15" s="14" customFormat="1">
      <c r="A51" s="72"/>
      <c r="B51" s="492" t="s">
        <v>514</v>
      </c>
      <c r="C51" s="488"/>
      <c r="D51" s="71"/>
      <c r="E51" s="484">
        <f t="shared" ref="E51:N51" si="10">ROUND(SUM(D50*E16+E50*E17)/12,4)</f>
        <v>3.2585000000000002</v>
      </c>
      <c r="F51" s="484">
        <f t="shared" si="10"/>
        <v>4.0288000000000004</v>
      </c>
      <c r="G51" s="484">
        <f t="shared" si="10"/>
        <v>4.7323000000000004</v>
      </c>
      <c r="H51" s="484">
        <f t="shared" si="10"/>
        <v>4.7843</v>
      </c>
      <c r="I51" s="484">
        <f t="shared" si="10"/>
        <v>7.2244000000000002</v>
      </c>
      <c r="J51" s="484">
        <f t="shared" si="10"/>
        <v>7.2483000000000004</v>
      </c>
      <c r="K51" s="484">
        <f t="shared" si="10"/>
        <v>5.7111999999999998</v>
      </c>
      <c r="L51" s="484">
        <f t="shared" si="10"/>
        <v>4.1649000000000003</v>
      </c>
      <c r="M51" s="484">
        <f t="shared" si="10"/>
        <v>4.2149000000000001</v>
      </c>
      <c r="N51" s="484">
        <f t="shared" si="10"/>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f>'1.  LRAMVA Summary'!B34</f>
        <v>0</v>
      </c>
      <c r="C53" s="800">
        <f>'2. LRAMVA Threshold'!I43</f>
        <v>0</v>
      </c>
      <c r="D53" s="46"/>
      <c r="E53" s="46"/>
      <c r="F53" s="46"/>
      <c r="G53" s="46"/>
      <c r="H53" s="46"/>
      <c r="I53" s="46"/>
      <c r="J53" s="46"/>
      <c r="K53" s="46"/>
      <c r="L53" s="46"/>
      <c r="M53" s="46"/>
      <c r="N53" s="46"/>
      <c r="O53" s="69"/>
    </row>
    <row r="54" spans="1:15" s="18" customFormat="1" outlineLevel="1">
      <c r="A54" s="4"/>
      <c r="B54" s="536" t="s">
        <v>511</v>
      </c>
      <c r="C54" s="801"/>
      <c r="D54" s="46"/>
      <c r="E54" s="46"/>
      <c r="F54" s="46"/>
      <c r="G54" s="46"/>
      <c r="H54" s="46"/>
      <c r="I54" s="46"/>
      <c r="J54" s="46"/>
      <c r="K54" s="46"/>
      <c r="L54" s="46"/>
      <c r="M54" s="46"/>
      <c r="N54" s="46"/>
      <c r="O54" s="69"/>
    </row>
    <row r="55" spans="1:15" s="18" customFormat="1" outlineLevel="1">
      <c r="A55" s="4"/>
      <c r="B55" s="536" t="s">
        <v>512</v>
      </c>
      <c r="C55" s="801"/>
      <c r="D55" s="46"/>
      <c r="E55" s="46"/>
      <c r="F55" s="46"/>
      <c r="G55" s="46"/>
      <c r="H55" s="46"/>
      <c r="I55" s="46"/>
      <c r="J55" s="46"/>
      <c r="K55" s="46"/>
      <c r="L55" s="46"/>
      <c r="M55" s="46"/>
      <c r="N55" s="46"/>
      <c r="O55" s="69"/>
    </row>
    <row r="56" spans="1:15" s="18" customFormat="1" outlineLevel="1">
      <c r="A56" s="4"/>
      <c r="B56" s="536" t="s">
        <v>490</v>
      </c>
      <c r="C56" s="801"/>
      <c r="D56" s="46"/>
      <c r="E56" s="46"/>
      <c r="F56" s="46"/>
      <c r="G56" s="46"/>
      <c r="H56" s="46"/>
      <c r="I56" s="46"/>
      <c r="J56" s="46"/>
      <c r="K56" s="46"/>
      <c r="L56" s="46"/>
      <c r="M56" s="46"/>
      <c r="N56" s="46"/>
      <c r="O56" s="69"/>
    </row>
    <row r="57" spans="1:15" s="18" customFormat="1">
      <c r="A57" s="4"/>
      <c r="B57" s="536" t="s">
        <v>513</v>
      </c>
      <c r="C57" s="802"/>
      <c r="D57" s="65">
        <f>SUM(D53:D56)</f>
        <v>0</v>
      </c>
      <c r="E57" s="65">
        <f t="shared" ref="E57:N57" si="11">SUM(E53:E56)</f>
        <v>0</v>
      </c>
      <c r="F57" s="65">
        <f t="shared" si="11"/>
        <v>0</v>
      </c>
      <c r="G57" s="65">
        <f t="shared" si="11"/>
        <v>0</v>
      </c>
      <c r="H57" s="65">
        <f t="shared" si="11"/>
        <v>0</v>
      </c>
      <c r="I57" s="65">
        <f t="shared" si="11"/>
        <v>0</v>
      </c>
      <c r="J57" s="65">
        <f t="shared" si="11"/>
        <v>0</v>
      </c>
      <c r="K57" s="65">
        <f t="shared" si="11"/>
        <v>0</v>
      </c>
      <c r="L57" s="65">
        <f t="shared" si="11"/>
        <v>0</v>
      </c>
      <c r="M57" s="65">
        <f t="shared" si="11"/>
        <v>0</v>
      </c>
      <c r="N57" s="65">
        <f t="shared" si="11"/>
        <v>0</v>
      </c>
      <c r="O57" s="77"/>
    </row>
    <row r="58" spans="1:15" s="14" customFormat="1">
      <c r="A58" s="72"/>
      <c r="B58" s="492" t="s">
        <v>514</v>
      </c>
      <c r="C58" s="488"/>
      <c r="D58" s="71"/>
      <c r="E58" s="484">
        <f t="shared" ref="E58:N58" si="12">ROUND(SUM(D57*E16+E57*E17)/12,4)</f>
        <v>0</v>
      </c>
      <c r="F58" s="484">
        <f t="shared" si="12"/>
        <v>0</v>
      </c>
      <c r="G58" s="484">
        <f t="shared" si="12"/>
        <v>0</v>
      </c>
      <c r="H58" s="484">
        <f t="shared" si="12"/>
        <v>0</v>
      </c>
      <c r="I58" s="484">
        <f t="shared" si="12"/>
        <v>0</v>
      </c>
      <c r="J58" s="484">
        <f t="shared" si="12"/>
        <v>0</v>
      </c>
      <c r="K58" s="484">
        <f t="shared" si="12"/>
        <v>0</v>
      </c>
      <c r="L58" s="484">
        <f t="shared" si="12"/>
        <v>0</v>
      </c>
      <c r="M58" s="484">
        <f t="shared" si="12"/>
        <v>0</v>
      </c>
      <c r="N58" s="484">
        <f t="shared" si="12"/>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f>'1.  LRAMVA Summary'!B35</f>
        <v>0</v>
      </c>
      <c r="C60" s="800">
        <f>'2. LRAMVA Threshold'!J43</f>
        <v>0</v>
      </c>
      <c r="D60" s="46"/>
      <c r="E60" s="46"/>
      <c r="F60" s="46"/>
      <c r="G60" s="46"/>
      <c r="H60" s="46"/>
      <c r="I60" s="46"/>
      <c r="J60" s="46"/>
      <c r="K60" s="46"/>
      <c r="L60" s="46"/>
      <c r="M60" s="46"/>
      <c r="N60" s="46"/>
      <c r="O60" s="69"/>
    </row>
    <row r="61" spans="1:15" s="18" customFormat="1" outlineLevel="1">
      <c r="A61" s="4"/>
      <c r="B61" s="536" t="s">
        <v>511</v>
      </c>
      <c r="C61" s="801"/>
      <c r="D61" s="46"/>
      <c r="E61" s="46"/>
      <c r="F61" s="46"/>
      <c r="G61" s="46"/>
      <c r="H61" s="46"/>
      <c r="I61" s="46"/>
      <c r="J61" s="46"/>
      <c r="K61" s="46"/>
      <c r="L61" s="46"/>
      <c r="M61" s="46"/>
      <c r="N61" s="46"/>
      <c r="O61" s="69"/>
    </row>
    <row r="62" spans="1:15" s="18" customFormat="1" outlineLevel="1">
      <c r="A62" s="4"/>
      <c r="B62" s="536" t="s">
        <v>512</v>
      </c>
      <c r="C62" s="801"/>
      <c r="D62" s="46"/>
      <c r="E62" s="46"/>
      <c r="F62" s="46"/>
      <c r="G62" s="46"/>
      <c r="H62" s="46"/>
      <c r="I62" s="46"/>
      <c r="J62" s="46"/>
      <c r="K62" s="46"/>
      <c r="L62" s="46"/>
      <c r="M62" s="46"/>
      <c r="N62" s="46"/>
      <c r="O62" s="69"/>
    </row>
    <row r="63" spans="1:15" s="18" customFormat="1" outlineLevel="1">
      <c r="A63" s="4"/>
      <c r="B63" s="536" t="s">
        <v>490</v>
      </c>
      <c r="C63" s="801"/>
      <c r="D63" s="46"/>
      <c r="E63" s="46"/>
      <c r="F63" s="46"/>
      <c r="G63" s="46"/>
      <c r="H63" s="46"/>
      <c r="I63" s="46"/>
      <c r="J63" s="46"/>
      <c r="K63" s="46"/>
      <c r="L63" s="46"/>
      <c r="M63" s="46"/>
      <c r="N63" s="46"/>
      <c r="O63" s="69"/>
    </row>
    <row r="64" spans="1:15" s="18" customFormat="1">
      <c r="A64" s="4"/>
      <c r="B64" s="536" t="s">
        <v>513</v>
      </c>
      <c r="C64" s="802"/>
      <c r="D64" s="65">
        <f>SUM(D60:D63)</f>
        <v>0</v>
      </c>
      <c r="E64" s="65">
        <f t="shared" ref="E64:N64" si="13">SUM(E60:E63)</f>
        <v>0</v>
      </c>
      <c r="F64" s="65">
        <f t="shared" si="13"/>
        <v>0</v>
      </c>
      <c r="G64" s="65">
        <f t="shared" si="13"/>
        <v>0</v>
      </c>
      <c r="H64" s="65">
        <f t="shared" si="13"/>
        <v>0</v>
      </c>
      <c r="I64" s="65">
        <f t="shared" si="13"/>
        <v>0</v>
      </c>
      <c r="J64" s="65">
        <f t="shared" si="13"/>
        <v>0</v>
      </c>
      <c r="K64" s="65">
        <f t="shared" si="13"/>
        <v>0</v>
      </c>
      <c r="L64" s="65">
        <f t="shared" si="13"/>
        <v>0</v>
      </c>
      <c r="M64" s="65">
        <f t="shared" si="13"/>
        <v>0</v>
      </c>
      <c r="N64" s="65">
        <f t="shared" si="13"/>
        <v>0</v>
      </c>
      <c r="O64" s="77"/>
    </row>
    <row r="65" spans="1:15" s="14" customFormat="1">
      <c r="A65" s="72"/>
      <c r="B65" s="492" t="s">
        <v>514</v>
      </c>
      <c r="C65" s="488"/>
      <c r="D65" s="71"/>
      <c r="E65" s="484">
        <f t="shared" ref="E65:N65" si="14">ROUND(SUM(D64*E16+E64*E17)/12,4)</f>
        <v>0</v>
      </c>
      <c r="F65" s="484">
        <f t="shared" si="14"/>
        <v>0</v>
      </c>
      <c r="G65" s="484">
        <f t="shared" si="14"/>
        <v>0</v>
      </c>
      <c r="H65" s="484">
        <f t="shared" si="14"/>
        <v>0</v>
      </c>
      <c r="I65" s="484">
        <f>ROUND(SUM(H64*I16+I64*I17)/12,4)</f>
        <v>0</v>
      </c>
      <c r="J65" s="484">
        <f t="shared" si="14"/>
        <v>0</v>
      </c>
      <c r="K65" s="484">
        <f t="shared" si="14"/>
        <v>0</v>
      </c>
      <c r="L65" s="484">
        <f t="shared" si="14"/>
        <v>0</v>
      </c>
      <c r="M65" s="484">
        <f t="shared" si="14"/>
        <v>0</v>
      </c>
      <c r="N65" s="484">
        <f t="shared" si="14"/>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800">
        <f>'2. LRAMVA Threshold'!K43</f>
        <v>0</v>
      </c>
      <c r="D67" s="46"/>
      <c r="E67" s="46"/>
      <c r="F67" s="46"/>
      <c r="G67" s="46"/>
      <c r="H67" s="46"/>
      <c r="I67" s="46"/>
      <c r="J67" s="46"/>
      <c r="K67" s="46"/>
      <c r="L67" s="46"/>
      <c r="M67" s="46"/>
      <c r="N67" s="46"/>
      <c r="O67" s="69"/>
    </row>
    <row r="68" spans="1:15" s="18" customFormat="1" outlineLevel="1">
      <c r="A68" s="4"/>
      <c r="B68" s="536" t="s">
        <v>511</v>
      </c>
      <c r="C68" s="801"/>
      <c r="D68" s="46"/>
      <c r="E68" s="46"/>
      <c r="F68" s="46"/>
      <c r="G68" s="46"/>
      <c r="H68" s="46"/>
      <c r="I68" s="46"/>
      <c r="J68" s="46"/>
      <c r="K68" s="46"/>
      <c r="L68" s="46"/>
      <c r="M68" s="46"/>
      <c r="N68" s="46"/>
      <c r="O68" s="69"/>
    </row>
    <row r="69" spans="1:15" s="18" customFormat="1" outlineLevel="1">
      <c r="A69" s="4"/>
      <c r="B69" s="536" t="s">
        <v>512</v>
      </c>
      <c r="C69" s="801"/>
      <c r="D69" s="46"/>
      <c r="E69" s="46"/>
      <c r="F69" s="46"/>
      <c r="G69" s="46"/>
      <c r="H69" s="46"/>
      <c r="I69" s="46"/>
      <c r="J69" s="46"/>
      <c r="K69" s="46"/>
      <c r="L69" s="46"/>
      <c r="M69" s="46"/>
      <c r="N69" s="46"/>
      <c r="O69" s="69"/>
    </row>
    <row r="70" spans="1:15" s="18" customFormat="1" outlineLevel="1">
      <c r="A70" s="4"/>
      <c r="B70" s="536" t="s">
        <v>490</v>
      </c>
      <c r="C70" s="801"/>
      <c r="D70" s="46"/>
      <c r="E70" s="46"/>
      <c r="F70" s="46"/>
      <c r="G70" s="46"/>
      <c r="H70" s="46"/>
      <c r="I70" s="46"/>
      <c r="J70" s="46"/>
      <c r="K70" s="46"/>
      <c r="L70" s="46"/>
      <c r="M70" s="46"/>
      <c r="N70" s="46"/>
      <c r="O70" s="69"/>
    </row>
    <row r="71" spans="1:15" s="18" customFormat="1">
      <c r="A71" s="4"/>
      <c r="B71" s="536" t="s">
        <v>513</v>
      </c>
      <c r="C71" s="802"/>
      <c r="D71" s="65">
        <f>SUM(D67:D70)</f>
        <v>0</v>
      </c>
      <c r="E71" s="65">
        <f t="shared" ref="E71:N71" si="15">SUM(E67:E70)</f>
        <v>0</v>
      </c>
      <c r="F71" s="65">
        <f>SUM(F67:F70)</f>
        <v>0</v>
      </c>
      <c r="G71" s="65">
        <f t="shared" si="15"/>
        <v>0</v>
      </c>
      <c r="H71" s="65">
        <f t="shared" si="15"/>
        <v>0</v>
      </c>
      <c r="I71" s="65">
        <f t="shared" si="15"/>
        <v>0</v>
      </c>
      <c r="J71" s="65">
        <f t="shared" si="15"/>
        <v>0</v>
      </c>
      <c r="K71" s="65">
        <f t="shared" si="15"/>
        <v>0</v>
      </c>
      <c r="L71" s="65">
        <f t="shared" si="15"/>
        <v>0</v>
      </c>
      <c r="M71" s="65">
        <f t="shared" si="15"/>
        <v>0</v>
      </c>
      <c r="N71" s="65">
        <f t="shared" si="15"/>
        <v>0</v>
      </c>
      <c r="O71" s="77"/>
    </row>
    <row r="72" spans="1:15" s="14" customFormat="1">
      <c r="A72" s="72"/>
      <c r="B72" s="492" t="s">
        <v>514</v>
      </c>
      <c r="C72" s="488"/>
      <c r="D72" s="71"/>
      <c r="E72" s="484">
        <f t="shared" ref="E72:N72" si="16">ROUND(SUM(D71*E16+E71*E17)/12,4)</f>
        <v>0</v>
      </c>
      <c r="F72" s="484">
        <f t="shared" si="16"/>
        <v>0</v>
      </c>
      <c r="G72" s="484">
        <f t="shared" si="16"/>
        <v>0</v>
      </c>
      <c r="H72" s="484">
        <f t="shared" si="16"/>
        <v>0</v>
      </c>
      <c r="I72" s="484">
        <f t="shared" si="16"/>
        <v>0</v>
      </c>
      <c r="J72" s="484">
        <f t="shared" si="16"/>
        <v>0</v>
      </c>
      <c r="K72" s="484">
        <f t="shared" si="16"/>
        <v>0</v>
      </c>
      <c r="L72" s="484">
        <f t="shared" si="16"/>
        <v>0</v>
      </c>
      <c r="M72" s="484">
        <f t="shared" si="16"/>
        <v>0</v>
      </c>
      <c r="N72" s="484">
        <f t="shared" si="16"/>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00">
        <f>'2. LRAMVA Threshold'!L43</f>
        <v>0</v>
      </c>
      <c r="D74" s="46"/>
      <c r="E74" s="46"/>
      <c r="F74" s="46"/>
      <c r="G74" s="46"/>
      <c r="H74" s="46"/>
      <c r="I74" s="46"/>
      <c r="J74" s="46"/>
      <c r="K74" s="46"/>
      <c r="L74" s="46"/>
      <c r="M74" s="46"/>
      <c r="N74" s="46"/>
      <c r="O74" s="69"/>
    </row>
    <row r="75" spans="1:15" s="18" customFormat="1" outlineLevel="1">
      <c r="A75" s="4"/>
      <c r="B75" s="536" t="s">
        <v>511</v>
      </c>
      <c r="C75" s="801"/>
      <c r="D75" s="46"/>
      <c r="E75" s="46"/>
      <c r="F75" s="46"/>
      <c r="G75" s="46"/>
      <c r="H75" s="46"/>
      <c r="I75" s="46"/>
      <c r="J75" s="46"/>
      <c r="K75" s="46"/>
      <c r="L75" s="46"/>
      <c r="M75" s="46"/>
      <c r="N75" s="46"/>
      <c r="O75" s="69"/>
    </row>
    <row r="76" spans="1:15" s="18" customFormat="1" outlineLevel="1">
      <c r="A76" s="4"/>
      <c r="B76" s="536" t="s">
        <v>512</v>
      </c>
      <c r="C76" s="801"/>
      <c r="D76" s="46"/>
      <c r="E76" s="46"/>
      <c r="F76" s="46"/>
      <c r="G76" s="46"/>
      <c r="H76" s="46"/>
      <c r="I76" s="46"/>
      <c r="J76" s="46"/>
      <c r="K76" s="46"/>
      <c r="L76" s="46"/>
      <c r="M76" s="46"/>
      <c r="N76" s="46"/>
      <c r="O76" s="69"/>
    </row>
    <row r="77" spans="1:15" s="18" customFormat="1" outlineLevel="1">
      <c r="A77" s="4"/>
      <c r="B77" s="536" t="s">
        <v>490</v>
      </c>
      <c r="C77" s="801"/>
      <c r="D77" s="46"/>
      <c r="E77" s="46"/>
      <c r="F77" s="46"/>
      <c r="G77" s="46"/>
      <c r="H77" s="46"/>
      <c r="I77" s="46"/>
      <c r="J77" s="46"/>
      <c r="K77" s="46"/>
      <c r="L77" s="46"/>
      <c r="M77" s="46"/>
      <c r="N77" s="46"/>
      <c r="O77" s="69"/>
    </row>
    <row r="78" spans="1:15" s="18" customFormat="1">
      <c r="A78" s="4"/>
      <c r="B78" s="536" t="s">
        <v>513</v>
      </c>
      <c r="C78" s="802"/>
      <c r="D78" s="65">
        <f>SUM(D74:D77)</f>
        <v>0</v>
      </c>
      <c r="E78" s="65">
        <f>SUM(E74:E77)</f>
        <v>0</v>
      </c>
      <c r="F78" s="65">
        <f t="shared" ref="F78:N78" si="17">SUM(F74:F77)</f>
        <v>0</v>
      </c>
      <c r="G78" s="65">
        <f t="shared" si="17"/>
        <v>0</v>
      </c>
      <c r="H78" s="65">
        <f t="shared" si="17"/>
        <v>0</v>
      </c>
      <c r="I78" s="65">
        <f t="shared" si="17"/>
        <v>0</v>
      </c>
      <c r="J78" s="65">
        <f t="shared" si="17"/>
        <v>0</v>
      </c>
      <c r="K78" s="65">
        <f t="shared" si="17"/>
        <v>0</v>
      </c>
      <c r="L78" s="65">
        <f t="shared" si="17"/>
        <v>0</v>
      </c>
      <c r="M78" s="65">
        <f t="shared" si="17"/>
        <v>0</v>
      </c>
      <c r="N78" s="65">
        <f t="shared" si="17"/>
        <v>0</v>
      </c>
      <c r="O78" s="77"/>
    </row>
    <row r="79" spans="1:15" s="14" customFormat="1">
      <c r="A79" s="72"/>
      <c r="B79" s="492" t="s">
        <v>514</v>
      </c>
      <c r="C79" s="488"/>
      <c r="D79" s="71"/>
      <c r="E79" s="484">
        <f t="shared" ref="E79:N79" si="18">ROUND(SUM(D78*E16+E78*E17)/12,4)</f>
        <v>0</v>
      </c>
      <c r="F79" s="484">
        <f t="shared" si="18"/>
        <v>0</v>
      </c>
      <c r="G79" s="484">
        <f t="shared" si="18"/>
        <v>0</v>
      </c>
      <c r="H79" s="484">
        <f t="shared" si="18"/>
        <v>0</v>
      </c>
      <c r="I79" s="484">
        <f t="shared" si="18"/>
        <v>0</v>
      </c>
      <c r="J79" s="484">
        <f t="shared" si="18"/>
        <v>0</v>
      </c>
      <c r="K79" s="484">
        <f t="shared" si="18"/>
        <v>0</v>
      </c>
      <c r="L79" s="484">
        <f t="shared" si="18"/>
        <v>0</v>
      </c>
      <c r="M79" s="484">
        <f t="shared" si="18"/>
        <v>0</v>
      </c>
      <c r="N79" s="484">
        <f t="shared" si="18"/>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00">
        <f>'2. LRAMVA Threshold'!M43</f>
        <v>0</v>
      </c>
      <c r="D81" s="46"/>
      <c r="E81" s="46"/>
      <c r="F81" s="46"/>
      <c r="G81" s="46"/>
      <c r="H81" s="46"/>
      <c r="I81" s="46"/>
      <c r="J81" s="46"/>
      <c r="K81" s="46"/>
      <c r="L81" s="46"/>
      <c r="M81" s="46"/>
      <c r="N81" s="46"/>
      <c r="O81" s="69"/>
    </row>
    <row r="82" spans="1:15" s="18" customFormat="1" outlineLevel="1">
      <c r="A82" s="4"/>
      <c r="B82" s="536" t="s">
        <v>511</v>
      </c>
      <c r="C82" s="801"/>
      <c r="D82" s="46"/>
      <c r="E82" s="46"/>
      <c r="F82" s="46"/>
      <c r="G82" s="46"/>
      <c r="H82" s="46"/>
      <c r="I82" s="46"/>
      <c r="J82" s="46"/>
      <c r="K82" s="46"/>
      <c r="L82" s="46"/>
      <c r="M82" s="46"/>
      <c r="N82" s="46"/>
      <c r="O82" s="69"/>
    </row>
    <row r="83" spans="1:15" s="18" customFormat="1" outlineLevel="1">
      <c r="A83" s="4"/>
      <c r="B83" s="536" t="s">
        <v>512</v>
      </c>
      <c r="C83" s="801"/>
      <c r="D83" s="46"/>
      <c r="E83" s="46"/>
      <c r="F83" s="46"/>
      <c r="G83" s="46"/>
      <c r="H83" s="46"/>
      <c r="I83" s="46"/>
      <c r="J83" s="46"/>
      <c r="K83" s="46"/>
      <c r="L83" s="46"/>
      <c r="M83" s="46"/>
      <c r="N83" s="46"/>
      <c r="O83" s="69"/>
    </row>
    <row r="84" spans="1:15" s="18" customFormat="1" outlineLevel="1">
      <c r="A84" s="4"/>
      <c r="B84" s="536" t="s">
        <v>490</v>
      </c>
      <c r="C84" s="801"/>
      <c r="D84" s="46"/>
      <c r="E84" s="46"/>
      <c r="F84" s="46"/>
      <c r="G84" s="46"/>
      <c r="H84" s="46"/>
      <c r="I84" s="46"/>
      <c r="J84" s="46"/>
      <c r="K84" s="46"/>
      <c r="L84" s="46"/>
      <c r="M84" s="46"/>
      <c r="N84" s="46"/>
      <c r="O84" s="69"/>
    </row>
    <row r="85" spans="1:15" s="18" customFormat="1">
      <c r="A85" s="4"/>
      <c r="B85" s="536" t="s">
        <v>513</v>
      </c>
      <c r="C85" s="802"/>
      <c r="D85" s="65">
        <f>SUM(D81:D84)</f>
        <v>0</v>
      </c>
      <c r="E85" s="65">
        <f>SUM(E81:E84)</f>
        <v>0</v>
      </c>
      <c r="F85" s="65">
        <f t="shared" ref="F85:N85" si="19">SUM(F81:F84)</f>
        <v>0</v>
      </c>
      <c r="G85" s="65">
        <f t="shared" si="19"/>
        <v>0</v>
      </c>
      <c r="H85" s="65">
        <f t="shared" si="19"/>
        <v>0</v>
      </c>
      <c r="I85" s="65">
        <f t="shared" si="19"/>
        <v>0</v>
      </c>
      <c r="J85" s="65">
        <f t="shared" si="19"/>
        <v>0</v>
      </c>
      <c r="K85" s="65">
        <f t="shared" si="19"/>
        <v>0</v>
      </c>
      <c r="L85" s="65">
        <f t="shared" si="19"/>
        <v>0</v>
      </c>
      <c r="M85" s="65">
        <f t="shared" si="19"/>
        <v>0</v>
      </c>
      <c r="N85" s="65">
        <f t="shared" si="19"/>
        <v>0</v>
      </c>
      <c r="O85" s="77"/>
    </row>
    <row r="86" spans="1:15" s="14" customFormat="1">
      <c r="A86" s="72"/>
      <c r="B86" s="492" t="s">
        <v>514</v>
      </c>
      <c r="C86" s="488"/>
      <c r="D86" s="71"/>
      <c r="E86" s="484">
        <f t="shared" ref="E86:N86" si="20">ROUND(SUM(D85*E16+E85*E17)/12,4)</f>
        <v>0</v>
      </c>
      <c r="F86" s="484">
        <f t="shared" si="20"/>
        <v>0</v>
      </c>
      <c r="G86" s="484">
        <f t="shared" si="20"/>
        <v>0</v>
      </c>
      <c r="H86" s="484">
        <f t="shared" si="20"/>
        <v>0</v>
      </c>
      <c r="I86" s="484">
        <f t="shared" si="20"/>
        <v>0</v>
      </c>
      <c r="J86" s="484">
        <f t="shared" si="20"/>
        <v>0</v>
      </c>
      <c r="K86" s="484">
        <f t="shared" si="20"/>
        <v>0</v>
      </c>
      <c r="L86" s="484">
        <f t="shared" si="20"/>
        <v>0</v>
      </c>
      <c r="M86" s="484">
        <f t="shared" si="20"/>
        <v>0</v>
      </c>
      <c r="N86" s="484">
        <f t="shared" si="20"/>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00">
        <f>'2. LRAMVA Threshold'!N43</f>
        <v>0</v>
      </c>
      <c r="D88" s="46"/>
      <c r="E88" s="46"/>
      <c r="F88" s="46"/>
      <c r="G88" s="46"/>
      <c r="H88" s="46"/>
      <c r="I88" s="46"/>
      <c r="J88" s="46"/>
      <c r="K88" s="46"/>
      <c r="L88" s="46"/>
      <c r="M88" s="46"/>
      <c r="N88" s="46"/>
      <c r="O88" s="69"/>
    </row>
    <row r="89" spans="1:15" s="18" customFormat="1" outlineLevel="1">
      <c r="A89" s="4"/>
      <c r="B89" s="536" t="s">
        <v>511</v>
      </c>
      <c r="C89" s="801"/>
      <c r="D89" s="46"/>
      <c r="E89" s="46"/>
      <c r="F89" s="46"/>
      <c r="G89" s="46"/>
      <c r="H89" s="46"/>
      <c r="I89" s="46"/>
      <c r="J89" s="46"/>
      <c r="K89" s="46"/>
      <c r="L89" s="46"/>
      <c r="M89" s="46"/>
      <c r="N89" s="46"/>
      <c r="O89" s="69"/>
    </row>
    <row r="90" spans="1:15" s="18" customFormat="1" outlineLevel="1">
      <c r="A90" s="4"/>
      <c r="B90" s="536" t="s">
        <v>512</v>
      </c>
      <c r="C90" s="801"/>
      <c r="D90" s="46"/>
      <c r="E90" s="46"/>
      <c r="F90" s="46"/>
      <c r="G90" s="46"/>
      <c r="H90" s="46"/>
      <c r="I90" s="46"/>
      <c r="J90" s="46"/>
      <c r="K90" s="46"/>
      <c r="L90" s="46"/>
      <c r="M90" s="46"/>
      <c r="N90" s="46"/>
      <c r="O90" s="69"/>
    </row>
    <row r="91" spans="1:15" s="18" customFormat="1" outlineLevel="1">
      <c r="A91" s="4"/>
      <c r="B91" s="536" t="s">
        <v>490</v>
      </c>
      <c r="C91" s="801"/>
      <c r="D91" s="46"/>
      <c r="E91" s="46"/>
      <c r="F91" s="46"/>
      <c r="G91" s="46"/>
      <c r="H91" s="46"/>
      <c r="I91" s="46"/>
      <c r="J91" s="46"/>
      <c r="K91" s="46"/>
      <c r="L91" s="46"/>
      <c r="M91" s="46"/>
      <c r="N91" s="46"/>
      <c r="O91" s="69"/>
    </row>
    <row r="92" spans="1:15" s="18" customFormat="1">
      <c r="A92" s="4"/>
      <c r="B92" s="536" t="s">
        <v>513</v>
      </c>
      <c r="C92" s="802"/>
      <c r="D92" s="65">
        <f>SUM(D88:D91)</f>
        <v>0</v>
      </c>
      <c r="E92" s="65">
        <f>SUM(E88:E91)</f>
        <v>0</v>
      </c>
      <c r="F92" s="65">
        <f t="shared" ref="F92:N92" si="21">SUM(F88:F91)</f>
        <v>0</v>
      </c>
      <c r="G92" s="65">
        <f t="shared" si="21"/>
        <v>0</v>
      </c>
      <c r="H92" s="65">
        <f t="shared" si="21"/>
        <v>0</v>
      </c>
      <c r="I92" s="65">
        <f t="shared" si="21"/>
        <v>0</v>
      </c>
      <c r="J92" s="65">
        <f t="shared" si="21"/>
        <v>0</v>
      </c>
      <c r="K92" s="65">
        <f t="shared" si="21"/>
        <v>0</v>
      </c>
      <c r="L92" s="65">
        <f t="shared" si="21"/>
        <v>0</v>
      </c>
      <c r="M92" s="65">
        <f t="shared" si="21"/>
        <v>0</v>
      </c>
      <c r="N92" s="65">
        <f t="shared" si="21"/>
        <v>0</v>
      </c>
      <c r="O92" s="77"/>
    </row>
    <row r="93" spans="1:15" s="14" customFormat="1">
      <c r="A93" s="72"/>
      <c r="B93" s="492" t="s">
        <v>514</v>
      </c>
      <c r="C93" s="488"/>
      <c r="D93" s="71"/>
      <c r="E93" s="484">
        <f t="shared" ref="E93:N93" si="22">ROUND(SUM(D92*E16+E92*E17)/12,4)</f>
        <v>0</v>
      </c>
      <c r="F93" s="484">
        <f t="shared" si="22"/>
        <v>0</v>
      </c>
      <c r="G93" s="484">
        <f t="shared" si="22"/>
        <v>0</v>
      </c>
      <c r="H93" s="484">
        <f t="shared" si="22"/>
        <v>0</v>
      </c>
      <c r="I93" s="484">
        <f t="shared" si="22"/>
        <v>0</v>
      </c>
      <c r="J93" s="484">
        <f t="shared" si="22"/>
        <v>0</v>
      </c>
      <c r="K93" s="484">
        <f t="shared" si="22"/>
        <v>0</v>
      </c>
      <c r="L93" s="484">
        <f t="shared" si="22"/>
        <v>0</v>
      </c>
      <c r="M93" s="484">
        <f t="shared" si="22"/>
        <v>0</v>
      </c>
      <c r="N93" s="484">
        <f t="shared" si="22"/>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00">
        <f>'2. LRAMVA Threshold'!O43</f>
        <v>0</v>
      </c>
      <c r="D95" s="46"/>
      <c r="E95" s="46"/>
      <c r="F95" s="46"/>
      <c r="G95" s="46"/>
      <c r="H95" s="46"/>
      <c r="I95" s="46"/>
      <c r="J95" s="46"/>
      <c r="K95" s="46"/>
      <c r="L95" s="46"/>
      <c r="M95" s="46"/>
      <c r="N95" s="46"/>
      <c r="O95" s="69"/>
    </row>
    <row r="96" spans="1:15" s="18" customFormat="1" outlineLevel="1">
      <c r="A96" s="4"/>
      <c r="B96" s="536" t="s">
        <v>511</v>
      </c>
      <c r="C96" s="801"/>
      <c r="D96" s="46"/>
      <c r="E96" s="46"/>
      <c r="F96" s="46"/>
      <c r="G96" s="46"/>
      <c r="H96" s="46"/>
      <c r="I96" s="46"/>
      <c r="J96" s="46"/>
      <c r="K96" s="46"/>
      <c r="L96" s="46"/>
      <c r="M96" s="46"/>
      <c r="N96" s="46"/>
      <c r="O96" s="69"/>
    </row>
    <row r="97" spans="1:15" s="18" customFormat="1" outlineLevel="1">
      <c r="A97" s="4"/>
      <c r="B97" s="536" t="s">
        <v>512</v>
      </c>
      <c r="C97" s="801"/>
      <c r="D97" s="46"/>
      <c r="E97" s="46"/>
      <c r="F97" s="46"/>
      <c r="G97" s="46"/>
      <c r="H97" s="46"/>
      <c r="I97" s="46"/>
      <c r="J97" s="46"/>
      <c r="K97" s="46"/>
      <c r="L97" s="46"/>
      <c r="M97" s="46"/>
      <c r="N97" s="46"/>
      <c r="O97" s="69"/>
    </row>
    <row r="98" spans="1:15" s="18" customFormat="1" outlineLevel="1">
      <c r="A98" s="4"/>
      <c r="B98" s="536" t="s">
        <v>490</v>
      </c>
      <c r="C98" s="801"/>
      <c r="D98" s="46"/>
      <c r="E98" s="46"/>
      <c r="F98" s="46"/>
      <c r="G98" s="46"/>
      <c r="H98" s="46"/>
      <c r="I98" s="46"/>
      <c r="J98" s="46"/>
      <c r="K98" s="46"/>
      <c r="L98" s="46"/>
      <c r="M98" s="46"/>
      <c r="N98" s="46"/>
      <c r="O98" s="69"/>
    </row>
    <row r="99" spans="1:15" s="18" customFormat="1">
      <c r="A99" s="4"/>
      <c r="B99" s="536" t="s">
        <v>513</v>
      </c>
      <c r="C99" s="802"/>
      <c r="D99" s="65">
        <f>SUM(D95:D98)</f>
        <v>0</v>
      </c>
      <c r="E99" s="65">
        <f>SUM(E95:E98)</f>
        <v>0</v>
      </c>
      <c r="F99" s="65">
        <f t="shared" ref="F99:N99" si="23">SUM(F95:F98)</f>
        <v>0</v>
      </c>
      <c r="G99" s="65">
        <f t="shared" si="23"/>
        <v>0</v>
      </c>
      <c r="H99" s="65">
        <f t="shared" si="23"/>
        <v>0</v>
      </c>
      <c r="I99" s="65">
        <f t="shared" si="23"/>
        <v>0</v>
      </c>
      <c r="J99" s="65">
        <f t="shared" si="23"/>
        <v>0</v>
      </c>
      <c r="K99" s="65">
        <f t="shared" si="23"/>
        <v>0</v>
      </c>
      <c r="L99" s="65">
        <f t="shared" si="23"/>
        <v>0</v>
      </c>
      <c r="M99" s="65">
        <f t="shared" si="23"/>
        <v>0</v>
      </c>
      <c r="N99" s="65">
        <f t="shared" si="23"/>
        <v>0</v>
      </c>
      <c r="O99" s="77"/>
    </row>
    <row r="100" spans="1:15" s="14" customFormat="1">
      <c r="A100" s="72"/>
      <c r="B100" s="492" t="s">
        <v>514</v>
      </c>
      <c r="C100" s="488"/>
      <c r="D100" s="71"/>
      <c r="E100" s="484">
        <f t="shared" ref="E100:N100" si="24">ROUND(SUM(D99*E16+E99*E17)/12,4)</f>
        <v>0</v>
      </c>
      <c r="F100" s="484">
        <f t="shared" si="24"/>
        <v>0</v>
      </c>
      <c r="G100" s="484">
        <f t="shared" si="24"/>
        <v>0</v>
      </c>
      <c r="H100" s="484">
        <f t="shared" si="24"/>
        <v>0</v>
      </c>
      <c r="I100" s="484">
        <f t="shared" si="24"/>
        <v>0</v>
      </c>
      <c r="J100" s="484">
        <f t="shared" si="24"/>
        <v>0</v>
      </c>
      <c r="K100" s="484">
        <f t="shared" si="24"/>
        <v>0</v>
      </c>
      <c r="L100" s="484">
        <f t="shared" si="24"/>
        <v>0</v>
      </c>
      <c r="M100" s="484">
        <f t="shared" si="24"/>
        <v>0</v>
      </c>
      <c r="N100" s="484">
        <f t="shared" si="24"/>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00">
        <f>'2. LRAMVA Threshold'!P43</f>
        <v>0</v>
      </c>
      <c r="D102" s="46"/>
      <c r="E102" s="46"/>
      <c r="F102" s="46"/>
      <c r="G102" s="46"/>
      <c r="H102" s="46"/>
      <c r="I102" s="46"/>
      <c r="J102" s="46"/>
      <c r="K102" s="46"/>
      <c r="L102" s="46"/>
      <c r="M102" s="46"/>
      <c r="N102" s="46"/>
      <c r="O102" s="69"/>
    </row>
    <row r="103" spans="1:15" s="18" customFormat="1" outlineLevel="1">
      <c r="A103" s="4"/>
      <c r="B103" s="536" t="s">
        <v>511</v>
      </c>
      <c r="C103" s="801"/>
      <c r="D103" s="46"/>
      <c r="E103" s="46"/>
      <c r="F103" s="46"/>
      <c r="G103" s="46"/>
      <c r="H103" s="46"/>
      <c r="I103" s="46"/>
      <c r="J103" s="46"/>
      <c r="K103" s="46"/>
      <c r="L103" s="46"/>
      <c r="M103" s="46"/>
      <c r="N103" s="46"/>
      <c r="O103" s="69"/>
    </row>
    <row r="104" spans="1:15" s="18" customFormat="1" outlineLevel="1">
      <c r="A104" s="4"/>
      <c r="B104" s="536" t="s">
        <v>512</v>
      </c>
      <c r="C104" s="801"/>
      <c r="D104" s="46"/>
      <c r="E104" s="46"/>
      <c r="F104" s="46"/>
      <c r="G104" s="46"/>
      <c r="H104" s="46"/>
      <c r="I104" s="46"/>
      <c r="J104" s="46"/>
      <c r="K104" s="46"/>
      <c r="L104" s="46"/>
      <c r="M104" s="46"/>
      <c r="N104" s="46"/>
      <c r="O104" s="69"/>
    </row>
    <row r="105" spans="1:15" s="18" customFormat="1" outlineLevel="1">
      <c r="A105" s="4"/>
      <c r="B105" s="536" t="s">
        <v>490</v>
      </c>
      <c r="C105" s="801"/>
      <c r="D105" s="46"/>
      <c r="E105" s="46"/>
      <c r="F105" s="46"/>
      <c r="G105" s="46"/>
      <c r="H105" s="46"/>
      <c r="I105" s="46"/>
      <c r="J105" s="46"/>
      <c r="K105" s="46"/>
      <c r="L105" s="46"/>
      <c r="M105" s="46"/>
      <c r="N105" s="46"/>
      <c r="O105" s="69"/>
    </row>
    <row r="106" spans="1:15" s="18" customFormat="1">
      <c r="A106" s="4"/>
      <c r="B106" s="536" t="s">
        <v>513</v>
      </c>
      <c r="C106" s="802"/>
      <c r="D106" s="65">
        <f>SUM(D102:D105)</f>
        <v>0</v>
      </c>
      <c r="E106" s="65">
        <f>SUM(E102:E105)</f>
        <v>0</v>
      </c>
      <c r="F106" s="65">
        <f>SUM(F102:F105)</f>
        <v>0</v>
      </c>
      <c r="G106" s="65">
        <f t="shared" ref="G106:N106" si="25">SUM(G102:G105)</f>
        <v>0</v>
      </c>
      <c r="H106" s="65">
        <f t="shared" si="25"/>
        <v>0</v>
      </c>
      <c r="I106" s="65">
        <f t="shared" si="25"/>
        <v>0</v>
      </c>
      <c r="J106" s="65">
        <f t="shared" si="25"/>
        <v>0</v>
      </c>
      <c r="K106" s="65">
        <f t="shared" si="25"/>
        <v>0</v>
      </c>
      <c r="L106" s="65">
        <f t="shared" si="25"/>
        <v>0</v>
      </c>
      <c r="M106" s="65">
        <f t="shared" si="25"/>
        <v>0</v>
      </c>
      <c r="N106" s="65">
        <f t="shared" si="25"/>
        <v>0</v>
      </c>
      <c r="O106" s="77"/>
    </row>
    <row r="107" spans="1:15" s="14" customFormat="1">
      <c r="A107" s="72"/>
      <c r="B107" s="492" t="s">
        <v>514</v>
      </c>
      <c r="C107" s="488"/>
      <c r="D107" s="71"/>
      <c r="E107" s="484">
        <f t="shared" ref="E107:N107" si="26">ROUND(SUM(D106*E16+E106*E17)/12,4)</f>
        <v>0</v>
      </c>
      <c r="F107" s="484">
        <f t="shared" si="26"/>
        <v>0</v>
      </c>
      <c r="G107" s="484">
        <f t="shared" si="26"/>
        <v>0</v>
      </c>
      <c r="H107" s="484">
        <f t="shared" si="26"/>
        <v>0</v>
      </c>
      <c r="I107" s="484">
        <f t="shared" si="26"/>
        <v>0</v>
      </c>
      <c r="J107" s="484">
        <f t="shared" si="26"/>
        <v>0</v>
      </c>
      <c r="K107" s="484">
        <f t="shared" si="26"/>
        <v>0</v>
      </c>
      <c r="L107" s="484">
        <f t="shared" si="26"/>
        <v>0</v>
      </c>
      <c r="M107" s="484">
        <f t="shared" si="26"/>
        <v>0</v>
      </c>
      <c r="N107" s="484">
        <f t="shared" si="26"/>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00">
        <f>'2. LRAMVA Threshold'!Q43</f>
        <v>0</v>
      </c>
      <c r="D109" s="46"/>
      <c r="E109" s="46"/>
      <c r="F109" s="46"/>
      <c r="G109" s="46"/>
      <c r="H109" s="46"/>
      <c r="I109" s="46"/>
      <c r="J109" s="46"/>
      <c r="K109" s="46"/>
      <c r="L109" s="46"/>
      <c r="M109" s="46"/>
      <c r="N109" s="46"/>
      <c r="O109" s="69"/>
    </row>
    <row r="110" spans="1:15" s="18" customFormat="1" outlineLevel="1">
      <c r="A110" s="4"/>
      <c r="B110" s="536" t="s">
        <v>511</v>
      </c>
      <c r="C110" s="801"/>
      <c r="D110" s="46"/>
      <c r="E110" s="46"/>
      <c r="F110" s="46"/>
      <c r="G110" s="46"/>
      <c r="H110" s="46"/>
      <c r="I110" s="46"/>
      <c r="J110" s="46"/>
      <c r="K110" s="46"/>
      <c r="L110" s="46"/>
      <c r="M110" s="46"/>
      <c r="N110" s="46"/>
      <c r="O110" s="69"/>
    </row>
    <row r="111" spans="1:15" s="18" customFormat="1" outlineLevel="1">
      <c r="A111" s="4"/>
      <c r="B111" s="536" t="s">
        <v>512</v>
      </c>
      <c r="C111" s="801"/>
      <c r="D111" s="46"/>
      <c r="E111" s="46"/>
      <c r="F111" s="46"/>
      <c r="G111" s="46"/>
      <c r="H111" s="46"/>
      <c r="I111" s="46"/>
      <c r="J111" s="46"/>
      <c r="K111" s="46"/>
      <c r="L111" s="46"/>
      <c r="M111" s="46"/>
      <c r="N111" s="46"/>
      <c r="O111" s="69"/>
    </row>
    <row r="112" spans="1:15" s="18" customFormat="1" outlineLevel="1">
      <c r="A112" s="4"/>
      <c r="B112" s="536" t="s">
        <v>490</v>
      </c>
      <c r="C112" s="801"/>
      <c r="D112" s="46"/>
      <c r="E112" s="46"/>
      <c r="F112" s="46"/>
      <c r="G112" s="46"/>
      <c r="H112" s="46"/>
      <c r="I112" s="46"/>
      <c r="J112" s="46"/>
      <c r="K112" s="46"/>
      <c r="L112" s="46"/>
      <c r="M112" s="46"/>
      <c r="N112" s="46"/>
      <c r="O112" s="69"/>
    </row>
    <row r="113" spans="1:17" s="18" customFormat="1">
      <c r="A113" s="4"/>
      <c r="B113" s="536" t="s">
        <v>513</v>
      </c>
      <c r="C113" s="802"/>
      <c r="D113" s="65">
        <f>SUM(D109:D112)</f>
        <v>0</v>
      </c>
      <c r="E113" s="65">
        <f>SUM(E109:E112)</f>
        <v>0</v>
      </c>
      <c r="F113" s="65">
        <f>SUM(F109:F112)</f>
        <v>0</v>
      </c>
      <c r="G113" s="65">
        <f>SUM(G109:G112)</f>
        <v>0</v>
      </c>
      <c r="H113" s="65">
        <f t="shared" ref="H113:N113" si="27">SUM(H109:H112)</f>
        <v>0</v>
      </c>
      <c r="I113" s="65">
        <f t="shared" si="27"/>
        <v>0</v>
      </c>
      <c r="J113" s="65">
        <f t="shared" si="27"/>
        <v>0</v>
      </c>
      <c r="K113" s="65">
        <f t="shared" si="27"/>
        <v>0</v>
      </c>
      <c r="L113" s="65">
        <f t="shared" si="27"/>
        <v>0</v>
      </c>
      <c r="M113" s="65">
        <f t="shared" si="27"/>
        <v>0</v>
      </c>
      <c r="N113" s="65">
        <f t="shared" si="27"/>
        <v>0</v>
      </c>
      <c r="O113" s="77"/>
    </row>
    <row r="114" spans="1:17" s="14" customFormat="1">
      <c r="A114" s="72"/>
      <c r="B114" s="492" t="s">
        <v>514</v>
      </c>
      <c r="C114" s="488"/>
      <c r="D114" s="71"/>
      <c r="E114" s="484">
        <f t="shared" ref="E114:N114" si="28">ROUND(SUM(D113*E16+E113*E17)/12,4)</f>
        <v>0</v>
      </c>
      <c r="F114" s="484">
        <f t="shared" si="28"/>
        <v>0</v>
      </c>
      <c r="G114" s="484">
        <f t="shared" si="28"/>
        <v>0</v>
      </c>
      <c r="H114" s="484">
        <f t="shared" si="28"/>
        <v>0</v>
      </c>
      <c r="I114" s="484">
        <f t="shared" si="28"/>
        <v>0</v>
      </c>
      <c r="J114" s="484">
        <f t="shared" si="28"/>
        <v>0</v>
      </c>
      <c r="K114" s="484">
        <f t="shared" si="28"/>
        <v>0</v>
      </c>
      <c r="L114" s="484">
        <f t="shared" si="28"/>
        <v>0</v>
      </c>
      <c r="M114" s="484">
        <f t="shared" si="28"/>
        <v>0</v>
      </c>
      <c r="N114" s="484">
        <f t="shared" si="28"/>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613</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599999999999994" customHeight="1">
      <c r="A120" s="72"/>
      <c r="B120" s="804" t="s">
        <v>674</v>
      </c>
      <c r="C120" s="804"/>
      <c r="D120" s="804"/>
      <c r="E120" s="804"/>
      <c r="F120" s="804"/>
      <c r="G120" s="804"/>
      <c r="H120" s="804"/>
      <c r="I120" s="804"/>
      <c r="J120" s="804"/>
      <c r="K120" s="804"/>
      <c r="L120" s="804"/>
      <c r="M120" s="804"/>
      <c r="N120" s="804"/>
      <c r="O120" s="804"/>
      <c r="P120" s="804"/>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GS"50kW</v>
      </c>
      <c r="F122" s="244" t="str">
        <f>'1.  LRAMVA Summary'!G52</f>
        <v>USL</v>
      </c>
      <c r="G122" s="244" t="str">
        <f>'1.  LRAMVA Summary'!H52</f>
        <v>Streetlights</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kWh</v>
      </c>
      <c r="G123" s="586" t="str">
        <f>'1.  LRAMVA Summary'!H53</f>
        <v>kW</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c r="D124" s="682"/>
      <c r="E124" s="683"/>
      <c r="F124" s="682"/>
      <c r="G124" s="683"/>
      <c r="H124" s="682"/>
      <c r="I124" s="683"/>
      <c r="J124" s="683"/>
      <c r="K124" s="683"/>
      <c r="L124" s="683"/>
      <c r="M124" s="683"/>
      <c r="N124" s="683"/>
      <c r="O124" s="683"/>
      <c r="P124" s="683"/>
    </row>
    <row r="125" spans="1:17">
      <c r="B125" s="501">
        <v>2012</v>
      </c>
      <c r="C125" s="684"/>
      <c r="D125" s="685"/>
      <c r="E125" s="686"/>
      <c r="F125" s="685"/>
      <c r="G125" s="686"/>
      <c r="H125" s="685"/>
      <c r="I125" s="686"/>
      <c r="J125" s="686"/>
      <c r="K125" s="686"/>
      <c r="L125" s="686"/>
      <c r="M125" s="686"/>
      <c r="N125" s="686"/>
      <c r="O125" s="686"/>
      <c r="P125" s="686"/>
    </row>
    <row r="126" spans="1:17">
      <c r="B126" s="501">
        <v>2013</v>
      </c>
      <c r="C126" s="684"/>
      <c r="D126" s="685"/>
      <c r="E126" s="686"/>
      <c r="F126" s="685"/>
      <c r="G126" s="686"/>
      <c r="H126" s="685"/>
      <c r="I126" s="686"/>
      <c r="J126" s="686"/>
      <c r="K126" s="686"/>
      <c r="L126" s="686"/>
      <c r="M126" s="686"/>
      <c r="N126" s="686"/>
      <c r="O126" s="686"/>
      <c r="P126" s="686"/>
    </row>
    <row r="127" spans="1:17">
      <c r="B127" s="501">
        <v>2014</v>
      </c>
      <c r="C127" s="684"/>
      <c r="D127" s="685"/>
      <c r="E127" s="686"/>
      <c r="F127" s="685"/>
      <c r="G127" s="686"/>
      <c r="H127" s="685"/>
      <c r="I127" s="686"/>
      <c r="J127" s="686"/>
      <c r="K127" s="686"/>
      <c r="L127" s="686"/>
      <c r="M127" s="686"/>
      <c r="N127" s="686"/>
      <c r="O127" s="686"/>
      <c r="P127" s="686"/>
    </row>
    <row r="128" spans="1:17">
      <c r="B128" s="501">
        <v>2015</v>
      </c>
      <c r="C128" s="684"/>
      <c r="D128" s="685"/>
      <c r="E128" s="686"/>
      <c r="F128" s="685"/>
      <c r="G128" s="686"/>
      <c r="H128" s="685"/>
      <c r="I128" s="686"/>
      <c r="J128" s="686"/>
      <c r="K128" s="686"/>
      <c r="L128" s="686"/>
      <c r="M128" s="686"/>
      <c r="N128" s="686"/>
      <c r="O128" s="686"/>
      <c r="P128" s="686"/>
    </row>
    <row r="129" spans="2:16">
      <c r="B129" s="501">
        <v>2016</v>
      </c>
      <c r="C129" s="684">
        <f t="shared" ref="C129" si="29">HLOOKUP(B129,$E$15:$O$114,9,FALSE)</f>
        <v>1.4500000000000001E-2</v>
      </c>
      <c r="D129" s="685">
        <f t="shared" ref="D129:D133" si="30">HLOOKUP(B129,$E$15:$O$114,16,FALSE)</f>
        <v>1.37E-2</v>
      </c>
      <c r="E129" s="686">
        <f t="shared" ref="E129:E133" si="31">HLOOKUP(B129,$E$15:$O$114,23,FALSE)</f>
        <v>2.5331000000000001</v>
      </c>
      <c r="F129" s="685">
        <f t="shared" ref="F129:F133" si="32">HLOOKUP(B129,$E$15:$O$114,30,FALSE)</f>
        <v>9.9000000000000008E-3</v>
      </c>
      <c r="G129" s="686">
        <f t="shared" ref="G129:G132" si="33">HLOOKUP(B129,$E$15:$O$114,37,FALSE)</f>
        <v>7.2483000000000004</v>
      </c>
      <c r="H129" s="685">
        <f t="shared" ref="H129:H133" si="34">HLOOKUP(B129,$E$15:$O$114,44,FALSE)</f>
        <v>0</v>
      </c>
      <c r="I129" s="686">
        <f t="shared" ref="I129:I133" si="35">HLOOKUP(B129,$E$15:$O$114,51,FALSE)</f>
        <v>0</v>
      </c>
      <c r="J129" s="686">
        <f t="shared" ref="J129:J133" si="36">HLOOKUP(B129,$E$15:$O$114,58,FALSE)</f>
        <v>0</v>
      </c>
      <c r="K129" s="686">
        <f t="shared" ref="K129:K133" si="37">HLOOKUP(B129,$E$15:$O$114,65,FALSE)</f>
        <v>0</v>
      </c>
      <c r="L129" s="686">
        <f t="shared" ref="L129:L133" si="38">HLOOKUP(B129,$E$15:$O$114,72,FALSE)</f>
        <v>0</v>
      </c>
      <c r="M129" s="686">
        <f t="shared" ref="M129:M133" si="39">HLOOKUP(B129,$E$15:$O$114,79,FALSE)</f>
        <v>0</v>
      </c>
      <c r="N129" s="686">
        <f t="shared" ref="N129:N133" si="40">HLOOKUP(B129,$E$15:$O$114,86,FALSE)</f>
        <v>0</v>
      </c>
      <c r="O129" s="686">
        <f t="shared" ref="O129:O133" si="41">HLOOKUP(B129,$E$15:$O$114,93,FALSE)</f>
        <v>0</v>
      </c>
      <c r="P129" s="686">
        <f t="shared" ref="P129:P133" si="42">HLOOKUP(B129,$E$15:$O$114,100,FALSE)</f>
        <v>0</v>
      </c>
    </row>
    <row r="130" spans="2:16">
      <c r="B130" s="501">
        <v>2017</v>
      </c>
      <c r="C130" s="684">
        <f>HLOOKUP(B130,$E$15:$O$114,9,FALSE)</f>
        <v>1.15E-2</v>
      </c>
      <c r="D130" s="685">
        <f t="shared" si="30"/>
        <v>1.5299999999999999E-2</v>
      </c>
      <c r="E130" s="686">
        <f t="shared" si="31"/>
        <v>2.8635999999999999</v>
      </c>
      <c r="F130" s="685">
        <f t="shared" si="32"/>
        <v>2.8999999999999998E-3</v>
      </c>
      <c r="G130" s="686">
        <f t="shared" si="33"/>
        <v>5.7111999999999998</v>
      </c>
      <c r="H130" s="685">
        <f t="shared" si="34"/>
        <v>0</v>
      </c>
      <c r="I130" s="686">
        <f t="shared" si="35"/>
        <v>0</v>
      </c>
      <c r="J130" s="686">
        <f t="shared" si="36"/>
        <v>0</v>
      </c>
      <c r="K130" s="686">
        <f t="shared" si="37"/>
        <v>0</v>
      </c>
      <c r="L130" s="686">
        <f t="shared" si="38"/>
        <v>0</v>
      </c>
      <c r="M130" s="686">
        <f t="shared" si="39"/>
        <v>0</v>
      </c>
      <c r="N130" s="686">
        <f t="shared" si="40"/>
        <v>0</v>
      </c>
      <c r="O130" s="686">
        <f t="shared" si="41"/>
        <v>0</v>
      </c>
      <c r="P130" s="686">
        <f t="shared" si="42"/>
        <v>0</v>
      </c>
    </row>
    <row r="131" spans="2:16">
      <c r="B131" s="501">
        <v>2018</v>
      </c>
      <c r="C131" s="684">
        <f t="shared" ref="C131:C133" si="43">HLOOKUP(B131,$E$15:$O$114,9,FALSE)</f>
        <v>7.7999999999999996E-3</v>
      </c>
      <c r="D131" s="685">
        <f t="shared" si="30"/>
        <v>1.54E-2</v>
      </c>
      <c r="E131" s="686">
        <f t="shared" si="31"/>
        <v>3.0051999999999999</v>
      </c>
      <c r="F131" s="685">
        <f t="shared" si="32"/>
        <v>2.0999999999999999E-3</v>
      </c>
      <c r="G131" s="686">
        <f t="shared" si="33"/>
        <v>4.1649000000000003</v>
      </c>
      <c r="H131" s="685">
        <f t="shared" si="34"/>
        <v>0</v>
      </c>
      <c r="I131" s="686">
        <f t="shared" si="35"/>
        <v>0</v>
      </c>
      <c r="J131" s="686">
        <f t="shared" si="36"/>
        <v>0</v>
      </c>
      <c r="K131" s="686">
        <f t="shared" si="37"/>
        <v>0</v>
      </c>
      <c r="L131" s="686">
        <f t="shared" si="38"/>
        <v>0</v>
      </c>
      <c r="M131" s="686">
        <f t="shared" si="39"/>
        <v>0</v>
      </c>
      <c r="N131" s="686">
        <f t="shared" si="40"/>
        <v>0</v>
      </c>
      <c r="O131" s="686">
        <f t="shared" si="41"/>
        <v>0</v>
      </c>
      <c r="P131" s="686">
        <f t="shared" si="42"/>
        <v>0</v>
      </c>
    </row>
    <row r="132" spans="2:16" hidden="1">
      <c r="B132" s="501">
        <v>2019</v>
      </c>
      <c r="C132" s="684">
        <f t="shared" si="43"/>
        <v>3.8999999999999998E-3</v>
      </c>
      <c r="D132" s="685">
        <f t="shared" si="30"/>
        <v>1.5599999999999999E-2</v>
      </c>
      <c r="E132" s="686">
        <f t="shared" si="31"/>
        <v>3.0594999999999999</v>
      </c>
      <c r="F132" s="685">
        <f t="shared" si="32"/>
        <v>1.6000000000000001E-3</v>
      </c>
      <c r="G132" s="686">
        <f t="shared" si="33"/>
        <v>4.2149000000000001</v>
      </c>
      <c r="H132" s="685">
        <f t="shared" si="34"/>
        <v>0</v>
      </c>
      <c r="I132" s="686">
        <f t="shared" si="35"/>
        <v>0</v>
      </c>
      <c r="J132" s="686">
        <f t="shared" si="36"/>
        <v>0</v>
      </c>
      <c r="K132" s="686">
        <f t="shared" si="37"/>
        <v>0</v>
      </c>
      <c r="L132" s="686">
        <f t="shared" si="38"/>
        <v>0</v>
      </c>
      <c r="M132" s="686">
        <f t="shared" si="39"/>
        <v>0</v>
      </c>
      <c r="N132" s="686">
        <f t="shared" si="40"/>
        <v>0</v>
      </c>
      <c r="O132" s="686">
        <f t="shared" si="41"/>
        <v>0</v>
      </c>
      <c r="P132" s="686">
        <f t="shared" si="42"/>
        <v>0</v>
      </c>
    </row>
    <row r="133" spans="2:16" hidden="1">
      <c r="B133" s="502">
        <v>2020</v>
      </c>
      <c r="C133" s="687">
        <f t="shared" si="43"/>
        <v>0</v>
      </c>
      <c r="D133" s="688">
        <f t="shared" si="30"/>
        <v>0</v>
      </c>
      <c r="E133" s="689">
        <f t="shared" si="31"/>
        <v>0</v>
      </c>
      <c r="F133" s="688">
        <f t="shared" si="32"/>
        <v>0</v>
      </c>
      <c r="G133" s="689">
        <f>HLOOKUP(B133,$E$15:$O$114,37,FALSE)</f>
        <v>0</v>
      </c>
      <c r="H133" s="688">
        <f t="shared" si="34"/>
        <v>0</v>
      </c>
      <c r="I133" s="689">
        <f t="shared" si="35"/>
        <v>0</v>
      </c>
      <c r="J133" s="689">
        <f t="shared" si="36"/>
        <v>0</v>
      </c>
      <c r="K133" s="689">
        <f t="shared" si="37"/>
        <v>0</v>
      </c>
      <c r="L133" s="689">
        <f t="shared" si="38"/>
        <v>0</v>
      </c>
      <c r="M133" s="689">
        <f t="shared" si="39"/>
        <v>0</v>
      </c>
      <c r="N133" s="689">
        <f t="shared" si="40"/>
        <v>0</v>
      </c>
      <c r="O133" s="689">
        <f t="shared" si="41"/>
        <v>0</v>
      </c>
      <c r="P133" s="689">
        <f t="shared" si="42"/>
        <v>0</v>
      </c>
    </row>
    <row r="134" spans="2:16" ht="18.75" customHeight="1">
      <c r="B134" s="498" t="s">
        <v>630</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6"/>
  <sheetViews>
    <sheetView zoomScale="90" zoomScaleNormal="90" workbookViewId="0">
      <selection activeCell="J20" sqref="J20"/>
    </sheetView>
  </sheetViews>
  <sheetFormatPr defaultColWidth="9.140625" defaultRowHeight="15"/>
  <cols>
    <col min="1" max="16384" width="9.140625" style="12"/>
  </cols>
  <sheetData>
    <row r="14" spans="2:24" ht="15.75">
      <c r="B14" s="588" t="s">
        <v>505</v>
      </c>
    </row>
    <row r="15" spans="2:24" ht="15.75">
      <c r="B15" s="588"/>
    </row>
    <row r="16" spans="2:24" s="668" customFormat="1" ht="28.5" customHeight="1">
      <c r="B16" s="810" t="s">
        <v>633</v>
      </c>
      <c r="C16" s="810"/>
      <c r="D16" s="810"/>
      <c r="E16" s="810"/>
      <c r="F16" s="810"/>
      <c r="G16" s="810"/>
      <c r="H16" s="810"/>
      <c r="I16" s="810"/>
      <c r="J16" s="810"/>
      <c r="K16" s="810"/>
      <c r="L16" s="810"/>
      <c r="M16" s="810"/>
      <c r="N16" s="810"/>
      <c r="O16" s="810"/>
      <c r="P16" s="810"/>
      <c r="Q16" s="810"/>
      <c r="R16" s="810"/>
      <c r="S16" s="810"/>
      <c r="T16" s="810"/>
      <c r="U16" s="810"/>
      <c r="V16" s="810"/>
      <c r="W16" s="810"/>
      <c r="X16" s="810"/>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Cindy Marshall</cp:lastModifiedBy>
  <cp:lastPrinted>2017-05-24T00:43:43Z</cp:lastPrinted>
  <dcterms:created xsi:type="dcterms:W3CDTF">2012-03-05T18:56:04Z</dcterms:created>
  <dcterms:modified xsi:type="dcterms:W3CDTF">2019-08-12T21:48:00Z</dcterms:modified>
</cp:coreProperties>
</file>