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325" activeTab="1"/>
  </bookViews>
  <sheets>
    <sheet name="Account Certificate - Arrears" sheetId="1" r:id="rId1"/>
    <sheet name="Account Certificate - Easements" sheetId="2" r:id="rId2"/>
    <sheet name="Invoice Reprint" sheetId="3" r:id="rId3"/>
    <sheet name="Credit Ref Check" sheetId="4" r:id="rId4"/>
    <sheet name="Unprocessed Payment" sheetId="5" r:id="rId5"/>
    <sheet name="Account Set-up" sheetId="6" r:id="rId6"/>
    <sheet name="Recon @ Meter - Reg Hrs" sheetId="7" r:id="rId7"/>
    <sheet name="Recon @ Meter - After Hrs" sheetId="8" r:id="rId8"/>
    <sheet name="Recon @ Pole - Reg Hours" sheetId="10" r:id="rId9"/>
    <sheet name="Recon @ Pole - After Hours" sheetId="9" r:id="rId10"/>
    <sheet name="Recon @ Meter - Occ Reg Hrs" sheetId="11" r:id="rId11"/>
    <sheet name="Recon @ Meter - Occ After Hrs" sheetId="12" r:id="rId12"/>
    <sheet name="Special Billing Service" sheetId="13" r:id="rId13"/>
    <sheet name="High Bill Invest" sheetId="14" r:id="rId14"/>
    <sheet name="Interval Meter - Field Read" sheetId="15" r:id="rId15"/>
    <sheet name="MicroFIT &amp; Micro-NM ERF" sheetId="16" r:id="rId16"/>
    <sheet name="FIT " sheetId="17" r:id="rId17"/>
    <sheet name="HCI RESOP" sheetId="18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G12" i="18" l="1"/>
  <c r="E12" i="16"/>
  <c r="G18" i="18"/>
  <c r="F18" i="18"/>
  <c r="E18" i="18"/>
  <c r="D18" i="18"/>
  <c r="G8" i="18"/>
  <c r="E7" i="18"/>
  <c r="G7" i="18" s="1"/>
  <c r="G6" i="18"/>
  <c r="G9" i="18" s="1"/>
  <c r="G19" i="18" s="1"/>
  <c r="G20" i="18" s="1"/>
  <c r="E6" i="18"/>
  <c r="E12" i="18" s="1"/>
  <c r="G18" i="17"/>
  <c r="F18" i="17"/>
  <c r="G17" i="17"/>
  <c r="G15" i="17"/>
  <c r="G8" i="17"/>
  <c r="E8" i="17"/>
  <c r="G7" i="17"/>
  <c r="E7" i="17"/>
  <c r="E6" i="17"/>
  <c r="G6" i="17" s="1"/>
  <c r="G9" i="17" s="1"/>
  <c r="G12" i="17" s="1"/>
  <c r="G19" i="17" s="1"/>
  <c r="G20" i="17" s="1"/>
  <c r="G18" i="16"/>
  <c r="F18" i="16"/>
  <c r="G15" i="16"/>
  <c r="E9" i="16"/>
  <c r="G9" i="16" s="1"/>
  <c r="E8" i="16"/>
  <c r="G8" i="16" s="1"/>
  <c r="E7" i="16"/>
  <c r="G7" i="16" s="1"/>
  <c r="E6" i="16"/>
  <c r="G6" i="16" s="1"/>
  <c r="E12" i="17" l="1"/>
  <c r="G10" i="16"/>
  <c r="G12" i="16" s="1"/>
  <c r="G19" i="16" s="1"/>
  <c r="G20" i="16" s="1"/>
  <c r="G14" i="15"/>
  <c r="G19" i="15" s="1"/>
  <c r="E14" i="15"/>
  <c r="G7" i="15"/>
  <c r="G6" i="15"/>
  <c r="G13" i="15" s="1"/>
  <c r="G20" i="15" s="1"/>
  <c r="G21" i="15" s="1"/>
  <c r="G14" i="14"/>
  <c r="G19" i="14" s="1"/>
  <c r="G7" i="14"/>
  <c r="E6" i="14"/>
  <c r="G6" i="14"/>
  <c r="G13" i="14" s="1"/>
  <c r="G20" i="14" s="1"/>
  <c r="G21" i="14" s="1"/>
  <c r="D19" i="13"/>
  <c r="G19" i="13" s="1"/>
  <c r="G6" i="13"/>
  <c r="G13" i="13" s="1"/>
  <c r="G20" i="13" s="1"/>
  <c r="G21" i="13" s="1"/>
  <c r="R18" i="12"/>
  <c r="J18" i="12"/>
  <c r="M18" i="12" s="1"/>
  <c r="M19" i="12" s="1"/>
  <c r="F14" i="12"/>
  <c r="E14" i="12"/>
  <c r="H14" i="12" s="1"/>
  <c r="H9" i="12"/>
  <c r="R9" i="12" s="1"/>
  <c r="K8" i="12"/>
  <c r="M8" i="12" s="1"/>
  <c r="F8" i="12"/>
  <c r="H8" i="12" s="1"/>
  <c r="K7" i="12"/>
  <c r="F7" i="12"/>
  <c r="J7" i="12"/>
  <c r="M7" i="12" s="1"/>
  <c r="K6" i="12"/>
  <c r="F6" i="12"/>
  <c r="J6" i="12"/>
  <c r="M6" i="12" s="1"/>
  <c r="J18" i="11"/>
  <c r="M18" i="11" s="1"/>
  <c r="M19" i="11" s="1"/>
  <c r="F14" i="11"/>
  <c r="H14" i="11" s="1"/>
  <c r="E8" i="11"/>
  <c r="H8" i="11" s="1"/>
  <c r="R8" i="11" s="1"/>
  <c r="K7" i="11"/>
  <c r="F7" i="11"/>
  <c r="E7" i="11"/>
  <c r="J7" i="11" s="1"/>
  <c r="M7" i="11" s="1"/>
  <c r="F6" i="11"/>
  <c r="K6" i="11" s="1"/>
  <c r="E6" i="11"/>
  <c r="J6" i="11" s="1"/>
  <c r="G14" i="10"/>
  <c r="G19" i="10" s="1"/>
  <c r="D14" i="10"/>
  <c r="G8" i="10"/>
  <c r="E7" i="10"/>
  <c r="G7" i="10"/>
  <c r="E6" i="10"/>
  <c r="G6" i="10"/>
  <c r="G14" i="9"/>
  <c r="G19" i="9" s="1"/>
  <c r="G9" i="9"/>
  <c r="E7" i="9"/>
  <c r="E6" i="9"/>
  <c r="R18" i="8"/>
  <c r="J18" i="8"/>
  <c r="M18" i="8" s="1"/>
  <c r="M19" i="8" s="1"/>
  <c r="F14" i="8"/>
  <c r="E14" i="8"/>
  <c r="H14" i="8" s="1"/>
  <c r="H9" i="8"/>
  <c r="R9" i="8" s="1"/>
  <c r="K8" i="8"/>
  <c r="M8" i="8" s="1"/>
  <c r="F8" i="8"/>
  <c r="H8" i="8" s="1"/>
  <c r="R8" i="8" s="1"/>
  <c r="K7" i="8"/>
  <c r="F7" i="8"/>
  <c r="J7" i="8"/>
  <c r="M7" i="8" s="1"/>
  <c r="K6" i="8"/>
  <c r="F6" i="8"/>
  <c r="J6" i="8"/>
  <c r="M6" i="8" s="1"/>
  <c r="J18" i="7"/>
  <c r="M18" i="7" s="1"/>
  <c r="F14" i="7"/>
  <c r="H14" i="7" s="1"/>
  <c r="H8" i="7"/>
  <c r="R8" i="7" s="1"/>
  <c r="K7" i="7"/>
  <c r="F7" i="7"/>
  <c r="H7" i="7"/>
  <c r="F6" i="7"/>
  <c r="K6" i="7" s="1"/>
  <c r="J6" i="7"/>
  <c r="M6" i="7" s="1"/>
  <c r="O19" i="6"/>
  <c r="R19" i="6" s="1"/>
  <c r="J19" i="6"/>
  <c r="M19" i="6" s="1"/>
  <c r="E19" i="6"/>
  <c r="H19" i="6" s="1"/>
  <c r="K6" i="6"/>
  <c r="M6" i="6" s="1"/>
  <c r="M13" i="6" s="1"/>
  <c r="M20" i="6" s="1"/>
  <c r="M21" i="6" s="1"/>
  <c r="F6" i="6"/>
  <c r="D19" i="5"/>
  <c r="G19" i="5" s="1"/>
  <c r="D16" i="5"/>
  <c r="E7" i="5"/>
  <c r="G7" i="5"/>
  <c r="E6" i="5"/>
  <c r="G6" i="5"/>
  <c r="D19" i="4"/>
  <c r="G19" i="4" s="1"/>
  <c r="E8" i="4"/>
  <c r="E7" i="4"/>
  <c r="G8" i="4"/>
  <c r="E6" i="4"/>
  <c r="G6" i="4"/>
  <c r="D19" i="3"/>
  <c r="G19" i="3" s="1"/>
  <c r="E6" i="3"/>
  <c r="G6" i="3"/>
  <c r="G13" i="3" s="1"/>
  <c r="G20" i="3" s="1"/>
  <c r="G21" i="3" s="1"/>
  <c r="G19" i="2"/>
  <c r="E7" i="2"/>
  <c r="G7" i="2"/>
  <c r="E6" i="2"/>
  <c r="G6" i="2"/>
  <c r="G13" i="2" s="1"/>
  <c r="G20" i="2" s="1"/>
  <c r="G21" i="2" s="1"/>
  <c r="D19" i="1"/>
  <c r="G19" i="1" s="1"/>
  <c r="E7" i="1"/>
  <c r="G7" i="1"/>
  <c r="E6" i="1"/>
  <c r="G6" i="1"/>
  <c r="G13" i="10" l="1"/>
  <c r="H6" i="6"/>
  <c r="H13" i="6" s="1"/>
  <c r="H20" i="6" s="1"/>
  <c r="H21" i="6" s="1"/>
  <c r="G6" i="9"/>
  <c r="G13" i="1"/>
  <c r="G20" i="1" s="1"/>
  <c r="G21" i="1" s="1"/>
  <c r="G7" i="9"/>
  <c r="R8" i="12"/>
  <c r="R14" i="12"/>
  <c r="R19" i="12" s="1"/>
  <c r="H19" i="12"/>
  <c r="M13" i="12"/>
  <c r="M20" i="12" s="1"/>
  <c r="M21" i="12" s="1"/>
  <c r="H7" i="12"/>
  <c r="R7" i="12" s="1"/>
  <c r="H6" i="12"/>
  <c r="M6" i="11"/>
  <c r="M13" i="11" s="1"/>
  <c r="M20" i="11" s="1"/>
  <c r="M21" i="11" s="1"/>
  <c r="H19" i="11"/>
  <c r="R14" i="11"/>
  <c r="R19" i="11" s="1"/>
  <c r="H7" i="11"/>
  <c r="R7" i="11" s="1"/>
  <c r="H6" i="11"/>
  <c r="G20" i="10"/>
  <c r="G21" i="10" s="1"/>
  <c r="E8" i="9"/>
  <c r="G8" i="9" s="1"/>
  <c r="R14" i="8"/>
  <c r="R19" i="8" s="1"/>
  <c r="H19" i="8"/>
  <c r="M13" i="8"/>
  <c r="M20" i="8" s="1"/>
  <c r="M21" i="8" s="1"/>
  <c r="H7" i="8"/>
  <c r="R7" i="8" s="1"/>
  <c r="H6" i="8"/>
  <c r="R14" i="7"/>
  <c r="H19" i="7"/>
  <c r="M13" i="7"/>
  <c r="M19" i="7"/>
  <c r="R18" i="7"/>
  <c r="H6" i="7"/>
  <c r="J7" i="7"/>
  <c r="M7" i="7" s="1"/>
  <c r="R7" i="7" s="1"/>
  <c r="G13" i="5"/>
  <c r="G20" i="5" s="1"/>
  <c r="G21" i="5" s="1"/>
  <c r="G7" i="4"/>
  <c r="G13" i="4" s="1"/>
  <c r="G20" i="4" s="1"/>
  <c r="G21" i="4" s="1"/>
  <c r="G13" i="9" l="1"/>
  <c r="G20" i="9" s="1"/>
  <c r="G21" i="9" s="1"/>
  <c r="R6" i="6"/>
  <c r="R13" i="6" s="1"/>
  <c r="R20" i="6" s="1"/>
  <c r="R21" i="6" s="1"/>
  <c r="H13" i="12"/>
  <c r="H20" i="12" s="1"/>
  <c r="H21" i="12" s="1"/>
  <c r="R6" i="12"/>
  <c r="R13" i="12" s="1"/>
  <c r="R20" i="12" s="1"/>
  <c r="R21" i="12" s="1"/>
  <c r="H13" i="11"/>
  <c r="H20" i="11" s="1"/>
  <c r="H21" i="11" s="1"/>
  <c r="R6" i="11"/>
  <c r="R13" i="11" s="1"/>
  <c r="R20" i="11" s="1"/>
  <c r="R21" i="11" s="1"/>
  <c r="H13" i="8"/>
  <c r="H20" i="8" s="1"/>
  <c r="H21" i="8" s="1"/>
  <c r="R6" i="8"/>
  <c r="R13" i="8" s="1"/>
  <c r="R20" i="8" s="1"/>
  <c r="R21" i="8" s="1"/>
  <c r="R19" i="7"/>
  <c r="M20" i="7"/>
  <c r="M21" i="7" s="1"/>
  <c r="R6" i="7"/>
  <c r="R13" i="7" s="1"/>
  <c r="R20" i="7" s="1"/>
  <c r="R21" i="7" s="1"/>
  <c r="H13" i="7"/>
  <c r="H20" i="7" s="1"/>
  <c r="H21" i="7" s="1"/>
</calcChain>
</file>

<file path=xl/sharedStrings.xml><?xml version="1.0" encoding="utf-8"?>
<sst xmlns="http://schemas.openxmlformats.org/spreadsheetml/2006/main" count="649" uniqueCount="109">
  <si>
    <t>Account Certificate</t>
  </si>
  <si>
    <t>Costing:</t>
  </si>
  <si>
    <t>2021 Rate/Hr</t>
  </si>
  <si>
    <t>Hours</t>
  </si>
  <si>
    <t>O/T Factor</t>
  </si>
  <si>
    <t>Calculated Cost</t>
  </si>
  <si>
    <t>L</t>
  </si>
  <si>
    <t>Direct Labour (inside staff):
Customer Contact -  
     - Receives request and Payment- Sends payment to Payment Processing and corresponds with Dist Ops as required (2 min)
     - Completes  Arrears Check (10 min)
     - Compiles results to send to customer (8 min)</t>
  </si>
  <si>
    <t>A</t>
  </si>
  <si>
    <t>Direct Labour (inside staff): 
Payment Processing - 
     - Processes payment in JDE (straight to GL) (5 min)</t>
  </si>
  <si>
    <t>B</t>
  </si>
  <si>
    <t>O</t>
  </si>
  <si>
    <t>U</t>
  </si>
  <si>
    <t>R</t>
  </si>
  <si>
    <t>Total Labour Cost</t>
  </si>
  <si>
    <t>T</t>
  </si>
  <si>
    <t>H</t>
  </si>
  <si>
    <t>Other:</t>
  </si>
  <si>
    <t>Material</t>
  </si>
  <si>
    <t>N/A</t>
  </si>
  <si>
    <t>E</t>
  </si>
  <si>
    <t>Contract</t>
  </si>
  <si>
    <t>Other</t>
  </si>
  <si>
    <t>Total Other</t>
  </si>
  <si>
    <t>Total Cost</t>
  </si>
  <si>
    <t>Specific Service Charge Value - Rounded up to nearest $</t>
  </si>
  <si>
    <t>Unregistered Easements</t>
  </si>
  <si>
    <t>Direct Labour (inside staff): 
Dist Operations (Service Desk) - 
     - Receives request and Payment- Scans request and adds to Track-IT.  Sends payment to Payment Processing (8.5 min)
     - Completes Unregistered Easement Check (30 min)
     - Scans results via email to Customer. Updates Track-IT (5 min)</t>
  </si>
  <si>
    <t>Invoice Reprint Fee</t>
  </si>
  <si>
    <t>Direct Labour (Outsourced): 
Call Center Staff - (5 min)
     - Find the bills requested in CC&amp;B 
     - Save as PDF to desktop
     - Email to customer
     - Apply adjustment to the customer’s account in CC&amp;B</t>
  </si>
  <si>
    <t>Credit Reference Fees</t>
  </si>
  <si>
    <t xml:space="preserve">Rate/Hr
</t>
  </si>
  <si>
    <t>Direct Labour (Outsourced): 
Call Center Staff - (10 min)
     - Receive request from customer
     - completes process of receiving documentation for removing the deposit requirement  or
     - Research / complete request via Equifax (if required)
     - Apply adjustment to the customer’s account in CC&amp;B</t>
  </si>
  <si>
    <t>Indirect Labour (inside staff):
Customer Contact -  This time is for the overall review of the Equifax invoice and verification. (1 min per transaction)</t>
  </si>
  <si>
    <t>Indirect Labour (inside staff):
AP Costs to complete Equifax Payment (3 min)</t>
  </si>
  <si>
    <r>
      <t xml:space="preserve">Other - Equifax </t>
    </r>
    <r>
      <rPr>
        <sz val="11"/>
        <color theme="1"/>
        <rFont val="Calibri"/>
        <family val="2"/>
        <scheme val="minor"/>
      </rPr>
      <t>check</t>
    </r>
  </si>
  <si>
    <t>Unprocessed Payment Charge</t>
  </si>
  <si>
    <t>Direct Labour (inside staff): 
Payment Processing -  (3 min)
     - Receives notice of rejected payment from the bank
     - Reviews the customers account in CC&amp;B. Finds the payment and cancels</t>
  </si>
  <si>
    <t xml:space="preserve">Indirect Labour (inside staff):
Customer Contact -  This time is for the overall payment arrangement management around the NSF process (NSF report takes `4hrs to review 40 = `6 min per transaction + other time = 9 min per transaction ) 
     - Customer contract reviews NSF reports
     - Takes actions as required to remove people from payment plans. </t>
  </si>
  <si>
    <t>Material - Printing and Postage x 2</t>
  </si>
  <si>
    <t>Other - Bank fee</t>
  </si>
  <si>
    <t>Account Setup Charge</t>
  </si>
  <si>
    <t>Internal Staff</t>
  </si>
  <si>
    <t>Call Center (Higher rate as paper work based)</t>
  </si>
  <si>
    <t>Blended (50/50)</t>
  </si>
  <si>
    <t>Contract Rate/Hr</t>
  </si>
  <si>
    <t>Direct Labour (15 min)</t>
  </si>
  <si>
    <t xml:space="preserve">Other </t>
  </si>
  <si>
    <t>Reconn Charges - @ Meter (Regular Hours)</t>
  </si>
  <si>
    <t>Physically at Meter</t>
  </si>
  <si>
    <t>Remote</t>
  </si>
  <si>
    <t>Blended (about 40% physically at meter, 60% remote)</t>
  </si>
  <si>
    <t>Direct Labour (Optima): 
Optima Agent - 
     - Customer calls to  discuss reconnection. Agent reviews account and sets up a To Do in CC&amp;B for a Collection Agent to contact the customer (6min)</t>
  </si>
  <si>
    <t xml:space="preserve">Direct Labour (inside staff):          
Collection Agent -  (5 min)
     - Customer calls to make arrangements for reconnect (and associated payments etc)
If "remote" then the additional steps taken
     -  Logs into MASS and calls up meter number for disconnect.  (1 min)
     - Updates field activity and CC&amp;B (3 min)
</t>
  </si>
  <si>
    <t>If Physically at meter, then the following steps taken: Direct Labour (outside staff): 
Collection Field Rep -  (1 hour)
     - One staff needed if reconnection at Meter; Two if at Pole</t>
  </si>
  <si>
    <t>Fleet - Ford Transits</t>
  </si>
  <si>
    <t>FORD TRANSIT CONNECT CARGO; Van - Compact (MV); $5.52 for 2018</t>
  </si>
  <si>
    <t xml:space="preserve">Material </t>
  </si>
  <si>
    <t>Other - MAS software costs (If remote)</t>
  </si>
  <si>
    <t>Reconn Charges - @ Meter (AFTER Hours)</t>
  </si>
  <si>
    <t>Direct Labour (Optima): 
Optima Agent - 
     - Customer calls to  discuss reconnection. Agent reviews account and enters the request into OMS for the System Office to contact the customer (6min)</t>
  </si>
  <si>
    <t>Direct Labour (inside staff): 
System Office 
     - Customer calls to make arrangements for reconnect (and associated payments etc)   (5 min)
If Remote disconnect:
     -  Logs into MAS and calls up meter number for disconnect.  (1 min)
     - Updates field activity and CC&amp;B (3 min)</t>
  </si>
  <si>
    <t xml:space="preserve">System Office Shift Differential </t>
  </si>
  <si>
    <t>If Physical Disconnect:
Direct Labour (outside staff): 
Collection Field Rep -  (1 hour)
     - One staff needed if reconnection at Meter; Two if at Pole</t>
  </si>
  <si>
    <t>Reconn Charges - @ Pole (AFTER Hours)</t>
  </si>
  <si>
    <t>Direct Labour (inside staff): 
System Office -  (5 min)
     - Customer calls to make arrangements for reconnect (and associated payments etc)</t>
  </si>
  <si>
    <t>System Office Shift Differential</t>
  </si>
  <si>
    <t>Direct Labour (outside staff): 
Collection Field Rep -  (1 hour )
     - One staff needed if reconnection at Meter; Two if at Pole</t>
  </si>
  <si>
    <t>Reconn Charges - @ Pole (Regular Hours)</t>
  </si>
  <si>
    <t>Direct Labour (inside staff): 
Collection Agent -  (5 min)
     - Customer calls to make arrangements for reconnect (and associated payments etc)</t>
  </si>
  <si>
    <t>Direct Labour (outside staff): 
Collection Field Rep -  (1 hour)
     - One staff needed if reconnection at Meter; Two if at Pole</t>
  </si>
  <si>
    <t>Occupant Reconn Charges - @ Meter (Regular Hours)</t>
  </si>
  <si>
    <t>Occupant Reconn Charges - @ Meter (AFTER Hours)</t>
  </si>
  <si>
    <t>Special Billing Service</t>
  </si>
  <si>
    <t>Direct Labour (inside staff) Straight Time</t>
  </si>
  <si>
    <t>High Bill Investigation (sending field agent to the field to check meter)</t>
  </si>
  <si>
    <t>Direct Labour (inside staff): 
Collection Agent -  (5 min)
     - Customer calls to make arrangements for field check. Agents sets it up</t>
  </si>
  <si>
    <t>Direct Labour (outside staff): 
Collection Field Rep -  (1 hour)
     - 1 Rep for 2 hours - Customer on site. The rep meets with customer on site and does a walk through. Looks at the usage (what the customer has on) and trouble shoots.</t>
  </si>
  <si>
    <t>Interval Meter–Field Read</t>
  </si>
  <si>
    <t xml:space="preserve">Direct Labour (inside staff) Straight Time: MDS - Managing "missed calls" lists, updating records, importing manual data files and data validation.  Exporting data to create CC&amp;B import files. Managing LPSS missing data records </t>
  </si>
  <si>
    <t>Direct Labour (field staff) Straight Time: Meter Technician travel, on site manual data collection  (Performed after on-site initial site visit)</t>
  </si>
  <si>
    <t>SPECIFIC SERVICE CHARGES</t>
  </si>
  <si>
    <r>
      <t xml:space="preserve">PROPOSED NEW CHARGE: </t>
    </r>
    <r>
      <rPr>
        <b/>
        <sz val="11"/>
        <color rgb="FFFF0000"/>
        <rFont val="Calibri"/>
        <family val="2"/>
        <scheme val="minor"/>
      </rPr>
      <t>Micro-FIT and Micro-Net-Metering Energy Resource Facility Monthly Account Management Charge</t>
    </r>
  </si>
  <si>
    <t>Rate/Hr</t>
  </si>
  <si>
    <t>Hours/Month</t>
  </si>
  <si>
    <t>Direct Labour (inside staff) Straight Time: Billing Agent @ 3 days/month</t>
  </si>
  <si>
    <t>Direct Labour (inside staff) Straight Time: Senior MDS Analyst @ 5.0 days/month</t>
  </si>
  <si>
    <t>Direct Labour (inside staff) Straight Time: Finance @ 4.0 days/month</t>
  </si>
  <si>
    <t>Direct Labour (inside staff) Straight Time: Accounts Payables @ 0.8 days/month</t>
  </si>
  <si>
    <t>Sub-total Labour Hours Cost/month</t>
  </si>
  <si>
    <t>Number of Accounts as of Nov 2019</t>
  </si>
  <si>
    <t>Average Total Labour Cost (Labour Hrs Cost over # of accounts)</t>
  </si>
  <si>
    <t>Vehicle Time</t>
  </si>
  <si>
    <t xml:space="preserve">Other: </t>
  </si>
  <si>
    <t>Materials - Postage @ $0.90/ acct</t>
  </si>
  <si>
    <t>Average Monthly Cost per Account</t>
  </si>
  <si>
    <t>Specific Service Charge Value Requested - Rounded up to nearest $</t>
  </si>
  <si>
    <r>
      <t>PROPOSED NEW CHARGE:</t>
    </r>
    <r>
      <rPr>
        <b/>
        <sz val="11"/>
        <color rgb="FFFF0000"/>
        <rFont val="Calibri"/>
        <family val="2"/>
        <scheme val="minor"/>
      </rPr>
      <t xml:space="preserve"> FIT Monthly Account Management Charge</t>
    </r>
  </si>
  <si>
    <t xml:space="preserve">Rate/Hr </t>
  </si>
  <si>
    <t>Direct Labour (inside staff) Straight Time: Senior MDS Analyst @ 3.5 days/month</t>
  </si>
  <si>
    <t>Direct Labour (inside staff) Straight Time: Finance @ 5.2 days/month</t>
  </si>
  <si>
    <t>Direct Labour (inside staff) Straight Time: Accounts Payables @ 0.5 days/month</t>
  </si>
  <si>
    <t>Small Vehicle Time</t>
  </si>
  <si>
    <t xml:space="preserve">Other:  </t>
  </si>
  <si>
    <t>Total Cost per account</t>
  </si>
  <si>
    <r>
      <t xml:space="preserve">PROPOSED NEW CHARGE: </t>
    </r>
    <r>
      <rPr>
        <b/>
        <sz val="11"/>
        <color rgb="FFFF0000"/>
        <rFont val="Calibri"/>
        <family val="2"/>
        <scheme val="minor"/>
      </rPr>
      <t>HCI, RESOP, Other Energy Resource Facility Monthly Account Management Charge</t>
    </r>
  </si>
  <si>
    <t>Direct Labour (inside staff) Straight Time: Finance @ 1.8 days/month</t>
  </si>
  <si>
    <t>Direct Labour (inside staff) Straight Time: Accounts Payables @ 0.2 days/month</t>
  </si>
  <si>
    <t>Direct Labour (inside staff) Straight Time: Senior MDS Analyst @ 3.5 hours/month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</si>
</sst>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&quot;$&quot;#,##0_);[Red]\(&quot;$&quot;#,##0\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1" applyFont="1" applyFill="1"/>
    <xf numFmtId="0" fontId="1" fillId="2" borderId="0" xfId="1" applyFill="1"/>
    <xf numFmtId="0" fontId="4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164" fontId="1" fillId="0" borderId="1" xfId="1" applyNumberFormat="1" applyFill="1" applyBorder="1" applyAlignment="1">
      <alignment horizontal="center" vertical="center"/>
    </xf>
    <xf numFmtId="40" fontId="1" fillId="0" borderId="1" xfId="1" applyNumberFormat="1" applyFill="1" applyBorder="1" applyAlignment="1">
      <alignment horizontal="center" vertical="center"/>
    </xf>
    <xf numFmtId="40" fontId="1" fillId="0" borderId="1" xfId="1" applyNumberFormat="1" applyFill="1" applyBorder="1"/>
    <xf numFmtId="164" fontId="1" fillId="2" borderId="1" xfId="1" applyNumberFormat="1" applyFill="1" applyBorder="1" applyAlignment="1">
      <alignment vertical="center"/>
    </xf>
    <xf numFmtId="0" fontId="1" fillId="2" borderId="2" xfId="1" applyFill="1" applyBorder="1"/>
    <xf numFmtId="0" fontId="1" fillId="2" borderId="3" xfId="1" applyFill="1" applyBorder="1"/>
    <xf numFmtId="164" fontId="1" fillId="0" borderId="1" xfId="1" applyNumberFormat="1" applyFill="1" applyBorder="1" applyAlignment="1">
      <alignment horizontal="center"/>
    </xf>
    <xf numFmtId="40" fontId="1" fillId="0" borderId="1" xfId="1" applyNumberFormat="1" applyFill="1" applyBorder="1" applyAlignment="1">
      <alignment horizontal="center"/>
    </xf>
    <xf numFmtId="164" fontId="1" fillId="2" borderId="1" xfId="1" applyNumberFormat="1" applyFill="1" applyBorder="1"/>
    <xf numFmtId="0" fontId="3" fillId="2" borderId="1" xfId="1" applyFont="1" applyFill="1" applyBorder="1"/>
    <xf numFmtId="0" fontId="6" fillId="3" borderId="1" xfId="1" applyFont="1" applyFill="1" applyBorder="1"/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/>
    <xf numFmtId="40" fontId="6" fillId="3" borderId="1" xfId="1" applyNumberFormat="1" applyFont="1" applyFill="1" applyBorder="1"/>
    <xf numFmtId="164" fontId="6" fillId="3" borderId="1" xfId="1" applyNumberFormat="1" applyFont="1" applyFill="1" applyBorder="1"/>
    <xf numFmtId="0" fontId="3" fillId="2" borderId="2" xfId="1" applyFont="1" applyFill="1" applyBorder="1"/>
    <xf numFmtId="0" fontId="6" fillId="2" borderId="3" xfId="1" applyFont="1" applyFill="1" applyBorder="1"/>
    <xf numFmtId="164" fontId="6" fillId="2" borderId="1" xfId="1" applyNumberFormat="1" applyFont="1" applyFill="1" applyBorder="1" applyAlignment="1">
      <alignment horizontal="center"/>
    </xf>
    <xf numFmtId="40" fontId="6" fillId="2" borderId="1" xfId="1" applyNumberFormat="1" applyFont="1" applyFill="1" applyBorder="1"/>
    <xf numFmtId="164" fontId="3" fillId="2" borderId="1" xfId="1" applyNumberFormat="1" applyFont="1" applyFill="1" applyBorder="1"/>
    <xf numFmtId="0" fontId="7" fillId="3" borderId="2" xfId="1" applyFont="1" applyFill="1" applyBorder="1"/>
    <xf numFmtId="0" fontId="7" fillId="3" borderId="3" xfId="1" applyFont="1" applyFill="1" applyBorder="1"/>
    <xf numFmtId="40" fontId="7" fillId="3" borderId="1" xfId="1" applyNumberFormat="1" applyFont="1" applyFill="1" applyBorder="1"/>
    <xf numFmtId="0" fontId="1" fillId="2" borderId="1" xfId="1" applyFill="1" applyBorder="1"/>
    <xf numFmtId="165" fontId="3" fillId="3" borderId="1" xfId="1" applyNumberFormat="1" applyFont="1" applyFill="1" applyBorder="1"/>
    <xf numFmtId="164" fontId="8" fillId="0" borderId="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/>
    <xf numFmtId="164" fontId="8" fillId="2" borderId="1" xfId="1" applyNumberFormat="1" applyFont="1" applyFill="1" applyBorder="1" applyAlignment="1">
      <alignment vertical="center"/>
    </xf>
    <xf numFmtId="0" fontId="1" fillId="2" borderId="3" xfId="1" applyFont="1" applyFill="1" applyBorder="1"/>
    <xf numFmtId="166" fontId="0" fillId="2" borderId="0" xfId="2" applyNumberFormat="1" applyFont="1" applyFill="1"/>
    <xf numFmtId="0" fontId="5" fillId="2" borderId="0" xfId="1" applyFont="1" applyFill="1"/>
    <xf numFmtId="0" fontId="7" fillId="2" borderId="0" xfId="1" applyFont="1" applyFill="1"/>
    <xf numFmtId="0" fontId="8" fillId="2" borderId="3" xfId="1" applyFont="1" applyFill="1" applyBorder="1"/>
    <xf numFmtId="40" fontId="8" fillId="0" borderId="1" xfId="1" applyNumberFormat="1" applyFont="1" applyFill="1" applyBorder="1" applyAlignment="1">
      <alignment horizontal="center"/>
    </xf>
    <xf numFmtId="0" fontId="1" fillId="2" borderId="0" xfId="1" applyFont="1" applyFill="1"/>
    <xf numFmtId="0" fontId="5" fillId="2" borderId="0" xfId="1" applyFont="1" applyFill="1" applyBorder="1" applyAlignment="1">
      <alignment horizontal="center" wrapText="1"/>
    </xf>
    <xf numFmtId="0" fontId="2" fillId="2" borderId="2" xfId="1" applyFont="1" applyFill="1" applyBorder="1"/>
    <xf numFmtId="164" fontId="1" fillId="0" borderId="1" xfId="1" applyNumberFormat="1" applyFill="1" applyBorder="1"/>
    <xf numFmtId="0" fontId="8" fillId="2" borderId="2" xfId="1" applyFont="1" applyFill="1" applyBorder="1"/>
    <xf numFmtId="0" fontId="8" fillId="2" borderId="2" xfId="1" applyFont="1" applyFill="1" applyBorder="1" applyAlignment="1">
      <alignment horizontal="left" indent="1"/>
    </xf>
    <xf numFmtId="164" fontId="8" fillId="2" borderId="1" xfId="1" applyNumberFormat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40" fontId="0" fillId="0" borderId="1" xfId="0" applyNumberFormat="1" applyFill="1" applyBorder="1"/>
    <xf numFmtId="164" fontId="0" fillId="2" borderId="1" xfId="0" applyNumberFormat="1" applyFill="1" applyBorder="1"/>
    <xf numFmtId="164" fontId="6" fillId="2" borderId="1" xfId="0" applyNumberFormat="1" applyFont="1" applyFill="1" applyBorder="1"/>
    <xf numFmtId="0" fontId="6" fillId="2" borderId="2" xfId="0" applyFont="1" applyFill="1" applyBorder="1"/>
    <xf numFmtId="0" fontId="0" fillId="2" borderId="3" xfId="0" applyFill="1" applyBorder="1"/>
    <xf numFmtId="0" fontId="6" fillId="3" borderId="1" xfId="0" applyFont="1" applyFill="1" applyBorder="1"/>
    <xf numFmtId="40" fontId="6" fillId="3" borderId="1" xfId="0" applyNumberFormat="1" applyFont="1" applyFill="1" applyBorder="1"/>
    <xf numFmtId="164" fontId="6" fillId="3" borderId="1" xfId="0" applyNumberFormat="1" applyFont="1" applyFill="1" applyBorder="1"/>
    <xf numFmtId="0" fontId="0" fillId="2" borderId="2" xfId="0" applyFill="1" applyBorder="1"/>
    <xf numFmtId="40" fontId="0" fillId="0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6" fillId="2" borderId="3" xfId="0" applyFont="1" applyFill="1" applyBorder="1"/>
    <xf numFmtId="40" fontId="6" fillId="2" borderId="1" xfId="0" applyNumberFormat="1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40" fontId="7" fillId="3" borderId="1" xfId="0" applyNumberFormat="1" applyFont="1" applyFill="1" applyBorder="1"/>
    <xf numFmtId="0" fontId="0" fillId="2" borderId="1" xfId="0" applyFill="1" applyBorder="1"/>
    <xf numFmtId="164" fontId="3" fillId="3" borderId="1" xfId="0" applyNumberFormat="1" applyFont="1" applyFill="1" applyBorder="1"/>
    <xf numFmtId="164" fontId="0" fillId="0" borderId="1" xfId="0" applyNumberFormat="1" applyFill="1" applyBorder="1" applyAlignment="1">
      <alignment horizontal="center" wrapText="1"/>
    </xf>
    <xf numFmtId="0" fontId="6" fillId="0" borderId="2" xfId="0" applyFont="1" applyFill="1" applyBorder="1"/>
    <xf numFmtId="0" fontId="0" fillId="0" borderId="3" xfId="0" applyFill="1" applyBorder="1"/>
    <xf numFmtId="38" fontId="6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2" borderId="2" xfId="0" applyFont="1" applyFill="1" applyBorder="1"/>
    <xf numFmtId="40" fontId="0" fillId="0" borderId="1" xfId="0" applyNumberFormat="1" applyFill="1" applyBorder="1" applyAlignment="1">
      <alignment horizontal="center" wrapText="1"/>
    </xf>
    <xf numFmtId="0" fontId="1" fillId="2" borderId="2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wrapText="1"/>
    </xf>
    <xf numFmtId="0" fontId="1" fillId="2" borderId="3" xfId="1" applyFill="1" applyBorder="1" applyAlignment="1">
      <alignment horizontal="left" wrapText="1"/>
    </xf>
    <xf numFmtId="0" fontId="1" fillId="2" borderId="2" xfId="1" applyFill="1" applyBorder="1" applyAlignment="1">
      <alignment horizontal="left" wrapText="1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8" fillId="2" borderId="2" xfId="1" applyFont="1" applyFill="1" applyBorder="1" applyAlignment="1">
      <alignment horizontal="left" wrapText="1"/>
    </xf>
    <xf numFmtId="0" fontId="8" fillId="2" borderId="3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left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/>
    </xf>
    <xf numFmtId="0" fontId="1" fillId="2" borderId="1" xfId="1" applyFont="1" applyFill="1" applyBorder="1" applyAlignment="1">
      <alignment horizontal="left" wrapText="1"/>
    </xf>
    <xf numFmtId="0" fontId="1" fillId="2" borderId="1" xfId="1" applyFill="1" applyBorder="1" applyAlignment="1">
      <alignment horizontal="left" wrapText="1"/>
    </xf>
    <xf numFmtId="0" fontId="1" fillId="2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</cellXfs>
  <cellStyles count="3">
    <cellStyle name="Normal" xfId="0" builtinId="0"/>
    <cellStyle name="Normal 5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-7-1%20A%20-%20Service%20Charge%20Revenue_Volume_Rates_Tressa%20V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25 SSC Rev Sum"/>
      <sheetName val="2016-2025 SSC Cost Sum"/>
      <sheetName val="1-Account Certificate-Arrears"/>
      <sheetName val="2-Account Certificate-Easement"/>
      <sheetName val="3-Invoice Reprint Fee"/>
      <sheetName val="4-Credit Ref Check"/>
      <sheetName val="5-Unprocessed Pymt "/>
      <sheetName val="6-Account Setup "/>
      <sheetName val="7-Recon -Field @Meter Reg hrs"/>
      <sheetName val="8-Recon-Field @Meter Aft hrs"/>
      <sheetName val="9-Reconn-Field@Pole Reg hrs"/>
      <sheetName val="10-Reconn-Field@Pole After hrs"/>
      <sheetName val="11-Recon @Meter Occ Reg hrs"/>
      <sheetName val="12-Recon @Meter Occ Aft hrs"/>
      <sheetName val="13-Special Billing Service"/>
      <sheetName val="14-High Bill Investigation"/>
      <sheetName val="15-Interval Meter–Field Read"/>
      <sheetName val="16 &amp; 17 Attachments"/>
      <sheetName val="20-Temp Services"/>
      <sheetName val="Sheet1"/>
      <sheetName val="Sheet2"/>
    </sheetNames>
    <sheetDataSet>
      <sheetData sheetId="0"/>
      <sheetData sheetId="1">
        <row r="2">
          <cell r="E2">
            <v>122</v>
          </cell>
        </row>
        <row r="4">
          <cell r="E4">
            <v>122</v>
          </cell>
        </row>
        <row r="7">
          <cell r="E7">
            <v>51.6</v>
          </cell>
        </row>
        <row r="9">
          <cell r="E9">
            <v>5.52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8">
          <cell r="J18">
            <v>0.13851663325750579</v>
          </cell>
        </row>
      </sheetData>
      <sheetData sheetId="9">
        <row r="8">
          <cell r="E8">
            <v>1.32</v>
          </cell>
        </row>
        <row r="18">
          <cell r="J18">
            <v>0.13851663325750579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8" sqref="D8"/>
    </sheetView>
  </sheetViews>
  <sheetFormatPr defaultRowHeight="15" x14ac:dyDescent="0.25"/>
  <cols>
    <col min="5" max="5" width="6.7109375" bestFit="1" customWidth="1"/>
    <col min="6" max="6" width="11.42578125" bestFit="1" customWidth="1"/>
    <col min="7" max="7" width="16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2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5" t="s">
        <v>7</v>
      </c>
      <c r="C6" s="86"/>
      <c r="D6" s="10">
        <v>122</v>
      </c>
      <c r="E6" s="11">
        <f>(2+10+8)/60</f>
        <v>0.33333333333333331</v>
      </c>
      <c r="F6" s="12"/>
      <c r="G6" s="13">
        <f>+D6*E6</f>
        <v>40.666666666666664</v>
      </c>
    </row>
    <row r="7" spans="1:7" x14ac:dyDescent="0.25">
      <c r="A7" s="9" t="s">
        <v>8</v>
      </c>
      <c r="B7" s="87" t="s">
        <v>9</v>
      </c>
      <c r="C7" s="88"/>
      <c r="D7" s="10">
        <v>122</v>
      </c>
      <c r="E7" s="11">
        <f>(5)/60</f>
        <v>8.3333333333333329E-2</v>
      </c>
      <c r="F7" s="12"/>
      <c r="G7" s="13">
        <f>+D7*E7</f>
        <v>10.166666666666666</v>
      </c>
    </row>
    <row r="8" spans="1:7" x14ac:dyDescent="0.25">
      <c r="A8" s="9" t="s">
        <v>10</v>
      </c>
      <c r="B8" s="89"/>
      <c r="C8" s="88"/>
      <c r="D8" s="10"/>
      <c r="E8" s="11"/>
      <c r="F8" s="12"/>
      <c r="G8" s="13"/>
    </row>
    <row r="9" spans="1:7" x14ac:dyDescent="0.25">
      <c r="A9" s="9" t="s">
        <v>11</v>
      </c>
      <c r="B9" s="14"/>
      <c r="C9" s="15"/>
      <c r="D9" s="16"/>
      <c r="E9" s="17"/>
      <c r="F9" s="12"/>
      <c r="G9" s="18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50.833333333333329</v>
      </c>
    </row>
    <row r="14" spans="1:7" x14ac:dyDescent="0.25">
      <c r="A14" s="19" t="s">
        <v>11</v>
      </c>
      <c r="B14" s="14"/>
      <c r="C14" s="15"/>
      <c r="D14" s="12"/>
      <c r="E14" s="12"/>
      <c r="F14" s="12"/>
      <c r="G14" s="18"/>
    </row>
    <row r="15" spans="1:7" x14ac:dyDescent="0.25">
      <c r="A15" s="19" t="s">
        <v>15</v>
      </c>
      <c r="B15" s="14"/>
      <c r="C15" s="15"/>
      <c r="D15" s="12"/>
      <c r="E15" s="12"/>
      <c r="F15" s="12"/>
      <c r="G15" s="18"/>
    </row>
    <row r="16" spans="1:7" x14ac:dyDescent="0.25">
      <c r="A16" s="19" t="s">
        <v>16</v>
      </c>
      <c r="B16" s="25" t="s">
        <v>17</v>
      </c>
      <c r="C16" s="15" t="s">
        <v>18</v>
      </c>
      <c r="D16" s="17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15" t="s">
        <v>21</v>
      </c>
      <c r="D17" s="17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15" t="s">
        <v>22</v>
      </c>
      <c r="D18" s="17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>
        <f>SUM(D14:D18)</f>
        <v>0</v>
      </c>
      <c r="E19" s="28"/>
      <c r="F19" s="28"/>
      <c r="G19" s="29">
        <f>+D19</f>
        <v>0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50.833333333333329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51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4">
    <mergeCell ref="B6:C6"/>
    <mergeCell ref="B7:C7"/>
    <mergeCell ref="B8:C8"/>
    <mergeCell ref="A21:C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9" sqref="D9"/>
    </sheetView>
  </sheetViews>
  <sheetFormatPr defaultRowHeight="15" x14ac:dyDescent="0.25"/>
  <cols>
    <col min="1" max="1" width="9" customWidth="1"/>
    <col min="6" max="6" width="11.42578125" bestFit="1" customWidth="1"/>
    <col min="7" max="7" width="16" bestFit="1" customWidth="1"/>
  </cols>
  <sheetData>
    <row r="1" spans="1:7" x14ac:dyDescent="0.25">
      <c r="A1" s="1" t="s">
        <v>64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7" t="s">
        <v>60</v>
      </c>
      <c r="C6" s="95"/>
      <c r="D6" s="10">
        <v>51.6</v>
      </c>
      <c r="E6" s="36">
        <f>6/60</f>
        <v>0.1</v>
      </c>
      <c r="F6" s="12"/>
      <c r="G6" s="13">
        <f t="shared" ref="G6:G8" si="0">D6*E6</f>
        <v>5.16</v>
      </c>
    </row>
    <row r="7" spans="1:7" x14ac:dyDescent="0.25">
      <c r="A7" s="9" t="s">
        <v>8</v>
      </c>
      <c r="B7" s="87" t="s">
        <v>65</v>
      </c>
      <c r="C7" s="88"/>
      <c r="D7" s="10">
        <v>122</v>
      </c>
      <c r="E7" s="36">
        <f>5/60</f>
        <v>8.3333333333333329E-2</v>
      </c>
      <c r="F7" s="37"/>
      <c r="G7" s="13">
        <f t="shared" si="0"/>
        <v>10.166666666666666</v>
      </c>
    </row>
    <row r="8" spans="1:7" x14ac:dyDescent="0.25">
      <c r="A8" s="9" t="s">
        <v>10</v>
      </c>
      <c r="B8" s="87" t="s">
        <v>66</v>
      </c>
      <c r="C8" s="95"/>
      <c r="D8" s="10">
        <v>1.32</v>
      </c>
      <c r="E8" s="36">
        <f>E7</f>
        <v>8.3333333333333329E-2</v>
      </c>
      <c r="F8" s="37"/>
      <c r="G8" s="13">
        <f t="shared" si="0"/>
        <v>0.11</v>
      </c>
    </row>
    <row r="9" spans="1:7" x14ac:dyDescent="0.25">
      <c r="A9" s="9" t="s">
        <v>11</v>
      </c>
      <c r="B9" s="87" t="s">
        <v>67</v>
      </c>
      <c r="C9" s="95"/>
      <c r="D9" s="10">
        <v>191</v>
      </c>
      <c r="E9" s="36">
        <v>2</v>
      </c>
      <c r="F9" s="37"/>
      <c r="G9" s="13">
        <f>D9*E9</f>
        <v>382</v>
      </c>
    </row>
    <row r="10" spans="1:7" x14ac:dyDescent="0.25">
      <c r="A10" s="9" t="s">
        <v>12</v>
      </c>
      <c r="B10" s="87"/>
      <c r="C10" s="88"/>
      <c r="D10" s="10"/>
      <c r="E10" s="36"/>
      <c r="F10" s="37"/>
      <c r="G10" s="13"/>
    </row>
    <row r="11" spans="1:7" x14ac:dyDescent="0.25">
      <c r="A11" s="9" t="s">
        <v>13</v>
      </c>
      <c r="B11" s="96"/>
      <c r="C11" s="97"/>
      <c r="D11" s="10"/>
      <c r="E11" s="36"/>
      <c r="F11" s="12"/>
      <c r="G11" s="13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397.43666666666667</v>
      </c>
    </row>
    <row r="14" spans="1:7" x14ac:dyDescent="0.25">
      <c r="A14" s="19" t="s">
        <v>11</v>
      </c>
      <c r="B14" s="49" t="s">
        <v>55</v>
      </c>
      <c r="C14" s="43"/>
      <c r="D14" s="36">
        <v>5.52</v>
      </c>
      <c r="E14" s="36">
        <v>1</v>
      </c>
      <c r="F14" s="37"/>
      <c r="G14" s="38">
        <f>+D14*E14</f>
        <v>5.52</v>
      </c>
    </row>
    <row r="15" spans="1:7" x14ac:dyDescent="0.25">
      <c r="A15" s="19" t="s">
        <v>15</v>
      </c>
      <c r="B15" s="50"/>
      <c r="C15" s="43"/>
      <c r="D15" s="37"/>
      <c r="E15" s="37"/>
      <c r="F15" s="37"/>
      <c r="G15" s="51"/>
    </row>
    <row r="16" spans="1:7" x14ac:dyDescent="0.25">
      <c r="A16" s="19" t="s">
        <v>16</v>
      </c>
      <c r="B16" s="25" t="s">
        <v>17</v>
      </c>
      <c r="C16" s="43" t="s">
        <v>57</v>
      </c>
      <c r="D16" s="44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43" t="s">
        <v>47</v>
      </c>
      <c r="D18" s="44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/>
      <c r="E19" s="28"/>
      <c r="F19" s="28"/>
      <c r="G19" s="29">
        <f>SUM(G14:G18)</f>
        <v>5.52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402.95666666666665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403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7">
    <mergeCell ref="A21:C21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sqref="A1:R23"/>
    </sheetView>
  </sheetViews>
  <sheetFormatPr defaultRowHeight="15" x14ac:dyDescent="0.25"/>
  <sheetData>
    <row r="1" spans="1:18" x14ac:dyDescent="0.25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2"/>
      <c r="C3" s="2"/>
      <c r="D3" s="2"/>
      <c r="E3" s="2"/>
      <c r="F3" s="2"/>
      <c r="G3" s="2"/>
      <c r="H3" s="2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3"/>
      <c r="B4" s="2"/>
      <c r="C4" s="2"/>
      <c r="D4" s="2"/>
      <c r="E4" s="45" t="s">
        <v>49</v>
      </c>
      <c r="F4" s="2"/>
      <c r="G4" s="2"/>
      <c r="H4" s="2"/>
      <c r="I4" s="2"/>
      <c r="J4" s="45" t="s">
        <v>50</v>
      </c>
      <c r="K4" s="2"/>
      <c r="L4" s="2"/>
      <c r="M4" s="2"/>
      <c r="N4" s="2"/>
      <c r="O4" s="45" t="s">
        <v>51</v>
      </c>
      <c r="P4" s="2"/>
      <c r="Q4" s="2"/>
      <c r="R4" s="2"/>
    </row>
    <row r="5" spans="1:18" ht="31.5" x14ac:dyDescent="0.25">
      <c r="A5" s="4"/>
      <c r="B5" s="5"/>
      <c r="C5" s="6"/>
      <c r="D5" s="2"/>
      <c r="E5" s="7" t="s">
        <v>31</v>
      </c>
      <c r="F5" s="8" t="s">
        <v>3</v>
      </c>
      <c r="G5" s="8" t="s">
        <v>4</v>
      </c>
      <c r="H5" s="7" t="s">
        <v>5</v>
      </c>
      <c r="I5" s="41"/>
      <c r="J5" s="7" t="s">
        <v>31</v>
      </c>
      <c r="K5" s="8" t="s">
        <v>3</v>
      </c>
      <c r="L5" s="8" t="s">
        <v>4</v>
      </c>
      <c r="M5" s="7" t="s">
        <v>5</v>
      </c>
      <c r="N5" s="41"/>
      <c r="O5" s="7" t="s">
        <v>31</v>
      </c>
      <c r="P5" s="8" t="s">
        <v>3</v>
      </c>
      <c r="Q5" s="8" t="s">
        <v>4</v>
      </c>
      <c r="R5" s="7" t="s">
        <v>5</v>
      </c>
    </row>
    <row r="6" spans="1:18" x14ac:dyDescent="0.25">
      <c r="A6" s="9" t="s">
        <v>6</v>
      </c>
      <c r="B6" s="87" t="s">
        <v>52</v>
      </c>
      <c r="C6" s="95"/>
      <c r="D6" s="2"/>
      <c r="E6" s="35">
        <f>'[1]2016-2025 SSC Cost Sum'!E7</f>
        <v>51.6</v>
      </c>
      <c r="F6" s="36">
        <f>6/60</f>
        <v>0.1</v>
      </c>
      <c r="G6" s="37"/>
      <c r="H6" s="13">
        <f>+E6*F6</f>
        <v>5.16</v>
      </c>
      <c r="I6" s="2"/>
      <c r="J6" s="35">
        <f>E6</f>
        <v>51.6</v>
      </c>
      <c r="K6" s="36">
        <f>F6</f>
        <v>0.1</v>
      </c>
      <c r="L6" s="37"/>
      <c r="M6" s="13">
        <f>+J6*K6</f>
        <v>5.16</v>
      </c>
      <c r="N6" s="2"/>
      <c r="O6" s="35"/>
      <c r="P6" s="36"/>
      <c r="Q6" s="37"/>
      <c r="R6" s="13">
        <f>(H6*0.4)+(M6*0.6)</f>
        <v>5.16</v>
      </c>
    </row>
    <row r="7" spans="1:18" x14ac:dyDescent="0.25">
      <c r="A7" s="9" t="s">
        <v>8</v>
      </c>
      <c r="B7" s="87" t="s">
        <v>53</v>
      </c>
      <c r="C7" s="88"/>
      <c r="D7" s="2"/>
      <c r="E7" s="10">
        <f>'[1]2016-2025 SSC Cost Sum'!E2</f>
        <v>122</v>
      </c>
      <c r="F7" s="36">
        <f>(5)/60</f>
        <v>8.3333333333333329E-2</v>
      </c>
      <c r="G7" s="37"/>
      <c r="H7" s="13">
        <f t="shared" ref="H7:H8" si="0">+E7*F7</f>
        <v>10.166666666666666</v>
      </c>
      <c r="I7" s="2"/>
      <c r="J7" s="10">
        <f>E7</f>
        <v>122</v>
      </c>
      <c r="K7" s="36">
        <f>(5+1+3)/60</f>
        <v>0.15</v>
      </c>
      <c r="L7" s="37"/>
      <c r="M7" s="13">
        <f t="shared" ref="M7" si="1">+J7*K7</f>
        <v>18.3</v>
      </c>
      <c r="N7" s="2"/>
      <c r="O7" s="10"/>
      <c r="P7" s="36"/>
      <c r="Q7" s="37"/>
      <c r="R7" s="13">
        <f t="shared" ref="R7:R8" si="2">(H7*0.4)+(M7*0.6)</f>
        <v>15.046666666666667</v>
      </c>
    </row>
    <row r="8" spans="1:18" x14ac:dyDescent="0.25">
      <c r="A8" s="9" t="s">
        <v>10</v>
      </c>
      <c r="B8" s="87" t="s">
        <v>54</v>
      </c>
      <c r="C8" s="95"/>
      <c r="D8" s="2"/>
      <c r="E8" s="10">
        <f>'[1]2016-2025 SSC Cost Sum'!E4</f>
        <v>122</v>
      </c>
      <c r="F8" s="36">
        <v>1</v>
      </c>
      <c r="G8" s="12"/>
      <c r="H8" s="13">
        <f t="shared" si="0"/>
        <v>122</v>
      </c>
      <c r="I8" s="2"/>
      <c r="J8" s="36" t="s">
        <v>19</v>
      </c>
      <c r="K8" s="36" t="s">
        <v>19</v>
      </c>
      <c r="L8" s="12"/>
      <c r="M8" s="36"/>
      <c r="N8" s="2"/>
      <c r="O8" s="10"/>
      <c r="P8" s="36"/>
      <c r="Q8" s="12"/>
      <c r="R8" s="13">
        <f t="shared" si="2"/>
        <v>48.800000000000004</v>
      </c>
    </row>
    <row r="9" spans="1:18" x14ac:dyDescent="0.25">
      <c r="A9" s="9" t="s">
        <v>11</v>
      </c>
      <c r="B9" s="87"/>
      <c r="C9" s="88"/>
      <c r="D9" s="2"/>
      <c r="E9" s="33"/>
      <c r="F9" s="33"/>
      <c r="G9" s="33"/>
      <c r="H9" s="33"/>
      <c r="I9" s="2"/>
      <c r="J9" s="33"/>
      <c r="K9" s="33"/>
      <c r="L9" s="33"/>
      <c r="M9" s="33"/>
      <c r="N9" s="2"/>
      <c r="O9" s="33"/>
      <c r="P9" s="33"/>
      <c r="Q9" s="33"/>
      <c r="R9" s="33"/>
    </row>
    <row r="10" spans="1:18" x14ac:dyDescent="0.25">
      <c r="A10" s="9" t="s">
        <v>12</v>
      </c>
      <c r="B10" s="87"/>
      <c r="C10" s="95"/>
      <c r="D10" s="2"/>
      <c r="E10" s="33"/>
      <c r="F10" s="33"/>
      <c r="G10" s="33"/>
      <c r="H10" s="33"/>
      <c r="I10" s="2"/>
      <c r="J10" s="33"/>
      <c r="K10" s="33"/>
      <c r="L10" s="33"/>
      <c r="M10" s="33"/>
      <c r="N10" s="2"/>
      <c r="O10" s="33"/>
      <c r="P10" s="33"/>
      <c r="Q10" s="33"/>
      <c r="R10" s="33"/>
    </row>
    <row r="11" spans="1:18" x14ac:dyDescent="0.25">
      <c r="A11" s="9" t="s">
        <v>13</v>
      </c>
      <c r="B11" s="14"/>
      <c r="C11" s="15"/>
      <c r="D11" s="2"/>
      <c r="E11" s="16"/>
      <c r="F11" s="17"/>
      <c r="G11" s="12"/>
      <c r="H11" s="18"/>
      <c r="I11" s="2"/>
      <c r="J11" s="16"/>
      <c r="K11" s="17"/>
      <c r="L11" s="12"/>
      <c r="M11" s="18"/>
      <c r="N11" s="2"/>
      <c r="O11" s="16"/>
      <c r="P11" s="17"/>
      <c r="Q11" s="12"/>
      <c r="R11" s="18"/>
    </row>
    <row r="12" spans="1:18" x14ac:dyDescent="0.25">
      <c r="A12" s="19"/>
      <c r="B12" s="14"/>
      <c r="C12" s="15"/>
      <c r="D12" s="2"/>
      <c r="E12" s="16"/>
      <c r="F12" s="17"/>
      <c r="G12" s="12"/>
      <c r="H12" s="18"/>
      <c r="I12" s="42"/>
      <c r="J12" s="16"/>
      <c r="K12" s="17"/>
      <c r="L12" s="12"/>
      <c r="M12" s="18"/>
      <c r="N12" s="42"/>
      <c r="O12" s="16"/>
      <c r="P12" s="17"/>
      <c r="Q12" s="12"/>
      <c r="R12" s="18"/>
    </row>
    <row r="13" spans="1:18" x14ac:dyDescent="0.25">
      <c r="A13" s="20"/>
      <c r="B13" s="21" t="s">
        <v>14</v>
      </c>
      <c r="C13" s="22"/>
      <c r="D13" s="2"/>
      <c r="E13" s="23"/>
      <c r="F13" s="23"/>
      <c r="G13" s="23"/>
      <c r="H13" s="24">
        <f>SUM(H6:H12)</f>
        <v>137.32666666666665</v>
      </c>
      <c r="I13" s="2"/>
      <c r="J13" s="23"/>
      <c r="K13" s="23"/>
      <c r="L13" s="23"/>
      <c r="M13" s="24">
        <f>SUM(M6:M12)</f>
        <v>23.46</v>
      </c>
      <c r="N13" s="2"/>
      <c r="O13" s="23"/>
      <c r="P13" s="23"/>
      <c r="Q13" s="23"/>
      <c r="R13" s="24">
        <f>SUM(R6:R12)</f>
        <v>69.006666666666675</v>
      </c>
    </row>
    <row r="14" spans="1:18" x14ac:dyDescent="0.25">
      <c r="A14" s="19" t="s">
        <v>11</v>
      </c>
      <c r="B14" s="49" t="s">
        <v>55</v>
      </c>
      <c r="C14" s="43"/>
      <c r="D14" s="2"/>
      <c r="E14" s="36">
        <v>5.52</v>
      </c>
      <c r="F14" s="36">
        <f>F8</f>
        <v>1</v>
      </c>
      <c r="G14" s="37"/>
      <c r="H14" s="38">
        <f>+E14*F14</f>
        <v>5.52</v>
      </c>
      <c r="I14" s="2"/>
      <c r="J14" s="44"/>
      <c r="K14" s="44" t="s">
        <v>19</v>
      </c>
      <c r="L14" s="37"/>
      <c r="M14" s="38"/>
      <c r="N14" s="2"/>
      <c r="O14" s="36"/>
      <c r="P14" s="36"/>
      <c r="Q14" s="37"/>
      <c r="R14" s="13">
        <f t="shared" ref="R14" si="3">(H14*0.4)+(M14*0.6)</f>
        <v>2.2079999999999997</v>
      </c>
    </row>
    <row r="15" spans="1:18" x14ac:dyDescent="0.25">
      <c r="A15" s="19" t="s">
        <v>15</v>
      </c>
      <c r="B15" s="50"/>
      <c r="C15" s="43"/>
      <c r="D15" s="2"/>
      <c r="E15" s="37"/>
      <c r="F15" s="37"/>
      <c r="G15" s="37"/>
      <c r="H15" s="51"/>
      <c r="I15" s="2"/>
      <c r="J15" s="44"/>
      <c r="K15" s="44"/>
      <c r="L15" s="37"/>
      <c r="M15" s="51"/>
      <c r="N15" s="2"/>
      <c r="O15" s="37"/>
      <c r="P15" s="37"/>
      <c r="Q15" s="37"/>
      <c r="R15" s="51"/>
    </row>
    <row r="16" spans="1:18" x14ac:dyDescent="0.25">
      <c r="A16" s="19" t="s">
        <v>16</v>
      </c>
      <c r="B16" s="25" t="s">
        <v>17</v>
      </c>
      <c r="C16" s="43" t="s">
        <v>57</v>
      </c>
      <c r="D16" s="2"/>
      <c r="E16" s="44" t="s">
        <v>19</v>
      </c>
      <c r="F16" s="12"/>
      <c r="G16" s="12"/>
      <c r="H16" s="18"/>
      <c r="I16" s="2"/>
      <c r="J16" s="44"/>
      <c r="K16" s="44" t="s">
        <v>19</v>
      </c>
      <c r="L16" s="12"/>
      <c r="M16" s="18"/>
      <c r="N16" s="2"/>
      <c r="O16" s="44"/>
      <c r="P16" s="12"/>
      <c r="Q16" s="12"/>
      <c r="R16" s="18"/>
    </row>
    <row r="17" spans="1:18" x14ac:dyDescent="0.25">
      <c r="A17" s="19" t="s">
        <v>20</v>
      </c>
      <c r="B17" s="14"/>
      <c r="C17" s="43" t="s">
        <v>21</v>
      </c>
      <c r="D17" s="2"/>
      <c r="E17" s="44" t="s">
        <v>19</v>
      </c>
      <c r="F17" s="12"/>
      <c r="G17" s="12"/>
      <c r="H17" s="18"/>
      <c r="I17" s="2"/>
      <c r="J17" s="44"/>
      <c r="K17" s="44" t="s">
        <v>19</v>
      </c>
      <c r="L17" s="12"/>
      <c r="M17" s="18"/>
      <c r="N17" s="2"/>
      <c r="O17" s="44"/>
      <c r="P17" s="12"/>
      <c r="Q17" s="12"/>
      <c r="R17" s="18"/>
    </row>
    <row r="18" spans="1:18" x14ac:dyDescent="0.25">
      <c r="A18" s="19" t="s">
        <v>13</v>
      </c>
      <c r="B18" s="14"/>
      <c r="C18" s="43" t="s">
        <v>58</v>
      </c>
      <c r="D18" s="2"/>
      <c r="E18" s="44" t="s">
        <v>19</v>
      </c>
      <c r="F18" s="12"/>
      <c r="G18" s="12"/>
      <c r="H18" s="18"/>
      <c r="I18" s="2"/>
      <c r="J18" s="44">
        <f>'[1]7-Recon -Field @Meter Reg hrs'!J18</f>
        <v>0.13851663325750579</v>
      </c>
      <c r="K18" s="44" t="s">
        <v>19</v>
      </c>
      <c r="L18" s="12"/>
      <c r="M18" s="48">
        <f>J18</f>
        <v>0.13851663325750579</v>
      </c>
      <c r="N18" s="2"/>
      <c r="O18" s="44"/>
      <c r="P18" s="12"/>
      <c r="Q18" s="12"/>
      <c r="R18" s="18"/>
    </row>
    <row r="19" spans="1:18" x14ac:dyDescent="0.25">
      <c r="A19" s="19"/>
      <c r="B19" s="14"/>
      <c r="C19" s="26" t="s">
        <v>23</v>
      </c>
      <c r="D19" s="2"/>
      <c r="E19" s="27"/>
      <c r="F19" s="28"/>
      <c r="G19" s="28"/>
      <c r="H19" s="29">
        <f>SUM(H14:H18)</f>
        <v>5.52</v>
      </c>
      <c r="I19" s="42"/>
      <c r="J19" s="27"/>
      <c r="K19" s="28"/>
      <c r="L19" s="28"/>
      <c r="M19" s="29">
        <f>SUM(M14:M18)</f>
        <v>0.13851663325750579</v>
      </c>
      <c r="N19" s="42"/>
      <c r="O19" s="27"/>
      <c r="P19" s="28"/>
      <c r="Q19" s="28"/>
      <c r="R19" s="29">
        <f>SUM(R14:R18)</f>
        <v>2.2079999999999997</v>
      </c>
    </row>
    <row r="20" spans="1:18" x14ac:dyDescent="0.25">
      <c r="A20" s="20" t="s">
        <v>24</v>
      </c>
      <c r="B20" s="30"/>
      <c r="C20" s="31"/>
      <c r="D20" s="2"/>
      <c r="E20" s="32"/>
      <c r="F20" s="32"/>
      <c r="G20" s="32"/>
      <c r="H20" s="24">
        <f>+H13+H19</f>
        <v>142.84666666666666</v>
      </c>
      <c r="I20" s="2"/>
      <c r="J20" s="32"/>
      <c r="K20" s="32"/>
      <c r="L20" s="32"/>
      <c r="M20" s="24">
        <f>+M13+M19</f>
        <v>23.598516633257507</v>
      </c>
      <c r="N20" s="2"/>
      <c r="O20" s="32"/>
      <c r="P20" s="32"/>
      <c r="Q20" s="32"/>
      <c r="R20" s="24">
        <f>+R13+R19</f>
        <v>71.214666666666673</v>
      </c>
    </row>
    <row r="21" spans="1:18" x14ac:dyDescent="0.25">
      <c r="A21" s="90" t="s">
        <v>25</v>
      </c>
      <c r="B21" s="91"/>
      <c r="C21" s="92"/>
      <c r="D21" s="2"/>
      <c r="E21" s="33"/>
      <c r="F21" s="33"/>
      <c r="G21" s="33"/>
      <c r="H21" s="34">
        <f>ROUNDUP(H20,0)</f>
        <v>143</v>
      </c>
      <c r="I21" s="2"/>
      <c r="J21" s="33"/>
      <c r="K21" s="33"/>
      <c r="L21" s="33"/>
      <c r="M21" s="34">
        <f>ROUNDUP(M20,0)</f>
        <v>24</v>
      </c>
      <c r="N21" s="2"/>
      <c r="O21" s="33"/>
      <c r="P21" s="33"/>
      <c r="Q21" s="33"/>
      <c r="R21" s="34">
        <f>ROUNDUP(R20,0)</f>
        <v>72</v>
      </c>
    </row>
    <row r="22" spans="1:18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45"/>
      <c r="B23" s="45"/>
      <c r="C23" s="45"/>
      <c r="D23" s="45"/>
      <c r="E23" s="45"/>
      <c r="F23" s="45"/>
      <c r="G23" s="4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</sheetData>
  <mergeCells count="6">
    <mergeCell ref="A21:C21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10" sqref="E10"/>
    </sheetView>
  </sheetViews>
  <sheetFormatPr defaultRowHeight="15" x14ac:dyDescent="0.25"/>
  <cols>
    <col min="7" max="7" width="11.42578125" bestFit="1" customWidth="1"/>
    <col min="18" max="18" width="10.140625" customWidth="1"/>
  </cols>
  <sheetData>
    <row r="1" spans="1:18" x14ac:dyDescent="0.25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2"/>
      <c r="C3" s="2"/>
      <c r="D3" s="2"/>
      <c r="E3" s="2"/>
      <c r="F3" s="2"/>
      <c r="G3" s="2"/>
      <c r="H3" s="2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3"/>
      <c r="B4" s="2"/>
      <c r="C4" s="2"/>
      <c r="D4" s="2"/>
      <c r="E4" s="45" t="s">
        <v>49</v>
      </c>
      <c r="F4" s="2"/>
      <c r="G4" s="2"/>
      <c r="H4" s="2"/>
      <c r="I4" s="2"/>
      <c r="J4" s="45" t="s">
        <v>50</v>
      </c>
      <c r="K4" s="2"/>
      <c r="L4" s="2"/>
      <c r="M4" s="2"/>
      <c r="N4" s="2"/>
      <c r="O4" s="45" t="s">
        <v>51</v>
      </c>
      <c r="P4" s="2"/>
      <c r="Q4" s="2"/>
      <c r="R4" s="2"/>
    </row>
    <row r="5" spans="1:18" ht="31.5" x14ac:dyDescent="0.25">
      <c r="A5" s="4"/>
      <c r="B5" s="5"/>
      <c r="C5" s="6"/>
      <c r="D5" s="2"/>
      <c r="E5" s="7" t="s">
        <v>31</v>
      </c>
      <c r="F5" s="8" t="s">
        <v>3</v>
      </c>
      <c r="G5" s="8" t="s">
        <v>4</v>
      </c>
      <c r="H5" s="7" t="s">
        <v>5</v>
      </c>
      <c r="I5" s="41"/>
      <c r="J5" s="7" t="s">
        <v>31</v>
      </c>
      <c r="K5" s="8" t="s">
        <v>3</v>
      </c>
      <c r="L5" s="8" t="s">
        <v>4</v>
      </c>
      <c r="M5" s="7" t="s">
        <v>5</v>
      </c>
      <c r="N5" s="41"/>
      <c r="O5" s="7" t="s">
        <v>31</v>
      </c>
      <c r="P5" s="8" t="s">
        <v>3</v>
      </c>
      <c r="Q5" s="8" t="s">
        <v>4</v>
      </c>
      <c r="R5" s="7" t="s">
        <v>5</v>
      </c>
    </row>
    <row r="6" spans="1:18" x14ac:dyDescent="0.25">
      <c r="A6" s="9" t="s">
        <v>6</v>
      </c>
      <c r="B6" s="87" t="s">
        <v>60</v>
      </c>
      <c r="C6" s="95"/>
      <c r="D6" s="2"/>
      <c r="E6" s="10">
        <v>51.6</v>
      </c>
      <c r="F6" s="36">
        <f>6/60</f>
        <v>0.1</v>
      </c>
      <c r="G6" s="37"/>
      <c r="H6" s="13">
        <f>+E6*F6</f>
        <v>5.16</v>
      </c>
      <c r="I6" s="2"/>
      <c r="J6" s="35">
        <f>E6</f>
        <v>51.6</v>
      </c>
      <c r="K6" s="36">
        <f>6/60</f>
        <v>0.1</v>
      </c>
      <c r="L6" s="37"/>
      <c r="M6" s="13">
        <f>+J6*K6</f>
        <v>5.16</v>
      </c>
      <c r="N6" s="2"/>
      <c r="O6" s="35"/>
      <c r="P6" s="36"/>
      <c r="Q6" s="37"/>
      <c r="R6" s="13">
        <f>(H6*0.4)+(M6*0.6)</f>
        <v>5.16</v>
      </c>
    </row>
    <row r="7" spans="1:18" x14ac:dyDescent="0.25">
      <c r="A7" s="9" t="s">
        <v>8</v>
      </c>
      <c r="B7" s="87" t="s">
        <v>61</v>
      </c>
      <c r="C7" s="95"/>
      <c r="D7" s="2"/>
      <c r="E7" s="10">
        <v>122</v>
      </c>
      <c r="F7" s="36">
        <f>(5)/60</f>
        <v>8.3333333333333329E-2</v>
      </c>
      <c r="G7" s="12"/>
      <c r="H7" s="13">
        <f>+E7*F7</f>
        <v>10.166666666666666</v>
      </c>
      <c r="I7" s="2"/>
      <c r="J7" s="10">
        <f>E7</f>
        <v>122</v>
      </c>
      <c r="K7" s="36">
        <f>(5+1+3)/60</f>
        <v>0.15</v>
      </c>
      <c r="L7" s="37"/>
      <c r="M7" s="13">
        <f t="shared" ref="M7:M8" si="0">+J7*K7</f>
        <v>18.3</v>
      </c>
      <c r="N7" s="2"/>
      <c r="O7" s="10"/>
      <c r="P7" s="36"/>
      <c r="Q7" s="37"/>
      <c r="R7" s="13">
        <f t="shared" ref="R7:R9" si="1">(H7*0.4)+(M7*0.6)</f>
        <v>15.046666666666667</v>
      </c>
    </row>
    <row r="8" spans="1:18" x14ac:dyDescent="0.25">
      <c r="A8" s="9" t="s">
        <v>10</v>
      </c>
      <c r="B8" s="87" t="s">
        <v>62</v>
      </c>
      <c r="C8" s="95"/>
      <c r="D8" s="2"/>
      <c r="E8" s="16">
        <v>1.32</v>
      </c>
      <c r="F8" s="17">
        <f>F7</f>
        <v>8.3333333333333329E-2</v>
      </c>
      <c r="G8" s="12"/>
      <c r="H8" s="13">
        <f>+E8*F8</f>
        <v>0.11</v>
      </c>
      <c r="I8" s="2"/>
      <c r="J8" s="16">
        <v>1.32</v>
      </c>
      <c r="K8" s="17">
        <f>K7</f>
        <v>0.15</v>
      </c>
      <c r="L8" s="12"/>
      <c r="M8" s="13">
        <f t="shared" si="0"/>
        <v>0.19800000000000001</v>
      </c>
      <c r="N8" s="2"/>
      <c r="O8" s="16"/>
      <c r="P8" s="17"/>
      <c r="Q8" s="12"/>
      <c r="R8" s="13">
        <f t="shared" si="1"/>
        <v>0.1628</v>
      </c>
    </row>
    <row r="9" spans="1:18" x14ac:dyDescent="0.25">
      <c r="A9" s="9" t="s">
        <v>11</v>
      </c>
      <c r="B9" s="96" t="s">
        <v>63</v>
      </c>
      <c r="C9" s="97"/>
      <c r="D9" s="2"/>
      <c r="E9" s="10">
        <v>191</v>
      </c>
      <c r="F9" s="36">
        <v>1</v>
      </c>
      <c r="G9" s="12"/>
      <c r="H9" s="13">
        <f>+E9*F9</f>
        <v>191</v>
      </c>
      <c r="I9" s="2"/>
      <c r="J9" s="36" t="s">
        <v>19</v>
      </c>
      <c r="K9" s="36" t="s">
        <v>19</v>
      </c>
      <c r="L9" s="12"/>
      <c r="M9" s="18"/>
      <c r="N9" s="2"/>
      <c r="O9" s="36"/>
      <c r="P9" s="36"/>
      <c r="Q9" s="12"/>
      <c r="R9" s="13">
        <f t="shared" si="1"/>
        <v>76.400000000000006</v>
      </c>
    </row>
    <row r="10" spans="1:18" x14ac:dyDescent="0.25">
      <c r="A10" s="9" t="s">
        <v>12</v>
      </c>
      <c r="B10" s="98"/>
      <c r="C10" s="98"/>
      <c r="D10" s="2"/>
      <c r="E10" s="33"/>
      <c r="F10" s="33"/>
      <c r="G10" s="33"/>
      <c r="H10" s="33"/>
      <c r="I10" s="2"/>
      <c r="J10" s="33"/>
      <c r="K10" s="33"/>
      <c r="L10" s="33"/>
      <c r="M10" s="33"/>
      <c r="N10" s="2"/>
      <c r="O10" s="33"/>
      <c r="P10" s="33"/>
      <c r="Q10" s="33"/>
      <c r="R10" s="33"/>
    </row>
    <row r="11" spans="1:18" x14ac:dyDescent="0.25">
      <c r="A11" s="9" t="s">
        <v>13</v>
      </c>
      <c r="B11" s="98"/>
      <c r="C11" s="98"/>
      <c r="D11" s="2"/>
      <c r="E11" s="33"/>
      <c r="F11" s="33"/>
      <c r="G11" s="33"/>
      <c r="H11" s="33"/>
      <c r="I11" s="2"/>
      <c r="J11" s="33"/>
      <c r="K11" s="33"/>
      <c r="L11" s="33"/>
      <c r="M11" s="33"/>
      <c r="N11" s="2"/>
      <c r="O11" s="33"/>
      <c r="P11" s="33"/>
      <c r="Q11" s="33"/>
      <c r="R11" s="33"/>
    </row>
    <row r="12" spans="1:18" x14ac:dyDescent="0.25">
      <c r="A12" s="19"/>
      <c r="B12" s="14"/>
      <c r="C12" s="15"/>
      <c r="D12" s="2"/>
      <c r="E12" s="16"/>
      <c r="F12" s="17"/>
      <c r="G12" s="12"/>
      <c r="H12" s="18"/>
      <c r="I12" s="42"/>
      <c r="J12" s="16"/>
      <c r="K12" s="17"/>
      <c r="L12" s="12"/>
      <c r="M12" s="18"/>
      <c r="N12" s="42"/>
      <c r="O12" s="16"/>
      <c r="P12" s="17"/>
      <c r="Q12" s="12"/>
      <c r="R12" s="18"/>
    </row>
    <row r="13" spans="1:18" x14ac:dyDescent="0.25">
      <c r="A13" s="20"/>
      <c r="B13" s="21" t="s">
        <v>14</v>
      </c>
      <c r="C13" s="22"/>
      <c r="D13" s="2"/>
      <c r="E13" s="23"/>
      <c r="F13" s="23"/>
      <c r="G13" s="23"/>
      <c r="H13" s="24">
        <f>SUM(H6:H12)</f>
        <v>206.43666666666667</v>
      </c>
      <c r="I13" s="2"/>
      <c r="J13" s="23"/>
      <c r="K13" s="23"/>
      <c r="L13" s="23"/>
      <c r="M13" s="24">
        <f>SUM(M6:M12)</f>
        <v>23.658000000000001</v>
      </c>
      <c r="N13" s="2"/>
      <c r="O13" s="23"/>
      <c r="P13" s="23"/>
      <c r="Q13" s="23"/>
      <c r="R13" s="24">
        <f>SUM(R6:R12)</f>
        <v>96.769466666666673</v>
      </c>
    </row>
    <row r="14" spans="1:18" x14ac:dyDescent="0.25">
      <c r="A14" s="19" t="s">
        <v>11</v>
      </c>
      <c r="B14" s="49" t="s">
        <v>55</v>
      </c>
      <c r="C14" s="43"/>
      <c r="D14" s="2"/>
      <c r="E14" s="36">
        <f>'[1]2016-2025 SSC Cost Sum'!E9</f>
        <v>5.52</v>
      </c>
      <c r="F14" s="36">
        <f>F9</f>
        <v>1</v>
      </c>
      <c r="G14" s="37"/>
      <c r="H14" s="38">
        <f>+E14*F14</f>
        <v>5.52</v>
      </c>
      <c r="I14" s="2"/>
      <c r="J14" s="12"/>
      <c r="K14" s="12"/>
      <c r="L14" s="12"/>
      <c r="M14" s="18"/>
      <c r="N14" s="2"/>
      <c r="O14" s="12"/>
      <c r="P14" s="12"/>
      <c r="Q14" s="12"/>
      <c r="R14" s="13">
        <f t="shared" ref="R14" si="2">(H14*0.4)+(M14*0.6)</f>
        <v>2.2079999999999997</v>
      </c>
    </row>
    <row r="15" spans="1:18" x14ac:dyDescent="0.25">
      <c r="A15" s="19" t="s">
        <v>15</v>
      </c>
      <c r="B15" s="50"/>
      <c r="C15" s="43"/>
      <c r="D15" s="2"/>
      <c r="E15" s="37"/>
      <c r="F15" s="37"/>
      <c r="G15" s="37"/>
      <c r="H15" s="51"/>
      <c r="I15" s="2"/>
      <c r="J15" s="12"/>
      <c r="K15" s="12"/>
      <c r="L15" s="12"/>
      <c r="M15" s="18"/>
      <c r="N15" s="2"/>
      <c r="O15" s="12"/>
      <c r="P15" s="12"/>
      <c r="Q15" s="12"/>
      <c r="R15" s="18"/>
    </row>
    <row r="16" spans="1:18" x14ac:dyDescent="0.25">
      <c r="A16" s="19" t="s">
        <v>16</v>
      </c>
      <c r="B16" s="25" t="s">
        <v>17</v>
      </c>
      <c r="C16" s="43" t="s">
        <v>57</v>
      </c>
      <c r="D16" s="2"/>
      <c r="E16" s="44" t="s">
        <v>19</v>
      </c>
      <c r="F16" s="12"/>
      <c r="G16" s="12"/>
      <c r="H16" s="18"/>
      <c r="I16" s="2"/>
      <c r="J16" s="44" t="s">
        <v>19</v>
      </c>
      <c r="K16" s="12"/>
      <c r="L16" s="12"/>
      <c r="M16" s="18"/>
      <c r="N16" s="2"/>
      <c r="O16" s="44"/>
      <c r="P16" s="12"/>
      <c r="Q16" s="12"/>
      <c r="R16" s="18"/>
    </row>
    <row r="17" spans="1:18" x14ac:dyDescent="0.25">
      <c r="A17" s="19" t="s">
        <v>20</v>
      </c>
      <c r="B17" s="14"/>
      <c r="C17" s="43" t="s">
        <v>21</v>
      </c>
      <c r="D17" s="2"/>
      <c r="E17" s="44" t="s">
        <v>19</v>
      </c>
      <c r="F17" s="12"/>
      <c r="G17" s="12"/>
      <c r="H17" s="18"/>
      <c r="I17" s="2"/>
      <c r="J17" s="44" t="s">
        <v>19</v>
      </c>
      <c r="K17" s="12"/>
      <c r="L17" s="12"/>
      <c r="M17" s="18"/>
      <c r="N17" s="2"/>
      <c r="O17" s="44"/>
      <c r="P17" s="12"/>
      <c r="Q17" s="12"/>
      <c r="R17" s="18"/>
    </row>
    <row r="18" spans="1:18" x14ac:dyDescent="0.25">
      <c r="A18" s="19" t="s">
        <v>13</v>
      </c>
      <c r="B18" s="14"/>
      <c r="C18" s="43" t="s">
        <v>58</v>
      </c>
      <c r="D18" s="2"/>
      <c r="E18" s="44" t="s">
        <v>19</v>
      </c>
      <c r="F18" s="12"/>
      <c r="G18" s="12"/>
      <c r="H18" s="18"/>
      <c r="I18" s="2"/>
      <c r="J18" s="44">
        <f>'[1]8-Recon-Field @Meter Aft hrs'!J18</f>
        <v>0.13851663325750579</v>
      </c>
      <c r="K18" s="12"/>
      <c r="L18" s="12"/>
      <c r="M18" s="48">
        <f>J18</f>
        <v>0.13851663325750579</v>
      </c>
      <c r="N18" s="2"/>
      <c r="O18" s="44"/>
      <c r="P18" s="12"/>
      <c r="Q18" s="12"/>
      <c r="R18" s="48">
        <f>O18</f>
        <v>0</v>
      </c>
    </row>
    <row r="19" spans="1:18" x14ac:dyDescent="0.25">
      <c r="A19" s="19"/>
      <c r="B19" s="14"/>
      <c r="C19" s="26" t="s">
        <v>23</v>
      </c>
      <c r="D19" s="2"/>
      <c r="E19" s="27"/>
      <c r="F19" s="28"/>
      <c r="G19" s="28"/>
      <c r="H19" s="29">
        <f>SUM(H14:H18)</f>
        <v>5.52</v>
      </c>
      <c r="I19" s="42"/>
      <c r="J19" s="27"/>
      <c r="K19" s="28"/>
      <c r="L19" s="28"/>
      <c r="M19" s="29">
        <f>SUM(M14:M18)</f>
        <v>0.13851663325750579</v>
      </c>
      <c r="N19" s="42"/>
      <c r="O19" s="27"/>
      <c r="P19" s="28"/>
      <c r="Q19" s="28"/>
      <c r="R19" s="29">
        <f>SUM(R14:R18)</f>
        <v>2.2079999999999997</v>
      </c>
    </row>
    <row r="20" spans="1:18" x14ac:dyDescent="0.25">
      <c r="A20" s="20" t="s">
        <v>24</v>
      </c>
      <c r="B20" s="30"/>
      <c r="C20" s="31"/>
      <c r="D20" s="2"/>
      <c r="E20" s="32"/>
      <c r="F20" s="32"/>
      <c r="G20" s="32"/>
      <c r="H20" s="24">
        <f>+H13+H19</f>
        <v>211.95666666666668</v>
      </c>
      <c r="I20" s="2"/>
      <c r="J20" s="32"/>
      <c r="K20" s="32"/>
      <c r="L20" s="32"/>
      <c r="M20" s="24">
        <f>+M13+M19</f>
        <v>23.796516633257507</v>
      </c>
      <c r="N20" s="2"/>
      <c r="O20" s="32"/>
      <c r="P20" s="32"/>
      <c r="Q20" s="32"/>
      <c r="R20" s="24">
        <f>+R13+R19</f>
        <v>98.977466666666672</v>
      </c>
    </row>
    <row r="21" spans="1:18" x14ac:dyDescent="0.25">
      <c r="A21" s="90" t="s">
        <v>25</v>
      </c>
      <c r="B21" s="91"/>
      <c r="C21" s="92"/>
      <c r="D21" s="2"/>
      <c r="E21" s="33"/>
      <c r="F21" s="33"/>
      <c r="G21" s="33"/>
      <c r="H21" s="34">
        <f>ROUNDUP(H20,0)</f>
        <v>212</v>
      </c>
      <c r="I21" s="2"/>
      <c r="J21" s="33"/>
      <c r="K21" s="33"/>
      <c r="L21" s="33"/>
      <c r="M21" s="34">
        <f>ROUNDUP(M20,0)</f>
        <v>24</v>
      </c>
      <c r="N21" s="2"/>
      <c r="O21" s="33"/>
      <c r="P21" s="33"/>
      <c r="Q21" s="33"/>
      <c r="R21" s="34">
        <f>ROUNDUP(R20,0)</f>
        <v>99</v>
      </c>
    </row>
    <row r="22" spans="1:18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7">
    <mergeCell ref="A21:C21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7" sqref="D7"/>
    </sheetView>
  </sheetViews>
  <sheetFormatPr defaultRowHeight="15" x14ac:dyDescent="0.25"/>
  <cols>
    <col min="7" max="7" width="16" bestFit="1" customWidth="1"/>
  </cols>
  <sheetData>
    <row r="1" spans="1:7" x14ac:dyDescent="0.25">
      <c r="A1" s="1" t="s">
        <v>73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7" t="s">
        <v>74</v>
      </c>
      <c r="C6" s="88"/>
      <c r="D6" s="10">
        <v>122</v>
      </c>
      <c r="E6" s="36">
        <v>1</v>
      </c>
      <c r="F6" s="12"/>
      <c r="G6" s="13">
        <f t="shared" ref="G6" si="0">+D6*E6</f>
        <v>122</v>
      </c>
    </row>
    <row r="7" spans="1:7" x14ac:dyDescent="0.25">
      <c r="A7" s="9" t="s">
        <v>8</v>
      </c>
      <c r="B7" s="87"/>
      <c r="C7" s="88"/>
      <c r="D7" s="10"/>
      <c r="E7" s="36"/>
      <c r="F7" s="12"/>
      <c r="G7" s="13"/>
    </row>
    <row r="8" spans="1:7" x14ac:dyDescent="0.25">
      <c r="A8" s="9" t="s">
        <v>10</v>
      </c>
      <c r="B8" s="87"/>
      <c r="C8" s="88"/>
      <c r="D8" s="10"/>
      <c r="E8" s="36"/>
      <c r="F8" s="37"/>
      <c r="G8" s="13"/>
    </row>
    <row r="9" spans="1:7" x14ac:dyDescent="0.25">
      <c r="A9" s="9" t="s">
        <v>11</v>
      </c>
      <c r="B9" s="87"/>
      <c r="C9" s="88"/>
      <c r="D9" s="10"/>
      <c r="E9" s="36"/>
      <c r="F9" s="12"/>
      <c r="G9" s="13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122</v>
      </c>
    </row>
    <row r="14" spans="1:7" x14ac:dyDescent="0.25">
      <c r="A14" s="19" t="s">
        <v>11</v>
      </c>
      <c r="B14" s="49"/>
      <c r="C14" s="43"/>
      <c r="D14" s="37"/>
      <c r="E14" s="37"/>
      <c r="F14" s="37"/>
      <c r="G14" s="38"/>
    </row>
    <row r="15" spans="1:7" x14ac:dyDescent="0.25">
      <c r="A15" s="19" t="s">
        <v>15</v>
      </c>
      <c r="B15" s="50"/>
      <c r="C15" s="43"/>
      <c r="D15" s="37"/>
      <c r="E15" s="37"/>
      <c r="F15" s="37"/>
      <c r="G15" s="51"/>
    </row>
    <row r="16" spans="1:7" x14ac:dyDescent="0.25">
      <c r="A16" s="19" t="s">
        <v>16</v>
      </c>
      <c r="B16" s="25" t="s">
        <v>17</v>
      </c>
      <c r="C16" s="43" t="s">
        <v>57</v>
      </c>
      <c r="D16" s="44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43" t="s">
        <v>47</v>
      </c>
      <c r="D18" s="44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>
        <f>SUM(D14:D18)</f>
        <v>0</v>
      </c>
      <c r="E19" s="28"/>
      <c r="F19" s="28"/>
      <c r="G19" s="29">
        <f>+D19</f>
        <v>0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122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122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5">
    <mergeCell ref="B6:C6"/>
    <mergeCell ref="B7:C7"/>
    <mergeCell ref="B8:C8"/>
    <mergeCell ref="B9:C9"/>
    <mergeCell ref="A21:C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6" sqref="D6"/>
    </sheetView>
  </sheetViews>
  <sheetFormatPr defaultRowHeight="15" x14ac:dyDescent="0.25"/>
  <cols>
    <col min="7" max="7" width="16" bestFit="1" customWidth="1"/>
  </cols>
  <sheetData>
    <row r="1" spans="1:7" x14ac:dyDescent="0.25">
      <c r="A1" s="1" t="s">
        <v>75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7" t="s">
        <v>76</v>
      </c>
      <c r="C6" s="88"/>
      <c r="D6" s="10">
        <v>122</v>
      </c>
      <c r="E6" s="36">
        <f>(5)/60</f>
        <v>8.3333333333333329E-2</v>
      </c>
      <c r="F6" s="37"/>
      <c r="G6" s="13">
        <f t="shared" ref="G6:G7" si="0">+D6*E6</f>
        <v>10.166666666666666</v>
      </c>
    </row>
    <row r="7" spans="1:7" x14ac:dyDescent="0.25">
      <c r="A7" s="9" t="s">
        <v>8</v>
      </c>
      <c r="B7" s="87" t="s">
        <v>77</v>
      </c>
      <c r="C7" s="88"/>
      <c r="D7" s="10">
        <v>122</v>
      </c>
      <c r="E7" s="36">
        <v>2</v>
      </c>
      <c r="F7" s="12"/>
      <c r="G7" s="13">
        <f t="shared" si="0"/>
        <v>244</v>
      </c>
    </row>
    <row r="8" spans="1:7" x14ac:dyDescent="0.25">
      <c r="A8" s="9" t="s">
        <v>10</v>
      </c>
      <c r="B8" s="87"/>
      <c r="C8" s="88"/>
      <c r="D8" s="10"/>
      <c r="E8" s="36"/>
      <c r="F8" s="37"/>
      <c r="G8" s="13"/>
    </row>
    <row r="9" spans="1:7" x14ac:dyDescent="0.25">
      <c r="A9" s="9" t="s">
        <v>11</v>
      </c>
      <c r="B9" s="87"/>
      <c r="C9" s="88"/>
      <c r="D9" s="10"/>
      <c r="E9" s="36"/>
      <c r="F9" s="12"/>
      <c r="G9" s="13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254.16666666666666</v>
      </c>
    </row>
    <row r="14" spans="1:7" x14ac:dyDescent="0.25">
      <c r="A14" s="19" t="s">
        <v>11</v>
      </c>
      <c r="B14" s="49" t="s">
        <v>55</v>
      </c>
      <c r="C14" s="43"/>
      <c r="D14" s="37">
        <v>5.52</v>
      </c>
      <c r="E14" s="37">
        <v>2</v>
      </c>
      <c r="F14" s="37"/>
      <c r="G14" s="38">
        <f>+D14*E14</f>
        <v>11.04</v>
      </c>
    </row>
    <row r="15" spans="1:7" x14ac:dyDescent="0.25">
      <c r="A15" s="19" t="s">
        <v>15</v>
      </c>
      <c r="B15" s="50"/>
      <c r="C15" s="43"/>
      <c r="D15" s="37"/>
      <c r="E15" s="37"/>
      <c r="F15" s="37"/>
      <c r="G15" s="51"/>
    </row>
    <row r="16" spans="1:7" x14ac:dyDescent="0.25">
      <c r="A16" s="19" t="s">
        <v>16</v>
      </c>
      <c r="B16" s="25" t="s">
        <v>17</v>
      </c>
      <c r="C16" s="43" t="s">
        <v>57</v>
      </c>
      <c r="D16" s="44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43" t="s">
        <v>47</v>
      </c>
      <c r="D18" s="44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/>
      <c r="E19" s="28"/>
      <c r="F19" s="28"/>
      <c r="G19" s="29">
        <f>SUM(G14:G18)</f>
        <v>11.04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265.20666666666665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266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5">
    <mergeCell ref="B6:C6"/>
    <mergeCell ref="B7:C7"/>
    <mergeCell ref="B8:C8"/>
    <mergeCell ref="B9:C9"/>
    <mergeCell ref="A21:C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37" sqref="B37"/>
    </sheetView>
  </sheetViews>
  <sheetFormatPr defaultRowHeight="15" x14ac:dyDescent="0.25"/>
  <cols>
    <col min="2" max="2" width="64.140625" bestFit="1" customWidth="1"/>
    <col min="7" max="7" width="16" bestFit="1" customWidth="1"/>
  </cols>
  <sheetData>
    <row r="1" spans="1:7" x14ac:dyDescent="0.25">
      <c r="A1" s="1" t="s">
        <v>78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7" t="s">
        <v>79</v>
      </c>
      <c r="C6" s="88"/>
      <c r="D6" s="10">
        <v>122</v>
      </c>
      <c r="E6" s="36">
        <v>1</v>
      </c>
      <c r="F6" s="12"/>
      <c r="G6" s="13">
        <f t="shared" ref="G6:G7" si="0">+D6*E6</f>
        <v>122</v>
      </c>
    </row>
    <row r="7" spans="1:7" x14ac:dyDescent="0.25">
      <c r="A7" s="9" t="s">
        <v>8</v>
      </c>
      <c r="B7" s="87" t="s">
        <v>80</v>
      </c>
      <c r="C7" s="88"/>
      <c r="D7" s="10">
        <v>122</v>
      </c>
      <c r="E7" s="36">
        <v>1.5</v>
      </c>
      <c r="F7" s="12"/>
      <c r="G7" s="13">
        <f t="shared" si="0"/>
        <v>183</v>
      </c>
    </row>
    <row r="8" spans="1:7" x14ac:dyDescent="0.25">
      <c r="A8" s="9" t="s">
        <v>10</v>
      </c>
      <c r="B8" s="87"/>
      <c r="C8" s="88"/>
      <c r="D8" s="10"/>
      <c r="E8" s="36"/>
      <c r="F8" s="37"/>
      <c r="G8" s="13"/>
    </row>
    <row r="9" spans="1:7" x14ac:dyDescent="0.25">
      <c r="A9" s="9" t="s">
        <v>11</v>
      </c>
      <c r="B9" s="87"/>
      <c r="C9" s="88"/>
      <c r="D9" s="10"/>
      <c r="E9" s="36"/>
      <c r="F9" s="12"/>
      <c r="G9" s="13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305</v>
      </c>
    </row>
    <row r="14" spans="1:7" x14ac:dyDescent="0.25">
      <c r="A14" s="19" t="s">
        <v>11</v>
      </c>
      <c r="B14" s="49" t="s">
        <v>55</v>
      </c>
      <c r="C14" s="43"/>
      <c r="D14" s="37">
        <v>5.52</v>
      </c>
      <c r="E14" s="37">
        <f>E7</f>
        <v>1.5</v>
      </c>
      <c r="F14" s="37"/>
      <c r="G14" s="38">
        <f>+D14*E14</f>
        <v>8.2799999999999994</v>
      </c>
    </row>
    <row r="15" spans="1:7" x14ac:dyDescent="0.25">
      <c r="A15" s="19" t="s">
        <v>15</v>
      </c>
      <c r="B15" s="50" t="s">
        <v>56</v>
      </c>
      <c r="C15" s="43"/>
      <c r="D15" s="37"/>
      <c r="E15" s="37"/>
      <c r="F15" s="37"/>
      <c r="G15" s="51"/>
    </row>
    <row r="16" spans="1:7" x14ac:dyDescent="0.25">
      <c r="A16" s="19" t="s">
        <v>16</v>
      </c>
      <c r="B16" s="25" t="s">
        <v>17</v>
      </c>
      <c r="C16" s="43" t="s">
        <v>57</v>
      </c>
      <c r="D16" s="44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43" t="s">
        <v>47</v>
      </c>
      <c r="D18" s="44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/>
      <c r="E19" s="28"/>
      <c r="F19" s="28"/>
      <c r="G19" s="29">
        <f>SUM(G14:G18)</f>
        <v>8.2799999999999994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313.27999999999997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314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5">
    <mergeCell ref="B6:C6"/>
    <mergeCell ref="B7:C7"/>
    <mergeCell ref="B8:C8"/>
    <mergeCell ref="B9:C9"/>
    <mergeCell ref="A21:C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6" sqref="D6"/>
    </sheetView>
  </sheetViews>
  <sheetFormatPr defaultRowHeight="15" x14ac:dyDescent="0.25"/>
  <cols>
    <col min="2" max="2" width="33.28515625" bestFit="1" customWidth="1"/>
    <col min="3" max="3" width="37.140625" customWidth="1"/>
    <col min="5" max="5" width="14.5703125" bestFit="1" customWidth="1"/>
    <col min="6" max="6" width="11.42578125" bestFit="1" customWidth="1"/>
    <col min="7" max="7" width="16" bestFit="1" customWidth="1"/>
  </cols>
  <sheetData>
    <row r="1" spans="1:7" x14ac:dyDescent="0.25">
      <c r="A1" s="52" t="s">
        <v>81</v>
      </c>
      <c r="B1" s="53"/>
      <c r="C1" s="53"/>
      <c r="D1" s="53"/>
      <c r="E1" s="53"/>
      <c r="F1" s="53"/>
      <c r="G1" s="53"/>
    </row>
    <row r="2" spans="1:7" x14ac:dyDescent="0.25">
      <c r="A2" s="52"/>
      <c r="B2" s="53"/>
      <c r="C2" s="53"/>
      <c r="D2" s="53"/>
      <c r="E2" s="53"/>
      <c r="F2" s="53"/>
      <c r="G2" s="53"/>
    </row>
    <row r="3" spans="1:7" x14ac:dyDescent="0.25">
      <c r="A3" s="52"/>
      <c r="B3" s="53"/>
      <c r="C3" s="53"/>
      <c r="D3" s="53"/>
      <c r="E3" s="53"/>
      <c r="F3" s="53"/>
      <c r="G3" s="53"/>
    </row>
    <row r="4" spans="1:7" x14ac:dyDescent="0.25">
      <c r="A4" s="52" t="s">
        <v>82</v>
      </c>
      <c r="B4" s="53"/>
      <c r="C4" s="53"/>
      <c r="D4" s="53"/>
      <c r="E4" s="53"/>
      <c r="F4" s="53"/>
      <c r="G4" s="53"/>
    </row>
    <row r="5" spans="1:7" ht="15.75" x14ac:dyDescent="0.25">
      <c r="A5" s="54"/>
      <c r="B5" s="55"/>
      <c r="C5" s="56"/>
      <c r="D5" s="57" t="s">
        <v>83</v>
      </c>
      <c r="E5" s="58" t="s">
        <v>84</v>
      </c>
      <c r="F5" s="58" t="s">
        <v>4</v>
      </c>
      <c r="G5" s="58" t="s">
        <v>5</v>
      </c>
    </row>
    <row r="6" spans="1:7" x14ac:dyDescent="0.25">
      <c r="A6" s="59" t="s">
        <v>6</v>
      </c>
      <c r="B6" s="105" t="s">
        <v>85</v>
      </c>
      <c r="C6" s="106"/>
      <c r="D6" s="78">
        <v>122</v>
      </c>
      <c r="E6" s="60">
        <f>3*7.25</f>
        <v>21.75</v>
      </c>
      <c r="F6" s="60"/>
      <c r="G6" s="61">
        <f>+D6*E6</f>
        <v>2653.5</v>
      </c>
    </row>
    <row r="7" spans="1:7" x14ac:dyDescent="0.25">
      <c r="A7" s="59" t="s">
        <v>8</v>
      </c>
      <c r="B7" s="107" t="s">
        <v>86</v>
      </c>
      <c r="C7" s="108"/>
      <c r="D7" s="78">
        <v>122</v>
      </c>
      <c r="E7" s="60">
        <f>5*7.25</f>
        <v>36.25</v>
      </c>
      <c r="F7" s="60"/>
      <c r="G7" s="61">
        <f>+D7*E7</f>
        <v>4422.5</v>
      </c>
    </row>
    <row r="8" spans="1:7" x14ac:dyDescent="0.25">
      <c r="A8" s="59" t="s">
        <v>10</v>
      </c>
      <c r="B8" s="107" t="s">
        <v>87</v>
      </c>
      <c r="C8" s="108"/>
      <c r="D8" s="78">
        <v>122</v>
      </c>
      <c r="E8" s="60">
        <f>4*7.25</f>
        <v>29</v>
      </c>
      <c r="F8" s="60"/>
      <c r="G8" s="61">
        <f>+D8*E8</f>
        <v>3538</v>
      </c>
    </row>
    <row r="9" spans="1:7" x14ac:dyDescent="0.25">
      <c r="A9" s="59" t="s">
        <v>11</v>
      </c>
      <c r="B9" s="109" t="s">
        <v>88</v>
      </c>
      <c r="C9" s="110"/>
      <c r="D9" s="78">
        <v>122</v>
      </c>
      <c r="E9" s="60">
        <f>0.8*7.25</f>
        <v>5.8000000000000007</v>
      </c>
      <c r="F9" s="60"/>
      <c r="G9" s="61">
        <f>+D9*E9</f>
        <v>707.60000000000014</v>
      </c>
    </row>
    <row r="10" spans="1:7" x14ac:dyDescent="0.25">
      <c r="A10" s="59" t="s">
        <v>12</v>
      </c>
      <c r="B10" s="111" t="s">
        <v>89</v>
      </c>
      <c r="C10" s="112"/>
      <c r="D10" s="60"/>
      <c r="E10" s="60"/>
      <c r="F10" s="60"/>
      <c r="G10" s="62">
        <f>SUM(G6:G9)</f>
        <v>11321.6</v>
      </c>
    </row>
    <row r="11" spans="1:7" x14ac:dyDescent="0.25">
      <c r="A11" s="59" t="s">
        <v>13</v>
      </c>
      <c r="B11" s="79" t="s">
        <v>90</v>
      </c>
      <c r="C11" s="80"/>
      <c r="D11" s="81">
        <v>875</v>
      </c>
      <c r="E11" s="60"/>
      <c r="F11" s="60"/>
      <c r="G11" s="61"/>
    </row>
    <row r="12" spans="1:7" x14ac:dyDescent="0.25">
      <c r="A12" s="65"/>
      <c r="B12" s="113" t="s">
        <v>91</v>
      </c>
      <c r="C12" s="114"/>
      <c r="D12" s="66"/>
      <c r="E12" s="66">
        <f>SUM(E6:E11)</f>
        <v>92.8</v>
      </c>
      <c r="F12" s="66"/>
      <c r="G12" s="67">
        <f>+G10/D11</f>
        <v>12.938971428571429</v>
      </c>
    </row>
    <row r="13" spans="1:7" x14ac:dyDescent="0.25">
      <c r="A13" s="59" t="s">
        <v>11</v>
      </c>
      <c r="B13" s="68" t="s">
        <v>92</v>
      </c>
      <c r="C13" s="64"/>
      <c r="D13" s="69" t="s">
        <v>19</v>
      </c>
      <c r="E13" s="60"/>
      <c r="F13" s="60"/>
      <c r="G13" s="61"/>
    </row>
    <row r="14" spans="1:7" x14ac:dyDescent="0.25">
      <c r="A14" s="59" t="s">
        <v>15</v>
      </c>
      <c r="B14" s="68"/>
      <c r="C14" s="64"/>
      <c r="D14" s="69"/>
      <c r="E14" s="60"/>
      <c r="F14" s="60"/>
      <c r="G14" s="61"/>
    </row>
    <row r="15" spans="1:7" x14ac:dyDescent="0.25">
      <c r="A15" s="59" t="s">
        <v>16</v>
      </c>
      <c r="B15" s="68" t="s">
        <v>93</v>
      </c>
      <c r="C15" s="64" t="s">
        <v>94</v>
      </c>
      <c r="D15" s="82">
        <v>0.92</v>
      </c>
      <c r="E15" s="60"/>
      <c r="F15" s="60"/>
      <c r="G15" s="61">
        <f>+D15</f>
        <v>0.92</v>
      </c>
    </row>
    <row r="16" spans="1:7" x14ac:dyDescent="0.25">
      <c r="A16" s="59" t="s">
        <v>20</v>
      </c>
      <c r="B16" s="68"/>
      <c r="C16" s="64" t="s">
        <v>21</v>
      </c>
      <c r="D16" s="69" t="s">
        <v>19</v>
      </c>
      <c r="E16" s="60"/>
      <c r="F16" s="60"/>
      <c r="G16" s="61"/>
    </row>
    <row r="17" spans="1:7" x14ac:dyDescent="0.25">
      <c r="A17" s="59" t="s">
        <v>13</v>
      </c>
      <c r="B17" s="68"/>
      <c r="C17" s="70" t="s">
        <v>93</v>
      </c>
      <c r="D17" s="69" t="s">
        <v>19</v>
      </c>
      <c r="E17" s="60"/>
      <c r="F17" s="60"/>
      <c r="G17" s="61"/>
    </row>
    <row r="18" spans="1:7" x14ac:dyDescent="0.25">
      <c r="A18" s="59"/>
      <c r="B18" s="68"/>
      <c r="C18" s="71" t="s">
        <v>23</v>
      </c>
      <c r="D18" s="72"/>
      <c r="E18" s="72"/>
      <c r="F18" s="72">
        <f>SUM(F15:F17)</f>
        <v>0</v>
      </c>
      <c r="G18" s="62">
        <f>SUM(G15:G17)</f>
        <v>0.92</v>
      </c>
    </row>
    <row r="19" spans="1:7" x14ac:dyDescent="0.25">
      <c r="A19" s="65" t="s">
        <v>95</v>
      </c>
      <c r="B19" s="73"/>
      <c r="C19" s="74"/>
      <c r="D19" s="75"/>
      <c r="E19" s="75"/>
      <c r="F19" s="75"/>
      <c r="G19" s="67">
        <f>+G12+G13+G14+G18</f>
        <v>13.858971428571429</v>
      </c>
    </row>
    <row r="20" spans="1:7" x14ac:dyDescent="0.25">
      <c r="A20" s="102" t="s">
        <v>96</v>
      </c>
      <c r="B20" s="103"/>
      <c r="C20" s="104"/>
      <c r="D20" s="76"/>
      <c r="E20" s="76"/>
      <c r="F20" s="76"/>
      <c r="G20" s="77">
        <f>ROUNDUP(G19,0)</f>
        <v>14</v>
      </c>
    </row>
    <row r="21" spans="1:7" x14ac:dyDescent="0.25">
      <c r="A21" s="52"/>
      <c r="B21" s="53"/>
      <c r="C21" s="53"/>
      <c r="D21" s="53"/>
      <c r="E21" s="53"/>
      <c r="F21" s="53"/>
      <c r="G21" s="53"/>
    </row>
  </sheetData>
  <mergeCells count="7">
    <mergeCell ref="A20:C20"/>
    <mergeCell ref="B6:C6"/>
    <mergeCell ref="B7:C7"/>
    <mergeCell ref="B8:C8"/>
    <mergeCell ref="B9:C9"/>
    <mergeCell ref="B10:C10"/>
    <mergeCell ref="B12:C12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38" sqref="G38"/>
    </sheetView>
  </sheetViews>
  <sheetFormatPr defaultRowHeight="15" x14ac:dyDescent="0.25"/>
  <cols>
    <col min="3" max="3" width="30.5703125" bestFit="1" customWidth="1"/>
    <col min="5" max="5" width="14.5703125" bestFit="1" customWidth="1"/>
    <col min="7" max="7" width="16" bestFit="1" customWidth="1"/>
  </cols>
  <sheetData>
    <row r="1" spans="1:7" x14ac:dyDescent="0.25">
      <c r="A1" s="52" t="s">
        <v>81</v>
      </c>
      <c r="B1" s="53"/>
      <c r="C1" s="53"/>
      <c r="D1" s="53"/>
      <c r="E1" s="53"/>
      <c r="F1" s="53"/>
      <c r="G1" s="53"/>
    </row>
    <row r="2" spans="1:7" x14ac:dyDescent="0.25">
      <c r="A2" s="52"/>
      <c r="B2" s="53"/>
      <c r="C2" s="53"/>
      <c r="D2" s="53"/>
      <c r="E2" s="53"/>
      <c r="F2" s="53"/>
      <c r="G2" s="53"/>
    </row>
    <row r="3" spans="1:7" x14ac:dyDescent="0.25">
      <c r="A3" s="52"/>
      <c r="B3" s="53"/>
      <c r="C3" s="53"/>
      <c r="D3" s="53"/>
      <c r="E3" s="53"/>
      <c r="F3" s="53"/>
      <c r="G3" s="53"/>
    </row>
    <row r="4" spans="1:7" x14ac:dyDescent="0.25">
      <c r="A4" s="52" t="s">
        <v>97</v>
      </c>
      <c r="B4" s="53"/>
      <c r="C4" s="53"/>
      <c r="D4" s="53"/>
      <c r="E4" s="53"/>
      <c r="F4" s="53"/>
      <c r="G4" s="53"/>
    </row>
    <row r="5" spans="1:7" ht="15.75" x14ac:dyDescent="0.25">
      <c r="A5" s="54"/>
      <c r="B5" s="55"/>
      <c r="C5" s="56"/>
      <c r="D5" s="57" t="s">
        <v>98</v>
      </c>
      <c r="E5" s="58" t="s">
        <v>84</v>
      </c>
      <c r="F5" s="58" t="s">
        <v>4</v>
      </c>
      <c r="G5" s="58" t="s">
        <v>5</v>
      </c>
    </row>
    <row r="6" spans="1:7" x14ac:dyDescent="0.25">
      <c r="A6" s="59" t="s">
        <v>6</v>
      </c>
      <c r="B6" s="107" t="s">
        <v>99</v>
      </c>
      <c r="C6" s="108"/>
      <c r="D6" s="78">
        <v>122</v>
      </c>
      <c r="E6" s="60">
        <f>3*7.25</f>
        <v>21.75</v>
      </c>
      <c r="F6" s="60"/>
      <c r="G6" s="61">
        <f>+D6*E6</f>
        <v>2653.5</v>
      </c>
    </row>
    <row r="7" spans="1:7" x14ac:dyDescent="0.25">
      <c r="A7" s="59" t="s">
        <v>8</v>
      </c>
      <c r="B7" s="107" t="s">
        <v>100</v>
      </c>
      <c r="C7" s="108"/>
      <c r="D7" s="78">
        <v>122</v>
      </c>
      <c r="E7" s="60">
        <f>5.2*7.25</f>
        <v>37.700000000000003</v>
      </c>
      <c r="F7" s="60"/>
      <c r="G7" s="61">
        <f t="shared" ref="G7:G8" si="0">+D7*E7</f>
        <v>4599.4000000000005</v>
      </c>
    </row>
    <row r="8" spans="1:7" x14ac:dyDescent="0.25">
      <c r="A8" s="59" t="s">
        <v>10</v>
      </c>
      <c r="B8" s="107" t="s">
        <v>101</v>
      </c>
      <c r="C8" s="108"/>
      <c r="D8" s="78">
        <v>122</v>
      </c>
      <c r="E8" s="60">
        <f>0.5*7.25</f>
        <v>3.625</v>
      </c>
      <c r="F8" s="60"/>
      <c r="G8" s="61">
        <f t="shared" si="0"/>
        <v>442.25</v>
      </c>
    </row>
    <row r="9" spans="1:7" x14ac:dyDescent="0.25">
      <c r="A9" s="59" t="s">
        <v>11</v>
      </c>
      <c r="B9" s="118" t="s">
        <v>89</v>
      </c>
      <c r="C9" s="119"/>
      <c r="D9" s="60"/>
      <c r="E9" s="60"/>
      <c r="F9" s="60"/>
      <c r="G9" s="62">
        <f>SUM(G6:G8)</f>
        <v>7695.1500000000005</v>
      </c>
    </row>
    <row r="10" spans="1:7" x14ac:dyDescent="0.25">
      <c r="A10" s="59" t="s">
        <v>12</v>
      </c>
      <c r="B10" s="68"/>
      <c r="C10" s="64"/>
      <c r="D10" s="60"/>
      <c r="E10" s="60"/>
      <c r="F10" s="60"/>
      <c r="G10" s="61"/>
    </row>
    <row r="11" spans="1:7" x14ac:dyDescent="0.25">
      <c r="A11" s="59" t="s">
        <v>13</v>
      </c>
      <c r="B11" s="63" t="s">
        <v>90</v>
      </c>
      <c r="C11" s="64"/>
      <c r="D11" s="81">
        <v>103</v>
      </c>
      <c r="E11" s="60"/>
      <c r="F11" s="60"/>
      <c r="G11" s="61"/>
    </row>
    <row r="12" spans="1:7" x14ac:dyDescent="0.25">
      <c r="A12" s="65"/>
      <c r="B12" s="113" t="s">
        <v>91</v>
      </c>
      <c r="C12" s="114"/>
      <c r="D12" s="66"/>
      <c r="E12" s="66">
        <f>SUM(E6:E11)</f>
        <v>63.075000000000003</v>
      </c>
      <c r="F12" s="66"/>
      <c r="G12" s="67">
        <f>+G9/D11</f>
        <v>74.710194174757291</v>
      </c>
    </row>
    <row r="13" spans="1:7" x14ac:dyDescent="0.25">
      <c r="A13" s="59" t="s">
        <v>11</v>
      </c>
      <c r="B13" s="68" t="s">
        <v>102</v>
      </c>
      <c r="C13" s="64"/>
      <c r="D13" s="69" t="s">
        <v>19</v>
      </c>
      <c r="E13" s="60"/>
      <c r="F13" s="60"/>
      <c r="G13" s="61"/>
    </row>
    <row r="14" spans="1:7" x14ac:dyDescent="0.25">
      <c r="A14" s="59" t="s">
        <v>15</v>
      </c>
      <c r="B14" s="68"/>
      <c r="C14" s="64"/>
      <c r="D14" s="69"/>
      <c r="E14" s="60"/>
      <c r="F14" s="60"/>
      <c r="G14" s="61"/>
    </row>
    <row r="15" spans="1:7" x14ac:dyDescent="0.25">
      <c r="A15" s="59" t="s">
        <v>16</v>
      </c>
      <c r="B15" s="68" t="s">
        <v>17</v>
      </c>
      <c r="C15" s="64" t="s">
        <v>94</v>
      </c>
      <c r="D15" s="82">
        <v>0.92</v>
      </c>
      <c r="E15" s="60"/>
      <c r="F15" s="60"/>
      <c r="G15" s="61">
        <f>+D15</f>
        <v>0.92</v>
      </c>
    </row>
    <row r="16" spans="1:7" x14ac:dyDescent="0.25">
      <c r="A16" s="59" t="s">
        <v>20</v>
      </c>
      <c r="B16" s="68"/>
      <c r="C16" s="64" t="s">
        <v>21</v>
      </c>
      <c r="D16" s="69" t="s">
        <v>19</v>
      </c>
      <c r="E16" s="60"/>
      <c r="F16" s="60"/>
      <c r="G16" s="61"/>
    </row>
    <row r="17" spans="1:7" x14ac:dyDescent="0.25">
      <c r="A17" s="59" t="s">
        <v>13</v>
      </c>
      <c r="B17" s="68"/>
      <c r="C17" s="70" t="s">
        <v>103</v>
      </c>
      <c r="D17" s="69"/>
      <c r="E17" s="60"/>
      <c r="F17" s="60"/>
      <c r="G17" s="61">
        <f>+D17</f>
        <v>0</v>
      </c>
    </row>
    <row r="18" spans="1:7" x14ac:dyDescent="0.25">
      <c r="A18" s="59"/>
      <c r="B18" s="68"/>
      <c r="C18" s="71" t="s">
        <v>23</v>
      </c>
      <c r="D18" s="72"/>
      <c r="E18" s="72"/>
      <c r="F18" s="72">
        <f>SUM(F15:F17)</f>
        <v>0</v>
      </c>
      <c r="G18" s="62">
        <f>SUM(G15:G17)</f>
        <v>0.92</v>
      </c>
    </row>
    <row r="19" spans="1:7" x14ac:dyDescent="0.25">
      <c r="A19" s="120" t="s">
        <v>104</v>
      </c>
      <c r="B19" s="121"/>
      <c r="C19" s="122"/>
      <c r="D19" s="75"/>
      <c r="E19" s="75"/>
      <c r="F19" s="75"/>
      <c r="G19" s="67">
        <f>+G12+G13+G14+G18</f>
        <v>75.630194174757293</v>
      </c>
    </row>
    <row r="20" spans="1:7" x14ac:dyDescent="0.25">
      <c r="A20" s="115" t="s">
        <v>96</v>
      </c>
      <c r="B20" s="116"/>
      <c r="C20" s="117"/>
      <c r="D20" s="76"/>
      <c r="E20" s="76"/>
      <c r="F20" s="76"/>
      <c r="G20" s="77">
        <f>ROUNDUP(G19,0)</f>
        <v>76</v>
      </c>
    </row>
    <row r="21" spans="1:7" x14ac:dyDescent="0.25">
      <c r="A21" s="52"/>
      <c r="B21" s="53"/>
      <c r="C21" s="53"/>
      <c r="D21" s="53"/>
      <c r="E21" s="53"/>
      <c r="F21" s="53"/>
      <c r="G21" s="53"/>
    </row>
  </sheetData>
  <mergeCells count="7">
    <mergeCell ref="A20:C20"/>
    <mergeCell ref="B6:C6"/>
    <mergeCell ref="B7:C7"/>
    <mergeCell ref="B8:C8"/>
    <mergeCell ref="B9:C9"/>
    <mergeCell ref="B12:C12"/>
    <mergeCell ref="A19:C19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6" sqref="D6"/>
    </sheetView>
  </sheetViews>
  <sheetFormatPr defaultRowHeight="15" x14ac:dyDescent="0.25"/>
  <cols>
    <col min="2" max="2" width="96.28515625" bestFit="1" customWidth="1"/>
    <col min="3" max="3" width="11.5703125" bestFit="1" customWidth="1"/>
    <col min="5" max="5" width="14.5703125" bestFit="1" customWidth="1"/>
    <col min="7" max="7" width="16" bestFit="1" customWidth="1"/>
  </cols>
  <sheetData>
    <row r="1" spans="1:7" x14ac:dyDescent="0.25">
      <c r="A1" s="52" t="s">
        <v>81</v>
      </c>
      <c r="B1" s="53"/>
      <c r="C1" s="53"/>
      <c r="D1" s="53"/>
      <c r="E1" s="53"/>
      <c r="F1" s="53"/>
      <c r="G1" s="53"/>
    </row>
    <row r="2" spans="1:7" x14ac:dyDescent="0.25">
      <c r="A2" s="52"/>
      <c r="B2" s="53"/>
      <c r="C2" s="53"/>
      <c r="D2" s="53"/>
      <c r="E2" s="53"/>
      <c r="F2" s="53"/>
      <c r="G2" s="53"/>
    </row>
    <row r="3" spans="1:7" x14ac:dyDescent="0.25">
      <c r="A3" s="52"/>
      <c r="B3" s="53"/>
      <c r="C3" s="53"/>
      <c r="D3" s="53"/>
      <c r="E3" s="53"/>
      <c r="F3" s="53"/>
      <c r="G3" s="53"/>
    </row>
    <row r="4" spans="1:7" x14ac:dyDescent="0.25">
      <c r="A4" s="52" t="s">
        <v>105</v>
      </c>
      <c r="B4" s="53"/>
      <c r="C4" s="53"/>
      <c r="D4" s="53"/>
      <c r="E4" s="53"/>
      <c r="F4" s="53"/>
      <c r="G4" s="53"/>
    </row>
    <row r="5" spans="1:7" ht="15.75" x14ac:dyDescent="0.25">
      <c r="A5" s="54"/>
      <c r="B5" s="55"/>
      <c r="C5" s="56"/>
      <c r="D5" s="57" t="s">
        <v>83</v>
      </c>
      <c r="E5" s="58" t="s">
        <v>84</v>
      </c>
      <c r="F5" s="58" t="s">
        <v>4</v>
      </c>
      <c r="G5" s="58" t="s">
        <v>5</v>
      </c>
    </row>
    <row r="6" spans="1:7" x14ac:dyDescent="0.25">
      <c r="A6" s="59" t="s">
        <v>6</v>
      </c>
      <c r="B6" s="107" t="s">
        <v>106</v>
      </c>
      <c r="C6" s="108"/>
      <c r="D6" s="84">
        <v>122</v>
      </c>
      <c r="E6" s="60">
        <f>1.8*7.25</f>
        <v>13.05</v>
      </c>
      <c r="F6" s="60"/>
      <c r="G6" s="61">
        <f>+D6*E6</f>
        <v>1592.1000000000001</v>
      </c>
    </row>
    <row r="7" spans="1:7" x14ac:dyDescent="0.25">
      <c r="A7" s="59" t="s">
        <v>8</v>
      </c>
      <c r="B7" s="107" t="s">
        <v>107</v>
      </c>
      <c r="C7" s="108"/>
      <c r="D7" s="84">
        <v>122</v>
      </c>
      <c r="E7" s="60">
        <f>0.2*7.25</f>
        <v>1.4500000000000002</v>
      </c>
      <c r="F7" s="60"/>
      <c r="G7" s="61">
        <f>+D7*E7</f>
        <v>176.90000000000003</v>
      </c>
    </row>
    <row r="8" spans="1:7" x14ac:dyDescent="0.25">
      <c r="A8" s="59" t="s">
        <v>10</v>
      </c>
      <c r="B8" s="107" t="s">
        <v>108</v>
      </c>
      <c r="C8" s="108"/>
      <c r="D8" s="84">
        <v>122</v>
      </c>
      <c r="E8" s="60">
        <v>3.5</v>
      </c>
      <c r="F8" s="60"/>
      <c r="G8" s="61">
        <f>+D8*E8</f>
        <v>427</v>
      </c>
    </row>
    <row r="9" spans="1:7" x14ac:dyDescent="0.25">
      <c r="A9" s="59" t="s">
        <v>11</v>
      </c>
      <c r="B9" s="118" t="s">
        <v>89</v>
      </c>
      <c r="C9" s="119"/>
      <c r="D9" s="60"/>
      <c r="E9" s="60"/>
      <c r="F9" s="60"/>
      <c r="G9" s="62">
        <f>SUM(G6:G8)</f>
        <v>2196</v>
      </c>
    </row>
    <row r="10" spans="1:7" x14ac:dyDescent="0.25">
      <c r="A10" s="59" t="s">
        <v>12</v>
      </c>
      <c r="B10" s="63" t="s">
        <v>90</v>
      </c>
      <c r="C10" s="64"/>
      <c r="D10" s="81">
        <v>7</v>
      </c>
      <c r="E10" s="60"/>
      <c r="F10" s="60"/>
      <c r="G10" s="61"/>
    </row>
    <row r="11" spans="1:7" x14ac:dyDescent="0.25">
      <c r="A11" s="59" t="s">
        <v>13</v>
      </c>
      <c r="B11" s="83"/>
      <c r="C11" s="64"/>
      <c r="D11" s="60"/>
      <c r="E11" s="60"/>
      <c r="F11" s="60"/>
      <c r="G11" s="61"/>
    </row>
    <row r="12" spans="1:7" x14ac:dyDescent="0.25">
      <c r="A12" s="65"/>
      <c r="B12" s="113" t="s">
        <v>91</v>
      </c>
      <c r="C12" s="114"/>
      <c r="D12" s="66"/>
      <c r="E12" s="66">
        <f>SUM(E6:E11)</f>
        <v>18</v>
      </c>
      <c r="F12" s="66"/>
      <c r="G12" s="67">
        <f>+G9/D10</f>
        <v>313.71428571428572</v>
      </c>
    </row>
    <row r="13" spans="1:7" x14ac:dyDescent="0.25">
      <c r="A13" s="59" t="s">
        <v>11</v>
      </c>
      <c r="B13" s="68" t="s">
        <v>102</v>
      </c>
      <c r="C13" s="64"/>
      <c r="D13" s="69" t="s">
        <v>19</v>
      </c>
      <c r="E13" s="60"/>
      <c r="F13" s="60"/>
      <c r="G13" s="61"/>
    </row>
    <row r="14" spans="1:7" x14ac:dyDescent="0.25">
      <c r="A14" s="59" t="s">
        <v>15</v>
      </c>
      <c r="B14" s="68"/>
      <c r="C14" s="64"/>
      <c r="D14" s="69"/>
      <c r="E14" s="60"/>
      <c r="F14" s="60"/>
      <c r="G14" s="61"/>
    </row>
    <row r="15" spans="1:7" x14ac:dyDescent="0.25">
      <c r="A15" s="59" t="s">
        <v>16</v>
      </c>
      <c r="B15" s="68" t="s">
        <v>17</v>
      </c>
      <c r="C15" s="64" t="s">
        <v>18</v>
      </c>
      <c r="D15" s="69" t="s">
        <v>19</v>
      </c>
      <c r="E15" s="60"/>
      <c r="F15" s="60"/>
      <c r="G15" s="61"/>
    </row>
    <row r="16" spans="1:7" x14ac:dyDescent="0.25">
      <c r="A16" s="59" t="s">
        <v>20</v>
      </c>
      <c r="B16" s="68"/>
      <c r="C16" s="64" t="s">
        <v>21</v>
      </c>
      <c r="D16" s="69" t="s">
        <v>19</v>
      </c>
      <c r="E16" s="60"/>
      <c r="F16" s="60"/>
      <c r="G16" s="61"/>
    </row>
    <row r="17" spans="1:7" x14ac:dyDescent="0.25">
      <c r="A17" s="59" t="s">
        <v>13</v>
      </c>
      <c r="B17" s="68"/>
      <c r="C17" s="64" t="s">
        <v>22</v>
      </c>
      <c r="D17" s="69" t="s">
        <v>19</v>
      </c>
      <c r="E17" s="60"/>
      <c r="F17" s="60"/>
      <c r="G17" s="61"/>
    </row>
    <row r="18" spans="1:7" x14ac:dyDescent="0.25">
      <c r="A18" s="59"/>
      <c r="B18" s="68"/>
      <c r="C18" s="71" t="s">
        <v>23</v>
      </c>
      <c r="D18" s="72">
        <f>SUM(D15:D17)</f>
        <v>0</v>
      </c>
      <c r="E18" s="72">
        <f>SUM(E15:E17)</f>
        <v>0</v>
      </c>
      <c r="F18" s="72">
        <f>SUM(F15:F17)</f>
        <v>0</v>
      </c>
      <c r="G18" s="62">
        <f>SUM(G15:G17)</f>
        <v>0</v>
      </c>
    </row>
    <row r="19" spans="1:7" x14ac:dyDescent="0.25">
      <c r="A19" s="65" t="s">
        <v>24</v>
      </c>
      <c r="B19" s="73"/>
      <c r="C19" s="74"/>
      <c r="D19" s="75"/>
      <c r="E19" s="75"/>
      <c r="F19" s="75"/>
      <c r="G19" s="67">
        <f>+G12+G13+G14+G18</f>
        <v>313.71428571428572</v>
      </c>
    </row>
    <row r="20" spans="1:7" x14ac:dyDescent="0.25">
      <c r="A20" s="115" t="s">
        <v>96</v>
      </c>
      <c r="B20" s="116"/>
      <c r="C20" s="117"/>
      <c r="D20" s="76"/>
      <c r="E20" s="76"/>
      <c r="F20" s="76"/>
      <c r="G20" s="77">
        <f>ROUNDUP(G19,0)</f>
        <v>314</v>
      </c>
    </row>
    <row r="21" spans="1:7" x14ac:dyDescent="0.25">
      <c r="A21" s="52"/>
      <c r="B21" s="53"/>
      <c r="C21" s="53"/>
      <c r="D21" s="53"/>
      <c r="E21" s="53"/>
      <c r="F21" s="53"/>
      <c r="G21" s="53"/>
    </row>
  </sheetData>
  <mergeCells count="6">
    <mergeCell ref="A20:C20"/>
    <mergeCell ref="B6:C6"/>
    <mergeCell ref="B7:C7"/>
    <mergeCell ref="B8:C8"/>
    <mergeCell ref="B9:C9"/>
    <mergeCell ref="B12:C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8" sqref="D8"/>
    </sheetView>
  </sheetViews>
  <sheetFormatPr defaultRowHeight="15" x14ac:dyDescent="0.25"/>
  <cols>
    <col min="6" max="6" width="11.42578125" bestFit="1" customWidth="1"/>
    <col min="7" max="7" width="16" bestFit="1" customWidth="1"/>
  </cols>
  <sheetData>
    <row r="1" spans="1:7" x14ac:dyDescent="0.25">
      <c r="A1" s="1" t="s">
        <v>26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2</v>
      </c>
      <c r="E5" s="8" t="s">
        <v>3</v>
      </c>
      <c r="F5" s="8" t="s">
        <v>4</v>
      </c>
      <c r="G5" s="8" t="s">
        <v>5</v>
      </c>
    </row>
    <row r="6" spans="1:7" x14ac:dyDescent="0.25">
      <c r="A6" s="9" t="s">
        <v>6</v>
      </c>
      <c r="B6" s="87" t="s">
        <v>27</v>
      </c>
      <c r="C6" s="88"/>
      <c r="D6" s="10">
        <v>122</v>
      </c>
      <c r="E6" s="11">
        <f>(8.5+30+5)/60</f>
        <v>0.72499999999999998</v>
      </c>
      <c r="F6" s="12"/>
      <c r="G6" s="13">
        <f>+D6*E6</f>
        <v>88.45</v>
      </c>
    </row>
    <row r="7" spans="1:7" x14ac:dyDescent="0.25">
      <c r="A7" s="9" t="s">
        <v>8</v>
      </c>
      <c r="B7" s="87" t="s">
        <v>9</v>
      </c>
      <c r="C7" s="88"/>
      <c r="D7" s="10">
        <v>122</v>
      </c>
      <c r="E7" s="11">
        <f>(5)/60</f>
        <v>8.3333333333333329E-2</v>
      </c>
      <c r="F7" s="12"/>
      <c r="G7" s="13">
        <f>+D7*E7</f>
        <v>10.166666666666666</v>
      </c>
    </row>
    <row r="8" spans="1:7" x14ac:dyDescent="0.25">
      <c r="A8" s="9" t="s">
        <v>10</v>
      </c>
      <c r="B8" s="89"/>
      <c r="C8" s="88"/>
      <c r="D8" s="10"/>
      <c r="E8" s="11"/>
      <c r="F8" s="12"/>
      <c r="G8" s="13"/>
    </row>
    <row r="9" spans="1:7" x14ac:dyDescent="0.25">
      <c r="A9" s="9" t="s">
        <v>11</v>
      </c>
      <c r="B9" s="14"/>
      <c r="C9" s="15"/>
      <c r="D9" s="16"/>
      <c r="E9" s="17"/>
      <c r="F9" s="12"/>
      <c r="G9" s="18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98.616666666666674</v>
      </c>
    </row>
    <row r="14" spans="1:7" x14ac:dyDescent="0.25">
      <c r="A14" s="19" t="s">
        <v>11</v>
      </c>
      <c r="B14" s="14"/>
      <c r="C14" s="15"/>
      <c r="D14" s="12"/>
      <c r="E14" s="12"/>
      <c r="F14" s="12"/>
      <c r="G14" s="18"/>
    </row>
    <row r="15" spans="1:7" x14ac:dyDescent="0.25">
      <c r="A15" s="19" t="s">
        <v>15</v>
      </c>
      <c r="B15" s="14"/>
      <c r="C15" s="15"/>
      <c r="D15" s="12"/>
      <c r="E15" s="12"/>
      <c r="F15" s="12"/>
      <c r="G15" s="18"/>
    </row>
    <row r="16" spans="1:7" x14ac:dyDescent="0.25">
      <c r="A16" s="19" t="s">
        <v>16</v>
      </c>
      <c r="B16" s="25" t="s">
        <v>17</v>
      </c>
      <c r="C16" s="15" t="s">
        <v>18</v>
      </c>
      <c r="D16" s="17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15" t="s">
        <v>21</v>
      </c>
      <c r="D17" s="17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15" t="s">
        <v>22</v>
      </c>
      <c r="D18" s="17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/>
      <c r="E19" s="28"/>
      <c r="F19" s="28"/>
      <c r="G19" s="29">
        <f>SUM(G14:G18)</f>
        <v>0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98.616666666666674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99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4">
    <mergeCell ref="B6:C6"/>
    <mergeCell ref="B7:C7"/>
    <mergeCell ref="B8:C8"/>
    <mergeCell ref="A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7" sqref="D7"/>
    </sheetView>
  </sheetViews>
  <sheetFormatPr defaultRowHeight="15" x14ac:dyDescent="0.25"/>
  <cols>
    <col min="6" max="6" width="11.42578125" bestFit="1" customWidth="1"/>
    <col min="7" max="7" width="8.7109375" bestFit="1" customWidth="1"/>
  </cols>
  <sheetData>
    <row r="1" spans="1:7" x14ac:dyDescent="0.25">
      <c r="A1" s="1" t="s">
        <v>28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2</v>
      </c>
      <c r="E5" s="8" t="s">
        <v>3</v>
      </c>
      <c r="F5" s="8" t="s">
        <v>4</v>
      </c>
      <c r="G5" s="7" t="s">
        <v>5</v>
      </c>
    </row>
    <row r="6" spans="1:7" x14ac:dyDescent="0.25">
      <c r="A6" s="9" t="s">
        <v>6</v>
      </c>
      <c r="B6" s="87" t="s">
        <v>29</v>
      </c>
      <c r="C6" s="88"/>
      <c r="D6" s="35">
        <v>51.6</v>
      </c>
      <c r="E6" s="36">
        <f>(5)/60</f>
        <v>8.3333333333333329E-2</v>
      </c>
      <c r="F6" s="12"/>
      <c r="G6" s="13">
        <f>+D6*E6</f>
        <v>4.3</v>
      </c>
    </row>
    <row r="7" spans="1:7" x14ac:dyDescent="0.25">
      <c r="A7" s="9" t="s">
        <v>8</v>
      </c>
      <c r="B7" s="93"/>
      <c r="C7" s="94"/>
      <c r="D7" s="35"/>
      <c r="E7" s="36"/>
      <c r="F7" s="37"/>
      <c r="G7" s="38"/>
    </row>
    <row r="8" spans="1:7" x14ac:dyDescent="0.25">
      <c r="A8" s="9" t="s">
        <v>10</v>
      </c>
      <c r="B8" s="93"/>
      <c r="C8" s="94"/>
      <c r="D8" s="35"/>
      <c r="E8" s="36"/>
      <c r="F8" s="37"/>
      <c r="G8" s="38"/>
    </row>
    <row r="9" spans="1:7" x14ac:dyDescent="0.25">
      <c r="A9" s="9" t="s">
        <v>11</v>
      </c>
      <c r="B9" s="14"/>
      <c r="C9" s="15"/>
      <c r="D9" s="16"/>
      <c r="E9" s="17"/>
      <c r="F9" s="12"/>
      <c r="G9" s="18"/>
    </row>
    <row r="10" spans="1:7" x14ac:dyDescent="0.25">
      <c r="A10" s="9" t="s">
        <v>12</v>
      </c>
      <c r="B10" s="14"/>
      <c r="C10" s="15"/>
      <c r="D10" s="16"/>
      <c r="E10" s="17"/>
      <c r="F10" s="12"/>
      <c r="G10" s="18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4.3</v>
      </c>
    </row>
    <row r="14" spans="1:7" x14ac:dyDescent="0.25">
      <c r="A14" s="19" t="s">
        <v>11</v>
      </c>
      <c r="B14" s="14"/>
      <c r="C14" s="15"/>
      <c r="D14" s="12"/>
      <c r="E14" s="12"/>
      <c r="F14" s="12"/>
      <c r="G14" s="18"/>
    </row>
    <row r="15" spans="1:7" x14ac:dyDescent="0.25">
      <c r="A15" s="19" t="s">
        <v>15</v>
      </c>
      <c r="B15" s="14"/>
      <c r="C15" s="15"/>
      <c r="D15" s="12"/>
      <c r="E15" s="12"/>
      <c r="F15" s="12"/>
      <c r="G15" s="18"/>
    </row>
    <row r="16" spans="1:7" x14ac:dyDescent="0.25">
      <c r="A16" s="19" t="s">
        <v>16</v>
      </c>
      <c r="B16" s="25" t="s">
        <v>17</v>
      </c>
      <c r="C16" s="15" t="s">
        <v>18</v>
      </c>
      <c r="D16" s="17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15" t="s">
        <v>21</v>
      </c>
      <c r="D17" s="17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15" t="s">
        <v>22</v>
      </c>
      <c r="D18" s="17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>
        <f>SUM(D14:D18)</f>
        <v>0</v>
      </c>
      <c r="E19" s="28"/>
      <c r="F19" s="28"/>
      <c r="G19" s="29">
        <f>+D19</f>
        <v>0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4.3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5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4">
    <mergeCell ref="B6:C6"/>
    <mergeCell ref="B7:C7"/>
    <mergeCell ref="B8:C8"/>
    <mergeCell ref="A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9" sqref="D9"/>
    </sheetView>
  </sheetViews>
  <sheetFormatPr defaultRowHeight="15" x14ac:dyDescent="0.25"/>
  <sheetData>
    <row r="1" spans="1:8" x14ac:dyDescent="0.25">
      <c r="A1" s="1" t="s">
        <v>30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/>
      <c r="B3" s="2"/>
      <c r="C3" s="2"/>
      <c r="D3" s="2"/>
      <c r="E3" s="2"/>
      <c r="F3" s="2"/>
      <c r="G3" s="2"/>
      <c r="H3" s="2"/>
    </row>
    <row r="4" spans="1:8" x14ac:dyDescent="0.25">
      <c r="A4" s="3"/>
      <c r="B4" s="2"/>
      <c r="C4" s="2"/>
      <c r="D4" s="1"/>
      <c r="E4" s="2"/>
      <c r="F4" s="2"/>
      <c r="G4" s="2"/>
      <c r="H4" s="2"/>
    </row>
    <row r="5" spans="1:8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7" t="s">
        <v>5</v>
      </c>
      <c r="H5" s="2"/>
    </row>
    <row r="6" spans="1:8" x14ac:dyDescent="0.25">
      <c r="A6" s="9" t="s">
        <v>6</v>
      </c>
      <c r="B6" s="93" t="s">
        <v>32</v>
      </c>
      <c r="C6" s="94"/>
      <c r="D6" s="35">
        <v>51.6</v>
      </c>
      <c r="E6" s="36">
        <f>(10)/60</f>
        <v>0.16666666666666666</v>
      </c>
      <c r="F6" s="12"/>
      <c r="G6" s="13">
        <f>+D6*E6</f>
        <v>8.6</v>
      </c>
      <c r="H6" s="2"/>
    </row>
    <row r="7" spans="1:8" x14ac:dyDescent="0.25">
      <c r="A7" s="9" t="s">
        <v>8</v>
      </c>
      <c r="B7" s="93" t="s">
        <v>33</v>
      </c>
      <c r="C7" s="94"/>
      <c r="D7" s="10">
        <v>122</v>
      </c>
      <c r="E7" s="36">
        <f>(1)/60</f>
        <v>1.6666666666666666E-2</v>
      </c>
      <c r="F7" s="37"/>
      <c r="G7" s="13">
        <f>+D7*E7</f>
        <v>2.0333333333333332</v>
      </c>
      <c r="H7" s="2"/>
    </row>
    <row r="8" spans="1:8" x14ac:dyDescent="0.25">
      <c r="A8" s="9" t="s">
        <v>10</v>
      </c>
      <c r="B8" s="93" t="s">
        <v>34</v>
      </c>
      <c r="C8" s="94"/>
      <c r="D8" s="35">
        <v>122</v>
      </c>
      <c r="E8" s="36">
        <f>3/60</f>
        <v>0.05</v>
      </c>
      <c r="F8" s="37"/>
      <c r="G8" s="13">
        <f>+D8*E8</f>
        <v>6.1000000000000005</v>
      </c>
      <c r="H8" s="2"/>
    </row>
    <row r="9" spans="1:8" x14ac:dyDescent="0.25">
      <c r="A9" s="9" t="s">
        <v>11</v>
      </c>
      <c r="B9" s="14"/>
      <c r="C9" s="15"/>
      <c r="D9" s="16"/>
      <c r="E9" s="17"/>
      <c r="F9" s="12"/>
      <c r="G9" s="18"/>
      <c r="H9" s="2"/>
    </row>
    <row r="10" spans="1:8" x14ac:dyDescent="0.25">
      <c r="A10" s="9" t="s">
        <v>12</v>
      </c>
      <c r="B10" s="14"/>
      <c r="C10" s="15"/>
      <c r="D10" s="16"/>
      <c r="E10" s="17"/>
      <c r="F10" s="12"/>
      <c r="G10" s="18"/>
      <c r="H10" s="2"/>
    </row>
    <row r="11" spans="1:8" x14ac:dyDescent="0.25">
      <c r="A11" s="9" t="s">
        <v>13</v>
      </c>
      <c r="B11" s="14"/>
      <c r="C11" s="15"/>
      <c r="D11" s="16"/>
      <c r="E11" s="17"/>
      <c r="F11" s="12"/>
      <c r="G11" s="18"/>
      <c r="H11" s="2"/>
    </row>
    <row r="12" spans="1:8" x14ac:dyDescent="0.25">
      <c r="A12" s="19"/>
      <c r="B12" s="14"/>
      <c r="C12" s="15"/>
      <c r="D12" s="16"/>
      <c r="E12" s="17"/>
      <c r="F12" s="12"/>
      <c r="G12" s="18"/>
      <c r="H12" s="2"/>
    </row>
    <row r="13" spans="1:8" x14ac:dyDescent="0.25">
      <c r="A13" s="20"/>
      <c r="B13" s="21" t="s">
        <v>14</v>
      </c>
      <c r="C13" s="22"/>
      <c r="D13" s="23"/>
      <c r="E13" s="23"/>
      <c r="F13" s="23"/>
      <c r="G13" s="24">
        <f>SUM(G6:G12)</f>
        <v>16.733333333333334</v>
      </c>
      <c r="H13" s="2"/>
    </row>
    <row r="14" spans="1:8" x14ac:dyDescent="0.25">
      <c r="A14" s="19" t="s">
        <v>11</v>
      </c>
      <c r="B14" s="14"/>
      <c r="C14" s="15"/>
      <c r="D14" s="12"/>
      <c r="E14" s="12"/>
      <c r="F14" s="12"/>
      <c r="G14" s="18"/>
      <c r="H14" s="2"/>
    </row>
    <row r="15" spans="1:8" x14ac:dyDescent="0.25">
      <c r="A15" s="19" t="s">
        <v>15</v>
      </c>
      <c r="B15" s="14"/>
      <c r="C15" s="15"/>
      <c r="D15" s="12"/>
      <c r="E15" s="12"/>
      <c r="F15" s="12"/>
      <c r="G15" s="18"/>
      <c r="H15" s="2"/>
    </row>
    <row r="16" spans="1:8" x14ac:dyDescent="0.25">
      <c r="A16" s="19" t="s">
        <v>16</v>
      </c>
      <c r="B16" s="25" t="s">
        <v>17</v>
      </c>
      <c r="C16" s="15" t="s">
        <v>18</v>
      </c>
      <c r="D16" s="17" t="s">
        <v>19</v>
      </c>
      <c r="E16" s="12"/>
      <c r="F16" s="12"/>
      <c r="G16" s="18"/>
      <c r="H16" s="2"/>
    </row>
    <row r="17" spans="1:8" x14ac:dyDescent="0.25">
      <c r="A17" s="19" t="s">
        <v>20</v>
      </c>
      <c r="B17" s="14"/>
      <c r="C17" s="15" t="s">
        <v>21</v>
      </c>
      <c r="D17" s="17" t="s">
        <v>19</v>
      </c>
      <c r="E17" s="12"/>
      <c r="F17" s="12"/>
      <c r="G17" s="18"/>
      <c r="H17" s="2"/>
    </row>
    <row r="18" spans="1:8" x14ac:dyDescent="0.25">
      <c r="A18" s="19" t="s">
        <v>13</v>
      </c>
      <c r="B18" s="14"/>
      <c r="C18" s="39" t="s">
        <v>35</v>
      </c>
      <c r="D18" s="17" t="s">
        <v>19</v>
      </c>
      <c r="E18" s="12"/>
      <c r="F18" s="12"/>
      <c r="G18" s="18"/>
      <c r="H18" s="2"/>
    </row>
    <row r="19" spans="1:8" x14ac:dyDescent="0.25">
      <c r="A19" s="19"/>
      <c r="B19" s="14"/>
      <c r="C19" s="26" t="s">
        <v>23</v>
      </c>
      <c r="D19" s="27">
        <f>SUM(D14:D18)</f>
        <v>0</v>
      </c>
      <c r="E19" s="28"/>
      <c r="F19" s="28"/>
      <c r="G19" s="29">
        <f>+D19</f>
        <v>0</v>
      </c>
      <c r="H19" s="2"/>
    </row>
    <row r="20" spans="1:8" x14ac:dyDescent="0.25">
      <c r="A20" s="20" t="s">
        <v>24</v>
      </c>
      <c r="B20" s="30"/>
      <c r="C20" s="31"/>
      <c r="D20" s="32"/>
      <c r="E20" s="32"/>
      <c r="F20" s="32"/>
      <c r="G20" s="24">
        <f>+G13+G19</f>
        <v>16.733333333333334</v>
      </c>
      <c r="H20" s="2"/>
    </row>
    <row r="21" spans="1:8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17</v>
      </c>
      <c r="H21" s="2"/>
    </row>
    <row r="22" spans="1:8" x14ac:dyDescent="0.25">
      <c r="A22" s="1"/>
      <c r="B22" s="2"/>
      <c r="C22" s="2"/>
      <c r="D22" s="2"/>
      <c r="E22" s="2"/>
      <c r="F22" s="2"/>
      <c r="G22" s="2"/>
      <c r="H22" s="2"/>
    </row>
  </sheetData>
  <mergeCells count="4">
    <mergeCell ref="B6:C6"/>
    <mergeCell ref="B7:C7"/>
    <mergeCell ref="B8:C8"/>
    <mergeCell ref="A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0" sqref="H20"/>
    </sheetView>
  </sheetViews>
  <sheetFormatPr defaultRowHeight="15" x14ac:dyDescent="0.25"/>
  <sheetData>
    <row r="1" spans="1:8" x14ac:dyDescent="0.25">
      <c r="A1" s="1" t="s">
        <v>36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/>
      <c r="B3" s="2"/>
      <c r="C3" s="2"/>
      <c r="D3" s="2"/>
      <c r="E3" s="2"/>
      <c r="F3" s="2"/>
      <c r="G3" s="2"/>
      <c r="H3" s="40"/>
    </row>
    <row r="4" spans="1:8" x14ac:dyDescent="0.25">
      <c r="A4" s="3"/>
      <c r="B4" s="2"/>
      <c r="C4" s="2"/>
      <c r="D4" s="2"/>
      <c r="E4" s="2"/>
      <c r="F4" s="2"/>
      <c r="G4" s="2"/>
      <c r="H4" s="2"/>
    </row>
    <row r="5" spans="1:8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7" t="s">
        <v>5</v>
      </c>
      <c r="H5" s="41"/>
    </row>
    <row r="6" spans="1:8" x14ac:dyDescent="0.25">
      <c r="A6" s="9" t="s">
        <v>6</v>
      </c>
      <c r="B6" s="87" t="s">
        <v>37</v>
      </c>
      <c r="C6" s="88"/>
      <c r="D6" s="10">
        <v>122</v>
      </c>
      <c r="E6" s="36">
        <f>(3)/60</f>
        <v>0.05</v>
      </c>
      <c r="F6" s="12"/>
      <c r="G6" s="13">
        <f>+D6*E6</f>
        <v>6.1000000000000005</v>
      </c>
      <c r="H6" s="2"/>
    </row>
    <row r="7" spans="1:8" x14ac:dyDescent="0.25">
      <c r="A7" s="9" t="s">
        <v>8</v>
      </c>
      <c r="B7" s="93" t="s">
        <v>38</v>
      </c>
      <c r="C7" s="94"/>
      <c r="D7" s="10">
        <v>122</v>
      </c>
      <c r="E7" s="36">
        <f>(9)/60</f>
        <v>0.15</v>
      </c>
      <c r="F7" s="37"/>
      <c r="G7" s="13">
        <f>+D7*E7</f>
        <v>18.3</v>
      </c>
      <c r="H7" s="2"/>
    </row>
    <row r="8" spans="1:8" x14ac:dyDescent="0.25">
      <c r="A8" s="9" t="s">
        <v>10</v>
      </c>
      <c r="B8" s="2"/>
      <c r="C8" s="2"/>
      <c r="D8" s="35"/>
      <c r="E8" s="36"/>
      <c r="F8" s="37"/>
      <c r="G8" s="38"/>
      <c r="H8" s="2"/>
    </row>
    <row r="9" spans="1:8" x14ac:dyDescent="0.25">
      <c r="A9" s="9" t="s">
        <v>11</v>
      </c>
      <c r="B9" s="14"/>
      <c r="C9" s="15"/>
      <c r="D9" s="16"/>
      <c r="E9" s="17"/>
      <c r="F9" s="12"/>
      <c r="G9" s="18"/>
      <c r="H9" s="2"/>
    </row>
    <row r="10" spans="1:8" x14ac:dyDescent="0.25">
      <c r="A10" s="9" t="s">
        <v>12</v>
      </c>
      <c r="B10" s="14"/>
      <c r="C10" s="15"/>
      <c r="D10" s="16"/>
      <c r="E10" s="17"/>
      <c r="F10" s="12"/>
      <c r="G10" s="18"/>
      <c r="H10" s="2"/>
    </row>
    <row r="11" spans="1:8" x14ac:dyDescent="0.25">
      <c r="A11" s="9" t="s">
        <v>13</v>
      </c>
      <c r="B11" s="14"/>
      <c r="C11" s="15"/>
      <c r="D11" s="16"/>
      <c r="E11" s="17"/>
      <c r="F11" s="12"/>
      <c r="G11" s="18"/>
      <c r="H11" s="2"/>
    </row>
    <row r="12" spans="1:8" x14ac:dyDescent="0.25">
      <c r="A12" s="19"/>
      <c r="B12" s="14"/>
      <c r="C12" s="15"/>
      <c r="D12" s="16"/>
      <c r="E12" s="17"/>
      <c r="F12" s="12"/>
      <c r="G12" s="18"/>
      <c r="H12" s="42"/>
    </row>
    <row r="13" spans="1:8" x14ac:dyDescent="0.25">
      <c r="A13" s="20"/>
      <c r="B13" s="21" t="s">
        <v>14</v>
      </c>
      <c r="C13" s="22"/>
      <c r="D13" s="23"/>
      <c r="E13" s="23"/>
      <c r="F13" s="23"/>
      <c r="G13" s="24">
        <f>SUM(G6:G12)</f>
        <v>24.400000000000002</v>
      </c>
      <c r="H13" s="2"/>
    </row>
    <row r="14" spans="1:8" x14ac:dyDescent="0.25">
      <c r="A14" s="19" t="s">
        <v>11</v>
      </c>
      <c r="B14" s="14"/>
      <c r="C14" s="15"/>
      <c r="D14" s="12"/>
      <c r="E14" s="12"/>
      <c r="F14" s="12"/>
      <c r="G14" s="18"/>
      <c r="H14" s="2"/>
    </row>
    <row r="15" spans="1:8" x14ac:dyDescent="0.25">
      <c r="A15" s="19" t="s">
        <v>15</v>
      </c>
      <c r="B15" s="14"/>
      <c r="C15" s="15"/>
      <c r="D15" s="12"/>
      <c r="E15" s="12"/>
      <c r="F15" s="12"/>
      <c r="G15" s="18"/>
      <c r="H15" s="2"/>
    </row>
    <row r="16" spans="1:8" x14ac:dyDescent="0.25">
      <c r="A16" s="19" t="s">
        <v>16</v>
      </c>
      <c r="B16" s="25" t="s">
        <v>17</v>
      </c>
      <c r="C16" s="43" t="s">
        <v>39</v>
      </c>
      <c r="D16" s="44">
        <f>2</f>
        <v>2</v>
      </c>
      <c r="E16" s="12"/>
      <c r="F16" s="12"/>
      <c r="G16" s="18"/>
      <c r="H16" s="2"/>
    </row>
    <row r="17" spans="1:8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  <c r="H17" s="2"/>
    </row>
    <row r="18" spans="1:8" x14ac:dyDescent="0.25">
      <c r="A18" s="19" t="s">
        <v>13</v>
      </c>
      <c r="B18" s="14"/>
      <c r="C18" s="43" t="s">
        <v>40</v>
      </c>
      <c r="D18" s="44">
        <v>1.5</v>
      </c>
      <c r="E18" s="12"/>
      <c r="F18" s="12"/>
      <c r="G18" s="18"/>
      <c r="H18" s="2"/>
    </row>
    <row r="19" spans="1:8" x14ac:dyDescent="0.25">
      <c r="A19" s="19"/>
      <c r="B19" s="14"/>
      <c r="C19" s="26" t="s">
        <v>23</v>
      </c>
      <c r="D19" s="27">
        <f>SUM(D14:D18)</f>
        <v>3.5</v>
      </c>
      <c r="E19" s="28"/>
      <c r="F19" s="28"/>
      <c r="G19" s="29">
        <f>+D19</f>
        <v>3.5</v>
      </c>
      <c r="H19" s="42"/>
    </row>
    <row r="20" spans="1:8" x14ac:dyDescent="0.25">
      <c r="A20" s="20" t="s">
        <v>24</v>
      </c>
      <c r="B20" s="30"/>
      <c r="C20" s="31"/>
      <c r="D20" s="32"/>
      <c r="E20" s="32"/>
      <c r="F20" s="32"/>
      <c r="G20" s="24">
        <f>+G13+G19</f>
        <v>27.900000000000002</v>
      </c>
      <c r="H20" s="2"/>
    </row>
    <row r="21" spans="1:8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28</v>
      </c>
      <c r="H21" s="2"/>
    </row>
    <row r="22" spans="1:8" x14ac:dyDescent="0.25">
      <c r="A22" s="1"/>
      <c r="B22" s="2"/>
      <c r="C22" s="2"/>
      <c r="D22" s="2"/>
      <c r="E22" s="2"/>
      <c r="F22" s="2"/>
      <c r="G22" s="2"/>
      <c r="H22" s="2"/>
    </row>
  </sheetData>
  <mergeCells count="3">
    <mergeCell ref="B6:C6"/>
    <mergeCell ref="B7:C7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L24" sqref="L24"/>
    </sheetView>
  </sheetViews>
  <sheetFormatPr defaultRowHeight="15" x14ac:dyDescent="0.25"/>
  <sheetData>
    <row r="1" spans="1:18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3"/>
      <c r="B4" s="2"/>
      <c r="C4" s="2"/>
      <c r="D4" s="2"/>
      <c r="E4" s="45" t="s">
        <v>42</v>
      </c>
      <c r="F4" s="2"/>
      <c r="G4" s="2"/>
      <c r="H4" s="2"/>
      <c r="I4" s="2"/>
      <c r="J4" s="45" t="s">
        <v>43</v>
      </c>
      <c r="K4" s="2"/>
      <c r="L4" s="2"/>
      <c r="M4" s="2"/>
      <c r="N4" s="2"/>
      <c r="O4" s="45" t="s">
        <v>44</v>
      </c>
      <c r="P4" s="2"/>
      <c r="Q4" s="2"/>
      <c r="R4" s="2"/>
    </row>
    <row r="5" spans="1:18" ht="47.25" x14ac:dyDescent="0.25">
      <c r="A5" s="4"/>
      <c r="B5" s="5"/>
      <c r="C5" s="6"/>
      <c r="D5" s="2"/>
      <c r="E5" s="7" t="s">
        <v>2</v>
      </c>
      <c r="F5" s="8" t="s">
        <v>3</v>
      </c>
      <c r="G5" s="8" t="s">
        <v>4</v>
      </c>
      <c r="H5" s="7" t="s">
        <v>5</v>
      </c>
      <c r="I5" s="46"/>
      <c r="J5" s="7" t="s">
        <v>45</v>
      </c>
      <c r="K5" s="8" t="s">
        <v>3</v>
      </c>
      <c r="L5" s="8" t="s">
        <v>4</v>
      </c>
      <c r="M5" s="7" t="s">
        <v>5</v>
      </c>
      <c r="N5" s="46"/>
      <c r="O5" s="7" t="s">
        <v>45</v>
      </c>
      <c r="P5" s="8" t="s">
        <v>3</v>
      </c>
      <c r="Q5" s="8" t="s">
        <v>4</v>
      </c>
      <c r="R5" s="7" t="s">
        <v>5</v>
      </c>
    </row>
    <row r="6" spans="1:18" x14ac:dyDescent="0.25">
      <c r="A6" s="9" t="s">
        <v>6</v>
      </c>
      <c r="B6" s="87" t="s">
        <v>46</v>
      </c>
      <c r="C6" s="88"/>
      <c r="D6" s="2"/>
      <c r="E6" s="10">
        <v>122</v>
      </c>
      <c r="F6" s="36">
        <f>(15)/60</f>
        <v>0.25</v>
      </c>
      <c r="G6" s="12"/>
      <c r="H6" s="13">
        <f>+E6*F6</f>
        <v>30.5</v>
      </c>
      <c r="I6" s="2"/>
      <c r="J6" s="10">
        <v>59</v>
      </c>
      <c r="K6" s="36">
        <f>(15)/60</f>
        <v>0.25</v>
      </c>
      <c r="L6" s="12"/>
      <c r="M6" s="13">
        <f>+J6*K6</f>
        <v>14.75</v>
      </c>
      <c r="N6" s="2"/>
      <c r="O6" s="10"/>
      <c r="P6" s="36"/>
      <c r="Q6" s="12"/>
      <c r="R6" s="13">
        <f>(H6*0.5)+(M6*0.5)</f>
        <v>22.625</v>
      </c>
    </row>
    <row r="7" spans="1:18" x14ac:dyDescent="0.25">
      <c r="A7" s="9" t="s">
        <v>8</v>
      </c>
      <c r="B7" s="93"/>
      <c r="C7" s="94"/>
      <c r="D7" s="2"/>
      <c r="E7" s="10"/>
      <c r="F7" s="36"/>
      <c r="G7" s="37"/>
      <c r="H7" s="13"/>
      <c r="I7" s="2"/>
      <c r="J7" s="10"/>
      <c r="K7" s="36"/>
      <c r="L7" s="37"/>
      <c r="M7" s="13"/>
      <c r="N7" s="2"/>
      <c r="O7" s="10"/>
      <c r="P7" s="36"/>
      <c r="Q7" s="37"/>
      <c r="R7" s="13"/>
    </row>
    <row r="8" spans="1:18" x14ac:dyDescent="0.25">
      <c r="A8" s="9" t="s">
        <v>10</v>
      </c>
      <c r="B8" s="2"/>
      <c r="C8" s="15"/>
      <c r="D8" s="2"/>
      <c r="E8" s="35"/>
      <c r="F8" s="36"/>
      <c r="G8" s="37"/>
      <c r="H8" s="38"/>
      <c r="I8" s="2"/>
      <c r="J8" s="35"/>
      <c r="K8" s="36"/>
      <c r="L8" s="37"/>
      <c r="M8" s="38"/>
      <c r="N8" s="2"/>
      <c r="O8" s="35"/>
      <c r="P8" s="36"/>
      <c r="Q8" s="37"/>
      <c r="R8" s="38"/>
    </row>
    <row r="9" spans="1:18" x14ac:dyDescent="0.25">
      <c r="A9" s="9" t="s">
        <v>11</v>
      </c>
      <c r="B9" s="14"/>
      <c r="C9" s="15"/>
      <c r="D9" s="2"/>
      <c r="E9" s="16"/>
      <c r="F9" s="17"/>
      <c r="G9" s="12"/>
      <c r="H9" s="18"/>
      <c r="I9" s="2"/>
      <c r="J9" s="16"/>
      <c r="K9" s="17"/>
      <c r="L9" s="12"/>
      <c r="M9" s="18"/>
      <c r="N9" s="2"/>
      <c r="O9" s="16"/>
      <c r="P9" s="17"/>
      <c r="Q9" s="12"/>
      <c r="R9" s="18"/>
    </row>
    <row r="10" spans="1:18" x14ac:dyDescent="0.25">
      <c r="A10" s="9" t="s">
        <v>12</v>
      </c>
      <c r="B10" s="14"/>
      <c r="C10" s="15"/>
      <c r="D10" s="2"/>
      <c r="E10" s="16"/>
      <c r="F10" s="17"/>
      <c r="G10" s="12"/>
      <c r="H10" s="18"/>
      <c r="I10" s="2"/>
      <c r="J10" s="16"/>
      <c r="K10" s="17"/>
      <c r="L10" s="12"/>
      <c r="M10" s="18"/>
      <c r="N10" s="2"/>
      <c r="O10" s="16"/>
      <c r="P10" s="17"/>
      <c r="Q10" s="12"/>
      <c r="R10" s="18"/>
    </row>
    <row r="11" spans="1:18" x14ac:dyDescent="0.25">
      <c r="A11" s="9" t="s">
        <v>13</v>
      </c>
      <c r="B11" s="14"/>
      <c r="C11" s="15"/>
      <c r="D11" s="2"/>
      <c r="E11" s="16"/>
      <c r="F11" s="17"/>
      <c r="G11" s="12"/>
      <c r="H11" s="18"/>
      <c r="I11" s="2"/>
      <c r="J11" s="16"/>
      <c r="K11" s="17"/>
      <c r="L11" s="12"/>
      <c r="M11" s="18"/>
      <c r="N11" s="2"/>
      <c r="O11" s="16"/>
      <c r="P11" s="17"/>
      <c r="Q11" s="12"/>
      <c r="R11" s="18"/>
    </row>
    <row r="12" spans="1:18" x14ac:dyDescent="0.25">
      <c r="A12" s="19"/>
      <c r="B12" s="14"/>
      <c r="C12" s="15"/>
      <c r="D12" s="2"/>
      <c r="E12" s="16"/>
      <c r="F12" s="17"/>
      <c r="G12" s="12"/>
      <c r="H12" s="18"/>
      <c r="I12" s="2"/>
      <c r="J12" s="16"/>
      <c r="K12" s="17"/>
      <c r="L12" s="12"/>
      <c r="M12" s="18"/>
      <c r="N12" s="2"/>
      <c r="O12" s="16"/>
      <c r="P12" s="17"/>
      <c r="Q12" s="12"/>
      <c r="R12" s="18"/>
    </row>
    <row r="13" spans="1:18" x14ac:dyDescent="0.25">
      <c r="A13" s="20"/>
      <c r="B13" s="21" t="s">
        <v>14</v>
      </c>
      <c r="C13" s="22"/>
      <c r="D13" s="2"/>
      <c r="E13" s="23"/>
      <c r="F13" s="23"/>
      <c r="G13" s="23"/>
      <c r="H13" s="24">
        <f>SUM(H6:H12)</f>
        <v>30.5</v>
      </c>
      <c r="I13" s="2"/>
      <c r="J13" s="23"/>
      <c r="K13" s="23"/>
      <c r="L13" s="23"/>
      <c r="M13" s="24">
        <f>SUM(M6:M12)</f>
        <v>14.75</v>
      </c>
      <c r="N13" s="2"/>
      <c r="O13" s="23"/>
      <c r="P13" s="23"/>
      <c r="Q13" s="23"/>
      <c r="R13" s="24">
        <f>SUM(R6:R12)</f>
        <v>22.625</v>
      </c>
    </row>
    <row r="14" spans="1:18" x14ac:dyDescent="0.25">
      <c r="A14" s="19" t="s">
        <v>11</v>
      </c>
      <c r="B14" s="47"/>
      <c r="C14" s="15"/>
      <c r="D14" s="2"/>
      <c r="E14" s="12">
        <v>0</v>
      </c>
      <c r="F14" s="12"/>
      <c r="G14" s="12"/>
      <c r="H14" s="48">
        <v>0</v>
      </c>
      <c r="I14" s="2"/>
      <c r="J14" s="12">
        <v>0</v>
      </c>
      <c r="K14" s="12"/>
      <c r="L14" s="12"/>
      <c r="M14" s="48">
        <v>0</v>
      </c>
      <c r="N14" s="2"/>
      <c r="O14" s="12">
        <v>0</v>
      </c>
      <c r="P14" s="12"/>
      <c r="Q14" s="12"/>
      <c r="R14" s="48">
        <v>0</v>
      </c>
    </row>
    <row r="15" spans="1:18" x14ac:dyDescent="0.25">
      <c r="A15" s="19" t="s">
        <v>15</v>
      </c>
      <c r="B15" s="47"/>
      <c r="C15" s="15"/>
      <c r="D15" s="2"/>
      <c r="E15" s="12"/>
      <c r="F15" s="12"/>
      <c r="G15" s="12"/>
      <c r="H15" s="18"/>
      <c r="I15" s="2"/>
      <c r="J15" s="12"/>
      <c r="K15" s="12"/>
      <c r="L15" s="12"/>
      <c r="M15" s="18"/>
      <c r="N15" s="2"/>
      <c r="O15" s="12"/>
      <c r="P15" s="12"/>
      <c r="Q15" s="12"/>
      <c r="R15" s="18"/>
    </row>
    <row r="16" spans="1:18" x14ac:dyDescent="0.25">
      <c r="A16" s="19" t="s">
        <v>16</v>
      </c>
      <c r="B16" s="25" t="s">
        <v>17</v>
      </c>
      <c r="C16" s="43" t="s">
        <v>18</v>
      </c>
      <c r="D16" s="2"/>
      <c r="E16" s="44" t="s">
        <v>19</v>
      </c>
      <c r="F16" s="12"/>
      <c r="G16" s="12"/>
      <c r="H16" s="18"/>
      <c r="I16" s="2"/>
      <c r="J16" s="44" t="s">
        <v>19</v>
      </c>
      <c r="K16" s="12"/>
      <c r="L16" s="12"/>
      <c r="M16" s="18"/>
      <c r="N16" s="2"/>
      <c r="O16" s="44" t="s">
        <v>19</v>
      </c>
      <c r="P16" s="12"/>
      <c r="Q16" s="12"/>
      <c r="R16" s="18"/>
    </row>
    <row r="17" spans="1:18" x14ac:dyDescent="0.25">
      <c r="A17" s="19" t="s">
        <v>20</v>
      </c>
      <c r="B17" s="14"/>
      <c r="C17" s="43" t="s">
        <v>21</v>
      </c>
      <c r="D17" s="2"/>
      <c r="E17" s="44" t="s">
        <v>19</v>
      </c>
      <c r="F17" s="12"/>
      <c r="G17" s="12"/>
      <c r="H17" s="18"/>
      <c r="I17" s="2"/>
      <c r="J17" s="44" t="s">
        <v>19</v>
      </c>
      <c r="K17" s="12"/>
      <c r="L17" s="12"/>
      <c r="M17" s="18"/>
      <c r="N17" s="2"/>
      <c r="O17" s="44" t="s">
        <v>19</v>
      </c>
      <c r="P17" s="12"/>
      <c r="Q17" s="12"/>
      <c r="R17" s="18"/>
    </row>
    <row r="18" spans="1:18" x14ac:dyDescent="0.25">
      <c r="A18" s="19" t="s">
        <v>13</v>
      </c>
      <c r="B18" s="14"/>
      <c r="C18" s="43" t="s">
        <v>47</v>
      </c>
      <c r="D18" s="2"/>
      <c r="E18" s="44" t="s">
        <v>19</v>
      </c>
      <c r="F18" s="12"/>
      <c r="G18" s="12"/>
      <c r="H18" s="18"/>
      <c r="I18" s="2"/>
      <c r="J18" s="44" t="s">
        <v>19</v>
      </c>
      <c r="K18" s="12"/>
      <c r="L18" s="12"/>
      <c r="M18" s="18"/>
      <c r="N18" s="2"/>
      <c r="O18" s="44" t="s">
        <v>19</v>
      </c>
      <c r="P18" s="12"/>
      <c r="Q18" s="12"/>
      <c r="R18" s="18"/>
    </row>
    <row r="19" spans="1:18" x14ac:dyDescent="0.25">
      <c r="A19" s="19"/>
      <c r="B19" s="14"/>
      <c r="C19" s="26" t="s">
        <v>23</v>
      </c>
      <c r="D19" s="2"/>
      <c r="E19" s="27">
        <f>SUM(E14:E18)</f>
        <v>0</v>
      </c>
      <c r="F19" s="28"/>
      <c r="G19" s="28"/>
      <c r="H19" s="29">
        <f>+E19</f>
        <v>0</v>
      </c>
      <c r="I19" s="2"/>
      <c r="J19" s="27">
        <f>SUM(J14:J18)</f>
        <v>0</v>
      </c>
      <c r="K19" s="28"/>
      <c r="L19" s="28"/>
      <c r="M19" s="29">
        <f>+J19</f>
        <v>0</v>
      </c>
      <c r="N19" s="2"/>
      <c r="O19" s="27">
        <f>SUM(O14:O18)</f>
        <v>0</v>
      </c>
      <c r="P19" s="28"/>
      <c r="Q19" s="28"/>
      <c r="R19" s="29">
        <f>+O19</f>
        <v>0</v>
      </c>
    </row>
    <row r="20" spans="1:18" x14ac:dyDescent="0.25">
      <c r="A20" s="20" t="s">
        <v>24</v>
      </c>
      <c r="B20" s="30"/>
      <c r="C20" s="31"/>
      <c r="D20" s="2"/>
      <c r="E20" s="32"/>
      <c r="F20" s="32"/>
      <c r="G20" s="32"/>
      <c r="H20" s="24">
        <f>+H13+H19</f>
        <v>30.5</v>
      </c>
      <c r="I20" s="2"/>
      <c r="J20" s="32"/>
      <c r="K20" s="32"/>
      <c r="L20" s="32"/>
      <c r="M20" s="24">
        <f>+M13+M19</f>
        <v>14.75</v>
      </c>
      <c r="N20" s="2"/>
      <c r="O20" s="32"/>
      <c r="P20" s="32"/>
      <c r="Q20" s="32"/>
      <c r="R20" s="24">
        <f>+R13+R19</f>
        <v>22.625</v>
      </c>
    </row>
    <row r="21" spans="1:18" x14ac:dyDescent="0.25">
      <c r="A21" s="90" t="s">
        <v>25</v>
      </c>
      <c r="B21" s="91"/>
      <c r="C21" s="92"/>
      <c r="D21" s="2"/>
      <c r="E21" s="33"/>
      <c r="F21" s="33"/>
      <c r="G21" s="33"/>
      <c r="H21" s="34">
        <f>ROUNDUP(H20,0)</f>
        <v>31</v>
      </c>
      <c r="I21" s="2"/>
      <c r="J21" s="33"/>
      <c r="K21" s="33"/>
      <c r="L21" s="33"/>
      <c r="M21" s="34">
        <f>ROUNDUP(M20,0)</f>
        <v>15</v>
      </c>
      <c r="N21" s="2"/>
      <c r="O21" s="33"/>
      <c r="P21" s="33"/>
      <c r="Q21" s="33"/>
      <c r="R21" s="34">
        <f>ROUNDUP(R20,0)</f>
        <v>23</v>
      </c>
    </row>
    <row r="22" spans="1:18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</sheetData>
  <mergeCells count="3">
    <mergeCell ref="B6:C6"/>
    <mergeCell ref="B7:C7"/>
    <mergeCell ref="A21:C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G32" sqref="G32"/>
    </sheetView>
  </sheetViews>
  <sheetFormatPr defaultRowHeight="15" x14ac:dyDescent="0.25"/>
  <sheetData>
    <row r="1" spans="1:18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2"/>
      <c r="C3" s="2"/>
      <c r="D3" s="2"/>
      <c r="E3" s="2"/>
      <c r="F3" s="2"/>
      <c r="G3" s="2"/>
      <c r="H3" s="2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3"/>
      <c r="B4" s="2"/>
      <c r="C4" s="2"/>
      <c r="D4" s="2"/>
      <c r="E4" s="45" t="s">
        <v>49</v>
      </c>
      <c r="F4" s="2"/>
      <c r="G4" s="2"/>
      <c r="H4" s="2"/>
      <c r="I4" s="2"/>
      <c r="J4" s="45" t="s">
        <v>50</v>
      </c>
      <c r="K4" s="2"/>
      <c r="L4" s="2"/>
      <c r="M4" s="2"/>
      <c r="N4" s="2"/>
      <c r="O4" s="45" t="s">
        <v>51</v>
      </c>
      <c r="P4" s="2"/>
      <c r="Q4" s="2"/>
      <c r="R4" s="2"/>
    </row>
    <row r="5" spans="1:18" ht="31.5" x14ac:dyDescent="0.25">
      <c r="A5" s="4"/>
      <c r="B5" s="5"/>
      <c r="C5" s="6"/>
      <c r="D5" s="2"/>
      <c r="E5" s="7" t="s">
        <v>31</v>
      </c>
      <c r="F5" s="8" t="s">
        <v>3</v>
      </c>
      <c r="G5" s="8" t="s">
        <v>4</v>
      </c>
      <c r="H5" s="7" t="s">
        <v>5</v>
      </c>
      <c r="I5" s="41"/>
      <c r="J5" s="7" t="s">
        <v>31</v>
      </c>
      <c r="K5" s="8" t="s">
        <v>3</v>
      </c>
      <c r="L5" s="8" t="s">
        <v>4</v>
      </c>
      <c r="M5" s="7" t="s">
        <v>5</v>
      </c>
      <c r="N5" s="41"/>
      <c r="O5" s="7" t="s">
        <v>31</v>
      </c>
      <c r="P5" s="8" t="s">
        <v>3</v>
      </c>
      <c r="Q5" s="8" t="s">
        <v>4</v>
      </c>
      <c r="R5" s="7" t="s">
        <v>5</v>
      </c>
    </row>
    <row r="6" spans="1:18" x14ac:dyDescent="0.25">
      <c r="A6" s="9" t="s">
        <v>6</v>
      </c>
      <c r="B6" s="87" t="s">
        <v>52</v>
      </c>
      <c r="C6" s="95"/>
      <c r="D6" s="2"/>
      <c r="E6" s="35">
        <v>51.6</v>
      </c>
      <c r="F6" s="36">
        <f>6/60</f>
        <v>0.1</v>
      </c>
      <c r="G6" s="37"/>
      <c r="H6" s="13">
        <f>+E6*F6</f>
        <v>5.16</v>
      </c>
      <c r="I6" s="2"/>
      <c r="J6" s="35">
        <f>E6</f>
        <v>51.6</v>
      </c>
      <c r="K6" s="36">
        <f>F6</f>
        <v>0.1</v>
      </c>
      <c r="L6" s="37"/>
      <c r="M6" s="13">
        <f>+J6*K6</f>
        <v>5.16</v>
      </c>
      <c r="N6" s="2"/>
      <c r="O6" s="35"/>
      <c r="P6" s="36"/>
      <c r="Q6" s="37"/>
      <c r="R6" s="13">
        <f>(H6*0.4)+(M6*0.6)</f>
        <v>5.16</v>
      </c>
    </row>
    <row r="7" spans="1:18" x14ac:dyDescent="0.25">
      <c r="A7" s="9" t="s">
        <v>8</v>
      </c>
      <c r="B7" s="87" t="s">
        <v>53</v>
      </c>
      <c r="C7" s="88"/>
      <c r="D7" s="2"/>
      <c r="E7" s="10">
        <v>122</v>
      </c>
      <c r="F7" s="36">
        <f>(5)/60</f>
        <v>8.3333333333333329E-2</v>
      </c>
      <c r="G7" s="37"/>
      <c r="H7" s="13">
        <f t="shared" ref="H7:H8" si="0">+E7*F7</f>
        <v>10.166666666666666</v>
      </c>
      <c r="I7" s="2"/>
      <c r="J7" s="10">
        <f>E7</f>
        <v>122</v>
      </c>
      <c r="K7" s="36">
        <f>(5+1+3)/60</f>
        <v>0.15</v>
      </c>
      <c r="L7" s="37"/>
      <c r="M7" s="13">
        <f t="shared" ref="M7" si="1">+J7*K7</f>
        <v>18.3</v>
      </c>
      <c r="N7" s="2"/>
      <c r="O7" s="10"/>
      <c r="P7" s="36"/>
      <c r="Q7" s="37"/>
      <c r="R7" s="13">
        <f t="shared" ref="R7:R8" si="2">(H7*0.4)+(M7*0.6)</f>
        <v>15.046666666666667</v>
      </c>
    </row>
    <row r="8" spans="1:18" x14ac:dyDescent="0.25">
      <c r="A8" s="9" t="s">
        <v>10</v>
      </c>
      <c r="B8" s="87" t="s">
        <v>54</v>
      </c>
      <c r="C8" s="95"/>
      <c r="D8" s="2"/>
      <c r="E8" s="10">
        <v>122</v>
      </c>
      <c r="F8" s="36">
        <v>1</v>
      </c>
      <c r="G8" s="12"/>
      <c r="H8" s="13">
        <f t="shared" si="0"/>
        <v>122</v>
      </c>
      <c r="I8" s="2"/>
      <c r="J8" s="36" t="s">
        <v>19</v>
      </c>
      <c r="K8" s="36" t="s">
        <v>19</v>
      </c>
      <c r="L8" s="12"/>
      <c r="M8" s="36"/>
      <c r="N8" s="2"/>
      <c r="O8" s="10"/>
      <c r="P8" s="36"/>
      <c r="Q8" s="12"/>
      <c r="R8" s="13">
        <f t="shared" si="2"/>
        <v>48.800000000000004</v>
      </c>
    </row>
    <row r="9" spans="1:18" x14ac:dyDescent="0.25">
      <c r="A9" s="9" t="s">
        <v>11</v>
      </c>
      <c r="B9" s="87"/>
      <c r="C9" s="88"/>
      <c r="D9" s="2"/>
      <c r="E9" s="33"/>
      <c r="F9" s="33"/>
      <c r="G9" s="33"/>
      <c r="H9" s="33"/>
      <c r="I9" s="2"/>
      <c r="J9" s="33"/>
      <c r="K9" s="33"/>
      <c r="L9" s="33"/>
      <c r="M9" s="33"/>
      <c r="N9" s="2"/>
      <c r="O9" s="33"/>
      <c r="P9" s="33"/>
      <c r="Q9" s="33"/>
      <c r="R9" s="33"/>
    </row>
    <row r="10" spans="1:18" x14ac:dyDescent="0.25">
      <c r="A10" s="9" t="s">
        <v>12</v>
      </c>
      <c r="B10" s="87"/>
      <c r="C10" s="95"/>
      <c r="D10" s="2"/>
      <c r="E10" s="33"/>
      <c r="F10" s="33"/>
      <c r="G10" s="33"/>
      <c r="H10" s="33"/>
      <c r="I10" s="2"/>
      <c r="J10" s="33"/>
      <c r="K10" s="33"/>
      <c r="L10" s="33"/>
      <c r="M10" s="33"/>
      <c r="N10" s="2"/>
      <c r="O10" s="33"/>
      <c r="P10" s="33"/>
      <c r="Q10" s="33"/>
      <c r="R10" s="33"/>
    </row>
    <row r="11" spans="1:18" x14ac:dyDescent="0.25">
      <c r="A11" s="9" t="s">
        <v>13</v>
      </c>
      <c r="B11" s="14"/>
      <c r="C11" s="15"/>
      <c r="D11" s="2"/>
      <c r="E11" s="16"/>
      <c r="F11" s="17"/>
      <c r="G11" s="12"/>
      <c r="H11" s="18"/>
      <c r="I11" s="2"/>
      <c r="J11" s="16"/>
      <c r="K11" s="17"/>
      <c r="L11" s="12"/>
      <c r="M11" s="18"/>
      <c r="N11" s="2"/>
      <c r="O11" s="16"/>
      <c r="P11" s="17"/>
      <c r="Q11" s="12"/>
      <c r="R11" s="18"/>
    </row>
    <row r="12" spans="1:18" x14ac:dyDescent="0.25">
      <c r="A12" s="19"/>
      <c r="B12" s="14"/>
      <c r="C12" s="15"/>
      <c r="D12" s="2"/>
      <c r="E12" s="16"/>
      <c r="F12" s="17"/>
      <c r="G12" s="12"/>
      <c r="H12" s="18"/>
      <c r="I12" s="42"/>
      <c r="J12" s="16"/>
      <c r="K12" s="17"/>
      <c r="L12" s="12"/>
      <c r="M12" s="18"/>
      <c r="N12" s="42"/>
      <c r="O12" s="16"/>
      <c r="P12" s="17"/>
      <c r="Q12" s="12"/>
      <c r="R12" s="18"/>
    </row>
    <row r="13" spans="1:18" x14ac:dyDescent="0.25">
      <c r="A13" s="20"/>
      <c r="B13" s="21" t="s">
        <v>14</v>
      </c>
      <c r="C13" s="22"/>
      <c r="D13" s="2"/>
      <c r="E13" s="23"/>
      <c r="F13" s="23"/>
      <c r="G13" s="23"/>
      <c r="H13" s="24">
        <f>SUM(H6:H12)</f>
        <v>137.32666666666665</v>
      </c>
      <c r="I13" s="2"/>
      <c r="J13" s="23"/>
      <c r="K13" s="23"/>
      <c r="L13" s="23"/>
      <c r="M13" s="24">
        <f>SUM(M6:M12)</f>
        <v>23.46</v>
      </c>
      <c r="N13" s="2"/>
      <c r="O13" s="23"/>
      <c r="P13" s="23"/>
      <c r="Q13" s="23"/>
      <c r="R13" s="24">
        <f>SUM(R6:R12)</f>
        <v>69.006666666666675</v>
      </c>
    </row>
    <row r="14" spans="1:18" x14ac:dyDescent="0.25">
      <c r="A14" s="19" t="s">
        <v>11</v>
      </c>
      <c r="B14" s="49" t="s">
        <v>55</v>
      </c>
      <c r="C14" s="43"/>
      <c r="D14" s="2"/>
      <c r="E14" s="36">
        <v>5.52</v>
      </c>
      <c r="F14" s="36">
        <f>F8</f>
        <v>1</v>
      </c>
      <c r="G14" s="37"/>
      <c r="H14" s="38">
        <f>+E14*F14</f>
        <v>5.52</v>
      </c>
      <c r="I14" s="2"/>
      <c r="J14" s="44"/>
      <c r="K14" s="44" t="s">
        <v>19</v>
      </c>
      <c r="L14" s="37"/>
      <c r="M14" s="38"/>
      <c r="N14" s="2"/>
      <c r="O14" s="36"/>
      <c r="P14" s="36"/>
      <c r="Q14" s="37"/>
      <c r="R14" s="13">
        <f>(H14*0.4)+(M14*0.6)</f>
        <v>2.2079999999999997</v>
      </c>
    </row>
    <row r="15" spans="1:18" x14ac:dyDescent="0.25">
      <c r="A15" s="19" t="s">
        <v>15</v>
      </c>
      <c r="B15" s="50" t="s">
        <v>56</v>
      </c>
      <c r="C15" s="43"/>
      <c r="D15" s="2"/>
      <c r="E15" s="37"/>
      <c r="F15" s="37"/>
      <c r="G15" s="37"/>
      <c r="H15" s="51"/>
      <c r="I15" s="2"/>
      <c r="J15" s="44"/>
      <c r="K15" s="44"/>
      <c r="L15" s="37"/>
      <c r="M15" s="51"/>
      <c r="N15" s="2"/>
      <c r="O15" s="37"/>
      <c r="P15" s="37"/>
      <c r="Q15" s="37"/>
      <c r="R15" s="51"/>
    </row>
    <row r="16" spans="1:18" x14ac:dyDescent="0.25">
      <c r="A16" s="19" t="s">
        <v>16</v>
      </c>
      <c r="B16" s="25" t="s">
        <v>17</v>
      </c>
      <c r="C16" s="43" t="s">
        <v>57</v>
      </c>
      <c r="D16" s="2"/>
      <c r="E16" s="44" t="s">
        <v>19</v>
      </c>
      <c r="F16" s="12"/>
      <c r="G16" s="12"/>
      <c r="H16" s="18"/>
      <c r="I16" s="2"/>
      <c r="J16" s="44"/>
      <c r="K16" s="44" t="s">
        <v>19</v>
      </c>
      <c r="L16" s="12"/>
      <c r="M16" s="18"/>
      <c r="N16" s="2"/>
      <c r="O16" s="44"/>
      <c r="P16" s="12"/>
      <c r="Q16" s="12"/>
      <c r="R16" s="18"/>
    </row>
    <row r="17" spans="1:18" x14ac:dyDescent="0.25">
      <c r="A17" s="19" t="s">
        <v>20</v>
      </c>
      <c r="B17" s="14"/>
      <c r="C17" s="43" t="s">
        <v>21</v>
      </c>
      <c r="D17" s="2"/>
      <c r="E17" s="44" t="s">
        <v>19</v>
      </c>
      <c r="F17" s="12"/>
      <c r="G17" s="12"/>
      <c r="H17" s="18"/>
      <c r="I17" s="2"/>
      <c r="J17" s="44"/>
      <c r="K17" s="44" t="s">
        <v>19</v>
      </c>
      <c r="L17" s="12"/>
      <c r="M17" s="18"/>
      <c r="N17" s="2"/>
      <c r="O17" s="44"/>
      <c r="P17" s="12"/>
      <c r="Q17" s="12"/>
      <c r="R17" s="18"/>
    </row>
    <row r="18" spans="1:18" x14ac:dyDescent="0.25">
      <c r="A18" s="19" t="s">
        <v>13</v>
      </c>
      <c r="B18" s="14"/>
      <c r="C18" s="43" t="s">
        <v>58</v>
      </c>
      <c r="D18" s="2"/>
      <c r="E18" s="44" t="s">
        <v>19</v>
      </c>
      <c r="F18" s="12"/>
      <c r="G18" s="12"/>
      <c r="H18" s="18"/>
      <c r="I18" s="2"/>
      <c r="J18" s="44">
        <f>B35</f>
        <v>0</v>
      </c>
      <c r="K18" s="44"/>
      <c r="L18" s="12"/>
      <c r="M18" s="48">
        <f>J18</f>
        <v>0</v>
      </c>
      <c r="N18" s="2"/>
      <c r="O18" s="44"/>
      <c r="P18" s="12"/>
      <c r="Q18" s="12"/>
      <c r="R18" s="13">
        <f>(H18*0.4)+(M18*0.6)</f>
        <v>0</v>
      </c>
    </row>
    <row r="19" spans="1:18" x14ac:dyDescent="0.25">
      <c r="A19" s="19"/>
      <c r="B19" s="14"/>
      <c r="C19" s="26" t="s">
        <v>23</v>
      </c>
      <c r="D19" s="2"/>
      <c r="E19" s="27"/>
      <c r="F19" s="28"/>
      <c r="G19" s="28"/>
      <c r="H19" s="29">
        <f>SUM(H14:H18)</f>
        <v>5.52</v>
      </c>
      <c r="I19" s="42"/>
      <c r="J19" s="27"/>
      <c r="K19" s="28"/>
      <c r="L19" s="28"/>
      <c r="M19" s="29">
        <f>SUM(M14:M18)</f>
        <v>0</v>
      </c>
      <c r="N19" s="42"/>
      <c r="O19" s="27"/>
      <c r="P19" s="28"/>
      <c r="Q19" s="28"/>
      <c r="R19" s="29">
        <f>SUM(R14:R18)</f>
        <v>2.2079999999999997</v>
      </c>
    </row>
    <row r="20" spans="1:18" x14ac:dyDescent="0.25">
      <c r="A20" s="20" t="s">
        <v>24</v>
      </c>
      <c r="B20" s="30"/>
      <c r="C20" s="31"/>
      <c r="D20" s="2"/>
      <c r="E20" s="32"/>
      <c r="F20" s="32"/>
      <c r="G20" s="32"/>
      <c r="H20" s="24">
        <f>+H13+H19</f>
        <v>142.84666666666666</v>
      </c>
      <c r="I20" s="2"/>
      <c r="J20" s="32"/>
      <c r="K20" s="32"/>
      <c r="L20" s="32"/>
      <c r="M20" s="24">
        <f>+M13+M19</f>
        <v>23.46</v>
      </c>
      <c r="N20" s="2"/>
      <c r="O20" s="32"/>
      <c r="P20" s="32"/>
      <c r="Q20" s="32"/>
      <c r="R20" s="24">
        <f>+R13+R19</f>
        <v>71.214666666666673</v>
      </c>
    </row>
    <row r="21" spans="1:18" x14ac:dyDescent="0.25">
      <c r="A21" s="90" t="s">
        <v>25</v>
      </c>
      <c r="B21" s="91"/>
      <c r="C21" s="92"/>
      <c r="D21" s="2"/>
      <c r="E21" s="33"/>
      <c r="F21" s="33"/>
      <c r="G21" s="33"/>
      <c r="H21" s="34">
        <f>ROUNDUP(H20,0)</f>
        <v>143</v>
      </c>
      <c r="I21" s="2"/>
      <c r="J21" s="33"/>
      <c r="K21" s="33"/>
      <c r="L21" s="33"/>
      <c r="M21" s="34">
        <f>ROUNDUP(M20,0)</f>
        <v>24</v>
      </c>
      <c r="N21" s="2"/>
      <c r="O21" s="33"/>
      <c r="P21" s="33"/>
      <c r="Q21" s="33"/>
      <c r="R21" s="34">
        <f>ROUNDUP(R20,0)</f>
        <v>72</v>
      </c>
    </row>
  </sheetData>
  <mergeCells count="6">
    <mergeCell ref="A21:C21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19" sqref="I19"/>
    </sheetView>
  </sheetViews>
  <sheetFormatPr defaultRowHeight="15" x14ac:dyDescent="0.25"/>
  <sheetData>
    <row r="1" spans="1:18" x14ac:dyDescent="0.25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2"/>
      <c r="C3" s="2"/>
      <c r="D3" s="2"/>
      <c r="E3" s="2"/>
      <c r="F3" s="2"/>
      <c r="G3" s="2"/>
      <c r="H3" s="2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3"/>
      <c r="B4" s="2"/>
      <c r="C4" s="2"/>
      <c r="D4" s="2"/>
      <c r="E4" s="45" t="s">
        <v>49</v>
      </c>
      <c r="F4" s="2"/>
      <c r="G4" s="2"/>
      <c r="H4" s="2"/>
      <c r="I4" s="2"/>
      <c r="J4" s="45" t="s">
        <v>50</v>
      </c>
      <c r="K4" s="2"/>
      <c r="L4" s="2"/>
      <c r="M4" s="2"/>
      <c r="N4" s="2"/>
      <c r="O4" s="45" t="s">
        <v>51</v>
      </c>
      <c r="P4" s="2"/>
      <c r="Q4" s="2"/>
      <c r="R4" s="2"/>
    </row>
    <row r="5" spans="1:18" ht="31.5" x14ac:dyDescent="0.25">
      <c r="A5" s="4"/>
      <c r="B5" s="5"/>
      <c r="C5" s="6"/>
      <c r="D5" s="2"/>
      <c r="E5" s="7" t="s">
        <v>31</v>
      </c>
      <c r="F5" s="8" t="s">
        <v>3</v>
      </c>
      <c r="G5" s="8" t="s">
        <v>4</v>
      </c>
      <c r="H5" s="7" t="s">
        <v>5</v>
      </c>
      <c r="I5" s="41"/>
      <c r="J5" s="7" t="s">
        <v>31</v>
      </c>
      <c r="K5" s="8" t="s">
        <v>3</v>
      </c>
      <c r="L5" s="8" t="s">
        <v>4</v>
      </c>
      <c r="M5" s="7" t="s">
        <v>5</v>
      </c>
      <c r="N5" s="41"/>
      <c r="O5" s="7" t="s">
        <v>31</v>
      </c>
      <c r="P5" s="8" t="s">
        <v>3</v>
      </c>
      <c r="Q5" s="8" t="s">
        <v>4</v>
      </c>
      <c r="R5" s="7" t="s">
        <v>5</v>
      </c>
    </row>
    <row r="6" spans="1:18" x14ac:dyDescent="0.25">
      <c r="A6" s="9" t="s">
        <v>6</v>
      </c>
      <c r="B6" s="87" t="s">
        <v>60</v>
      </c>
      <c r="C6" s="95"/>
      <c r="D6" s="2"/>
      <c r="E6" s="10">
        <v>51.6</v>
      </c>
      <c r="F6" s="36">
        <f>6/60</f>
        <v>0.1</v>
      </c>
      <c r="G6" s="37"/>
      <c r="H6" s="13">
        <f>+E6*F6</f>
        <v>5.16</v>
      </c>
      <c r="I6" s="2"/>
      <c r="J6" s="35">
        <f>E6</f>
        <v>51.6</v>
      </c>
      <c r="K6" s="36">
        <f>6/60</f>
        <v>0.1</v>
      </c>
      <c r="L6" s="37"/>
      <c r="M6" s="13">
        <f>+J6*K6</f>
        <v>5.16</v>
      </c>
      <c r="N6" s="2"/>
      <c r="O6" s="35"/>
      <c r="P6" s="36"/>
      <c r="Q6" s="37"/>
      <c r="R6" s="13">
        <f>(H6*0.4)+(M6*0.6)</f>
        <v>5.16</v>
      </c>
    </row>
    <row r="7" spans="1:18" x14ac:dyDescent="0.25">
      <c r="A7" s="9" t="s">
        <v>8</v>
      </c>
      <c r="B7" s="87" t="s">
        <v>61</v>
      </c>
      <c r="C7" s="95"/>
      <c r="D7" s="2"/>
      <c r="E7" s="10">
        <v>122</v>
      </c>
      <c r="F7" s="36">
        <f>(5)/60</f>
        <v>8.3333333333333329E-2</v>
      </c>
      <c r="G7" s="12"/>
      <c r="H7" s="13">
        <f>+E7*F7</f>
        <v>10.166666666666666</v>
      </c>
      <c r="I7" s="2"/>
      <c r="J7" s="10">
        <f>E7</f>
        <v>122</v>
      </c>
      <c r="K7" s="36">
        <f>(5+1+3)/60</f>
        <v>0.15</v>
      </c>
      <c r="L7" s="37"/>
      <c r="M7" s="13">
        <f t="shared" ref="M7:M8" si="0">+J7*K7</f>
        <v>18.3</v>
      </c>
      <c r="N7" s="2"/>
      <c r="O7" s="10"/>
      <c r="P7" s="36"/>
      <c r="Q7" s="37"/>
      <c r="R7" s="13">
        <f t="shared" ref="R7:R9" si="1">(H7*0.4)+(M7*0.6)</f>
        <v>15.046666666666667</v>
      </c>
    </row>
    <row r="8" spans="1:18" x14ac:dyDescent="0.25">
      <c r="A8" s="9" t="s">
        <v>10</v>
      </c>
      <c r="B8" s="87" t="s">
        <v>62</v>
      </c>
      <c r="C8" s="95"/>
      <c r="D8" s="2"/>
      <c r="E8" s="16">
        <v>1.32</v>
      </c>
      <c r="F8" s="17">
        <f>F7</f>
        <v>8.3333333333333329E-2</v>
      </c>
      <c r="G8" s="12"/>
      <c r="H8" s="13">
        <f>+E8*F8</f>
        <v>0.11</v>
      </c>
      <c r="I8" s="2"/>
      <c r="J8" s="16">
        <v>1.32</v>
      </c>
      <c r="K8" s="17">
        <f>K7</f>
        <v>0.15</v>
      </c>
      <c r="L8" s="12"/>
      <c r="M8" s="13">
        <f t="shared" si="0"/>
        <v>0.19800000000000001</v>
      </c>
      <c r="N8" s="2"/>
      <c r="O8" s="16"/>
      <c r="P8" s="17"/>
      <c r="Q8" s="12"/>
      <c r="R8" s="13">
        <f t="shared" si="1"/>
        <v>0.1628</v>
      </c>
    </row>
    <row r="9" spans="1:18" x14ac:dyDescent="0.25">
      <c r="A9" s="9" t="s">
        <v>11</v>
      </c>
      <c r="B9" s="96" t="s">
        <v>63</v>
      </c>
      <c r="C9" s="97"/>
      <c r="D9" s="2"/>
      <c r="E9" s="10">
        <v>191</v>
      </c>
      <c r="F9" s="36">
        <v>1</v>
      </c>
      <c r="G9" s="12"/>
      <c r="H9" s="13">
        <f>+E9*F9</f>
        <v>191</v>
      </c>
      <c r="I9" s="2"/>
      <c r="J9" s="36" t="s">
        <v>19</v>
      </c>
      <c r="K9" s="36" t="s">
        <v>19</v>
      </c>
      <c r="L9" s="12"/>
      <c r="M9" s="18"/>
      <c r="N9" s="2"/>
      <c r="O9" s="36"/>
      <c r="P9" s="36"/>
      <c r="Q9" s="12"/>
      <c r="R9" s="13">
        <f t="shared" si="1"/>
        <v>76.400000000000006</v>
      </c>
    </row>
    <row r="10" spans="1:18" x14ac:dyDescent="0.25">
      <c r="A10" s="9" t="s">
        <v>12</v>
      </c>
      <c r="B10" s="98"/>
      <c r="C10" s="98"/>
      <c r="D10" s="2"/>
      <c r="E10" s="33"/>
      <c r="F10" s="33"/>
      <c r="G10" s="33"/>
      <c r="H10" s="33"/>
      <c r="I10" s="2"/>
      <c r="J10" s="33"/>
      <c r="K10" s="33"/>
      <c r="L10" s="33"/>
      <c r="M10" s="33"/>
      <c r="N10" s="2"/>
      <c r="O10" s="33"/>
      <c r="P10" s="33"/>
      <c r="Q10" s="33"/>
      <c r="R10" s="33"/>
    </row>
    <row r="11" spans="1:18" x14ac:dyDescent="0.25">
      <c r="A11" s="9" t="s">
        <v>13</v>
      </c>
      <c r="B11" s="98"/>
      <c r="C11" s="98"/>
      <c r="D11" s="2"/>
      <c r="E11" s="33"/>
      <c r="F11" s="33"/>
      <c r="G11" s="33"/>
      <c r="H11" s="33"/>
      <c r="I11" s="2"/>
      <c r="J11" s="33"/>
      <c r="K11" s="33"/>
      <c r="L11" s="33"/>
      <c r="M11" s="33"/>
      <c r="N11" s="2"/>
      <c r="O11" s="33"/>
      <c r="P11" s="33"/>
      <c r="Q11" s="33"/>
      <c r="R11" s="33"/>
    </row>
    <row r="12" spans="1:18" x14ac:dyDescent="0.25">
      <c r="A12" s="19"/>
      <c r="B12" s="14"/>
      <c r="C12" s="15"/>
      <c r="D12" s="2"/>
      <c r="E12" s="16"/>
      <c r="F12" s="17"/>
      <c r="G12" s="12"/>
      <c r="H12" s="18"/>
      <c r="I12" s="42"/>
      <c r="J12" s="16"/>
      <c r="K12" s="17"/>
      <c r="L12" s="12"/>
      <c r="M12" s="18"/>
      <c r="N12" s="42"/>
      <c r="O12" s="16"/>
      <c r="P12" s="17"/>
      <c r="Q12" s="12"/>
      <c r="R12" s="18"/>
    </row>
    <row r="13" spans="1:18" x14ac:dyDescent="0.25">
      <c r="A13" s="20"/>
      <c r="B13" s="21" t="s">
        <v>14</v>
      </c>
      <c r="C13" s="22"/>
      <c r="D13" s="2"/>
      <c r="E13" s="23"/>
      <c r="F13" s="23"/>
      <c r="G13" s="23"/>
      <c r="H13" s="24">
        <f>SUM(H6:H12)</f>
        <v>206.43666666666667</v>
      </c>
      <c r="I13" s="2"/>
      <c r="J13" s="23"/>
      <c r="K13" s="23"/>
      <c r="L13" s="23"/>
      <c r="M13" s="24">
        <f>SUM(M6:M12)</f>
        <v>23.658000000000001</v>
      </c>
      <c r="N13" s="2"/>
      <c r="O13" s="23"/>
      <c r="P13" s="23"/>
      <c r="Q13" s="23"/>
      <c r="R13" s="24">
        <f>SUM(R6:R12)</f>
        <v>96.769466666666673</v>
      </c>
    </row>
    <row r="14" spans="1:18" x14ac:dyDescent="0.25">
      <c r="A14" s="19" t="s">
        <v>11</v>
      </c>
      <c r="B14" s="49" t="s">
        <v>55</v>
      </c>
      <c r="C14" s="43"/>
      <c r="D14" s="2"/>
      <c r="E14" s="36">
        <f>'[1]2016-2025 SSC Cost Sum'!E9</f>
        <v>5.52</v>
      </c>
      <c r="F14" s="36">
        <f>F9</f>
        <v>1</v>
      </c>
      <c r="G14" s="37"/>
      <c r="H14" s="38">
        <f>+E14*F14</f>
        <v>5.52</v>
      </c>
      <c r="I14" s="2"/>
      <c r="J14" s="12"/>
      <c r="K14" s="12"/>
      <c r="L14" s="12"/>
      <c r="M14" s="18"/>
      <c r="N14" s="2"/>
      <c r="O14" s="12"/>
      <c r="P14" s="12"/>
      <c r="Q14" s="12"/>
      <c r="R14" s="13">
        <f t="shared" ref="R14" si="2">(H14*0.4)+(M14*0.6)</f>
        <v>2.2079999999999997</v>
      </c>
    </row>
    <row r="15" spans="1:18" x14ac:dyDescent="0.25">
      <c r="A15" s="19" t="s">
        <v>15</v>
      </c>
      <c r="B15" s="50" t="s">
        <v>56</v>
      </c>
      <c r="C15" s="43"/>
      <c r="D15" s="2"/>
      <c r="E15" s="37"/>
      <c r="F15" s="37"/>
      <c r="G15" s="37"/>
      <c r="H15" s="51"/>
      <c r="I15" s="2"/>
      <c r="J15" s="12"/>
      <c r="K15" s="12"/>
      <c r="L15" s="12"/>
      <c r="M15" s="18"/>
      <c r="N15" s="2"/>
      <c r="O15" s="12"/>
      <c r="P15" s="12"/>
      <c r="Q15" s="12"/>
      <c r="R15" s="18"/>
    </row>
    <row r="16" spans="1:18" x14ac:dyDescent="0.25">
      <c r="A16" s="19" t="s">
        <v>16</v>
      </c>
      <c r="B16" s="25" t="s">
        <v>17</v>
      </c>
      <c r="C16" s="43" t="s">
        <v>57</v>
      </c>
      <c r="D16" s="2"/>
      <c r="E16" s="44" t="s">
        <v>19</v>
      </c>
      <c r="F16" s="12"/>
      <c r="G16" s="12"/>
      <c r="H16" s="18"/>
      <c r="I16" s="2"/>
      <c r="J16" s="44" t="s">
        <v>19</v>
      </c>
      <c r="K16" s="12"/>
      <c r="L16" s="12"/>
      <c r="M16" s="18"/>
      <c r="N16" s="2"/>
      <c r="O16" s="44"/>
      <c r="P16" s="12"/>
      <c r="Q16" s="12"/>
      <c r="R16" s="18"/>
    </row>
    <row r="17" spans="1:18" x14ac:dyDescent="0.25">
      <c r="A17" s="19" t="s">
        <v>20</v>
      </c>
      <c r="B17" s="14"/>
      <c r="C17" s="43" t="s">
        <v>21</v>
      </c>
      <c r="D17" s="2"/>
      <c r="E17" s="44" t="s">
        <v>19</v>
      </c>
      <c r="F17" s="12"/>
      <c r="G17" s="12"/>
      <c r="H17" s="18"/>
      <c r="I17" s="2"/>
      <c r="J17" s="44" t="s">
        <v>19</v>
      </c>
      <c r="K17" s="12"/>
      <c r="L17" s="12"/>
      <c r="M17" s="18"/>
      <c r="N17" s="2"/>
      <c r="O17" s="44"/>
      <c r="P17" s="12"/>
      <c r="Q17" s="12"/>
      <c r="R17" s="18"/>
    </row>
    <row r="18" spans="1:18" x14ac:dyDescent="0.25">
      <c r="A18" s="19" t="s">
        <v>13</v>
      </c>
      <c r="B18" s="14"/>
      <c r="C18" s="43" t="s">
        <v>58</v>
      </c>
      <c r="D18" s="2"/>
      <c r="E18" s="44" t="s">
        <v>19</v>
      </c>
      <c r="F18" s="12"/>
      <c r="G18" s="12"/>
      <c r="H18" s="18"/>
      <c r="I18" s="2"/>
      <c r="J18" s="44">
        <f>B42</f>
        <v>0</v>
      </c>
      <c r="K18" s="12"/>
      <c r="L18" s="12"/>
      <c r="M18" s="48">
        <f>J18</f>
        <v>0</v>
      </c>
      <c r="N18" s="2"/>
      <c r="O18" s="44"/>
      <c r="P18" s="12"/>
      <c r="Q18" s="12"/>
      <c r="R18" s="48">
        <f>O18</f>
        <v>0</v>
      </c>
    </row>
    <row r="19" spans="1:18" x14ac:dyDescent="0.25">
      <c r="A19" s="19"/>
      <c r="B19" s="14"/>
      <c r="C19" s="26" t="s">
        <v>23</v>
      </c>
      <c r="D19" s="2"/>
      <c r="E19" s="27"/>
      <c r="F19" s="28"/>
      <c r="G19" s="28"/>
      <c r="H19" s="29">
        <f>SUM(H14:H18)</f>
        <v>5.52</v>
      </c>
      <c r="I19" s="42"/>
      <c r="J19" s="27"/>
      <c r="K19" s="28"/>
      <c r="L19" s="28"/>
      <c r="M19" s="29">
        <f>SUM(M14:M18)</f>
        <v>0</v>
      </c>
      <c r="N19" s="42"/>
      <c r="O19" s="27"/>
      <c r="P19" s="28"/>
      <c r="Q19" s="28"/>
      <c r="R19" s="29">
        <f>SUM(R14:R18)</f>
        <v>2.2079999999999997</v>
      </c>
    </row>
    <row r="20" spans="1:18" x14ac:dyDescent="0.25">
      <c r="A20" s="20" t="s">
        <v>24</v>
      </c>
      <c r="B20" s="30"/>
      <c r="C20" s="31"/>
      <c r="D20" s="2"/>
      <c r="E20" s="32"/>
      <c r="F20" s="32"/>
      <c r="G20" s="32"/>
      <c r="H20" s="24">
        <f>+H13+H19</f>
        <v>211.95666666666668</v>
      </c>
      <c r="I20" s="2"/>
      <c r="J20" s="32"/>
      <c r="K20" s="32"/>
      <c r="L20" s="32"/>
      <c r="M20" s="24">
        <f>+M13+M19</f>
        <v>23.658000000000001</v>
      </c>
      <c r="N20" s="2"/>
      <c r="O20" s="32"/>
      <c r="P20" s="32"/>
      <c r="Q20" s="32"/>
      <c r="R20" s="24">
        <f>+R13+R19</f>
        <v>98.977466666666672</v>
      </c>
    </row>
    <row r="21" spans="1:18" x14ac:dyDescent="0.25">
      <c r="A21" s="90" t="s">
        <v>25</v>
      </c>
      <c r="B21" s="91"/>
      <c r="C21" s="92"/>
      <c r="D21" s="2"/>
      <c r="E21" s="33"/>
      <c r="F21" s="33"/>
      <c r="G21" s="33"/>
      <c r="H21" s="34">
        <f>ROUNDUP(H20,0)</f>
        <v>212</v>
      </c>
      <c r="I21" s="2"/>
      <c r="J21" s="33"/>
      <c r="K21" s="33"/>
      <c r="L21" s="33"/>
      <c r="M21" s="34">
        <f>ROUNDUP(M20,0)</f>
        <v>24</v>
      </c>
      <c r="N21" s="2"/>
      <c r="O21" s="33"/>
      <c r="P21" s="33"/>
      <c r="Q21" s="33"/>
      <c r="R21" s="34">
        <f>ROUNDUP(R20,0)</f>
        <v>99</v>
      </c>
    </row>
    <row r="22" spans="1:18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7">
    <mergeCell ref="A21:C21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9" sqref="D9"/>
    </sheetView>
  </sheetViews>
  <sheetFormatPr defaultRowHeight="15" x14ac:dyDescent="0.25"/>
  <cols>
    <col min="6" max="6" width="11.42578125" bestFit="1" customWidth="1"/>
    <col min="7" max="7" width="8.85546875" bestFit="1" customWidth="1"/>
  </cols>
  <sheetData>
    <row r="1" spans="1:7" x14ac:dyDescent="0.25">
      <c r="A1" s="1" t="s">
        <v>68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45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3"/>
      <c r="B4" s="2"/>
      <c r="C4" s="2"/>
      <c r="D4" s="2"/>
      <c r="E4" s="2"/>
      <c r="F4" s="2"/>
      <c r="G4" s="2"/>
    </row>
    <row r="5" spans="1:7" ht="31.5" x14ac:dyDescent="0.25">
      <c r="A5" s="4"/>
      <c r="B5" s="5"/>
      <c r="C5" s="6"/>
      <c r="D5" s="7" t="s">
        <v>31</v>
      </c>
      <c r="E5" s="8" t="s">
        <v>3</v>
      </c>
      <c r="F5" s="8" t="s">
        <v>4</v>
      </c>
      <c r="G5" s="7" t="s">
        <v>5</v>
      </c>
    </row>
    <row r="6" spans="1:7" x14ac:dyDescent="0.25">
      <c r="A6" s="9" t="s">
        <v>6</v>
      </c>
      <c r="B6" s="93" t="s">
        <v>52</v>
      </c>
      <c r="C6" s="94"/>
      <c r="D6" s="10">
        <v>51.6</v>
      </c>
      <c r="E6" s="36">
        <f>5/60</f>
        <v>8.3333333333333329E-2</v>
      </c>
      <c r="F6" s="37"/>
      <c r="G6" s="13">
        <f>+D6*E6</f>
        <v>4.3</v>
      </c>
    </row>
    <row r="7" spans="1:7" x14ac:dyDescent="0.25">
      <c r="A7" s="9" t="s">
        <v>8</v>
      </c>
      <c r="B7" s="87" t="s">
        <v>69</v>
      </c>
      <c r="C7" s="88"/>
      <c r="D7" s="10">
        <v>122</v>
      </c>
      <c r="E7" s="36">
        <f>5/60</f>
        <v>8.3333333333333329E-2</v>
      </c>
      <c r="F7" s="37"/>
      <c r="G7" s="13">
        <f>+D7*E7</f>
        <v>10.166666666666666</v>
      </c>
    </row>
    <row r="8" spans="1:7" x14ac:dyDescent="0.25">
      <c r="A8" s="9" t="s">
        <v>10</v>
      </c>
      <c r="B8" s="87" t="s">
        <v>70</v>
      </c>
      <c r="C8" s="88"/>
      <c r="D8" s="10">
        <v>122</v>
      </c>
      <c r="E8" s="36">
        <v>2</v>
      </c>
      <c r="F8" s="12"/>
      <c r="G8" s="13">
        <f>+D8*E8</f>
        <v>244</v>
      </c>
    </row>
    <row r="9" spans="1:7" x14ac:dyDescent="0.25">
      <c r="A9" s="9" t="s">
        <v>11</v>
      </c>
      <c r="B9" s="99"/>
      <c r="C9" s="100"/>
      <c r="D9" s="33"/>
      <c r="E9" s="33"/>
      <c r="F9" s="33"/>
      <c r="G9" s="33"/>
    </row>
    <row r="10" spans="1:7" x14ac:dyDescent="0.25">
      <c r="A10" s="9" t="s">
        <v>12</v>
      </c>
      <c r="B10" s="101"/>
      <c r="C10" s="101"/>
      <c r="D10" s="33"/>
      <c r="E10" s="33"/>
      <c r="F10" s="33"/>
      <c r="G10" s="33"/>
    </row>
    <row r="11" spans="1:7" x14ac:dyDescent="0.25">
      <c r="A11" s="9" t="s">
        <v>13</v>
      </c>
      <c r="B11" s="14"/>
      <c r="C11" s="15"/>
      <c r="D11" s="16"/>
      <c r="E11" s="17"/>
      <c r="F11" s="12"/>
      <c r="G11" s="18"/>
    </row>
    <row r="12" spans="1:7" x14ac:dyDescent="0.25">
      <c r="A12" s="19"/>
      <c r="B12" s="14"/>
      <c r="C12" s="15"/>
      <c r="D12" s="16"/>
      <c r="E12" s="17"/>
      <c r="F12" s="12"/>
      <c r="G12" s="18"/>
    </row>
    <row r="13" spans="1:7" x14ac:dyDescent="0.25">
      <c r="A13" s="20"/>
      <c r="B13" s="21" t="s">
        <v>14</v>
      </c>
      <c r="C13" s="22"/>
      <c r="D13" s="23"/>
      <c r="E13" s="23"/>
      <c r="F13" s="23"/>
      <c r="G13" s="24">
        <f>SUM(G6:G12)</f>
        <v>258.46666666666664</v>
      </c>
    </row>
    <row r="14" spans="1:7" x14ac:dyDescent="0.25">
      <c r="A14" s="19" t="s">
        <v>11</v>
      </c>
      <c r="B14" s="49" t="s">
        <v>55</v>
      </c>
      <c r="C14" s="43"/>
      <c r="D14" s="36">
        <f>'[1]2016-2025 SSC Cost Sum'!E9</f>
        <v>5.52</v>
      </c>
      <c r="E14" s="36">
        <v>2</v>
      </c>
      <c r="F14" s="37"/>
      <c r="G14" s="38">
        <f>+D14*E14</f>
        <v>11.04</v>
      </c>
    </row>
    <row r="15" spans="1:7" x14ac:dyDescent="0.25">
      <c r="A15" s="19" t="s">
        <v>15</v>
      </c>
      <c r="B15" s="50"/>
      <c r="C15" s="43"/>
      <c r="D15" s="37"/>
      <c r="E15" s="37"/>
      <c r="F15" s="37"/>
      <c r="G15" s="51"/>
    </row>
    <row r="16" spans="1:7" x14ac:dyDescent="0.25">
      <c r="A16" s="19" t="s">
        <v>16</v>
      </c>
      <c r="B16" s="25" t="s">
        <v>17</v>
      </c>
      <c r="C16" s="43" t="s">
        <v>57</v>
      </c>
      <c r="D16" s="44" t="s">
        <v>19</v>
      </c>
      <c r="E16" s="12"/>
      <c r="F16" s="12"/>
      <c r="G16" s="18"/>
    </row>
    <row r="17" spans="1:7" x14ac:dyDescent="0.25">
      <c r="A17" s="19" t="s">
        <v>20</v>
      </c>
      <c r="B17" s="14"/>
      <c r="C17" s="43" t="s">
        <v>21</v>
      </c>
      <c r="D17" s="44" t="s">
        <v>19</v>
      </c>
      <c r="E17" s="12"/>
      <c r="F17" s="12"/>
      <c r="G17" s="18"/>
    </row>
    <row r="18" spans="1:7" x14ac:dyDescent="0.25">
      <c r="A18" s="19" t="s">
        <v>13</v>
      </c>
      <c r="B18" s="14"/>
      <c r="C18" s="43" t="s">
        <v>47</v>
      </c>
      <c r="D18" s="44" t="s">
        <v>19</v>
      </c>
      <c r="E18" s="12"/>
      <c r="F18" s="12"/>
      <c r="G18" s="18"/>
    </row>
    <row r="19" spans="1:7" x14ac:dyDescent="0.25">
      <c r="A19" s="19"/>
      <c r="B19" s="14"/>
      <c r="C19" s="26" t="s">
        <v>23</v>
      </c>
      <c r="D19" s="27"/>
      <c r="E19" s="28"/>
      <c r="F19" s="28"/>
      <c r="G19" s="29">
        <f>SUM(G14:G18)</f>
        <v>11.04</v>
      </c>
    </row>
    <row r="20" spans="1:7" x14ac:dyDescent="0.25">
      <c r="A20" s="20" t="s">
        <v>24</v>
      </c>
      <c r="B20" s="30"/>
      <c r="C20" s="31"/>
      <c r="D20" s="32"/>
      <c r="E20" s="32"/>
      <c r="F20" s="32"/>
      <c r="G20" s="24">
        <f>+G13+G19</f>
        <v>269.50666666666666</v>
      </c>
    </row>
    <row r="21" spans="1:7" x14ac:dyDescent="0.25">
      <c r="A21" s="90" t="s">
        <v>25</v>
      </c>
      <c r="B21" s="91"/>
      <c r="C21" s="92"/>
      <c r="D21" s="33"/>
      <c r="E21" s="33"/>
      <c r="F21" s="33"/>
      <c r="G21" s="34">
        <f>ROUNDUP(G20,0)</f>
        <v>270</v>
      </c>
    </row>
    <row r="22" spans="1:7" x14ac:dyDescent="0.25">
      <c r="A22" s="1"/>
      <c r="B22" s="2"/>
      <c r="C22" s="2"/>
      <c r="D22" s="2"/>
      <c r="E22" s="2"/>
      <c r="F22" s="2"/>
      <c r="G22" s="2"/>
    </row>
  </sheetData>
  <mergeCells count="6">
    <mergeCell ref="A21:C21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Account Certificate - Arrears</vt:lpstr>
      <vt:lpstr>Account Certificate - Easements</vt:lpstr>
      <vt:lpstr>Invoice Reprint</vt:lpstr>
      <vt:lpstr>Credit Ref Check</vt:lpstr>
      <vt:lpstr>Unprocessed Payment</vt:lpstr>
      <vt:lpstr>Account Set-up</vt:lpstr>
      <vt:lpstr>Recon @ Meter - Reg Hrs</vt:lpstr>
      <vt:lpstr>Recon @ Meter - After Hrs</vt:lpstr>
      <vt:lpstr>Recon @ Pole - Reg Hours</vt:lpstr>
      <vt:lpstr>Recon @ Pole - After Hours</vt:lpstr>
      <vt:lpstr>Recon @ Meter - Occ Reg Hrs</vt:lpstr>
      <vt:lpstr>Recon @ Meter - Occ After Hrs</vt:lpstr>
      <vt:lpstr>Special Billing Service</vt:lpstr>
      <vt:lpstr>High Bill Invest</vt:lpstr>
      <vt:lpstr>Interval Meter - Field Read</vt:lpstr>
      <vt:lpstr>MicroFIT &amp; Micro-NM ERF</vt:lpstr>
      <vt:lpstr>FIT </vt:lpstr>
      <vt:lpstr>HCI RESOP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Aprild</cp:lastModifiedBy>
  <cp:lastPrinted>2020-02-07T00:08:23Z</cp:lastPrinted>
  <dcterms:created xsi:type="dcterms:W3CDTF">2020-02-06T23:49:32Z</dcterms:created>
  <dcterms:modified xsi:type="dcterms:W3CDTF">2020-02-07T00:12:39Z</dcterms:modified>
</cp:coreProperties>
</file>