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OEB\OEB Rate Applications\2020 IRM Application\13. Response to OEB Questions - 20200219\"/>
    </mc:Choice>
  </mc:AlternateContent>
  <bookViews>
    <workbookView xWindow="0" yWindow="0" windowWidth="23040" windowHeight="10910"/>
  </bookViews>
  <sheets>
    <sheet name="2015" sheetId="5" r:id="rId1"/>
    <sheet name="2016" sheetId="4" r:id="rId2"/>
    <sheet name="2017" sheetId="3" r:id="rId3"/>
    <sheet name="2018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5" i="2" l="1"/>
  <c r="Q34" i="2"/>
  <c r="Q26" i="2"/>
  <c r="Q25" i="2"/>
  <c r="Q35" i="3"/>
  <c r="Q34" i="3"/>
  <c r="Q26" i="3"/>
  <c r="Q25" i="3"/>
  <c r="Q35" i="4"/>
  <c r="Q34" i="4"/>
  <c r="Q26" i="4"/>
  <c r="Q25" i="4"/>
  <c r="Q35" i="5"/>
  <c r="Q34" i="5"/>
  <c r="Q26" i="5"/>
  <c r="Q25" i="5"/>
  <c r="E20" i="2" l="1"/>
  <c r="M39" i="2" l="1"/>
  <c r="I38" i="2"/>
  <c r="P35" i="2"/>
  <c r="O35" i="2"/>
  <c r="O39" i="2" s="1"/>
  <c r="N35" i="2"/>
  <c r="N39" i="2" s="1"/>
  <c r="M35" i="2"/>
  <c r="L35" i="2"/>
  <c r="K35" i="2"/>
  <c r="J35" i="2"/>
  <c r="I35" i="2"/>
  <c r="H35" i="2"/>
  <c r="G35" i="2"/>
  <c r="G39" i="2" s="1"/>
  <c r="F35" i="2"/>
  <c r="F39" i="2" s="1"/>
  <c r="E35" i="2"/>
  <c r="P34" i="2"/>
  <c r="P36" i="2" s="1"/>
  <c r="O34" i="2"/>
  <c r="N34" i="2"/>
  <c r="M34" i="2"/>
  <c r="L34" i="2"/>
  <c r="L38" i="2" s="1"/>
  <c r="K34" i="2"/>
  <c r="K38" i="2" s="1"/>
  <c r="J34" i="2"/>
  <c r="I34" i="2"/>
  <c r="H34" i="2"/>
  <c r="H36" i="2" s="1"/>
  <c r="G34" i="2"/>
  <c r="G36" i="2" s="1"/>
  <c r="F34" i="2"/>
  <c r="E34" i="2"/>
  <c r="E38" i="2" s="1"/>
  <c r="K39" i="3"/>
  <c r="J39" i="3"/>
  <c r="E39" i="3"/>
  <c r="P38" i="3"/>
  <c r="H38" i="3"/>
  <c r="P35" i="3"/>
  <c r="O35" i="3"/>
  <c r="O39" i="3" s="1"/>
  <c r="N35" i="3"/>
  <c r="M35" i="3"/>
  <c r="L35" i="3"/>
  <c r="K35" i="3"/>
  <c r="J35" i="3"/>
  <c r="I35" i="3"/>
  <c r="H35" i="3"/>
  <c r="G35" i="3"/>
  <c r="G39" i="3" s="1"/>
  <c r="F35" i="3"/>
  <c r="E35" i="3"/>
  <c r="P34" i="3"/>
  <c r="P36" i="3" s="1"/>
  <c r="O34" i="3"/>
  <c r="O36" i="3" s="1"/>
  <c r="N34" i="3"/>
  <c r="M34" i="3"/>
  <c r="L34" i="3"/>
  <c r="K34" i="3"/>
  <c r="K38" i="3" s="1"/>
  <c r="J34" i="3"/>
  <c r="J36" i="3" s="1"/>
  <c r="I34" i="3"/>
  <c r="I36" i="3" s="1"/>
  <c r="H34" i="3"/>
  <c r="G34" i="3"/>
  <c r="F34" i="3"/>
  <c r="E34" i="3"/>
  <c r="P26" i="2"/>
  <c r="O26" i="2"/>
  <c r="N26" i="2"/>
  <c r="M26" i="2"/>
  <c r="L26" i="2"/>
  <c r="L39" i="2" s="1"/>
  <c r="K26" i="2"/>
  <c r="K39" i="2" s="1"/>
  <c r="J26" i="2"/>
  <c r="J39" i="2" s="1"/>
  <c r="I26" i="2"/>
  <c r="I39" i="2" s="1"/>
  <c r="H26" i="2"/>
  <c r="G26" i="2"/>
  <c r="F26" i="2"/>
  <c r="E26" i="2"/>
  <c r="E39" i="2" s="1"/>
  <c r="P25" i="2"/>
  <c r="O25" i="2"/>
  <c r="O27" i="2" s="1"/>
  <c r="N25" i="2"/>
  <c r="M25" i="2"/>
  <c r="M27" i="2" s="1"/>
  <c r="L25" i="2"/>
  <c r="K25" i="2"/>
  <c r="K27" i="2" s="1"/>
  <c r="J25" i="2"/>
  <c r="J27" i="2" s="1"/>
  <c r="I25" i="2"/>
  <c r="H25" i="2"/>
  <c r="G25" i="2"/>
  <c r="G27" i="2" s="1"/>
  <c r="F25" i="2"/>
  <c r="F27" i="2" s="1"/>
  <c r="E25" i="2"/>
  <c r="P26" i="3"/>
  <c r="O26" i="3"/>
  <c r="N26" i="3"/>
  <c r="M26" i="3"/>
  <c r="M39" i="3" s="1"/>
  <c r="L26" i="3"/>
  <c r="L39" i="3" s="1"/>
  <c r="K26" i="3"/>
  <c r="J26" i="3"/>
  <c r="I26" i="3"/>
  <c r="H26" i="3"/>
  <c r="G26" i="3"/>
  <c r="F26" i="3"/>
  <c r="E26" i="3"/>
  <c r="P25" i="3"/>
  <c r="P27" i="3" s="1"/>
  <c r="O25" i="3"/>
  <c r="O27" i="3" s="1"/>
  <c r="N25" i="3"/>
  <c r="M25" i="3"/>
  <c r="L25" i="3"/>
  <c r="K25" i="3"/>
  <c r="K27" i="3" s="1"/>
  <c r="J25" i="3"/>
  <c r="J27" i="3" s="1"/>
  <c r="I25" i="3"/>
  <c r="I27" i="3" s="1"/>
  <c r="H25" i="3"/>
  <c r="G25" i="3"/>
  <c r="F25" i="3"/>
  <c r="E25" i="3"/>
  <c r="E27" i="3" s="1"/>
  <c r="P35" i="4"/>
  <c r="O35" i="4"/>
  <c r="N35" i="4"/>
  <c r="M35" i="4"/>
  <c r="L35" i="4"/>
  <c r="K35" i="4"/>
  <c r="J35" i="4"/>
  <c r="I35" i="4"/>
  <c r="H35" i="4"/>
  <c r="G35" i="4"/>
  <c r="F35" i="4"/>
  <c r="E35" i="4"/>
  <c r="P34" i="4"/>
  <c r="O34" i="4"/>
  <c r="N34" i="4"/>
  <c r="M34" i="4"/>
  <c r="L34" i="4"/>
  <c r="L36" i="4" s="1"/>
  <c r="K34" i="4"/>
  <c r="J34" i="4"/>
  <c r="I34" i="4"/>
  <c r="H34" i="4"/>
  <c r="G34" i="4"/>
  <c r="F34" i="4"/>
  <c r="E34" i="4"/>
  <c r="E39" i="5"/>
  <c r="E38" i="5"/>
  <c r="P27" i="2" l="1"/>
  <c r="P39" i="2"/>
  <c r="P38" i="2"/>
  <c r="O38" i="2"/>
  <c r="O36" i="2"/>
  <c r="N36" i="2"/>
  <c r="N38" i="2"/>
  <c r="N27" i="2"/>
  <c r="M38" i="2"/>
  <c r="L27" i="2"/>
  <c r="J36" i="2"/>
  <c r="I36" i="2"/>
  <c r="I27" i="2"/>
  <c r="H39" i="2"/>
  <c r="Q39" i="2" s="1"/>
  <c r="H27" i="2"/>
  <c r="H38" i="2"/>
  <c r="G38" i="2"/>
  <c r="F38" i="2"/>
  <c r="F36" i="2"/>
  <c r="E27" i="2"/>
  <c r="P39" i="3"/>
  <c r="O38" i="3"/>
  <c r="N39" i="3"/>
  <c r="N27" i="3"/>
  <c r="N38" i="3"/>
  <c r="M27" i="3"/>
  <c r="M38" i="3"/>
  <c r="L27" i="3"/>
  <c r="L36" i="3"/>
  <c r="I39" i="3"/>
  <c r="I38" i="3"/>
  <c r="H39" i="3"/>
  <c r="H36" i="3"/>
  <c r="H27" i="3"/>
  <c r="G36" i="3"/>
  <c r="G27" i="3"/>
  <c r="G38" i="3"/>
  <c r="F27" i="3"/>
  <c r="F39" i="3"/>
  <c r="F38" i="3"/>
  <c r="E38" i="3"/>
  <c r="O36" i="4"/>
  <c r="G36" i="4"/>
  <c r="K36" i="2"/>
  <c r="L36" i="2"/>
  <c r="M36" i="2"/>
  <c r="E36" i="2"/>
  <c r="J38" i="2"/>
  <c r="F36" i="3"/>
  <c r="N36" i="3"/>
  <c r="J38" i="3"/>
  <c r="K36" i="3"/>
  <c r="E36" i="3"/>
  <c r="L38" i="3"/>
  <c r="M36" i="3"/>
  <c r="H36" i="4"/>
  <c r="P36" i="4"/>
  <c r="I36" i="4"/>
  <c r="J36" i="4"/>
  <c r="E36" i="4"/>
  <c r="K36" i="4"/>
  <c r="F36" i="4"/>
  <c r="M36" i="4"/>
  <c r="N36" i="4"/>
  <c r="Q38" i="2" l="1"/>
  <c r="Q39" i="3"/>
  <c r="Q38" i="3"/>
  <c r="P11" i="5"/>
  <c r="O11" i="5" l="1"/>
  <c r="N11" i="5" l="1"/>
  <c r="M11" i="5" l="1"/>
  <c r="L11" i="5" l="1"/>
  <c r="K11" i="5" l="1"/>
  <c r="J11" i="5" l="1"/>
  <c r="I11" i="5" l="1"/>
  <c r="H11" i="5" l="1"/>
  <c r="G11" i="5" l="1"/>
  <c r="F11" i="5" l="1"/>
  <c r="E11" i="5" l="1"/>
  <c r="P11" i="4" l="1"/>
  <c r="O11" i="4" l="1"/>
  <c r="N11" i="4" l="1"/>
  <c r="M11" i="4" l="1"/>
  <c r="L11" i="4" l="1"/>
  <c r="K11" i="4" l="1"/>
  <c r="J11" i="4" l="1"/>
  <c r="I11" i="4" l="1"/>
  <c r="H11" i="4" l="1"/>
  <c r="G11" i="4" l="1"/>
  <c r="F11" i="4" l="1"/>
  <c r="E11" i="4" l="1"/>
  <c r="P9" i="3" l="1"/>
  <c r="P11" i="3"/>
  <c r="O9" i="3" l="1"/>
  <c r="O11" i="3"/>
  <c r="N9" i="3" l="1"/>
  <c r="N11" i="3"/>
  <c r="M9" i="3" l="1"/>
  <c r="M11" i="3"/>
  <c r="L9" i="3" l="1"/>
  <c r="L11" i="3"/>
  <c r="K9" i="3" l="1"/>
  <c r="K11" i="3"/>
  <c r="J11" i="3" l="1"/>
  <c r="I11" i="3" l="1"/>
  <c r="H11" i="3" l="1"/>
  <c r="G11" i="3" l="1"/>
  <c r="F11" i="3" l="1"/>
  <c r="E9" i="3" l="1"/>
  <c r="E11" i="3"/>
  <c r="P12" i="5" l="1"/>
  <c r="P16" i="5" s="1"/>
  <c r="P31" i="5" s="1"/>
  <c r="P35" i="5" s="1"/>
  <c r="O12" i="5"/>
  <c r="O16" i="5" s="1"/>
  <c r="O31" i="5" s="1"/>
  <c r="O35" i="5" s="1"/>
  <c r="N12" i="5"/>
  <c r="N16" i="5" s="1"/>
  <c r="M12" i="5"/>
  <c r="M16" i="5" s="1"/>
  <c r="L12" i="5"/>
  <c r="L16" i="5" s="1"/>
  <c r="K12" i="5"/>
  <c r="K16" i="5" s="1"/>
  <c r="J12" i="5"/>
  <c r="J16" i="5" s="1"/>
  <c r="J31" i="5" s="1"/>
  <c r="J35" i="5" s="1"/>
  <c r="I12" i="5"/>
  <c r="I16" i="5" s="1"/>
  <c r="I31" i="5" s="1"/>
  <c r="I35" i="5" s="1"/>
  <c r="H12" i="5"/>
  <c r="H16" i="5" s="1"/>
  <c r="H31" i="5" s="1"/>
  <c r="H35" i="5" s="1"/>
  <c r="G12" i="5"/>
  <c r="G16" i="5" s="1"/>
  <c r="G31" i="5" s="1"/>
  <c r="G35" i="5" s="1"/>
  <c r="F12" i="5"/>
  <c r="F16" i="5" s="1"/>
  <c r="E12" i="5"/>
  <c r="E16" i="5" s="1"/>
  <c r="P12" i="4"/>
  <c r="P16" i="4" s="1"/>
  <c r="P31" i="4" s="1"/>
  <c r="O12" i="4"/>
  <c r="O16" i="4" s="1"/>
  <c r="O21" i="4" s="1"/>
  <c r="O26" i="4" s="1"/>
  <c r="O39" i="4" s="1"/>
  <c r="N12" i="4"/>
  <c r="N16" i="4" s="1"/>
  <c r="M12" i="4"/>
  <c r="M16" i="4" s="1"/>
  <c r="L12" i="4"/>
  <c r="L16" i="4" s="1"/>
  <c r="K12" i="4"/>
  <c r="K16" i="4" s="1"/>
  <c r="J12" i="4"/>
  <c r="J16" i="4" s="1"/>
  <c r="J31" i="4" s="1"/>
  <c r="I12" i="4"/>
  <c r="I16" i="4" s="1"/>
  <c r="I31" i="4" s="1"/>
  <c r="H12" i="4"/>
  <c r="H16" i="4" s="1"/>
  <c r="H31" i="4" s="1"/>
  <c r="G12" i="4"/>
  <c r="G16" i="4" s="1"/>
  <c r="G31" i="4" s="1"/>
  <c r="F12" i="4"/>
  <c r="F16" i="4" s="1"/>
  <c r="E12" i="4"/>
  <c r="E16" i="4" s="1"/>
  <c r="O12" i="3"/>
  <c r="O16" i="3" s="1"/>
  <c r="N12" i="3"/>
  <c r="N16" i="3" s="1"/>
  <c r="M12" i="3"/>
  <c r="M16" i="3" s="1"/>
  <c r="G12" i="3"/>
  <c r="G16" i="3" s="1"/>
  <c r="F12" i="3"/>
  <c r="F16" i="3" s="1"/>
  <c r="E12" i="3"/>
  <c r="E16" i="3" s="1"/>
  <c r="P12" i="3"/>
  <c r="P16" i="3" s="1"/>
  <c r="L12" i="3"/>
  <c r="L16" i="3" s="1"/>
  <c r="K12" i="3"/>
  <c r="K16" i="3" s="1"/>
  <c r="J12" i="3"/>
  <c r="J16" i="3" s="1"/>
  <c r="I12" i="3"/>
  <c r="I16" i="3" s="1"/>
  <c r="H12" i="3"/>
  <c r="H16" i="3" s="1"/>
  <c r="P9" i="2"/>
  <c r="P20" i="3" l="1"/>
  <c r="P21" i="3"/>
  <c r="O20" i="3"/>
  <c r="O21" i="3"/>
  <c r="O22" i="3" s="1"/>
  <c r="N20" i="3"/>
  <c r="N21" i="3"/>
  <c r="M20" i="3"/>
  <c r="M21" i="3"/>
  <c r="M22" i="3" s="1"/>
  <c r="L20" i="3"/>
  <c r="L21" i="3"/>
  <c r="E30" i="5"/>
  <c r="E34" i="5" s="1"/>
  <c r="E21" i="5"/>
  <c r="E26" i="5" s="1"/>
  <c r="E31" i="5"/>
  <c r="E35" i="5" s="1"/>
  <c r="E20" i="5"/>
  <c r="M30" i="5"/>
  <c r="M21" i="5"/>
  <c r="M26" i="5" s="1"/>
  <c r="M39" i="5" s="1"/>
  <c r="M31" i="5"/>
  <c r="M35" i="5" s="1"/>
  <c r="M20" i="5"/>
  <c r="M25" i="5" s="1"/>
  <c r="F30" i="5"/>
  <c r="F34" i="5" s="1"/>
  <c r="F21" i="5"/>
  <c r="F26" i="5" s="1"/>
  <c r="F31" i="5"/>
  <c r="F35" i="5" s="1"/>
  <c r="F20" i="5"/>
  <c r="K21" i="5"/>
  <c r="K26" i="5" s="1"/>
  <c r="K30" i="5"/>
  <c r="K31" i="5"/>
  <c r="K35" i="5" s="1"/>
  <c r="K20" i="5"/>
  <c r="K25" i="5" s="1"/>
  <c r="N30" i="5"/>
  <c r="N34" i="5" s="1"/>
  <c r="N21" i="5"/>
  <c r="N26" i="5" s="1"/>
  <c r="N31" i="5"/>
  <c r="N35" i="5" s="1"/>
  <c r="N20" i="5"/>
  <c r="L21" i="5"/>
  <c r="L26" i="5" s="1"/>
  <c r="L39" i="5" s="1"/>
  <c r="L20" i="5"/>
  <c r="L30" i="5"/>
  <c r="L34" i="5" s="1"/>
  <c r="L31" i="5"/>
  <c r="L35" i="5" s="1"/>
  <c r="O30" i="5"/>
  <c r="P21" i="5"/>
  <c r="P26" i="5" s="1"/>
  <c r="P39" i="5" s="1"/>
  <c r="P30" i="5"/>
  <c r="I21" i="5"/>
  <c r="I26" i="5" s="1"/>
  <c r="I39" i="5" s="1"/>
  <c r="I30" i="5"/>
  <c r="J21" i="5"/>
  <c r="J26" i="5" s="1"/>
  <c r="J39" i="5" s="1"/>
  <c r="J30" i="5"/>
  <c r="O21" i="5"/>
  <c r="O26" i="5" s="1"/>
  <c r="O39" i="5" s="1"/>
  <c r="H21" i="5"/>
  <c r="H26" i="5" s="1"/>
  <c r="H39" i="5" s="1"/>
  <c r="O20" i="5"/>
  <c r="P20" i="5"/>
  <c r="I20" i="5"/>
  <c r="G21" i="5"/>
  <c r="G26" i="5" s="1"/>
  <c r="G39" i="5" s="1"/>
  <c r="G30" i="5"/>
  <c r="H30" i="5"/>
  <c r="G20" i="5"/>
  <c r="G25" i="5" s="1"/>
  <c r="H20" i="5"/>
  <c r="J20" i="5"/>
  <c r="J25" i="5" s="1"/>
  <c r="F30" i="4"/>
  <c r="F21" i="4"/>
  <c r="F26" i="4" s="1"/>
  <c r="F39" i="4" s="1"/>
  <c r="F31" i="4"/>
  <c r="F20" i="4"/>
  <c r="N30" i="4"/>
  <c r="N21" i="4"/>
  <c r="N26" i="4" s="1"/>
  <c r="N39" i="4" s="1"/>
  <c r="N31" i="4"/>
  <c r="N20" i="4"/>
  <c r="K21" i="4"/>
  <c r="K26" i="4" s="1"/>
  <c r="K39" i="4" s="1"/>
  <c r="K31" i="4"/>
  <c r="K30" i="4"/>
  <c r="K32" i="4" s="1"/>
  <c r="K20" i="4"/>
  <c r="E30" i="4"/>
  <c r="E21" i="4"/>
  <c r="E26" i="4" s="1"/>
  <c r="E39" i="4" s="1"/>
  <c r="E31" i="4"/>
  <c r="E20" i="4"/>
  <c r="M30" i="4"/>
  <c r="M21" i="4"/>
  <c r="M26" i="4" s="1"/>
  <c r="M39" i="4" s="1"/>
  <c r="M31" i="4"/>
  <c r="M20" i="4"/>
  <c r="L30" i="4"/>
  <c r="L21" i="4"/>
  <c r="L26" i="4" s="1"/>
  <c r="L39" i="4" s="1"/>
  <c r="L31" i="4"/>
  <c r="L20" i="4"/>
  <c r="O30" i="4"/>
  <c r="H21" i="4"/>
  <c r="H26" i="4" s="1"/>
  <c r="H39" i="4" s="1"/>
  <c r="P21" i="4"/>
  <c r="P26" i="4" s="1"/>
  <c r="P39" i="4" s="1"/>
  <c r="H30" i="4"/>
  <c r="H32" i="4" s="1"/>
  <c r="I21" i="4"/>
  <c r="I26" i="4" s="1"/>
  <c r="I39" i="4" s="1"/>
  <c r="I30" i="4"/>
  <c r="I32" i="4" s="1"/>
  <c r="J21" i="4"/>
  <c r="J26" i="4" s="1"/>
  <c r="J39" i="4" s="1"/>
  <c r="J30" i="4"/>
  <c r="J32" i="4" s="1"/>
  <c r="G21" i="4"/>
  <c r="G26" i="4" s="1"/>
  <c r="G39" i="4" s="1"/>
  <c r="G30" i="4"/>
  <c r="G32" i="4" s="1"/>
  <c r="O20" i="4"/>
  <c r="O31" i="4"/>
  <c r="I20" i="4"/>
  <c r="P30" i="4"/>
  <c r="P32" i="4" s="1"/>
  <c r="G20" i="4"/>
  <c r="G25" i="4" s="1"/>
  <c r="G38" i="4" s="1"/>
  <c r="H20" i="4"/>
  <c r="H25" i="4" s="1"/>
  <c r="H38" i="4" s="1"/>
  <c r="P20" i="4"/>
  <c r="P25" i="4" s="1"/>
  <c r="P38" i="4" s="1"/>
  <c r="J20" i="4"/>
  <c r="L31" i="3"/>
  <c r="L30" i="3"/>
  <c r="O31" i="3"/>
  <c r="O30" i="3"/>
  <c r="H30" i="3"/>
  <c r="H21" i="3"/>
  <c r="H20" i="3"/>
  <c r="H31" i="3"/>
  <c r="N30" i="3"/>
  <c r="N31" i="3"/>
  <c r="P30" i="3"/>
  <c r="P31" i="3"/>
  <c r="E31" i="3"/>
  <c r="E30" i="3"/>
  <c r="E21" i="3"/>
  <c r="E20" i="3"/>
  <c r="I20" i="3"/>
  <c r="I21" i="3"/>
  <c r="I31" i="3"/>
  <c r="I30" i="3"/>
  <c r="I32" i="3" s="1"/>
  <c r="F20" i="3"/>
  <c r="F31" i="3"/>
  <c r="F30" i="3"/>
  <c r="F21" i="3"/>
  <c r="J30" i="3"/>
  <c r="J31" i="3"/>
  <c r="J20" i="3"/>
  <c r="J21" i="3"/>
  <c r="G30" i="3"/>
  <c r="G21" i="3"/>
  <c r="G20" i="3"/>
  <c r="G22" i="3" s="1"/>
  <c r="G31" i="3"/>
  <c r="K31" i="3"/>
  <c r="K20" i="3"/>
  <c r="K30" i="3"/>
  <c r="K21" i="3"/>
  <c r="M31" i="3"/>
  <c r="M30" i="3"/>
  <c r="Q39" i="4" l="1"/>
  <c r="O22" i="4"/>
  <c r="O25" i="4"/>
  <c r="K22" i="4"/>
  <c r="K25" i="4"/>
  <c r="J22" i="4"/>
  <c r="J25" i="4"/>
  <c r="H27" i="4"/>
  <c r="L22" i="4"/>
  <c r="L25" i="4"/>
  <c r="E22" i="4"/>
  <c r="E25" i="4"/>
  <c r="N22" i="4"/>
  <c r="N25" i="4"/>
  <c r="M22" i="4"/>
  <c r="M25" i="4"/>
  <c r="P27" i="4"/>
  <c r="G27" i="4"/>
  <c r="F22" i="4"/>
  <c r="F25" i="4"/>
  <c r="I22" i="4"/>
  <c r="I25" i="4"/>
  <c r="K39" i="5"/>
  <c r="N39" i="5"/>
  <c r="F39" i="5"/>
  <c r="O32" i="5"/>
  <c r="O34" i="5"/>
  <c r="O36" i="5" s="1"/>
  <c r="N36" i="5"/>
  <c r="F36" i="5"/>
  <c r="E36" i="5"/>
  <c r="M32" i="5"/>
  <c r="M34" i="5"/>
  <c r="M36" i="5" s="1"/>
  <c r="H32" i="5"/>
  <c r="H34" i="5"/>
  <c r="H36" i="5" s="1"/>
  <c r="J32" i="5"/>
  <c r="J34" i="5"/>
  <c r="J36" i="5" s="1"/>
  <c r="L36" i="5"/>
  <c r="I32" i="5"/>
  <c r="I34" i="5"/>
  <c r="I36" i="5" s="1"/>
  <c r="P32" i="5"/>
  <c r="P34" i="5"/>
  <c r="P36" i="5" s="1"/>
  <c r="G32" i="5"/>
  <c r="G34" i="5"/>
  <c r="G36" i="5" s="1"/>
  <c r="K32" i="5"/>
  <c r="K34" i="5"/>
  <c r="K36" i="5" s="1"/>
  <c r="P22" i="5"/>
  <c r="P25" i="5"/>
  <c r="F22" i="5"/>
  <c r="F25" i="5"/>
  <c r="O22" i="5"/>
  <c r="O25" i="5"/>
  <c r="N22" i="5"/>
  <c r="N25" i="5"/>
  <c r="L22" i="5"/>
  <c r="L25" i="5"/>
  <c r="J27" i="5"/>
  <c r="G27" i="5"/>
  <c r="K27" i="5"/>
  <c r="M27" i="5"/>
  <c r="I22" i="5"/>
  <c r="I25" i="5"/>
  <c r="E22" i="5"/>
  <c r="E25" i="5"/>
  <c r="E27" i="5" s="1"/>
  <c r="H22" i="5"/>
  <c r="H25" i="5"/>
  <c r="N32" i="5"/>
  <c r="M22" i="5"/>
  <c r="L32" i="5"/>
  <c r="K22" i="5"/>
  <c r="J22" i="5"/>
  <c r="G22" i="5"/>
  <c r="F32" i="5"/>
  <c r="E32" i="5"/>
  <c r="P22" i="4"/>
  <c r="O32" i="4"/>
  <c r="N32" i="4"/>
  <c r="M32" i="4"/>
  <c r="L32" i="4"/>
  <c r="H22" i="4"/>
  <c r="G22" i="4"/>
  <c r="F32" i="4"/>
  <c r="E32" i="4"/>
  <c r="P32" i="3"/>
  <c r="N22" i="3"/>
  <c r="L22" i="3"/>
  <c r="K22" i="3"/>
  <c r="H32" i="3"/>
  <c r="G32" i="3"/>
  <c r="F32" i="3"/>
  <c r="E22" i="3"/>
  <c r="I22" i="3"/>
  <c r="M32" i="3"/>
  <c r="E32" i="3"/>
  <c r="N32" i="3"/>
  <c r="O32" i="3"/>
  <c r="J32" i="3"/>
  <c r="F22" i="3"/>
  <c r="K32" i="3"/>
  <c r="J22" i="3"/>
  <c r="P22" i="3"/>
  <c r="H22" i="3"/>
  <c r="L32" i="3"/>
  <c r="M27" i="4" l="1"/>
  <c r="M38" i="4"/>
  <c r="J27" i="4"/>
  <c r="J38" i="4"/>
  <c r="I27" i="4"/>
  <c r="I38" i="4"/>
  <c r="K27" i="4"/>
  <c r="K38" i="4"/>
  <c r="F27" i="4"/>
  <c r="F38" i="4"/>
  <c r="L27" i="4"/>
  <c r="L38" i="4"/>
  <c r="N27" i="4"/>
  <c r="N38" i="4"/>
  <c r="E27" i="4"/>
  <c r="E38" i="4"/>
  <c r="O27" i="4"/>
  <c r="O38" i="4"/>
  <c r="K38" i="5"/>
  <c r="Q39" i="5"/>
  <c r="H27" i="5"/>
  <c r="H38" i="5"/>
  <c r="O27" i="5"/>
  <c r="O38" i="5"/>
  <c r="G38" i="5"/>
  <c r="M38" i="5"/>
  <c r="P27" i="5"/>
  <c r="P38" i="5"/>
  <c r="I27" i="5"/>
  <c r="I38" i="5"/>
  <c r="N27" i="5"/>
  <c r="N38" i="5"/>
  <c r="J38" i="5"/>
  <c r="L27" i="5"/>
  <c r="L38" i="5"/>
  <c r="F27" i="5"/>
  <c r="F38" i="5"/>
  <c r="O9" i="2"/>
  <c r="Q38" i="4" l="1"/>
  <c r="Q38" i="5"/>
  <c r="N9" i="2"/>
  <c r="M9" i="2" l="1"/>
  <c r="L9" i="2" l="1"/>
  <c r="I11" i="2" l="1"/>
  <c r="I9" i="2"/>
  <c r="H11" i="2" l="1"/>
  <c r="H9" i="2"/>
  <c r="G9" i="2" l="1"/>
  <c r="G11" i="2"/>
  <c r="F11" i="2" l="1"/>
  <c r="F9" i="2"/>
  <c r="E9" i="2" l="1"/>
  <c r="L12" i="2"/>
  <c r="L16" i="2" s="1"/>
  <c r="M12" i="2"/>
  <c r="M16" i="2" s="1"/>
  <c r="N12" i="2"/>
  <c r="N16" i="2" s="1"/>
  <c r="O12" i="2"/>
  <c r="O16" i="2" s="1"/>
  <c r="P12" i="2"/>
  <c r="P16" i="2" s="1"/>
  <c r="F12" i="2"/>
  <c r="F16" i="2" s="1"/>
  <c r="G12" i="2"/>
  <c r="G16" i="2" s="1"/>
  <c r="H12" i="2"/>
  <c r="H16" i="2" s="1"/>
  <c r="I12" i="2"/>
  <c r="I16" i="2" s="1"/>
  <c r="E11" i="2"/>
  <c r="E12" i="2" l="1"/>
  <c r="E16" i="2" s="1"/>
  <c r="E21" i="2" s="1"/>
  <c r="O31" i="2"/>
  <c r="L21" i="2"/>
  <c r="M21" i="2"/>
  <c r="M20" i="2"/>
  <c r="M22" i="2" s="1"/>
  <c r="M30" i="2"/>
  <c r="M31" i="2"/>
  <c r="L31" i="2"/>
  <c r="P31" i="2"/>
  <c r="P30" i="2"/>
  <c r="P21" i="2"/>
  <c r="P20" i="2"/>
  <c r="O30" i="2"/>
  <c r="O21" i="2"/>
  <c r="O20" i="2"/>
  <c r="N30" i="2"/>
  <c r="N21" i="2"/>
  <c r="N31" i="2"/>
  <c r="N20" i="2"/>
  <c r="E30" i="2"/>
  <c r="E31" i="2"/>
  <c r="F20" i="2"/>
  <c r="F30" i="2"/>
  <c r="F31" i="2"/>
  <c r="F21" i="2"/>
  <c r="G20" i="2"/>
  <c r="G30" i="2"/>
  <c r="G21" i="2"/>
  <c r="G31" i="2"/>
  <c r="H20" i="2"/>
  <c r="H30" i="2"/>
  <c r="H21" i="2"/>
  <c r="H31" i="2"/>
  <c r="I30" i="2"/>
  <c r="I21" i="2"/>
  <c r="I31" i="2"/>
  <c r="I20" i="2"/>
  <c r="P22" i="2" l="1"/>
  <c r="O22" i="2"/>
  <c r="N22" i="2"/>
  <c r="I32" i="2"/>
  <c r="G32" i="2"/>
  <c r="G22" i="2"/>
  <c r="E32" i="2"/>
  <c r="L30" i="2"/>
  <c r="L32" i="2" s="1"/>
  <c r="O32" i="2"/>
  <c r="L20" i="2"/>
  <c r="L22" i="2" s="1"/>
  <c r="P32" i="2"/>
  <c r="M32" i="2"/>
  <c r="N32" i="2"/>
  <c r="H32" i="2"/>
  <c r="F32" i="2"/>
  <c r="H22" i="2"/>
  <c r="F22" i="2"/>
  <c r="I22" i="2"/>
  <c r="E22" i="2"/>
  <c r="K11" i="2" l="1"/>
  <c r="J11" i="2"/>
  <c r="K9" i="2"/>
  <c r="K12" i="2" s="1"/>
  <c r="K16" i="2" s="1"/>
  <c r="J9" i="2"/>
  <c r="J12" i="2" s="1"/>
  <c r="J16" i="2" s="1"/>
  <c r="K20" i="2" l="1"/>
  <c r="K21" i="2"/>
  <c r="K31" i="2"/>
  <c r="K30" i="2"/>
  <c r="J21" i="2"/>
  <c r="J20" i="2"/>
  <c r="J31" i="2"/>
  <c r="J30" i="2"/>
  <c r="J32" i="2" s="1"/>
  <c r="K32" i="2" l="1"/>
  <c r="K22" i="2"/>
  <c r="J22" i="2"/>
</calcChain>
</file>

<file path=xl/sharedStrings.xml><?xml version="1.0" encoding="utf-8"?>
<sst xmlns="http://schemas.openxmlformats.org/spreadsheetml/2006/main" count="274" uniqueCount="49">
  <si>
    <t>A</t>
  </si>
  <si>
    <t>B</t>
  </si>
  <si>
    <t>C</t>
  </si>
  <si>
    <t>D</t>
  </si>
  <si>
    <t>E</t>
  </si>
  <si>
    <t>kWh</t>
  </si>
  <si>
    <t>Class A customers</t>
  </si>
  <si>
    <t>Net System Load Shape</t>
  </si>
  <si>
    <t>Total System Load</t>
  </si>
  <si>
    <t>Start</t>
  </si>
  <si>
    <t>Add</t>
  </si>
  <si>
    <t>Less</t>
  </si>
  <si>
    <t>Equals</t>
  </si>
  <si>
    <t>G</t>
  </si>
  <si>
    <t>F = A-B-C-D+E</t>
  </si>
  <si>
    <t>H = F-G</t>
  </si>
  <si>
    <t>RPP Customers</t>
  </si>
  <si>
    <t>Non RPP Customers</t>
  </si>
  <si>
    <t>Net System Load Shape for RPP Accounts</t>
  </si>
  <si>
    <t>MicroFIT and FIT</t>
  </si>
  <si>
    <t>Street Lights</t>
  </si>
  <si>
    <t>Non-Designated Load
(Retailer-Enrolled accounts)</t>
  </si>
  <si>
    <t>Retail Total - MIST meters (excluding Class A)</t>
  </si>
  <si>
    <t>Description</t>
  </si>
  <si>
    <t>Settlement Month:</t>
  </si>
  <si>
    <t>Calculation</t>
  </si>
  <si>
    <t>Settlement Period - From:</t>
  </si>
  <si>
    <t>Settlement Period - To:</t>
  </si>
  <si>
    <t>I = (H) / (A-B+E)</t>
  </si>
  <si>
    <t>J = (A-B-H+E) / (A-B+E)</t>
  </si>
  <si>
    <t>Without generation:</t>
  </si>
  <si>
    <t>With generation:</t>
  </si>
  <si>
    <t>RPP Customers - Class B GA Settlement Amount</t>
  </si>
  <si>
    <t>Non-RPP Customers - Class B GA Settlement Amount</t>
  </si>
  <si>
    <t>Check</t>
  </si>
  <si>
    <t>N</t>
  </si>
  <si>
    <t>IESO Invoice: CT 148 Class B GA Settlement Amount</t>
  </si>
  <si>
    <t>K</t>
  </si>
  <si>
    <t>L = K x I</t>
  </si>
  <si>
    <t>M = K x J</t>
  </si>
  <si>
    <t>O</t>
  </si>
  <si>
    <t>P = K x N</t>
  </si>
  <si>
    <t>Q = K x O</t>
  </si>
  <si>
    <t>R = L - P</t>
  </si>
  <si>
    <t>S = M - Q</t>
  </si>
  <si>
    <t>GL Adjustment: RPP Customers</t>
  </si>
  <si>
    <t>GL Adjustment: Non-RPP Customers</t>
  </si>
  <si>
    <t>Total Adjustment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</si>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</sst>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-yyyy"/>
    <numFmt numFmtId="165" formatCode="[$-409]d\-mmm\-yy;@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 tint="-0.34998626667073579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0" tint="-0.14999847407452621"/>
      <name val="Calibri"/>
      <family val="2"/>
    </font>
    <font>
      <sz val="8"/>
      <color theme="1"/>
      <name val="Calibri"/>
      <family val="2"/>
    </font>
    <font>
      <sz val="8"/>
      <color theme="0" tint="-0.14999847407452621"/>
      <name val="Calibri"/>
      <family val="2"/>
    </font>
    <font>
      <sz val="12"/>
      <color theme="1"/>
      <name val="Calibri"/>
      <family val="2"/>
    </font>
    <font>
      <sz val="11"/>
      <color theme="0" tint="-0.49998474074526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37" fontId="0" fillId="2" borderId="2" xfId="1" applyNumberFormat="1" applyFont="1" applyFill="1" applyBorder="1" applyAlignment="1">
      <alignment horizontal="center" vertical="center"/>
    </xf>
    <xf numFmtId="10" fontId="0" fillId="2" borderId="2" xfId="2" applyNumberFormat="1" applyFont="1" applyFill="1" applyBorder="1" applyAlignment="1">
      <alignment horizontal="center" vertical="center"/>
    </xf>
    <xf numFmtId="10" fontId="2" fillId="2" borderId="4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3" borderId="2" xfId="0" applyFill="1" applyBorder="1" applyAlignment="1">
      <alignment vertical="center"/>
    </xf>
    <xf numFmtId="0" fontId="0" fillId="3" borderId="0" xfId="0" applyFill="1" applyAlignment="1">
      <alignment vertical="center"/>
    </xf>
    <xf numFmtId="10" fontId="0" fillId="3" borderId="2" xfId="2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2" xfId="0" applyFill="1" applyBorder="1" applyAlignment="1">
      <alignment vertical="center"/>
    </xf>
    <xf numFmtId="10" fontId="0" fillId="4" borderId="2" xfId="2" applyNumberFormat="1" applyFont="1" applyFill="1" applyBorder="1" applyAlignment="1">
      <alignment horizontal="center" vertical="center"/>
    </xf>
    <xf numFmtId="10" fontId="2" fillId="4" borderId="4" xfId="0" applyNumberFormat="1" applyFont="1" applyFill="1" applyBorder="1" applyAlignment="1">
      <alignment horizontal="center" vertical="center"/>
    </xf>
    <xf numFmtId="164" fontId="3" fillId="2" borderId="2" xfId="0" quotePrefix="1" applyNumberFormat="1" applyFont="1" applyFill="1" applyBorder="1" applyAlignment="1">
      <alignment horizontal="center" vertical="center"/>
    </xf>
    <xf numFmtId="165" fontId="0" fillId="2" borderId="2" xfId="0" quotePrefix="1" applyNumberFormat="1" applyFill="1" applyBorder="1" applyAlignment="1">
      <alignment horizontal="center" vertical="center"/>
    </xf>
    <xf numFmtId="37" fontId="0" fillId="4" borderId="2" xfId="1" applyNumberFormat="1" applyFont="1" applyFill="1" applyBorder="1" applyAlignment="1">
      <alignment horizontal="center" vertical="center"/>
    </xf>
    <xf numFmtId="44" fontId="0" fillId="2" borderId="0" xfId="3" applyFont="1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44" fontId="5" fillId="2" borderId="0" xfId="0" applyNumberFormat="1" applyFont="1" applyFill="1" applyAlignment="1">
      <alignment vertical="center"/>
    </xf>
    <xf numFmtId="0" fontId="0" fillId="4" borderId="0" xfId="0" applyFill="1" applyAlignment="1">
      <alignment horizontal="right" vertical="center"/>
    </xf>
    <xf numFmtId="44" fontId="0" fillId="4" borderId="0" xfId="0" applyNumberFormat="1" applyFill="1" applyAlignment="1">
      <alignment vertical="center"/>
    </xf>
    <xf numFmtId="0" fontId="5" fillId="4" borderId="0" xfId="0" applyFont="1" applyFill="1" applyAlignment="1">
      <alignment horizontal="right" vertical="center"/>
    </xf>
    <xf numFmtId="44" fontId="5" fillId="4" borderId="0" xfId="0" applyNumberFormat="1" applyFon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4" borderId="4" xfId="0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2" xfId="0" applyFont="1" applyFill="1" applyBorder="1" applyAlignment="1">
      <alignment vertical="center"/>
    </xf>
    <xf numFmtId="37" fontId="6" fillId="2" borderId="2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44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44" fontId="9" fillId="2" borderId="1" xfId="0" applyNumberFormat="1" applyFont="1" applyFill="1" applyBorder="1" applyAlignment="1">
      <alignment horizontal="center" vertical="center"/>
    </xf>
    <xf numFmtId="44" fontId="9" fillId="2" borderId="0" xfId="0" applyNumberFormat="1" applyFont="1" applyFill="1" applyAlignment="1">
      <alignment vertic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9"/>
  <sheetViews>
    <sheetView tabSelected="1" zoomScale="90" zoomScaleNormal="90" workbookViewId="0">
      <selection activeCell="B2" sqref="B2"/>
    </sheetView>
  </sheetViews>
  <sheetFormatPr defaultRowHeight="14.5" x14ac:dyDescent="0.35"/>
  <cols>
    <col min="1" max="1" width="3" style="1" customWidth="1"/>
    <col min="2" max="2" width="8.7265625" style="1"/>
    <col min="3" max="3" width="19.36328125" style="1" customWidth="1"/>
    <col min="4" max="4" width="44.90625" style="1" bestFit="1" customWidth="1"/>
    <col min="5" max="5" width="14.90625" style="1" bestFit="1" customWidth="1"/>
    <col min="6" max="6" width="12.1796875" style="1" bestFit="1" customWidth="1"/>
    <col min="7" max="14" width="12.08984375" style="1" bestFit="1" customWidth="1"/>
    <col min="15" max="15" width="13.6328125" style="1" bestFit="1" customWidth="1"/>
    <col min="16" max="16" width="12.08984375" style="1" bestFit="1" customWidth="1"/>
    <col min="17" max="17" width="15.90625" style="1" customWidth="1"/>
    <col min="18" max="16384" width="8.7265625" style="1"/>
  </cols>
  <sheetData>
    <row r="2" spans="2:16" ht="15.5" x14ac:dyDescent="0.35">
      <c r="D2" s="1" t="s">
        <v>24</v>
      </c>
      <c r="E2" s="20">
        <v>42005</v>
      </c>
      <c r="F2" s="20">
        <v>42036</v>
      </c>
      <c r="G2" s="20">
        <v>42064</v>
      </c>
      <c r="H2" s="20">
        <v>42095</v>
      </c>
      <c r="I2" s="20">
        <v>42125</v>
      </c>
      <c r="J2" s="20">
        <v>42156</v>
      </c>
      <c r="K2" s="20">
        <v>42186</v>
      </c>
      <c r="L2" s="20">
        <v>42217</v>
      </c>
      <c r="M2" s="20">
        <v>42248</v>
      </c>
      <c r="N2" s="20">
        <v>42278</v>
      </c>
      <c r="O2" s="20">
        <v>42309</v>
      </c>
      <c r="P2" s="20">
        <v>42339</v>
      </c>
    </row>
    <row r="3" spans="2:16" x14ac:dyDescent="0.35">
      <c r="D3" s="1" t="s">
        <v>26</v>
      </c>
      <c r="E3" s="21">
        <v>42005</v>
      </c>
      <c r="F3" s="21">
        <v>42036</v>
      </c>
      <c r="G3" s="21">
        <v>42064</v>
      </c>
      <c r="H3" s="21">
        <v>42095</v>
      </c>
      <c r="I3" s="21">
        <v>42125</v>
      </c>
      <c r="J3" s="21">
        <v>42156</v>
      </c>
      <c r="K3" s="21">
        <v>42186</v>
      </c>
      <c r="L3" s="21">
        <v>42217</v>
      </c>
      <c r="M3" s="21">
        <v>42248</v>
      </c>
      <c r="N3" s="21">
        <v>42278</v>
      </c>
      <c r="O3" s="21">
        <v>42309</v>
      </c>
      <c r="P3" s="21">
        <v>42339</v>
      </c>
    </row>
    <row r="4" spans="2:16" x14ac:dyDescent="0.35">
      <c r="D4" s="1" t="s">
        <v>27</v>
      </c>
      <c r="E4" s="21">
        <v>42035</v>
      </c>
      <c r="F4" s="21">
        <v>42063</v>
      </c>
      <c r="G4" s="21">
        <v>42094</v>
      </c>
      <c r="H4" s="21">
        <v>42124</v>
      </c>
      <c r="I4" s="21">
        <v>42155</v>
      </c>
      <c r="J4" s="21">
        <v>42185</v>
      </c>
      <c r="K4" s="21">
        <v>42216</v>
      </c>
      <c r="L4" s="21">
        <v>42247</v>
      </c>
      <c r="M4" s="21">
        <v>42277</v>
      </c>
      <c r="N4" s="21">
        <v>42308</v>
      </c>
      <c r="O4" s="21">
        <v>42338</v>
      </c>
      <c r="P4" s="21">
        <v>42369</v>
      </c>
    </row>
    <row r="6" spans="2:16" x14ac:dyDescent="0.35">
      <c r="C6" s="8" t="s">
        <v>25</v>
      </c>
      <c r="D6" s="9" t="s">
        <v>23</v>
      </c>
      <c r="E6" s="4" t="s">
        <v>5</v>
      </c>
      <c r="F6" s="4" t="s">
        <v>5</v>
      </c>
      <c r="G6" s="4" t="s">
        <v>5</v>
      </c>
      <c r="H6" s="4" t="s">
        <v>5</v>
      </c>
      <c r="I6" s="4" t="s">
        <v>5</v>
      </c>
      <c r="J6" s="4" t="s">
        <v>5</v>
      </c>
      <c r="K6" s="4" t="s">
        <v>5</v>
      </c>
      <c r="L6" s="4" t="s">
        <v>5</v>
      </c>
      <c r="M6" s="4" t="s">
        <v>5</v>
      </c>
      <c r="N6" s="4" t="s">
        <v>5</v>
      </c>
      <c r="O6" s="4" t="s">
        <v>5</v>
      </c>
      <c r="P6" s="4" t="s">
        <v>5</v>
      </c>
    </row>
    <row r="7" spans="2:16" x14ac:dyDescent="0.35">
      <c r="B7" s="1" t="s">
        <v>9</v>
      </c>
      <c r="C7" s="3" t="s">
        <v>0</v>
      </c>
      <c r="D7" s="1" t="s">
        <v>8</v>
      </c>
      <c r="E7" s="5">
        <v>10452837.439999999</v>
      </c>
      <c r="F7" s="5">
        <v>9960710.9799999986</v>
      </c>
      <c r="G7" s="5">
        <v>10262011.939999999</v>
      </c>
      <c r="H7" s="5">
        <v>9023610.4499999993</v>
      </c>
      <c r="I7" s="5">
        <v>8928828.6099999994</v>
      </c>
      <c r="J7" s="5">
        <v>8756526.3100000005</v>
      </c>
      <c r="K7" s="5">
        <v>9022524.7800000012</v>
      </c>
      <c r="L7" s="5">
        <v>9116287.0399999972</v>
      </c>
      <c r="M7" s="5">
        <v>9133547.1700000037</v>
      </c>
      <c r="N7" s="5">
        <v>9198441.9000000004</v>
      </c>
      <c r="O7" s="5">
        <v>8993796.0800000019</v>
      </c>
      <c r="P7" s="5">
        <v>8933024.0899999999</v>
      </c>
    </row>
    <row r="8" spans="2:16" x14ac:dyDescent="0.35">
      <c r="B8" s="1" t="s">
        <v>11</v>
      </c>
      <c r="C8" s="3" t="s">
        <v>1</v>
      </c>
      <c r="D8" s="1" t="s">
        <v>6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2:16" x14ac:dyDescent="0.35">
      <c r="B9" s="1" t="s">
        <v>11</v>
      </c>
      <c r="C9" s="3" t="s">
        <v>2</v>
      </c>
      <c r="D9" s="1" t="s">
        <v>22</v>
      </c>
      <c r="E9" s="5">
        <v>4665098.2</v>
      </c>
      <c r="F9" s="5">
        <v>4442316.91</v>
      </c>
      <c r="G9" s="5">
        <v>5035567.0500000007</v>
      </c>
      <c r="H9" s="5">
        <v>4878307.839999998</v>
      </c>
      <c r="I9" s="5">
        <v>5183759.59</v>
      </c>
      <c r="J9" s="5">
        <v>5067809.919999999</v>
      </c>
      <c r="K9" s="5">
        <v>5004259.4900000012</v>
      </c>
      <c r="L9" s="5">
        <v>5225501.21</v>
      </c>
      <c r="M9" s="5">
        <v>5183498.5600000005</v>
      </c>
      <c r="N9" s="5">
        <v>5021976.05</v>
      </c>
      <c r="O9" s="5">
        <v>4629013.6500000004</v>
      </c>
      <c r="P9" s="5">
        <v>4062173.7499999995</v>
      </c>
    </row>
    <row r="10" spans="2:16" x14ac:dyDescent="0.35">
      <c r="B10" s="1" t="s">
        <v>11</v>
      </c>
      <c r="C10" s="3" t="s">
        <v>3</v>
      </c>
      <c r="D10" s="1" t="s">
        <v>20</v>
      </c>
      <c r="E10" s="5">
        <v>83744.949999999953</v>
      </c>
      <c r="F10" s="5">
        <v>71920.519999999946</v>
      </c>
      <c r="G10" s="5">
        <v>71388.970000000016</v>
      </c>
      <c r="H10" s="5">
        <v>59786.10000000002</v>
      </c>
      <c r="I10" s="5">
        <v>54914.640000000021</v>
      </c>
      <c r="J10" s="5">
        <v>45171.60000000002</v>
      </c>
      <c r="K10" s="5">
        <v>48050.310000000005</v>
      </c>
      <c r="L10" s="5">
        <v>53541.650000000031</v>
      </c>
      <c r="M10" s="5">
        <v>58457.400000000038</v>
      </c>
      <c r="N10" s="5">
        <v>68643.300000000032</v>
      </c>
      <c r="O10" s="5">
        <v>74400.599999999977</v>
      </c>
      <c r="P10" s="5">
        <v>82371.960000000065</v>
      </c>
    </row>
    <row r="11" spans="2:16" x14ac:dyDescent="0.35">
      <c r="B11" s="1" t="s">
        <v>10</v>
      </c>
      <c r="C11" s="3" t="s">
        <v>4</v>
      </c>
      <c r="D11" s="1" t="s">
        <v>19</v>
      </c>
      <c r="E11" s="5">
        <f>5142.2+2462.55</f>
        <v>7604.75</v>
      </c>
      <c r="F11" s="5">
        <f>4486.82+2015.85</f>
        <v>6502.67</v>
      </c>
      <c r="G11" s="5">
        <f>23347.01+14433.36</f>
        <v>37780.369999999995</v>
      </c>
      <c r="H11" s="5">
        <f>27372.51+15907.9</f>
        <v>43280.409999999996</v>
      </c>
      <c r="I11" s="5">
        <f>32449.44+19207.2</f>
        <v>51656.639999999999</v>
      </c>
      <c r="J11" s="5">
        <f>30775.14+18458.78</f>
        <v>49233.919999999998</v>
      </c>
      <c r="K11" s="5">
        <f>35271.1+21130.06</f>
        <v>56401.16</v>
      </c>
      <c r="L11" s="5">
        <f>28133.59+17232.3</f>
        <v>45365.89</v>
      </c>
      <c r="M11" s="5">
        <f>25784.47+15589.61</f>
        <v>41374.080000000002</v>
      </c>
      <c r="N11" s="5">
        <f>16913.06+9765.56</f>
        <v>26678.620000000003</v>
      </c>
      <c r="O11" s="5">
        <f>10653.48+5939.21</f>
        <v>16592.689999999999</v>
      </c>
      <c r="P11" s="5">
        <f>5225.33+3097.29</f>
        <v>8322.619999999999</v>
      </c>
    </row>
    <row r="12" spans="2:16" x14ac:dyDescent="0.35">
      <c r="B12" s="1" t="s">
        <v>12</v>
      </c>
      <c r="C12" s="3" t="s">
        <v>14</v>
      </c>
      <c r="D12" s="1" t="s">
        <v>7</v>
      </c>
      <c r="E12" s="5">
        <f>E7-E8-E9-E10+E11</f>
        <v>5711599.0399999991</v>
      </c>
      <c r="F12" s="5">
        <f t="shared" ref="F12:I12" si="0">F7-F8-F9-F10+F11</f>
        <v>5452976.2199999988</v>
      </c>
      <c r="G12" s="5">
        <f t="shared" si="0"/>
        <v>5192836.2899999991</v>
      </c>
      <c r="H12" s="5">
        <f t="shared" si="0"/>
        <v>4128796.9200000013</v>
      </c>
      <c r="I12" s="5">
        <f t="shared" si="0"/>
        <v>3741811.0199999996</v>
      </c>
      <c r="J12" s="5">
        <f>J7-J8-J9-J10+J11</f>
        <v>3692778.7100000014</v>
      </c>
      <c r="K12" s="5">
        <f>K7-K8-K9-K10+K11</f>
        <v>4026616.14</v>
      </c>
      <c r="L12" s="5">
        <f t="shared" ref="L12:P12" si="1">L7-L8-L9-L10+L11</f>
        <v>3882610.0699999975</v>
      </c>
      <c r="M12" s="5">
        <f t="shared" si="1"/>
        <v>3932965.2900000033</v>
      </c>
      <c r="N12" s="5">
        <f t="shared" si="1"/>
        <v>4134501.1700000009</v>
      </c>
      <c r="O12" s="5">
        <f t="shared" si="1"/>
        <v>4306974.5200000023</v>
      </c>
      <c r="P12" s="5">
        <f t="shared" si="1"/>
        <v>4796801</v>
      </c>
    </row>
    <row r="13" spans="2:16" s="34" customFormat="1" ht="10.5" x14ac:dyDescent="0.35">
      <c r="C13" s="3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</row>
    <row r="14" spans="2:16" ht="29" x14ac:dyDescent="0.35">
      <c r="B14" s="1" t="s">
        <v>11</v>
      </c>
      <c r="C14" s="3" t="s">
        <v>13</v>
      </c>
      <c r="D14" s="2" t="s">
        <v>21</v>
      </c>
      <c r="E14" s="5">
        <v>1615324.79</v>
      </c>
      <c r="F14" s="5">
        <v>1779309.92</v>
      </c>
      <c r="G14" s="5">
        <v>1690725.27</v>
      </c>
      <c r="H14" s="5">
        <v>1693672.0899999999</v>
      </c>
      <c r="I14" s="5">
        <v>1364332.5899999999</v>
      </c>
      <c r="J14" s="5">
        <v>1288264.95</v>
      </c>
      <c r="K14" s="5">
        <v>1290850.67</v>
      </c>
      <c r="L14" s="5">
        <v>1290850.67</v>
      </c>
      <c r="M14" s="5">
        <v>1301367.7000000002</v>
      </c>
      <c r="N14" s="5">
        <v>1409711.9100000001</v>
      </c>
      <c r="O14" s="5">
        <v>1439493.68</v>
      </c>
      <c r="P14" s="5">
        <v>1500593.49</v>
      </c>
    </row>
    <row r="15" spans="2:16" s="34" customFormat="1" ht="10.5" x14ac:dyDescent="0.35">
      <c r="C15" s="35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</row>
    <row r="16" spans="2:16" x14ac:dyDescent="0.35">
      <c r="B16" s="1" t="s">
        <v>12</v>
      </c>
      <c r="C16" s="3" t="s">
        <v>15</v>
      </c>
      <c r="D16" s="1" t="s">
        <v>18</v>
      </c>
      <c r="E16" s="5">
        <f t="shared" ref="E16:I16" si="2">E12-E14</f>
        <v>4096274.2499999991</v>
      </c>
      <c r="F16" s="5">
        <f t="shared" si="2"/>
        <v>3673666.2999999989</v>
      </c>
      <c r="G16" s="5">
        <f t="shared" si="2"/>
        <v>3502111.0199999991</v>
      </c>
      <c r="H16" s="5">
        <f t="shared" si="2"/>
        <v>2435124.8300000015</v>
      </c>
      <c r="I16" s="5">
        <f t="shared" si="2"/>
        <v>2377478.4299999997</v>
      </c>
      <c r="J16" s="5">
        <f>J12-J14</f>
        <v>2404513.7600000016</v>
      </c>
      <c r="K16" s="5">
        <f>K12-K14</f>
        <v>2735765.47</v>
      </c>
      <c r="L16" s="5">
        <f t="shared" ref="L16:P16" si="3">L12-L14</f>
        <v>2591759.3999999976</v>
      </c>
      <c r="M16" s="5">
        <f t="shared" si="3"/>
        <v>2631597.5900000031</v>
      </c>
      <c r="N16" s="5">
        <f t="shared" si="3"/>
        <v>2724789.2600000007</v>
      </c>
      <c r="O16" s="5">
        <f t="shared" si="3"/>
        <v>2867480.8400000026</v>
      </c>
      <c r="P16" s="5">
        <f t="shared" si="3"/>
        <v>3296207.51</v>
      </c>
    </row>
    <row r="17" spans="3:17" s="34" customFormat="1" ht="10.5" x14ac:dyDescent="0.35">
      <c r="C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3:17" s="34" customFormat="1" ht="10.5" x14ac:dyDescent="0.35"/>
    <row r="19" spans="3:17" x14ac:dyDescent="0.35">
      <c r="C19" s="14" t="s">
        <v>31</v>
      </c>
      <c r="D19" s="1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3:17" x14ac:dyDescent="0.35">
      <c r="C20" s="3" t="s">
        <v>28</v>
      </c>
      <c r="D20" s="1" t="s">
        <v>16</v>
      </c>
      <c r="E20" s="6">
        <f>(E16)/(E7-E8+E11)</f>
        <v>0.39159666251164466</v>
      </c>
      <c r="F20" s="6">
        <f t="shared" ref="F20:I20" si="4">(F16)/(F7-F8+F11)</f>
        <v>0.3685750530691192</v>
      </c>
      <c r="G20" s="6">
        <f t="shared" si="4"/>
        <v>0.34001763478277353</v>
      </c>
      <c r="H20" s="6">
        <f t="shared" si="4"/>
        <v>0.26857330341792618</v>
      </c>
      <c r="I20" s="6">
        <f t="shared" si="4"/>
        <v>0.26473830353432182</v>
      </c>
      <c r="J20" s="6">
        <f>(J16)/(J7-J8+J11)</f>
        <v>0.27306146172458318</v>
      </c>
      <c r="K20" s="6">
        <f>(K16)/(K7-K8+K11)</f>
        <v>0.30133140066125486</v>
      </c>
      <c r="L20" s="6">
        <f t="shared" ref="L20:P20" si="5">(L16)/(L7-L8+L11)</f>
        <v>0.28289211780913842</v>
      </c>
      <c r="M20" s="6">
        <f t="shared" si="5"/>
        <v>0.286825087463285</v>
      </c>
      <c r="N20" s="6">
        <f t="shared" si="5"/>
        <v>0.29536625067311323</v>
      </c>
      <c r="O20" s="6">
        <f t="shared" si="5"/>
        <v>0.31824163342954204</v>
      </c>
      <c r="P20" s="6">
        <f t="shared" si="5"/>
        <v>0.36864776827337681</v>
      </c>
    </row>
    <row r="21" spans="3:17" x14ac:dyDescent="0.35">
      <c r="C21" s="10" t="s">
        <v>29</v>
      </c>
      <c r="D21" s="11" t="s">
        <v>17</v>
      </c>
      <c r="E21" s="12">
        <f>(E7-E8-E16+E11)/(E7-E8+E11)</f>
        <v>0.60840333748835529</v>
      </c>
      <c r="F21" s="12">
        <f>(F7-F8-F16+F11)/(F7-F8+F11)</f>
        <v>0.6314249469308808</v>
      </c>
      <c r="G21" s="12">
        <f>(G7-G8-G16+G11)/(G7-G8+G11)</f>
        <v>0.65998236521722653</v>
      </c>
      <c r="H21" s="12">
        <f>(H7-H8-H16+H11)/(H7-H8+H11)</f>
        <v>0.73142669658207382</v>
      </c>
      <c r="I21" s="12">
        <f>(I7-I8-I16+I11)/(I7-I8+I11)</f>
        <v>0.73526169646567807</v>
      </c>
      <c r="J21" s="12">
        <f>(J7-J8-J16+J11)/(J7-J8+J11)</f>
        <v>0.72693853827541688</v>
      </c>
      <c r="K21" s="12">
        <f>(K7-K8-K16+K11)/(K7-K8+K11)</f>
        <v>0.69866859933874514</v>
      </c>
      <c r="L21" s="12">
        <f>(L7-L8-L16+L11)/(L7-L8+L11)</f>
        <v>0.71710788219086152</v>
      </c>
      <c r="M21" s="12">
        <f>(M7-M8-M16+M11)/(M7-M8+M11)</f>
        <v>0.71317491253671494</v>
      </c>
      <c r="N21" s="12">
        <f>(N7-N8-N16+N11)/(N7-N8+N11)</f>
        <v>0.70463374932688683</v>
      </c>
      <c r="O21" s="12">
        <f>(O7-O8-O16+O11)/(O7-O8+O11)</f>
        <v>0.68175836657045807</v>
      </c>
      <c r="P21" s="12">
        <f>(P7-P8-P16+P11)/(P7-P8+P11)</f>
        <v>0.63135223172662325</v>
      </c>
    </row>
    <row r="22" spans="3:17" x14ac:dyDescent="0.35">
      <c r="E22" s="7">
        <f>SUM(E20:E21)</f>
        <v>1</v>
      </c>
      <c r="F22" s="7">
        <f>SUM(F20:F21)</f>
        <v>1</v>
      </c>
      <c r="G22" s="7">
        <f>SUM(G20:G21)</f>
        <v>1</v>
      </c>
      <c r="H22" s="7">
        <f>SUM(H20:H21)</f>
        <v>1</v>
      </c>
      <c r="I22" s="7">
        <f>SUM(I20:I21)</f>
        <v>0.99999999999999989</v>
      </c>
      <c r="J22" s="7">
        <f>SUM(J20:J21)</f>
        <v>1</v>
      </c>
      <c r="K22" s="7">
        <f>SUM(K20:K21)</f>
        <v>1</v>
      </c>
      <c r="L22" s="7">
        <f>SUM(L20:L21)</f>
        <v>1</v>
      </c>
      <c r="M22" s="7">
        <f>SUM(M20:M21)</f>
        <v>1</v>
      </c>
      <c r="N22" s="7">
        <f>SUM(N20:N21)</f>
        <v>1</v>
      </c>
      <c r="O22" s="7">
        <f>SUM(O20:O21)</f>
        <v>1</v>
      </c>
      <c r="P22" s="7">
        <f>SUM(P20:P21)</f>
        <v>1</v>
      </c>
    </row>
    <row r="23" spans="3:17" s="34" customFormat="1" ht="10.5" x14ac:dyDescent="0.35"/>
    <row r="24" spans="3:17" x14ac:dyDescent="0.35">
      <c r="C24" s="3" t="s">
        <v>37</v>
      </c>
      <c r="D24" s="31" t="s">
        <v>36</v>
      </c>
      <c r="E24" s="23">
        <v>530106.68999999994</v>
      </c>
      <c r="F24" s="23">
        <v>394812.24</v>
      </c>
      <c r="G24" s="23">
        <v>647881.09</v>
      </c>
      <c r="H24" s="23">
        <v>866481.49</v>
      </c>
      <c r="I24" s="23">
        <v>868252.27</v>
      </c>
      <c r="J24" s="23">
        <v>840070.92</v>
      </c>
      <c r="K24" s="23">
        <v>715754.96</v>
      </c>
      <c r="L24" s="23">
        <v>733847.9</v>
      </c>
      <c r="M24" s="23">
        <v>615431.43000000005</v>
      </c>
      <c r="N24" s="23">
        <v>695967.36</v>
      </c>
      <c r="O24" s="23">
        <v>1019928.27</v>
      </c>
      <c r="P24" s="23">
        <v>846816.32</v>
      </c>
      <c r="Q24" s="41" t="s">
        <v>48</v>
      </c>
    </row>
    <row r="25" spans="3:17" x14ac:dyDescent="0.35">
      <c r="C25" s="3" t="s">
        <v>38</v>
      </c>
      <c r="D25" s="32" t="s">
        <v>32</v>
      </c>
      <c r="E25" s="24">
        <f>E24*E20</f>
        <v>207588.01057909502</v>
      </c>
      <c r="F25" s="24">
        <f>F24*F20</f>
        <v>145517.94231033782</v>
      </c>
      <c r="G25" s="24">
        <f>G24*G20</f>
        <v>220290.99584228522</v>
      </c>
      <c r="H25" s="24">
        <f>H24*H20</f>
        <v>232713.79611978677</v>
      </c>
      <c r="I25" s="24">
        <f>I24*I20</f>
        <v>229859.63299962395</v>
      </c>
      <c r="J25" s="24">
        <f>J24*J20</f>
        <v>229390.99336751539</v>
      </c>
      <c r="K25" s="24">
        <f>K24*K20</f>
        <v>215679.44462704044</v>
      </c>
      <c r="L25" s="24">
        <f>L24*L20</f>
        <v>207599.78658078884</v>
      </c>
      <c r="M25" s="24">
        <f>M24*M20</f>
        <v>176521.17373740458</v>
      </c>
      <c r="N25" s="24">
        <f>N24*N20</f>
        <v>205565.26971406484</v>
      </c>
      <c r="O25" s="24">
        <f>O24*O20</f>
        <v>324583.63862576697</v>
      </c>
      <c r="P25" s="24">
        <f>P24*P20</f>
        <v>312176.94650547369</v>
      </c>
      <c r="Q25" s="42">
        <f t="shared" ref="Q24:Q26" si="6">SUM(E25:P25)</f>
        <v>2707487.6310091838</v>
      </c>
    </row>
    <row r="26" spans="3:17" x14ac:dyDescent="0.35">
      <c r="C26" s="3" t="s">
        <v>39</v>
      </c>
      <c r="D26" s="32" t="s">
        <v>33</v>
      </c>
      <c r="E26" s="24">
        <f>E24*E21</f>
        <v>322518.6794209049</v>
      </c>
      <c r="F26" s="24">
        <f t="shared" ref="F26:P26" si="7">F24*F21</f>
        <v>249294.29768966217</v>
      </c>
      <c r="G26" s="24">
        <f t="shared" si="7"/>
        <v>427590.0941577148</v>
      </c>
      <c r="H26" s="24">
        <f t="shared" si="7"/>
        <v>633767.69388021319</v>
      </c>
      <c r="I26" s="24">
        <f t="shared" si="7"/>
        <v>638392.63700037601</v>
      </c>
      <c r="J26" s="24">
        <f t="shared" si="7"/>
        <v>610679.92663248465</v>
      </c>
      <c r="K26" s="24">
        <f t="shared" si="7"/>
        <v>500075.51537295955</v>
      </c>
      <c r="L26" s="24">
        <f t="shared" si="7"/>
        <v>526248.11341921112</v>
      </c>
      <c r="M26" s="24">
        <f t="shared" si="7"/>
        <v>438910.25626259542</v>
      </c>
      <c r="N26" s="24">
        <f t="shared" si="7"/>
        <v>490402.09028593521</v>
      </c>
      <c r="O26" s="24">
        <f t="shared" si="7"/>
        <v>695344.63137423317</v>
      </c>
      <c r="P26" s="24">
        <f t="shared" si="7"/>
        <v>534639.37349452625</v>
      </c>
      <c r="Q26" s="42">
        <f t="shared" si="6"/>
        <v>6067863.3089908175</v>
      </c>
    </row>
    <row r="27" spans="3:17" x14ac:dyDescent="0.35">
      <c r="D27" s="25" t="s">
        <v>34</v>
      </c>
      <c r="E27" s="26">
        <f>E24-E25-E26</f>
        <v>0</v>
      </c>
      <c r="F27" s="26">
        <f t="shared" ref="F27:P27" si="8">F24-F25-F26</f>
        <v>0</v>
      </c>
      <c r="G27" s="26">
        <f t="shared" si="8"/>
        <v>0</v>
      </c>
      <c r="H27" s="26">
        <f t="shared" si="8"/>
        <v>0</v>
      </c>
      <c r="I27" s="26">
        <f t="shared" si="8"/>
        <v>0</v>
      </c>
      <c r="J27" s="26">
        <f t="shared" si="8"/>
        <v>0</v>
      </c>
      <c r="K27" s="26">
        <f t="shared" si="8"/>
        <v>0</v>
      </c>
      <c r="L27" s="26">
        <f t="shared" si="8"/>
        <v>0</v>
      </c>
      <c r="M27" s="26">
        <f t="shared" si="8"/>
        <v>0</v>
      </c>
      <c r="N27" s="26">
        <f t="shared" si="8"/>
        <v>0</v>
      </c>
      <c r="O27" s="26">
        <f t="shared" si="8"/>
        <v>0</v>
      </c>
      <c r="P27" s="26">
        <f t="shared" si="8"/>
        <v>0</v>
      </c>
    </row>
    <row r="28" spans="3:17" s="34" customFormat="1" ht="10.5" x14ac:dyDescent="0.35"/>
    <row r="29" spans="3:17" x14ac:dyDescent="0.35">
      <c r="C29" s="15" t="s">
        <v>30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3:17" x14ac:dyDescent="0.35">
      <c r="C30" s="33" t="s">
        <v>35</v>
      </c>
      <c r="D30" s="16" t="s">
        <v>16</v>
      </c>
      <c r="E30" s="18">
        <f>(E16)/(E7-E8)</f>
        <v>0.39188156072577357</v>
      </c>
      <c r="F30" s="18">
        <f>(F16)/(F7-F8)</f>
        <v>0.36881567062595361</v>
      </c>
      <c r="G30" s="18">
        <f>(G16)/(G7-G8)</f>
        <v>0.341269435318938</v>
      </c>
      <c r="H30" s="18">
        <f>(H16)/(H7-H8)</f>
        <v>0.26986147545852912</v>
      </c>
      <c r="I30" s="18">
        <f>(I16)/(I7-I8)</f>
        <v>0.2662699144361782</v>
      </c>
      <c r="J30" s="18">
        <f>(J16)/(J7-J8)</f>
        <v>0.27459676073308131</v>
      </c>
      <c r="K30" s="18">
        <f>(K16)/(K7-K8)</f>
        <v>0.30321506858748687</v>
      </c>
      <c r="L30" s="18">
        <f>(L16)/(L7-L8)</f>
        <v>0.28429988970597381</v>
      </c>
      <c r="M30" s="18">
        <f>(M16)/(M7-M8)</f>
        <v>0.28812437720185358</v>
      </c>
      <c r="N30" s="18">
        <f>(N16)/(N7-N8)</f>
        <v>0.29622291357843988</v>
      </c>
      <c r="O30" s="18">
        <f>(O16)/(O7-O8)</f>
        <v>0.31882875867917188</v>
      </c>
      <c r="P30" s="18">
        <f>(P16)/(P7-P8)</f>
        <v>0.36899122590410477</v>
      </c>
    </row>
    <row r="31" spans="3:17" x14ac:dyDescent="0.35">
      <c r="C31" s="17" t="s">
        <v>40</v>
      </c>
      <c r="D31" s="16" t="s">
        <v>17</v>
      </c>
      <c r="E31" s="18">
        <f>(E7-E8-E16)/(E7-E8)</f>
        <v>0.60811843927422649</v>
      </c>
      <c r="F31" s="18">
        <f>(F7-F8-F16)/(F7-F8)</f>
        <v>0.63118432937404645</v>
      </c>
      <c r="G31" s="18">
        <f>(G7-G8-G16)/(G7-G8)</f>
        <v>0.65873056468106195</v>
      </c>
      <c r="H31" s="18">
        <f>(H7-H8-H16)/(H7-H8)</f>
        <v>0.73013852454147088</v>
      </c>
      <c r="I31" s="18">
        <f>(I7-I8-I16)/(I7-I8)</f>
        <v>0.7337300855638218</v>
      </c>
      <c r="J31" s="18">
        <f>(J7-J8-J16)/(J7-J8)</f>
        <v>0.72540323926691863</v>
      </c>
      <c r="K31" s="18">
        <f>(K7-K8-K16)/(K7-K8)</f>
        <v>0.69678493141251308</v>
      </c>
      <c r="L31" s="18">
        <f>(L7-L8-L16)/(L7-L8)</f>
        <v>0.71570011029402625</v>
      </c>
      <c r="M31" s="18">
        <f>(M7-M8-M16)/(M7-M8)</f>
        <v>0.71187562279814642</v>
      </c>
      <c r="N31" s="18">
        <f>(N7-N8-N16)/(N7-N8)</f>
        <v>0.70377708642156012</v>
      </c>
      <c r="O31" s="18">
        <f>(O7-O8-O16)/(O7-O8)</f>
        <v>0.68117124132082807</v>
      </c>
      <c r="P31" s="18">
        <f>(P7-P8-P16)/(P7-P8)</f>
        <v>0.63100877409589529</v>
      </c>
    </row>
    <row r="32" spans="3:17" x14ac:dyDescent="0.35">
      <c r="C32" s="16"/>
      <c r="D32" s="16"/>
      <c r="E32" s="19">
        <f>SUM(E30:E31)</f>
        <v>1</v>
      </c>
      <c r="F32" s="19">
        <f>SUM(F30:F31)</f>
        <v>1</v>
      </c>
      <c r="G32" s="19">
        <f>SUM(G30:G31)</f>
        <v>1</v>
      </c>
      <c r="H32" s="19">
        <f>SUM(H30:H31)</f>
        <v>1</v>
      </c>
      <c r="I32" s="19">
        <f>SUM(I30:I31)</f>
        <v>1</v>
      </c>
      <c r="J32" s="19">
        <f>SUM(J30:J31)</f>
        <v>1</v>
      </c>
      <c r="K32" s="19">
        <f>SUM(K30:K31)</f>
        <v>1</v>
      </c>
      <c r="L32" s="19">
        <f>SUM(L30:L31)</f>
        <v>1</v>
      </c>
      <c r="M32" s="19">
        <f>SUM(M30:M31)</f>
        <v>1</v>
      </c>
      <c r="N32" s="19">
        <f>SUM(N30:N31)</f>
        <v>1</v>
      </c>
      <c r="O32" s="19">
        <f>SUM(O30:O31)</f>
        <v>1</v>
      </c>
      <c r="P32" s="19">
        <f>SUM(P30:P31)</f>
        <v>1</v>
      </c>
    </row>
    <row r="33" spans="3:17" x14ac:dyDescent="0.35"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1" t="s">
        <v>48</v>
      </c>
    </row>
    <row r="34" spans="3:17" x14ac:dyDescent="0.35">
      <c r="C34" s="17" t="s">
        <v>41</v>
      </c>
      <c r="D34" s="27" t="s">
        <v>32</v>
      </c>
      <c r="E34" s="28">
        <f>E30*E24</f>
        <v>207739.0370283738</v>
      </c>
      <c r="F34" s="28">
        <f>F30*F24</f>
        <v>145612.94106693493</v>
      </c>
      <c r="G34" s="28">
        <f>G30*G24</f>
        <v>221102.01373811802</v>
      </c>
      <c r="H34" s="28">
        <f>H30*H24</f>
        <v>233829.97334890475</v>
      </c>
      <c r="I34" s="28">
        <f>I30*I24</f>
        <v>231189.45764191748</v>
      </c>
      <c r="J34" s="28">
        <f>J30*J24</f>
        <v>230680.7534180595</v>
      </c>
      <c r="K34" s="28">
        <f>K30*K24</f>
        <v>217027.6892882339</v>
      </c>
      <c r="L34" s="28">
        <f>L30*L24</f>
        <v>208632.87703096052</v>
      </c>
      <c r="M34" s="28">
        <f>M30*M24</f>
        <v>177320.79747919616</v>
      </c>
      <c r="N34" s="28">
        <f>N30*N24</f>
        <v>206161.47913469496</v>
      </c>
      <c r="O34" s="28">
        <f>O30*O24</f>
        <v>325182.46426589525</v>
      </c>
      <c r="P34" s="28">
        <f>P30*P24</f>
        <v>312467.79203240265</v>
      </c>
      <c r="Q34" s="42">
        <f t="shared" ref="Q34:Q35" si="9">SUM(E34:P34)</f>
        <v>2716947.2754736915</v>
      </c>
    </row>
    <row r="35" spans="3:17" x14ac:dyDescent="0.35">
      <c r="C35" s="17" t="s">
        <v>42</v>
      </c>
      <c r="D35" s="27" t="s">
        <v>33</v>
      </c>
      <c r="E35" s="28">
        <f>E31*E24</f>
        <v>322367.65297162614</v>
      </c>
      <c r="F35" s="28">
        <f>F31*F24</f>
        <v>249199.29893306506</v>
      </c>
      <c r="G35" s="28">
        <f>G31*G24</f>
        <v>426779.07626188191</v>
      </c>
      <c r="H35" s="28">
        <f>H31*H24</f>
        <v>632651.51665109524</v>
      </c>
      <c r="I35" s="28">
        <f>I31*I24</f>
        <v>637062.8123580825</v>
      </c>
      <c r="J35" s="28">
        <f>J31*J24</f>
        <v>609390.16658194049</v>
      </c>
      <c r="K35" s="28">
        <f>K31*K24</f>
        <v>498727.27071176603</v>
      </c>
      <c r="L35" s="28">
        <f>L31*L24</f>
        <v>525215.02296903951</v>
      </c>
      <c r="M35" s="28">
        <f>M31*M24</f>
        <v>438110.63252080389</v>
      </c>
      <c r="N35" s="28">
        <f>N31*N24</f>
        <v>489805.88086530502</v>
      </c>
      <c r="O35" s="28">
        <f>O31*O24</f>
        <v>694745.80573410471</v>
      </c>
      <c r="P35" s="28">
        <f>P31*P24</f>
        <v>534348.52796759736</v>
      </c>
      <c r="Q35" s="42">
        <f t="shared" si="9"/>
        <v>6058403.664526307</v>
      </c>
    </row>
    <row r="36" spans="3:17" x14ac:dyDescent="0.35">
      <c r="C36" s="16"/>
      <c r="D36" s="29" t="s">
        <v>34</v>
      </c>
      <c r="E36" s="30">
        <f>E24-E34-E35</f>
        <v>0</v>
      </c>
      <c r="F36" s="30">
        <f>F24-F34-F35</f>
        <v>0</v>
      </c>
      <c r="G36" s="30">
        <f>G24-G34-G35</f>
        <v>0</v>
      </c>
      <c r="H36" s="30">
        <f>H24-H34-H35</f>
        <v>0</v>
      </c>
      <c r="I36" s="30">
        <f>I24-I34-I35</f>
        <v>0</v>
      </c>
      <c r="J36" s="30">
        <f>J24-J34-J35</f>
        <v>0</v>
      </c>
      <c r="K36" s="30">
        <f>K24-K34-K35</f>
        <v>0</v>
      </c>
      <c r="L36" s="30">
        <f>L24-L34-L35</f>
        <v>0</v>
      </c>
      <c r="M36" s="30">
        <f>M24-M34-M35</f>
        <v>0</v>
      </c>
      <c r="N36" s="30">
        <f>N24-N34-N35</f>
        <v>0</v>
      </c>
      <c r="O36" s="30">
        <f>O24-O34-O35</f>
        <v>0</v>
      </c>
      <c r="P36" s="30">
        <f>P24-P34-P35</f>
        <v>0</v>
      </c>
    </row>
    <row r="37" spans="3:17" s="39" customFormat="1" ht="15.5" x14ac:dyDescent="0.35">
      <c r="Q37" s="40" t="s">
        <v>47</v>
      </c>
    </row>
    <row r="38" spans="3:17" x14ac:dyDescent="0.35">
      <c r="C38" s="3" t="s">
        <v>43</v>
      </c>
      <c r="D38" s="1" t="s">
        <v>45</v>
      </c>
      <c r="E38" s="24">
        <f>E25-E34</f>
        <v>-151.02644927878282</v>
      </c>
      <c r="F38" s="24">
        <f t="shared" ref="F38:P38" si="10">F25-F34</f>
        <v>-94.998756597109605</v>
      </c>
      <c r="G38" s="24">
        <f t="shared" si="10"/>
        <v>-811.01789583280333</v>
      </c>
      <c r="H38" s="24">
        <f t="shared" si="10"/>
        <v>-1116.1772291179805</v>
      </c>
      <c r="I38" s="24">
        <f t="shared" si="10"/>
        <v>-1329.8246422935335</v>
      </c>
      <c r="J38" s="24">
        <f t="shared" si="10"/>
        <v>-1289.7600505441078</v>
      </c>
      <c r="K38" s="24">
        <f t="shared" si="10"/>
        <v>-1348.2446611934574</v>
      </c>
      <c r="L38" s="24">
        <f t="shared" si="10"/>
        <v>-1033.0904501716723</v>
      </c>
      <c r="M38" s="24">
        <f t="shared" si="10"/>
        <v>-799.6237417915836</v>
      </c>
      <c r="N38" s="24">
        <f t="shared" si="10"/>
        <v>-596.20942063012626</v>
      </c>
      <c r="O38" s="24">
        <f t="shared" si="10"/>
        <v>-598.82564012828516</v>
      </c>
      <c r="P38" s="24">
        <f t="shared" si="10"/>
        <v>-290.84552692895522</v>
      </c>
      <c r="Q38" s="24">
        <f>SUM(E38:P38)</f>
        <v>-9459.6444645083975</v>
      </c>
    </row>
    <row r="39" spans="3:17" x14ac:dyDescent="0.35">
      <c r="C39" s="3" t="s">
        <v>44</v>
      </c>
      <c r="D39" s="1" t="s">
        <v>46</v>
      </c>
      <c r="E39" s="24">
        <f>E26-E35</f>
        <v>151.02644927875372</v>
      </c>
      <c r="F39" s="24">
        <f t="shared" ref="F39:P39" si="11">F26-F35</f>
        <v>94.998756597109605</v>
      </c>
      <c r="G39" s="24">
        <f t="shared" si="11"/>
        <v>811.01789583289064</v>
      </c>
      <c r="H39" s="24">
        <f t="shared" si="11"/>
        <v>1116.1772291179514</v>
      </c>
      <c r="I39" s="24">
        <f t="shared" si="11"/>
        <v>1329.8246422935044</v>
      </c>
      <c r="J39" s="24">
        <f t="shared" si="11"/>
        <v>1289.760050544166</v>
      </c>
      <c r="K39" s="24">
        <f t="shared" si="11"/>
        <v>1348.2446611935156</v>
      </c>
      <c r="L39" s="24">
        <f t="shared" si="11"/>
        <v>1033.0904501716141</v>
      </c>
      <c r="M39" s="24">
        <f t="shared" si="11"/>
        <v>799.62374179152539</v>
      </c>
      <c r="N39" s="24">
        <f t="shared" si="11"/>
        <v>596.20942063018447</v>
      </c>
      <c r="O39" s="24">
        <f t="shared" si="11"/>
        <v>598.82564012845978</v>
      </c>
      <c r="P39" s="24">
        <f t="shared" si="11"/>
        <v>290.84552692889702</v>
      </c>
      <c r="Q39" s="24">
        <f>SUM(E39:P39)</f>
        <v>9459.6444645085721</v>
      </c>
    </row>
  </sheetData>
  <pageMargins left="0.7" right="0.7" top="0.75" bottom="0.75" header="0.3" footer="0.3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9"/>
  <sheetViews>
    <sheetView zoomScale="90" zoomScaleNormal="90" workbookViewId="0">
      <selection activeCell="B2" sqref="B2"/>
    </sheetView>
  </sheetViews>
  <sheetFormatPr defaultRowHeight="14.5" x14ac:dyDescent="0.35"/>
  <cols>
    <col min="1" max="1" width="3" style="1" customWidth="1"/>
    <col min="2" max="2" width="6.453125" style="1" bestFit="1" customWidth="1"/>
    <col min="3" max="3" width="19.36328125" style="1" customWidth="1"/>
    <col min="4" max="4" width="44.90625" style="1" bestFit="1" customWidth="1"/>
    <col min="5" max="5" width="14.90625" style="1" bestFit="1" customWidth="1"/>
    <col min="6" max="13" width="12.08984375" style="1" bestFit="1" customWidth="1"/>
    <col min="14" max="15" width="13.6328125" style="1" bestFit="1" customWidth="1"/>
    <col min="16" max="16" width="12.08984375" style="1" bestFit="1" customWidth="1"/>
    <col min="17" max="17" width="15.54296875" style="1" bestFit="1" customWidth="1"/>
    <col min="18" max="16384" width="8.7265625" style="1"/>
  </cols>
  <sheetData>
    <row r="2" spans="2:16" ht="15.5" x14ac:dyDescent="0.35">
      <c r="D2" s="1" t="s">
        <v>24</v>
      </c>
      <c r="E2" s="20">
        <v>42370</v>
      </c>
      <c r="F2" s="20">
        <v>42401</v>
      </c>
      <c r="G2" s="20">
        <v>42430</v>
      </c>
      <c r="H2" s="20">
        <v>42461</v>
      </c>
      <c r="I2" s="20">
        <v>42491</v>
      </c>
      <c r="J2" s="20">
        <v>42522</v>
      </c>
      <c r="K2" s="20">
        <v>42552</v>
      </c>
      <c r="L2" s="20">
        <v>42583</v>
      </c>
      <c r="M2" s="20">
        <v>42614</v>
      </c>
      <c r="N2" s="20">
        <v>42644</v>
      </c>
      <c r="O2" s="20">
        <v>42675</v>
      </c>
      <c r="P2" s="20">
        <v>42705</v>
      </c>
    </row>
    <row r="3" spans="2:16" x14ac:dyDescent="0.35">
      <c r="D3" s="1" t="s">
        <v>26</v>
      </c>
      <c r="E3" s="21">
        <v>42370</v>
      </c>
      <c r="F3" s="21">
        <v>42401</v>
      </c>
      <c r="G3" s="21">
        <v>42430</v>
      </c>
      <c r="H3" s="21">
        <v>42461</v>
      </c>
      <c r="I3" s="21">
        <v>42491</v>
      </c>
      <c r="J3" s="21">
        <v>42522</v>
      </c>
      <c r="K3" s="21">
        <v>42552</v>
      </c>
      <c r="L3" s="21">
        <v>42583</v>
      </c>
      <c r="M3" s="21">
        <v>42614</v>
      </c>
      <c r="N3" s="21">
        <v>42644</v>
      </c>
      <c r="O3" s="21">
        <v>42675</v>
      </c>
      <c r="P3" s="21">
        <v>42705</v>
      </c>
    </row>
    <row r="4" spans="2:16" x14ac:dyDescent="0.35">
      <c r="D4" s="1" t="s">
        <v>27</v>
      </c>
      <c r="E4" s="21">
        <v>42400</v>
      </c>
      <c r="F4" s="21">
        <v>42428</v>
      </c>
      <c r="G4" s="21">
        <v>42460</v>
      </c>
      <c r="H4" s="21">
        <v>42490</v>
      </c>
      <c r="I4" s="21">
        <v>42521</v>
      </c>
      <c r="J4" s="21">
        <v>42551</v>
      </c>
      <c r="K4" s="21">
        <v>42582</v>
      </c>
      <c r="L4" s="21">
        <v>42613</v>
      </c>
      <c r="M4" s="21">
        <v>42643</v>
      </c>
      <c r="N4" s="21">
        <v>42674</v>
      </c>
      <c r="O4" s="21">
        <v>42704</v>
      </c>
      <c r="P4" s="21">
        <v>42735</v>
      </c>
    </row>
    <row r="6" spans="2:16" x14ac:dyDescent="0.35">
      <c r="C6" s="8" t="s">
        <v>25</v>
      </c>
      <c r="D6" s="9" t="s">
        <v>23</v>
      </c>
      <c r="E6" s="4" t="s">
        <v>5</v>
      </c>
      <c r="F6" s="4" t="s">
        <v>5</v>
      </c>
      <c r="G6" s="4" t="s">
        <v>5</v>
      </c>
      <c r="H6" s="4" t="s">
        <v>5</v>
      </c>
      <c r="I6" s="4" t="s">
        <v>5</v>
      </c>
      <c r="J6" s="4" t="s">
        <v>5</v>
      </c>
      <c r="K6" s="4" t="s">
        <v>5</v>
      </c>
      <c r="L6" s="4" t="s">
        <v>5</v>
      </c>
      <c r="M6" s="4" t="s">
        <v>5</v>
      </c>
      <c r="N6" s="4" t="s">
        <v>5</v>
      </c>
      <c r="O6" s="4" t="s">
        <v>5</v>
      </c>
      <c r="P6" s="4" t="s">
        <v>5</v>
      </c>
    </row>
    <row r="7" spans="2:16" x14ac:dyDescent="0.35">
      <c r="B7" s="1" t="s">
        <v>9</v>
      </c>
      <c r="C7" s="3" t="s">
        <v>0</v>
      </c>
      <c r="D7" s="1" t="s">
        <v>8</v>
      </c>
      <c r="E7" s="5">
        <v>9895409.3500000015</v>
      </c>
      <c r="F7" s="5">
        <v>9365590.8399999999</v>
      </c>
      <c r="G7" s="5">
        <v>9368738.1300000008</v>
      </c>
      <c r="H7" s="5">
        <v>8794033.1600000001</v>
      </c>
      <c r="I7" s="5">
        <v>8456406.9399999976</v>
      </c>
      <c r="J7" s="5">
        <v>8563669.8500000015</v>
      </c>
      <c r="K7" s="5">
        <v>8313674.459999999</v>
      </c>
      <c r="L7" s="5">
        <v>9613556.209999999</v>
      </c>
      <c r="M7" s="5">
        <v>8887509.4000000004</v>
      </c>
      <c r="N7" s="5">
        <v>8931761.6699999999</v>
      </c>
      <c r="O7" s="5">
        <v>9077757.6699999999</v>
      </c>
      <c r="P7" s="5">
        <v>9434433.1499999985</v>
      </c>
    </row>
    <row r="8" spans="2:16" x14ac:dyDescent="0.35">
      <c r="B8" s="1" t="s">
        <v>11</v>
      </c>
      <c r="C8" s="3" t="s">
        <v>1</v>
      </c>
      <c r="D8" s="1" t="s">
        <v>6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2:16" x14ac:dyDescent="0.35">
      <c r="B9" s="1" t="s">
        <v>11</v>
      </c>
      <c r="C9" s="3" t="s">
        <v>2</v>
      </c>
      <c r="D9" s="1" t="s">
        <v>22</v>
      </c>
      <c r="E9" s="5">
        <v>4561205.9600000009</v>
      </c>
      <c r="F9" s="5">
        <v>4473544.07</v>
      </c>
      <c r="G9" s="5">
        <v>4679960.71</v>
      </c>
      <c r="H9" s="5">
        <v>4599710.8699999992</v>
      </c>
      <c r="I9" s="5">
        <v>4633006.4700000007</v>
      </c>
      <c r="J9" s="5">
        <v>4803586.6400000006</v>
      </c>
      <c r="K9" s="5">
        <v>4114031.42</v>
      </c>
      <c r="L9" s="5">
        <v>5175691.3200000012</v>
      </c>
      <c r="M9" s="5">
        <v>4984921.2700000005</v>
      </c>
      <c r="N9" s="5">
        <v>4887890.07</v>
      </c>
      <c r="O9" s="5">
        <v>4787601.2799999993</v>
      </c>
      <c r="P9" s="5">
        <v>4229649.92</v>
      </c>
    </row>
    <row r="10" spans="2:16" x14ac:dyDescent="0.35">
      <c r="B10" s="1" t="s">
        <v>11</v>
      </c>
      <c r="C10" s="3" t="s">
        <v>3</v>
      </c>
      <c r="D10" s="1" t="s">
        <v>20</v>
      </c>
      <c r="E10" s="5">
        <v>83744.949999999953</v>
      </c>
      <c r="F10" s="5">
        <v>74489.109999999942</v>
      </c>
      <c r="G10" s="5">
        <v>71388.970000000016</v>
      </c>
      <c r="H10" s="5">
        <v>59786.10000000002</v>
      </c>
      <c r="I10" s="5">
        <v>54607.119999999966</v>
      </c>
      <c r="J10" s="5">
        <v>44918.700000000019</v>
      </c>
      <c r="K10" s="5">
        <v>47811.92</v>
      </c>
      <c r="L10" s="5">
        <v>53276.289999999957</v>
      </c>
      <c r="M10" s="5">
        <v>58167.599999999962</v>
      </c>
      <c r="N10" s="5">
        <v>68302.609999999971</v>
      </c>
      <c r="O10" s="5">
        <v>74031.3</v>
      </c>
      <c r="P10" s="5">
        <v>81963.38</v>
      </c>
    </row>
    <row r="11" spans="2:16" x14ac:dyDescent="0.35">
      <c r="B11" s="1" t="s">
        <v>10</v>
      </c>
      <c r="C11" s="3" t="s">
        <v>4</v>
      </c>
      <c r="D11" s="1" t="s">
        <v>19</v>
      </c>
      <c r="E11" s="5">
        <f>3717.5+1490.04</f>
        <v>5207.54</v>
      </c>
      <c r="F11" s="5">
        <f>8887.02+4536.57</f>
        <v>13423.59</v>
      </c>
      <c r="G11" s="5">
        <f>17336.58+11852.58</f>
        <v>29189.160000000003</v>
      </c>
      <c r="H11" s="5">
        <f>27353.19+16266.34</f>
        <v>43619.53</v>
      </c>
      <c r="I11" s="5">
        <f>34938.82+20589.43</f>
        <v>55528.25</v>
      </c>
      <c r="J11" s="5">
        <f>35710.84+22176.35</f>
        <v>57887.189999999995</v>
      </c>
      <c r="K11" s="5">
        <f>34000.63+20783</f>
        <v>54783.63</v>
      </c>
      <c r="L11" s="5">
        <f>33966.01+18677.15</f>
        <v>52643.16</v>
      </c>
      <c r="M11" s="5">
        <f>28134.72+15686.62</f>
        <v>43821.340000000004</v>
      </c>
      <c r="N11" s="5">
        <f>17718.05+9519.33</f>
        <v>27237.379999999997</v>
      </c>
      <c r="O11" s="5">
        <f>12457.03+6668.93</f>
        <v>19125.96</v>
      </c>
      <c r="P11" s="5">
        <f>1507.68+640.2</f>
        <v>2147.88</v>
      </c>
    </row>
    <row r="12" spans="2:16" x14ac:dyDescent="0.35">
      <c r="B12" s="1" t="s">
        <v>12</v>
      </c>
      <c r="C12" s="3" t="s">
        <v>14</v>
      </c>
      <c r="D12" s="1" t="s">
        <v>7</v>
      </c>
      <c r="E12" s="5">
        <f>E7-E8-E9-E10+E11</f>
        <v>5255665.9800000004</v>
      </c>
      <c r="F12" s="5">
        <f t="shared" ref="F12:I12" si="0">F7-F8-F9-F10+F11</f>
        <v>4830981.2499999991</v>
      </c>
      <c r="G12" s="5">
        <f t="shared" si="0"/>
        <v>4646577.6100000013</v>
      </c>
      <c r="H12" s="5">
        <f t="shared" si="0"/>
        <v>4178155.7200000007</v>
      </c>
      <c r="I12" s="5">
        <f t="shared" si="0"/>
        <v>3824321.5999999968</v>
      </c>
      <c r="J12" s="5">
        <f>J7-J8-J9-J10+J11</f>
        <v>3773051.7000000007</v>
      </c>
      <c r="K12" s="5">
        <f>K7-K8-K9-K10+K11</f>
        <v>4206614.7499999991</v>
      </c>
      <c r="L12" s="5">
        <f t="shared" ref="L12:P12" si="1">L7-L8-L9-L10+L11</f>
        <v>4437231.7599999979</v>
      </c>
      <c r="M12" s="5">
        <f t="shared" si="1"/>
        <v>3888241.8699999996</v>
      </c>
      <c r="N12" s="5">
        <f t="shared" si="1"/>
        <v>4002806.3699999996</v>
      </c>
      <c r="O12" s="5">
        <f t="shared" si="1"/>
        <v>4235251.0500000007</v>
      </c>
      <c r="P12" s="5">
        <f t="shared" si="1"/>
        <v>5124967.7299999986</v>
      </c>
    </row>
    <row r="13" spans="2:16" s="34" customFormat="1" ht="10.5" x14ac:dyDescent="0.35">
      <c r="C13" s="3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</row>
    <row r="14" spans="2:16" ht="29" x14ac:dyDescent="0.35">
      <c r="B14" s="1" t="s">
        <v>11</v>
      </c>
      <c r="C14" s="3" t="s">
        <v>13</v>
      </c>
      <c r="D14" s="2" t="s">
        <v>21</v>
      </c>
      <c r="E14" s="5">
        <v>1536345.05</v>
      </c>
      <c r="F14" s="5">
        <v>1684555.13</v>
      </c>
      <c r="G14" s="5">
        <v>1540522.12</v>
      </c>
      <c r="H14" s="5">
        <v>1546962.42</v>
      </c>
      <c r="I14" s="5">
        <v>1378250.4</v>
      </c>
      <c r="J14" s="5">
        <v>1283622.6299999999</v>
      </c>
      <c r="K14" s="5">
        <v>1219720.67</v>
      </c>
      <c r="L14" s="5">
        <v>1250711.99</v>
      </c>
      <c r="M14" s="5">
        <v>1330068.1000000001</v>
      </c>
      <c r="N14" s="5">
        <v>1447631.8</v>
      </c>
      <c r="O14" s="5">
        <v>1519876.71</v>
      </c>
      <c r="P14" s="5">
        <v>1367372.25</v>
      </c>
    </row>
    <row r="15" spans="2:16" s="34" customFormat="1" ht="10.5" x14ac:dyDescent="0.35">
      <c r="C15" s="35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</row>
    <row r="16" spans="2:16" x14ac:dyDescent="0.35">
      <c r="B16" s="1" t="s">
        <v>12</v>
      </c>
      <c r="C16" s="3" t="s">
        <v>15</v>
      </c>
      <c r="D16" s="1" t="s">
        <v>18</v>
      </c>
      <c r="E16" s="5">
        <f t="shared" ref="E16:I16" si="2">E12-E14</f>
        <v>3719320.9300000006</v>
      </c>
      <c r="F16" s="5">
        <f t="shared" si="2"/>
        <v>3146426.1199999992</v>
      </c>
      <c r="G16" s="5">
        <f t="shared" si="2"/>
        <v>3106055.4900000012</v>
      </c>
      <c r="H16" s="5">
        <f t="shared" si="2"/>
        <v>2631193.3000000007</v>
      </c>
      <c r="I16" s="5">
        <f t="shared" si="2"/>
        <v>2446071.1999999969</v>
      </c>
      <c r="J16" s="5">
        <f>J12-J14</f>
        <v>2489429.0700000008</v>
      </c>
      <c r="K16" s="5">
        <f>K12-K14</f>
        <v>2986894.0799999991</v>
      </c>
      <c r="L16" s="5">
        <f t="shared" ref="L16:P16" si="3">L12-L14</f>
        <v>3186519.7699999977</v>
      </c>
      <c r="M16" s="5">
        <f t="shared" si="3"/>
        <v>2558173.7699999996</v>
      </c>
      <c r="N16" s="5">
        <f t="shared" si="3"/>
        <v>2555174.5699999994</v>
      </c>
      <c r="O16" s="5">
        <f t="shared" si="3"/>
        <v>2715374.3400000008</v>
      </c>
      <c r="P16" s="5">
        <f t="shared" si="3"/>
        <v>3757595.4799999986</v>
      </c>
    </row>
    <row r="17" spans="3:17" s="34" customFormat="1" ht="10.5" x14ac:dyDescent="0.35">
      <c r="C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3:17" s="34" customFormat="1" ht="10.5" x14ac:dyDescent="0.35"/>
    <row r="19" spans="3:17" x14ac:dyDescent="0.35">
      <c r="C19" s="14" t="s">
        <v>31</v>
      </c>
      <c r="D19" s="1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3:17" x14ac:dyDescent="0.35">
      <c r="C20" s="3" t="s">
        <v>28</v>
      </c>
      <c r="D20" s="1" t="s">
        <v>16</v>
      </c>
      <c r="E20" s="6">
        <f>(E16)/(E7-E8+E11)</f>
        <v>0.37566557430948128</v>
      </c>
      <c r="F20" s="6">
        <f t="shared" ref="F20:I20" si="4">(F16)/(F7-F8+F11)</f>
        <v>0.33547513371295656</v>
      </c>
      <c r="G20" s="6">
        <f t="shared" si="4"/>
        <v>0.33050431165870414</v>
      </c>
      <c r="H20" s="6">
        <f t="shared" si="4"/>
        <v>0.29772535675420403</v>
      </c>
      <c r="I20" s="6">
        <f t="shared" si="4"/>
        <v>0.28736957523756684</v>
      </c>
      <c r="J20" s="6">
        <f>(J16)/(J7-J8+J11)</f>
        <v>0.2887447195964965</v>
      </c>
      <c r="K20" s="6">
        <f>(K16)/(K7-K8+K11)</f>
        <v>0.35692287012457269</v>
      </c>
      <c r="L20" s="6">
        <f t="shared" ref="L20:P20" si="5">(L16)/(L7-L8+L11)</f>
        <v>0.32965591211471135</v>
      </c>
      <c r="M20" s="6">
        <f t="shared" si="5"/>
        <v>0.28642694403230662</v>
      </c>
      <c r="N20" s="6">
        <f t="shared" si="5"/>
        <v>0.28520759470333901</v>
      </c>
      <c r="O20" s="6">
        <f t="shared" si="5"/>
        <v>0.29849500669054951</v>
      </c>
      <c r="P20" s="6">
        <f t="shared" si="5"/>
        <v>0.39819458637128863</v>
      </c>
    </row>
    <row r="21" spans="3:17" x14ac:dyDescent="0.35">
      <c r="C21" s="10" t="s">
        <v>29</v>
      </c>
      <c r="D21" s="11" t="s">
        <v>17</v>
      </c>
      <c r="E21" s="12">
        <f>(E7-E8-E16+E11)/(E7-E8+E11)</f>
        <v>0.62433442569051878</v>
      </c>
      <c r="F21" s="12">
        <f>(F7-F8-F16+F11)/(F7-F8+F11)</f>
        <v>0.66452486628704344</v>
      </c>
      <c r="G21" s="12">
        <f>(G7-G8-G16+G11)/(G7-G8+G11)</f>
        <v>0.6694956883412958</v>
      </c>
      <c r="H21" s="12">
        <f>(H7-H8-H16+H11)/(H7-H8+H11)</f>
        <v>0.70227464324579603</v>
      </c>
      <c r="I21" s="12">
        <f>(I7-I8-I16+I11)/(I7-I8+I11)</f>
        <v>0.7126304247624331</v>
      </c>
      <c r="J21" s="12">
        <f>(J7-J8-J16+J11)/(J7-J8+J11)</f>
        <v>0.71125528040350361</v>
      </c>
      <c r="K21" s="12">
        <f>(K7-K8-K16+K11)/(K7-K8+K11)</f>
        <v>0.64307712987542731</v>
      </c>
      <c r="L21" s="12">
        <f>(L7-L8-L16+L11)/(L7-L8+L11)</f>
        <v>0.67034408788528865</v>
      </c>
      <c r="M21" s="12">
        <f>(M7-M8-M16+M11)/(M7-M8+M11)</f>
        <v>0.71357305596769338</v>
      </c>
      <c r="N21" s="12">
        <f>(N7-N8-N16+N11)/(N7-N8+N11)</f>
        <v>0.71479240529666088</v>
      </c>
      <c r="O21" s="12">
        <f>(O7-O8-O16+O11)/(O7-O8+O11)</f>
        <v>0.70150499330945038</v>
      </c>
      <c r="P21" s="12">
        <f>(P7-P8-P16+P11)/(P7-P8+P11)</f>
        <v>0.60180541362871132</v>
      </c>
    </row>
    <row r="22" spans="3:17" x14ac:dyDescent="0.35">
      <c r="E22" s="7">
        <f>SUM(E20:E21)</f>
        <v>1</v>
      </c>
      <c r="F22" s="7">
        <f>SUM(F20:F21)</f>
        <v>1</v>
      </c>
      <c r="G22" s="7">
        <f>SUM(G20:G21)</f>
        <v>1</v>
      </c>
      <c r="H22" s="7">
        <f>SUM(H20:H21)</f>
        <v>1</v>
      </c>
      <c r="I22" s="7">
        <f>SUM(I20:I21)</f>
        <v>1</v>
      </c>
      <c r="J22" s="7">
        <f>SUM(J20:J21)</f>
        <v>1</v>
      </c>
      <c r="K22" s="7">
        <f>SUM(K20:K21)</f>
        <v>1</v>
      </c>
      <c r="L22" s="7">
        <f>SUM(L20:L21)</f>
        <v>1</v>
      </c>
      <c r="M22" s="7">
        <f>SUM(M20:M21)</f>
        <v>1</v>
      </c>
      <c r="N22" s="7">
        <f>SUM(N20:N21)</f>
        <v>0.99999999999999989</v>
      </c>
      <c r="O22" s="7">
        <f>SUM(O20:O21)</f>
        <v>0.99999999999999989</v>
      </c>
      <c r="P22" s="7">
        <f>SUM(P20:P21)</f>
        <v>1</v>
      </c>
    </row>
    <row r="23" spans="3:17" s="34" customFormat="1" ht="10.5" x14ac:dyDescent="0.35"/>
    <row r="24" spans="3:17" x14ac:dyDescent="0.35">
      <c r="C24" s="3" t="s">
        <v>37</v>
      </c>
      <c r="D24" s="31" t="s">
        <v>36</v>
      </c>
      <c r="E24" s="23">
        <v>908842.96</v>
      </c>
      <c r="F24" s="23">
        <v>923995.58</v>
      </c>
      <c r="G24" s="23">
        <v>997073.12</v>
      </c>
      <c r="H24" s="23">
        <v>983996.74</v>
      </c>
      <c r="I24" s="23">
        <v>915078.68</v>
      </c>
      <c r="J24" s="23">
        <v>823356.31</v>
      </c>
      <c r="K24" s="23">
        <v>695306.17</v>
      </c>
      <c r="L24" s="23">
        <v>686567.86</v>
      </c>
      <c r="M24" s="23">
        <v>851163.95</v>
      </c>
      <c r="N24" s="23">
        <v>1005740.45</v>
      </c>
      <c r="O24" s="23">
        <v>1010618.5</v>
      </c>
      <c r="P24" s="23">
        <v>821392.8</v>
      </c>
      <c r="Q24" s="41" t="s">
        <v>48</v>
      </c>
    </row>
    <row r="25" spans="3:17" x14ac:dyDescent="0.35">
      <c r="C25" s="3" t="s">
        <v>38</v>
      </c>
      <c r="D25" s="32" t="s">
        <v>32</v>
      </c>
      <c r="E25" s="24">
        <f>E24*E20</f>
        <v>341421.0125255289</v>
      </c>
      <c r="F25" s="24">
        <f>F24*F20</f>
        <v>309977.54075068084</v>
      </c>
      <c r="G25" s="24">
        <f>G24*G20</f>
        <v>329536.96519899654</v>
      </c>
      <c r="H25" s="24">
        <f>H24*H20</f>
        <v>292960.78046147374</v>
      </c>
      <c r="I25" s="24">
        <f>I24*I20</f>
        <v>262965.77158055338</v>
      </c>
      <c r="J25" s="24">
        <f>J24*J20</f>
        <v>237739.78685895607</v>
      </c>
      <c r="K25" s="24">
        <f>K24*K20</f>
        <v>248170.67381172406</v>
      </c>
      <c r="L25" s="24">
        <f>L24*L20</f>
        <v>226331.15411694543</v>
      </c>
      <c r="M25" s="24">
        <f>M24*M20</f>
        <v>243796.28906896702</v>
      </c>
      <c r="N25" s="24">
        <f>N24*N20</f>
        <v>286844.81464035378</v>
      </c>
      <c r="O25" s="24">
        <f>O24*O20</f>
        <v>301664.5759190931</v>
      </c>
      <c r="P25" s="24">
        <f>P24*P20</f>
        <v>327074.16624435462</v>
      </c>
      <c r="Q25" s="42">
        <f t="shared" ref="Q25:Q26" si="6">SUM(E25:P25)</f>
        <v>3408483.5311776274</v>
      </c>
    </row>
    <row r="26" spans="3:17" x14ac:dyDescent="0.35">
      <c r="C26" s="3" t="s">
        <v>39</v>
      </c>
      <c r="D26" s="32" t="s">
        <v>33</v>
      </c>
      <c r="E26" s="24">
        <f>E24*E21</f>
        <v>567421.94747447106</v>
      </c>
      <c r="F26" s="24">
        <f t="shared" ref="F26:P26" si="7">F24*F21</f>
        <v>614018.03924931912</v>
      </c>
      <c r="G26" s="24">
        <f t="shared" si="7"/>
        <v>667536.1548010034</v>
      </c>
      <c r="H26" s="24">
        <f t="shared" si="7"/>
        <v>691035.95953852625</v>
      </c>
      <c r="I26" s="24">
        <f t="shared" si="7"/>
        <v>652112.90841944667</v>
      </c>
      <c r="J26" s="24">
        <f t="shared" si="7"/>
        <v>585616.52314104408</v>
      </c>
      <c r="K26" s="24">
        <f t="shared" si="7"/>
        <v>447135.49618827598</v>
      </c>
      <c r="L26" s="24">
        <f t="shared" si="7"/>
        <v>460236.70588305453</v>
      </c>
      <c r="M26" s="24">
        <f t="shared" si="7"/>
        <v>607367.66093103297</v>
      </c>
      <c r="N26" s="24">
        <f t="shared" si="7"/>
        <v>718895.63535964605</v>
      </c>
      <c r="O26" s="24">
        <f t="shared" si="7"/>
        <v>708953.92408090679</v>
      </c>
      <c r="P26" s="24">
        <f t="shared" si="7"/>
        <v>494318.63375564537</v>
      </c>
      <c r="Q26" s="42">
        <f t="shared" si="6"/>
        <v>7214649.5888223713</v>
      </c>
    </row>
    <row r="27" spans="3:17" x14ac:dyDescent="0.35">
      <c r="D27" s="25" t="s">
        <v>34</v>
      </c>
      <c r="E27" s="26">
        <f>E24-E25-E26</f>
        <v>0</v>
      </c>
      <c r="F27" s="26">
        <f t="shared" ref="F27:P27" si="8">F24-F25-F26</f>
        <v>0</v>
      </c>
      <c r="G27" s="26">
        <f t="shared" si="8"/>
        <v>0</v>
      </c>
      <c r="H27" s="26">
        <f t="shared" si="8"/>
        <v>0</v>
      </c>
      <c r="I27" s="26">
        <f t="shared" si="8"/>
        <v>0</v>
      </c>
      <c r="J27" s="26">
        <f t="shared" si="8"/>
        <v>0</v>
      </c>
      <c r="K27" s="26">
        <f t="shared" si="8"/>
        <v>0</v>
      </c>
      <c r="L27" s="26">
        <f t="shared" si="8"/>
        <v>0</v>
      </c>
      <c r="M27" s="26">
        <f t="shared" si="8"/>
        <v>0</v>
      </c>
      <c r="N27" s="26">
        <f t="shared" si="8"/>
        <v>0</v>
      </c>
      <c r="O27" s="26">
        <f t="shared" si="8"/>
        <v>0</v>
      </c>
      <c r="P27" s="26">
        <f t="shared" si="8"/>
        <v>0</v>
      </c>
    </row>
    <row r="28" spans="3:17" s="34" customFormat="1" ht="10.5" x14ac:dyDescent="0.35">
      <c r="D28" s="37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3:17" x14ac:dyDescent="0.35">
      <c r="C29" s="15" t="s">
        <v>30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3:17" x14ac:dyDescent="0.35">
      <c r="C30" s="16"/>
      <c r="D30" s="16" t="s">
        <v>16</v>
      </c>
      <c r="E30" s="18">
        <f>(E16)/(E7-E8)</f>
        <v>0.37586327138654452</v>
      </c>
      <c r="F30" s="18">
        <f>(F16)/(F7-F8)</f>
        <v>0.33595596623351948</v>
      </c>
      <c r="G30" s="18">
        <f>(G16)/(G7-G8)</f>
        <v>0.33153402805165189</v>
      </c>
      <c r="H30" s="18">
        <f>(H16)/(H7-H8)</f>
        <v>0.29920211262883167</v>
      </c>
      <c r="I30" s="18">
        <f>(I16)/(I7-I8)</f>
        <v>0.28925656219661511</v>
      </c>
      <c r="J30" s="18">
        <f>(J16)/(J7-J8)</f>
        <v>0.29069652539208996</v>
      </c>
      <c r="K30" s="18">
        <f>(K16)/(K7-K8)</f>
        <v>0.35927484223383932</v>
      </c>
      <c r="L30" s="18">
        <f>(L16)/(L7-L8)</f>
        <v>0.3314610847841496</v>
      </c>
      <c r="M30" s="18">
        <f>(M16)/(M7-M8)</f>
        <v>0.28783921961308973</v>
      </c>
      <c r="N30" s="18">
        <f>(N16)/(N7-N8)</f>
        <v>0.28607733439443639</v>
      </c>
      <c r="O30" s="18">
        <f>(O16)/(O7-O8)</f>
        <v>0.29912390688437496</v>
      </c>
      <c r="P30" s="18">
        <f>(P16)/(P7-P8)</f>
        <v>0.39828524091031364</v>
      </c>
    </row>
    <row r="31" spans="3:17" x14ac:dyDescent="0.35">
      <c r="C31" s="16"/>
      <c r="D31" s="16" t="s">
        <v>17</v>
      </c>
      <c r="E31" s="18">
        <f>(E7-E8-E16)/(E7-E8)</f>
        <v>0.62413672861345548</v>
      </c>
      <c r="F31" s="18">
        <f>(F7-F8-F16)/(F7-F8)</f>
        <v>0.66404403376648058</v>
      </c>
      <c r="G31" s="18">
        <f>(G7-G8-G16)/(G7-G8)</f>
        <v>0.66846597194834811</v>
      </c>
      <c r="H31" s="18">
        <f>(H7-H8-H16)/(H7-H8)</f>
        <v>0.70079788737116833</v>
      </c>
      <c r="I31" s="18">
        <f>(I7-I8-I16)/(I7-I8)</f>
        <v>0.71074343780338489</v>
      </c>
      <c r="J31" s="18">
        <f>(J7-J8-J16)/(J7-J8)</f>
        <v>0.7093034746079101</v>
      </c>
      <c r="K31" s="18">
        <f>(K7-K8-K16)/(K7-K8)</f>
        <v>0.64072515776616068</v>
      </c>
      <c r="L31" s="18">
        <f>(L7-L8-L16)/(L7-L8)</f>
        <v>0.6685389152158504</v>
      </c>
      <c r="M31" s="18">
        <f>(M7-M8-M16)/(M7-M8)</f>
        <v>0.71216078038691022</v>
      </c>
      <c r="N31" s="18">
        <f>(N7-N8-N16)/(N7-N8)</f>
        <v>0.71392266560556361</v>
      </c>
      <c r="O31" s="18">
        <f>(O7-O8-O16)/(O7-O8)</f>
        <v>0.70087609311562504</v>
      </c>
      <c r="P31" s="18">
        <f>(P7-P8-P16)/(P7-P8)</f>
        <v>0.60171475908968641</v>
      </c>
    </row>
    <row r="32" spans="3:17" x14ac:dyDescent="0.35">
      <c r="C32" s="16"/>
      <c r="D32" s="16"/>
      <c r="E32" s="19">
        <f>SUM(E30:E31)</f>
        <v>1</v>
      </c>
      <c r="F32" s="19">
        <f>SUM(F30:F31)</f>
        <v>1</v>
      </c>
      <c r="G32" s="19">
        <f>SUM(G30:G31)</f>
        <v>1</v>
      </c>
      <c r="H32" s="19">
        <f>SUM(H30:H31)</f>
        <v>1</v>
      </c>
      <c r="I32" s="19">
        <f>SUM(I30:I31)</f>
        <v>1</v>
      </c>
      <c r="J32" s="19">
        <f>SUM(J30:J31)</f>
        <v>1</v>
      </c>
      <c r="K32" s="19">
        <f>SUM(K30:K31)</f>
        <v>1</v>
      </c>
      <c r="L32" s="19">
        <f>SUM(L30:L31)</f>
        <v>1</v>
      </c>
      <c r="M32" s="19">
        <f>SUM(M30:M31)</f>
        <v>1</v>
      </c>
      <c r="N32" s="19">
        <f>SUM(N30:N31)</f>
        <v>1</v>
      </c>
      <c r="O32" s="19">
        <f>SUM(O30:O31)</f>
        <v>1</v>
      </c>
      <c r="P32" s="19">
        <f>SUM(P30:P31)</f>
        <v>1</v>
      </c>
    </row>
    <row r="33" spans="3:17" x14ac:dyDescent="0.35"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1" t="s">
        <v>48</v>
      </c>
    </row>
    <row r="34" spans="3:17" x14ac:dyDescent="0.35">
      <c r="C34" s="17" t="s">
        <v>41</v>
      </c>
      <c r="D34" s="27" t="s">
        <v>32</v>
      </c>
      <c r="E34" s="28">
        <f>E30*E24</f>
        <v>341600.68812223041</v>
      </c>
      <c r="F34" s="28">
        <f>F30*F24</f>
        <v>310421.82787440124</v>
      </c>
      <c r="G34" s="28">
        <f>G30*G24</f>
        <v>330563.66773562809</v>
      </c>
      <c r="H34" s="28">
        <f>H30*H24</f>
        <v>294413.90342788317</v>
      </c>
      <c r="I34" s="28">
        <f>I30*I24</f>
        <v>264692.51311621646</v>
      </c>
      <c r="J34" s="28">
        <f>J30*J24</f>
        <v>239346.81847665249</v>
      </c>
      <c r="K34" s="28">
        <f>K30*K24</f>
        <v>249806.01453096507</v>
      </c>
      <c r="L34" s="28">
        <f>L30*L24</f>
        <v>227570.52765353213</v>
      </c>
      <c r="M34" s="28">
        <f>M30*M24</f>
        <v>244998.36713079491</v>
      </c>
      <c r="N34" s="28">
        <f>N30*N24</f>
        <v>287719.54702866089</v>
      </c>
      <c r="O34" s="28">
        <f>O30*O24</f>
        <v>302300.15408962668</v>
      </c>
      <c r="P34" s="28">
        <f>P30*P24</f>
        <v>327148.62922999711</v>
      </c>
      <c r="Q34" s="42">
        <f t="shared" ref="Q34:Q35" si="9">SUM(E34:P34)</f>
        <v>3420582.6584165893</v>
      </c>
    </row>
    <row r="35" spans="3:17" x14ac:dyDescent="0.35">
      <c r="C35" s="17" t="s">
        <v>42</v>
      </c>
      <c r="D35" s="27" t="s">
        <v>33</v>
      </c>
      <c r="E35" s="28">
        <f>E31*E24</f>
        <v>567242.2718777695</v>
      </c>
      <c r="F35" s="28">
        <f>F31*F24</f>
        <v>613573.75212559872</v>
      </c>
      <c r="G35" s="28">
        <f>G31*G24</f>
        <v>666509.45226437191</v>
      </c>
      <c r="H35" s="28">
        <f>H31*H24</f>
        <v>689582.83657211682</v>
      </c>
      <c r="I35" s="28">
        <f>I31*I24</f>
        <v>650386.16688378353</v>
      </c>
      <c r="J35" s="28">
        <f>J31*J24</f>
        <v>584009.49152334756</v>
      </c>
      <c r="K35" s="28">
        <f>K31*K24</f>
        <v>445500.15546903497</v>
      </c>
      <c r="L35" s="28">
        <f>L31*L24</f>
        <v>458997.33234646783</v>
      </c>
      <c r="M35" s="28">
        <f>M31*M24</f>
        <v>606165.58286920504</v>
      </c>
      <c r="N35" s="28">
        <f>N31*N24</f>
        <v>718020.90297133906</v>
      </c>
      <c r="O35" s="28">
        <f>O31*O24</f>
        <v>708318.34591037326</v>
      </c>
      <c r="P35" s="28">
        <f>P31*P24</f>
        <v>494244.17077000299</v>
      </c>
      <c r="Q35" s="42">
        <f t="shared" si="9"/>
        <v>7202550.4615834113</v>
      </c>
    </row>
    <row r="36" spans="3:17" x14ac:dyDescent="0.35">
      <c r="C36" s="16"/>
      <c r="D36" s="29" t="s">
        <v>34</v>
      </c>
      <c r="E36" s="30">
        <f>E24-E34-E35</f>
        <v>0</v>
      </c>
      <c r="F36" s="30">
        <f>F24-F34-F35</f>
        <v>0</v>
      </c>
      <c r="G36" s="30">
        <f>G24-G34-G35</f>
        <v>0</v>
      </c>
      <c r="H36" s="30">
        <f>H24-H34-H35</f>
        <v>0</v>
      </c>
      <c r="I36" s="30">
        <f>I24-I34-I35</f>
        <v>0</v>
      </c>
      <c r="J36" s="30">
        <f>J24-J34-J35</f>
        <v>0</v>
      </c>
      <c r="K36" s="30">
        <f>K24-K34-K35</f>
        <v>0</v>
      </c>
      <c r="L36" s="30">
        <f>L24-L34-L35</f>
        <v>0</v>
      </c>
      <c r="M36" s="30">
        <f>M24-M34-M35</f>
        <v>0</v>
      </c>
      <c r="N36" s="30">
        <f>N24-N34-N35</f>
        <v>0</v>
      </c>
      <c r="O36" s="30">
        <f>O24-O34-O35</f>
        <v>0</v>
      </c>
      <c r="P36" s="30">
        <f>P24-P34-P35</f>
        <v>0</v>
      </c>
    </row>
    <row r="37" spans="3:17" s="39" customFormat="1" ht="15.5" x14ac:dyDescent="0.35">
      <c r="Q37" s="40" t="s">
        <v>47</v>
      </c>
    </row>
    <row r="38" spans="3:17" x14ac:dyDescent="0.35">
      <c r="C38" s="3" t="s">
        <v>43</v>
      </c>
      <c r="D38" s="1" t="s">
        <v>45</v>
      </c>
      <c r="E38" s="24">
        <f>E25-E34</f>
        <v>-179.67559670150513</v>
      </c>
      <c r="F38" s="24">
        <f t="shared" ref="F38:P39" si="10">F25-F34</f>
        <v>-444.28712372039445</v>
      </c>
      <c r="G38" s="24">
        <f t="shared" si="10"/>
        <v>-1026.7025366315502</v>
      </c>
      <c r="H38" s="24">
        <f t="shared" si="10"/>
        <v>-1453.122966409428</v>
      </c>
      <c r="I38" s="24">
        <f t="shared" si="10"/>
        <v>-1726.7415356630809</v>
      </c>
      <c r="J38" s="24">
        <f t="shared" si="10"/>
        <v>-1607.0316176964261</v>
      </c>
      <c r="K38" s="24">
        <f t="shared" si="10"/>
        <v>-1635.3407192410086</v>
      </c>
      <c r="L38" s="24">
        <f t="shared" si="10"/>
        <v>-1239.3735365867033</v>
      </c>
      <c r="M38" s="24">
        <f t="shared" si="10"/>
        <v>-1202.078061827895</v>
      </c>
      <c r="N38" s="24">
        <f t="shared" si="10"/>
        <v>-874.73238830710761</v>
      </c>
      <c r="O38" s="24">
        <f t="shared" si="10"/>
        <v>-635.57817053358303</v>
      </c>
      <c r="P38" s="24">
        <f t="shared" si="10"/>
        <v>-74.462985642487183</v>
      </c>
      <c r="Q38" s="24">
        <f>SUM(E38:P38)</f>
        <v>-12099.127238961169</v>
      </c>
    </row>
    <row r="39" spans="3:17" x14ac:dyDescent="0.35">
      <c r="C39" s="3" t="s">
        <v>44</v>
      </c>
      <c r="D39" s="1" t="s">
        <v>46</v>
      </c>
      <c r="E39" s="24">
        <f>E26-E35</f>
        <v>179.67559670156334</v>
      </c>
      <c r="F39" s="24">
        <f t="shared" si="10"/>
        <v>444.28712372039445</v>
      </c>
      <c r="G39" s="24">
        <f t="shared" si="10"/>
        <v>1026.702536631492</v>
      </c>
      <c r="H39" s="24">
        <f t="shared" si="10"/>
        <v>1453.122966409428</v>
      </c>
      <c r="I39" s="24">
        <f t="shared" si="10"/>
        <v>1726.7415356631391</v>
      </c>
      <c r="J39" s="24">
        <f t="shared" si="10"/>
        <v>1607.0316176965134</v>
      </c>
      <c r="K39" s="24">
        <f t="shared" si="10"/>
        <v>1635.3407192410086</v>
      </c>
      <c r="L39" s="24">
        <f t="shared" si="10"/>
        <v>1239.3735365867033</v>
      </c>
      <c r="M39" s="24">
        <f t="shared" si="10"/>
        <v>1202.0780618279241</v>
      </c>
      <c r="N39" s="24">
        <f t="shared" si="10"/>
        <v>874.7323883069912</v>
      </c>
      <c r="O39" s="24">
        <f t="shared" si="10"/>
        <v>635.57817053352483</v>
      </c>
      <c r="P39" s="24">
        <f t="shared" si="10"/>
        <v>74.462985642370768</v>
      </c>
      <c r="Q39" s="24">
        <f>SUM(E39:P39)</f>
        <v>12099.127238961053</v>
      </c>
    </row>
  </sheetData>
  <pageMargins left="0.7" right="0.7" top="0.75" bottom="0.75" header="0.3" footer="0.3"/>
  <pageSetup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9"/>
  <sheetViews>
    <sheetView zoomScale="90" zoomScaleNormal="90" workbookViewId="0">
      <selection activeCell="B2" sqref="B2"/>
    </sheetView>
  </sheetViews>
  <sheetFormatPr defaultRowHeight="14.5" x14ac:dyDescent="0.35"/>
  <cols>
    <col min="1" max="1" width="3" style="1" customWidth="1"/>
    <col min="2" max="2" width="6.453125" style="1" bestFit="1" customWidth="1"/>
    <col min="3" max="3" width="19.36328125" style="1" customWidth="1"/>
    <col min="4" max="4" width="44.90625" style="1" bestFit="1" customWidth="1"/>
    <col min="5" max="5" width="14.90625" style="1" bestFit="1" customWidth="1"/>
    <col min="6" max="8" width="12.08984375" style="1" bestFit="1" customWidth="1"/>
    <col min="9" max="10" width="13.6328125" style="1" bestFit="1" customWidth="1"/>
    <col min="11" max="16" width="12.08984375" style="1" bestFit="1" customWidth="1"/>
    <col min="17" max="17" width="15.7265625" style="1" bestFit="1" customWidth="1"/>
    <col min="18" max="16384" width="8.7265625" style="1"/>
  </cols>
  <sheetData>
    <row r="2" spans="2:16" ht="15.5" x14ac:dyDescent="0.35">
      <c r="D2" s="1" t="s">
        <v>24</v>
      </c>
      <c r="E2" s="20">
        <v>42736</v>
      </c>
      <c r="F2" s="20">
        <v>42767</v>
      </c>
      <c r="G2" s="20">
        <v>42795</v>
      </c>
      <c r="H2" s="20">
        <v>42826</v>
      </c>
      <c r="I2" s="20">
        <v>42856</v>
      </c>
      <c r="J2" s="20">
        <v>42887</v>
      </c>
      <c r="K2" s="20">
        <v>42917</v>
      </c>
      <c r="L2" s="20">
        <v>42948</v>
      </c>
      <c r="M2" s="20">
        <v>42979</v>
      </c>
      <c r="N2" s="20">
        <v>43009</v>
      </c>
      <c r="O2" s="20">
        <v>43040</v>
      </c>
      <c r="P2" s="20">
        <v>43070</v>
      </c>
    </row>
    <row r="3" spans="2:16" x14ac:dyDescent="0.35">
      <c r="D3" s="1" t="s">
        <v>26</v>
      </c>
      <c r="E3" s="21">
        <v>42736</v>
      </c>
      <c r="F3" s="21">
        <v>42767</v>
      </c>
      <c r="G3" s="21">
        <v>42795</v>
      </c>
      <c r="H3" s="21">
        <v>42826</v>
      </c>
      <c r="I3" s="21">
        <v>42856</v>
      </c>
      <c r="J3" s="21">
        <v>42887</v>
      </c>
      <c r="K3" s="21">
        <v>42917</v>
      </c>
      <c r="L3" s="21">
        <v>42948</v>
      </c>
      <c r="M3" s="21">
        <v>42979</v>
      </c>
      <c r="N3" s="21">
        <v>43009</v>
      </c>
      <c r="O3" s="21">
        <v>43040</v>
      </c>
      <c r="P3" s="21">
        <v>43070</v>
      </c>
    </row>
    <row r="4" spans="2:16" x14ac:dyDescent="0.35">
      <c r="D4" s="1" t="s">
        <v>27</v>
      </c>
      <c r="E4" s="21">
        <v>42766</v>
      </c>
      <c r="F4" s="21">
        <v>42794</v>
      </c>
      <c r="G4" s="21">
        <v>42825</v>
      </c>
      <c r="H4" s="21">
        <v>42855</v>
      </c>
      <c r="I4" s="21">
        <v>42886</v>
      </c>
      <c r="J4" s="21">
        <v>42916</v>
      </c>
      <c r="K4" s="21">
        <v>42947</v>
      </c>
      <c r="L4" s="21">
        <v>42978</v>
      </c>
      <c r="M4" s="21">
        <v>43008</v>
      </c>
      <c r="N4" s="21">
        <v>43039</v>
      </c>
      <c r="O4" s="21">
        <v>43069</v>
      </c>
      <c r="P4" s="21">
        <v>43100</v>
      </c>
    </row>
    <row r="6" spans="2:16" x14ac:dyDescent="0.35">
      <c r="C6" s="8" t="s">
        <v>25</v>
      </c>
      <c r="D6" s="9" t="s">
        <v>23</v>
      </c>
      <c r="E6" s="4" t="s">
        <v>5</v>
      </c>
      <c r="F6" s="4" t="s">
        <v>5</v>
      </c>
      <c r="G6" s="4" t="s">
        <v>5</v>
      </c>
      <c r="H6" s="4" t="s">
        <v>5</v>
      </c>
      <c r="I6" s="4" t="s">
        <v>5</v>
      </c>
      <c r="J6" s="4" t="s">
        <v>5</v>
      </c>
      <c r="K6" s="4" t="s">
        <v>5</v>
      </c>
      <c r="L6" s="4" t="s">
        <v>5</v>
      </c>
      <c r="M6" s="4" t="s">
        <v>5</v>
      </c>
      <c r="N6" s="4" t="s">
        <v>5</v>
      </c>
      <c r="O6" s="4" t="s">
        <v>5</v>
      </c>
      <c r="P6" s="4" t="s">
        <v>5</v>
      </c>
    </row>
    <row r="7" spans="2:16" x14ac:dyDescent="0.35">
      <c r="B7" s="1" t="s">
        <v>9</v>
      </c>
      <c r="C7" s="3" t="s">
        <v>0</v>
      </c>
      <c r="D7" s="1" t="s">
        <v>8</v>
      </c>
      <c r="E7" s="5">
        <v>9930845.6700000018</v>
      </c>
      <c r="F7" s="5">
        <v>8810006.1099999994</v>
      </c>
      <c r="G7" s="5">
        <v>9719884.1300000008</v>
      </c>
      <c r="H7" s="5">
        <v>8321511.2400000002</v>
      </c>
      <c r="I7" s="5">
        <v>8509908.9399999995</v>
      </c>
      <c r="J7" s="5">
        <v>8510700.7899999991</v>
      </c>
      <c r="K7" s="5">
        <v>8302543.3399999999</v>
      </c>
      <c r="L7" s="5">
        <v>8979933.4200000018</v>
      </c>
      <c r="M7" s="5">
        <v>8504611.8500000015</v>
      </c>
      <c r="N7" s="5">
        <v>8854887.3300000019</v>
      </c>
      <c r="O7" s="5">
        <v>9237983.8599999994</v>
      </c>
      <c r="P7" s="5">
        <v>9018398.870000001</v>
      </c>
    </row>
    <row r="8" spans="2:16" x14ac:dyDescent="0.35">
      <c r="B8" s="1" t="s">
        <v>11</v>
      </c>
      <c r="C8" s="3" t="s">
        <v>1</v>
      </c>
      <c r="D8" s="1" t="s">
        <v>6</v>
      </c>
      <c r="E8" s="22"/>
      <c r="F8" s="22"/>
      <c r="G8" s="22"/>
      <c r="H8" s="22"/>
      <c r="I8" s="22"/>
      <c r="J8" s="22"/>
      <c r="K8" s="5">
        <v>2000691.07</v>
      </c>
      <c r="L8" s="5">
        <v>2064878.65</v>
      </c>
      <c r="M8" s="5">
        <v>1900690.05</v>
      </c>
      <c r="N8" s="5">
        <v>1943149.63</v>
      </c>
      <c r="O8" s="5">
        <v>1881970.87</v>
      </c>
      <c r="P8" s="5">
        <v>1526899.09</v>
      </c>
    </row>
    <row r="9" spans="2:16" x14ac:dyDescent="0.35">
      <c r="B9" s="1" t="s">
        <v>11</v>
      </c>
      <c r="C9" s="3" t="s">
        <v>2</v>
      </c>
      <c r="D9" s="1" t="s">
        <v>22</v>
      </c>
      <c r="E9" s="5">
        <f>4838032.17-E8</f>
        <v>4838032.17</v>
      </c>
      <c r="F9" s="5">
        <v>4258351.58</v>
      </c>
      <c r="G9" s="5">
        <v>4875196.8500000006</v>
      </c>
      <c r="H9" s="5">
        <v>4511442.3</v>
      </c>
      <c r="I9" s="5">
        <v>4764163.13</v>
      </c>
      <c r="J9" s="5">
        <v>4783429.6800000006</v>
      </c>
      <c r="K9" s="5">
        <f>4403245.16-K8</f>
        <v>2402554.09</v>
      </c>
      <c r="L9" s="5">
        <f>5127915.7-L8</f>
        <v>3063037.0500000003</v>
      </c>
      <c r="M9" s="5">
        <f>4655708.6-M8</f>
        <v>2755018.55</v>
      </c>
      <c r="N9" s="5">
        <f>5033089.9-N8</f>
        <v>3089940.2700000005</v>
      </c>
      <c r="O9" s="5">
        <f>4889635.43-O8</f>
        <v>3007664.5599999996</v>
      </c>
      <c r="P9" s="5">
        <f>3910581.67-P8</f>
        <v>2383682.58</v>
      </c>
    </row>
    <row r="10" spans="2:16" x14ac:dyDescent="0.35">
      <c r="B10" s="1" t="s">
        <v>11</v>
      </c>
      <c r="C10" s="3" t="s">
        <v>3</v>
      </c>
      <c r="D10" s="1" t="s">
        <v>20</v>
      </c>
      <c r="E10" s="5">
        <v>80996.800000000047</v>
      </c>
      <c r="F10" s="5">
        <v>69560.679999999993</v>
      </c>
      <c r="G10" s="5">
        <v>69046.609999999971</v>
      </c>
      <c r="H10" s="5">
        <v>57824.400000000038</v>
      </c>
      <c r="I10" s="5">
        <v>53112.609999999986</v>
      </c>
      <c r="J10" s="5">
        <v>43689.599999999999</v>
      </c>
      <c r="K10" s="5">
        <v>46473.650000000023</v>
      </c>
      <c r="L10" s="5">
        <v>51784.880000000034</v>
      </c>
      <c r="M10" s="5">
        <v>55729.800000000047</v>
      </c>
      <c r="N10" s="5">
        <v>65440.380000000048</v>
      </c>
      <c r="O10" s="5">
        <v>70929.000000000044</v>
      </c>
      <c r="P10" s="5">
        <v>78528.579999999958</v>
      </c>
    </row>
    <row r="11" spans="2:16" x14ac:dyDescent="0.35">
      <c r="B11" s="1" t="s">
        <v>10</v>
      </c>
      <c r="C11" s="3" t="s">
        <v>4</v>
      </c>
      <c r="D11" s="1" t="s">
        <v>19</v>
      </c>
      <c r="E11" s="5">
        <f>3906.91+1860.44</f>
        <v>5767.35</v>
      </c>
      <c r="F11" s="5">
        <f>8406.41+4282.54</f>
        <v>12688.95</v>
      </c>
      <c r="G11" s="5">
        <f>18984.65+10112.51</f>
        <v>29097.160000000003</v>
      </c>
      <c r="H11" s="5">
        <f>27995.7+15239.51</f>
        <v>43235.21</v>
      </c>
      <c r="I11" s="5">
        <f>31207.99+16744.54</f>
        <v>47952.53</v>
      </c>
      <c r="J11" s="5">
        <f>33547.41+18211.73</f>
        <v>51759.14</v>
      </c>
      <c r="K11" s="5">
        <f>33325.12+18340</f>
        <v>51665.120000000003</v>
      </c>
      <c r="L11" s="5">
        <f>31374.53+17009.43</f>
        <v>48383.96</v>
      </c>
      <c r="M11" s="5">
        <f>28985.27+15480.71</f>
        <v>44465.979999999996</v>
      </c>
      <c r="N11" s="5">
        <f>18992.96+10076.47</f>
        <v>29069.43</v>
      </c>
      <c r="O11" s="5">
        <f>7200.48+3700.99</f>
        <v>10901.47</v>
      </c>
      <c r="P11" s="5">
        <f>3425.52+1106.3</f>
        <v>4531.82</v>
      </c>
    </row>
    <row r="12" spans="2:16" x14ac:dyDescent="0.35">
      <c r="B12" s="1" t="s">
        <v>12</v>
      </c>
      <c r="C12" s="3" t="s">
        <v>14</v>
      </c>
      <c r="D12" s="1" t="s">
        <v>7</v>
      </c>
      <c r="E12" s="5">
        <f>E7-E8-E9-E10+E11</f>
        <v>5017584.0500000017</v>
      </c>
      <c r="F12" s="5">
        <f t="shared" ref="F12:I12" si="0">F7-F8-F9-F10+F11</f>
        <v>4494782.8</v>
      </c>
      <c r="G12" s="5">
        <f t="shared" si="0"/>
        <v>4804737.83</v>
      </c>
      <c r="H12" s="5">
        <f t="shared" si="0"/>
        <v>3795479.7500000005</v>
      </c>
      <c r="I12" s="5">
        <f t="shared" si="0"/>
        <v>3740585.7299999995</v>
      </c>
      <c r="J12" s="5">
        <f>J7-J8-J9-J10+J11</f>
        <v>3735340.6499999985</v>
      </c>
      <c r="K12" s="5">
        <f>K7-K8-K9-K10+K11</f>
        <v>3904489.65</v>
      </c>
      <c r="L12" s="5">
        <f t="shared" ref="L12:P12" si="1">L7-L8-L9-L10+L11</f>
        <v>3848616.8000000012</v>
      </c>
      <c r="M12" s="5">
        <f t="shared" si="1"/>
        <v>3837639.430000002</v>
      </c>
      <c r="N12" s="5">
        <f t="shared" si="1"/>
        <v>3785426.4800000018</v>
      </c>
      <c r="O12" s="5">
        <f t="shared" si="1"/>
        <v>4288320.8999999994</v>
      </c>
      <c r="P12" s="5">
        <f t="shared" si="1"/>
        <v>5033820.4400000013</v>
      </c>
    </row>
    <row r="13" spans="2:16" s="34" customFormat="1" ht="10.5" x14ac:dyDescent="0.35">
      <c r="C13" s="3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</row>
    <row r="14" spans="2:16" ht="29" x14ac:dyDescent="0.35">
      <c r="B14" s="1" t="s">
        <v>11</v>
      </c>
      <c r="C14" s="3" t="s">
        <v>13</v>
      </c>
      <c r="D14" s="2" t="s">
        <v>21</v>
      </c>
      <c r="E14" s="5">
        <v>1505191</v>
      </c>
      <c r="F14" s="5">
        <v>1532494</v>
      </c>
      <c r="G14" s="5">
        <v>1375858</v>
      </c>
      <c r="H14" s="5">
        <v>1535201.42</v>
      </c>
      <c r="I14" s="5">
        <v>1212205.47</v>
      </c>
      <c r="J14" s="5">
        <v>1243912.1000000001</v>
      </c>
      <c r="K14" s="5">
        <v>1226400.06</v>
      </c>
      <c r="L14" s="5">
        <v>1194905</v>
      </c>
      <c r="M14" s="5">
        <v>1220851.83</v>
      </c>
      <c r="N14" s="5">
        <v>1316740</v>
      </c>
      <c r="O14" s="5">
        <v>1164878</v>
      </c>
      <c r="P14" s="5">
        <v>1306161</v>
      </c>
    </row>
    <row r="15" spans="2:16" s="34" customFormat="1" ht="10.5" x14ac:dyDescent="0.35">
      <c r="C15" s="35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</row>
    <row r="16" spans="2:16" x14ac:dyDescent="0.35">
      <c r="B16" s="1" t="s">
        <v>12</v>
      </c>
      <c r="C16" s="3" t="s">
        <v>15</v>
      </c>
      <c r="D16" s="1" t="s">
        <v>18</v>
      </c>
      <c r="E16" s="5">
        <f t="shared" ref="E16:I16" si="2">E12-E14</f>
        <v>3512393.0500000017</v>
      </c>
      <c r="F16" s="5">
        <f t="shared" si="2"/>
        <v>2962288.8</v>
      </c>
      <c r="G16" s="5">
        <f t="shared" si="2"/>
        <v>3428879.83</v>
      </c>
      <c r="H16" s="5">
        <f t="shared" si="2"/>
        <v>2260278.3300000005</v>
      </c>
      <c r="I16" s="5">
        <f t="shared" si="2"/>
        <v>2528380.2599999998</v>
      </c>
      <c r="J16" s="5">
        <f>J12-J14</f>
        <v>2491428.5499999984</v>
      </c>
      <c r="K16" s="5">
        <f>K12-K14</f>
        <v>2678089.59</v>
      </c>
      <c r="L16" s="5">
        <f t="shared" ref="L16:P16" si="3">L12-L14</f>
        <v>2653711.8000000012</v>
      </c>
      <c r="M16" s="5">
        <f t="shared" si="3"/>
        <v>2616787.600000002</v>
      </c>
      <c r="N16" s="5">
        <f t="shared" si="3"/>
        <v>2468686.4800000018</v>
      </c>
      <c r="O16" s="5">
        <f t="shared" si="3"/>
        <v>3123442.8999999994</v>
      </c>
      <c r="P16" s="5">
        <f t="shared" si="3"/>
        <v>3727659.4400000013</v>
      </c>
    </row>
    <row r="17" spans="3:17" s="34" customFormat="1" ht="10.5" x14ac:dyDescent="0.35">
      <c r="C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3:17" s="34" customFormat="1" ht="10.5" x14ac:dyDescent="0.35"/>
    <row r="19" spans="3:17" x14ac:dyDescent="0.35">
      <c r="C19" s="14" t="s">
        <v>31</v>
      </c>
      <c r="D19" s="1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3:17" x14ac:dyDescent="0.35">
      <c r="C20" s="3" t="s">
        <v>28</v>
      </c>
      <c r="D20" s="1" t="s">
        <v>16</v>
      </c>
      <c r="E20" s="6">
        <f>(E16)/(E7-E8+E11)</f>
        <v>0.35347990738196233</v>
      </c>
      <c r="F20" s="6">
        <f t="shared" ref="F20:I20" si="4">(F16)/(F7-F8+F11)</f>
        <v>0.33575781321404985</v>
      </c>
      <c r="G20" s="6">
        <f t="shared" si="4"/>
        <v>0.35171673101036383</v>
      </c>
      <c r="H20" s="6">
        <f t="shared" si="4"/>
        <v>0.27021480489704508</v>
      </c>
      <c r="I20" s="6">
        <f t="shared" si="4"/>
        <v>0.29544533629848535</v>
      </c>
      <c r="J20" s="6">
        <f>(J16)/(J7-J8+J11)</f>
        <v>0.29097111932411679</v>
      </c>
      <c r="K20" s="6">
        <f>(K16)/(K7-K8+K11)</f>
        <v>0.42151290782883966</v>
      </c>
      <c r="L20" s="6">
        <f>(L16)/(L7-L8+L11)</f>
        <v>0.38109214468524527</v>
      </c>
      <c r="M20" s="6">
        <f t="shared" ref="M20:P20" si="5">(M16)/(M7-M8+M11)</f>
        <v>0.39359731811552079</v>
      </c>
      <c r="N20" s="6">
        <f t="shared" si="5"/>
        <v>0.3556771473060657</v>
      </c>
      <c r="O20" s="6">
        <f t="shared" si="5"/>
        <v>0.42398251221176797</v>
      </c>
      <c r="P20" s="6">
        <f t="shared" si="5"/>
        <v>0.4972843817787535</v>
      </c>
    </row>
    <row r="21" spans="3:17" x14ac:dyDescent="0.35">
      <c r="C21" s="10" t="s">
        <v>29</v>
      </c>
      <c r="D21" s="11" t="s">
        <v>17</v>
      </c>
      <c r="E21" s="12">
        <f>(E7-E8-E16+E11)/(E7-E8+E11)</f>
        <v>0.64652009261803767</v>
      </c>
      <c r="F21" s="12">
        <f>(F7-F8-F16+F11)/(F7-F8+F11)</f>
        <v>0.66424218678595026</v>
      </c>
      <c r="G21" s="12">
        <f>(G7-G8-G16+G11)/(G7-G8+G11)</f>
        <v>0.64828326898963617</v>
      </c>
      <c r="H21" s="12">
        <f>(H7-H8-H16+H11)/(H7-H8+H11)</f>
        <v>0.72978519510295492</v>
      </c>
      <c r="I21" s="12">
        <f>(I7-I8-I16+I11)/(I7-I8+I11)</f>
        <v>0.70455466370151476</v>
      </c>
      <c r="J21" s="12">
        <f>(J7-J8-J16+J11)/(J7-J8+J11)</f>
        <v>0.7090288806758831</v>
      </c>
      <c r="K21" s="12">
        <f>(K7-K8-K16+K11)/(K7-K8+K11)</f>
        <v>0.57848709217116034</v>
      </c>
      <c r="L21" s="12">
        <f>(L7-L8-L16+L11)/(L7-L8+L11)</f>
        <v>0.61890785531475478</v>
      </c>
      <c r="M21" s="12">
        <f>(M7-M8-M16+M11)/(M7-M8+M11)</f>
        <v>0.6064026818844791</v>
      </c>
      <c r="N21" s="12">
        <f>(N7-N8-N16+N11)/(N7-N8+N11)</f>
        <v>0.6443228526939343</v>
      </c>
      <c r="O21" s="12">
        <f>(O7-O8-O16+O11)/(O7-O8+O11)</f>
        <v>0.57601748778823203</v>
      </c>
      <c r="P21" s="12">
        <f>(P7-P8-P16+P11)/(P7-P8+P11)</f>
        <v>0.50271561822124644</v>
      </c>
    </row>
    <row r="22" spans="3:17" x14ac:dyDescent="0.35">
      <c r="E22" s="7">
        <f>SUM(E20:E21)</f>
        <v>1</v>
      </c>
      <c r="F22" s="7">
        <f>SUM(F20:F21)</f>
        <v>1</v>
      </c>
      <c r="G22" s="7">
        <f>SUM(G20:G21)</f>
        <v>1</v>
      </c>
      <c r="H22" s="7">
        <f>SUM(H20:H21)</f>
        <v>1</v>
      </c>
      <c r="I22" s="7">
        <f>SUM(I20:I21)</f>
        <v>1</v>
      </c>
      <c r="J22" s="7">
        <f>SUM(J20:J21)</f>
        <v>0.99999999999999989</v>
      </c>
      <c r="K22" s="7">
        <f>SUM(K20:K21)</f>
        <v>1</v>
      </c>
      <c r="L22" s="7">
        <f>SUM(L20:L21)</f>
        <v>1</v>
      </c>
      <c r="M22" s="7">
        <f>SUM(M20:M21)</f>
        <v>0.99999999999999989</v>
      </c>
      <c r="N22" s="7">
        <f>SUM(N20:N21)</f>
        <v>1</v>
      </c>
      <c r="O22" s="7">
        <f>SUM(O20:O21)</f>
        <v>1</v>
      </c>
      <c r="P22" s="7">
        <f>SUM(P20:P21)</f>
        <v>1</v>
      </c>
    </row>
    <row r="23" spans="3:17" s="34" customFormat="1" ht="10.5" x14ac:dyDescent="0.35"/>
    <row r="24" spans="3:17" x14ac:dyDescent="0.35">
      <c r="C24" s="3" t="s">
        <v>37</v>
      </c>
      <c r="D24" s="31" t="s">
        <v>36</v>
      </c>
      <c r="E24" s="23">
        <v>817686.62</v>
      </c>
      <c r="F24" s="23">
        <v>762205.86</v>
      </c>
      <c r="G24" s="23">
        <v>695550.09</v>
      </c>
      <c r="H24" s="23">
        <v>900773.9</v>
      </c>
      <c r="I24" s="23">
        <v>1052347.3</v>
      </c>
      <c r="J24" s="23">
        <v>1008068.75</v>
      </c>
      <c r="K24" s="23">
        <v>749337.9</v>
      </c>
      <c r="L24" s="23">
        <v>702968.49</v>
      </c>
      <c r="M24" s="23">
        <v>592057.49</v>
      </c>
      <c r="N24" s="23">
        <v>873528.4</v>
      </c>
      <c r="O24" s="23">
        <v>714273.66</v>
      </c>
      <c r="P24" s="23">
        <v>690590.84</v>
      </c>
      <c r="Q24" s="41" t="s">
        <v>48</v>
      </c>
    </row>
    <row r="25" spans="3:17" x14ac:dyDescent="0.35">
      <c r="C25" s="3" t="s">
        <v>38</v>
      </c>
      <c r="D25" s="32" t="s">
        <v>32</v>
      </c>
      <c r="E25" s="24">
        <f>E24*E20</f>
        <v>289035.79070506984</v>
      </c>
      <c r="F25" s="24">
        <f>F24*F20</f>
        <v>255916.57277253421</v>
      </c>
      <c r="G25" s="24">
        <f>G24*G20</f>
        <v>244636.60390876434</v>
      </c>
      <c r="H25" s="24">
        <f>H24*H20</f>
        <v>243402.4436448504</v>
      </c>
      <c r="I25" s="24">
        <f>I24*I20</f>
        <v>310911.10195130308</v>
      </c>
      <c r="J25" s="24">
        <f>J24*J20</f>
        <v>293318.89254316327</v>
      </c>
      <c r="K25" s="24">
        <f>K24*K20</f>
        <v>315855.59717535629</v>
      </c>
      <c r="L25" s="24">
        <f>L24*L20</f>
        <v>267895.76950024837</v>
      </c>
      <c r="M25" s="24">
        <f>M24*M20</f>
        <v>233032.24023420675</v>
      </c>
      <c r="N25" s="24">
        <f>N24*N20</f>
        <v>310694.08940283192</v>
      </c>
      <c r="O25" s="24">
        <f>O24*O20</f>
        <v>302839.54077349423</v>
      </c>
      <c r="P25" s="24">
        <f>P24*P20</f>
        <v>343420.03893147007</v>
      </c>
      <c r="Q25" s="42">
        <f t="shared" ref="Q25:Q26" si="6">SUM(E25:P25)</f>
        <v>3410958.6815432925</v>
      </c>
    </row>
    <row r="26" spans="3:17" x14ac:dyDescent="0.35">
      <c r="C26" s="3" t="s">
        <v>39</v>
      </c>
      <c r="D26" s="32" t="s">
        <v>33</v>
      </c>
      <c r="E26" s="24">
        <f>E24*E21</f>
        <v>528650.82929493021</v>
      </c>
      <c r="F26" s="24">
        <f t="shared" ref="F26:P26" si="7">F24*F21</f>
        <v>506289.28722746583</v>
      </c>
      <c r="G26" s="24">
        <f t="shared" si="7"/>
        <v>450913.48609123565</v>
      </c>
      <c r="H26" s="24">
        <f t="shared" si="7"/>
        <v>657371.45635514962</v>
      </c>
      <c r="I26" s="24">
        <f t="shared" si="7"/>
        <v>741436.19804869709</v>
      </c>
      <c r="J26" s="24">
        <f t="shared" si="7"/>
        <v>714749.85745683662</v>
      </c>
      <c r="K26" s="24">
        <f t="shared" si="7"/>
        <v>433482.30282464373</v>
      </c>
      <c r="L26" s="24">
        <f t="shared" si="7"/>
        <v>435072.72049975162</v>
      </c>
      <c r="M26" s="24">
        <f t="shared" si="7"/>
        <v>359025.24976579315</v>
      </c>
      <c r="N26" s="24">
        <f t="shared" si="7"/>
        <v>562834.31059716817</v>
      </c>
      <c r="O26" s="24">
        <f t="shared" si="7"/>
        <v>411434.11922650581</v>
      </c>
      <c r="P26" s="24">
        <f t="shared" si="7"/>
        <v>347170.80106852989</v>
      </c>
      <c r="Q26" s="42">
        <f t="shared" si="6"/>
        <v>6148430.6184567073</v>
      </c>
    </row>
    <row r="27" spans="3:17" x14ac:dyDescent="0.35">
      <c r="D27" s="25" t="s">
        <v>34</v>
      </c>
      <c r="E27" s="26">
        <f>E24-E25-E26</f>
        <v>0</v>
      </c>
      <c r="F27" s="26">
        <f t="shared" ref="F27:P27" si="8">F24-F25-F26</f>
        <v>0</v>
      </c>
      <c r="G27" s="26">
        <f t="shared" si="8"/>
        <v>0</v>
      </c>
      <c r="H27" s="26">
        <f t="shared" si="8"/>
        <v>0</v>
      </c>
      <c r="I27" s="26">
        <f t="shared" si="8"/>
        <v>0</v>
      </c>
      <c r="J27" s="26">
        <f t="shared" si="8"/>
        <v>0</v>
      </c>
      <c r="K27" s="26">
        <f t="shared" si="8"/>
        <v>0</v>
      </c>
      <c r="L27" s="26">
        <f t="shared" si="8"/>
        <v>0</v>
      </c>
      <c r="M27" s="26">
        <f t="shared" si="8"/>
        <v>0</v>
      </c>
      <c r="N27" s="26">
        <f t="shared" si="8"/>
        <v>0</v>
      </c>
      <c r="O27" s="26">
        <f t="shared" si="8"/>
        <v>0</v>
      </c>
      <c r="P27" s="26">
        <f t="shared" si="8"/>
        <v>0</v>
      </c>
    </row>
    <row r="28" spans="3:17" s="34" customFormat="1" ht="10.5" x14ac:dyDescent="0.35"/>
    <row r="29" spans="3:17" x14ac:dyDescent="0.35">
      <c r="C29" s="15" t="s">
        <v>30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3:17" x14ac:dyDescent="0.35">
      <c r="C30" s="16"/>
      <c r="D30" s="16" t="s">
        <v>16</v>
      </c>
      <c r="E30" s="18">
        <f>(E16)/(E7-E8)</f>
        <v>0.35368519124313419</v>
      </c>
      <c r="F30" s="18">
        <f>(F16)/(F7-F8)</f>
        <v>0.33624140131271713</v>
      </c>
      <c r="G30" s="18">
        <f>(G16)/(G7-G8)</f>
        <v>0.35276961989875077</v>
      </c>
      <c r="H30" s="18">
        <f>(H16)/(H7-H8)</f>
        <v>0.27161873183986718</v>
      </c>
      <c r="I30" s="18">
        <f>(I16)/(I7-I8)</f>
        <v>0.2971101427555346</v>
      </c>
      <c r="J30" s="18">
        <f>(J16)/(J7-J8)</f>
        <v>0.29274070508123207</v>
      </c>
      <c r="K30" s="18">
        <f>(K16)/(K7-K8)</f>
        <v>0.42496864021218955</v>
      </c>
      <c r="L30" s="18">
        <f>(L16)/(L7-L8)</f>
        <v>0.38375860904424919</v>
      </c>
      <c r="M30" s="18">
        <f>(M16)/(M7-M8)</f>
        <v>0.39624751462078206</v>
      </c>
      <c r="N30" s="18">
        <f>(N16)/(N7-N8)</f>
        <v>0.35717305649489578</v>
      </c>
      <c r="O30" s="18">
        <f>(O16)/(O7-O8)</f>
        <v>0.42461084615349487</v>
      </c>
      <c r="P30" s="18">
        <f>(P16)/(P7-P8)</f>
        <v>0.4975852031594134</v>
      </c>
    </row>
    <row r="31" spans="3:17" x14ac:dyDescent="0.35">
      <c r="C31" s="16"/>
      <c r="D31" s="16" t="s">
        <v>17</v>
      </c>
      <c r="E31" s="18">
        <f>(E7-E8-E16)/(E7-E8)</f>
        <v>0.64631480875686587</v>
      </c>
      <c r="F31" s="18">
        <f>(F7-F8-F16)/(F7-F8)</f>
        <v>0.66375859868728282</v>
      </c>
      <c r="G31" s="18">
        <f>(G7-G8-G16)/(G7-G8)</f>
        <v>0.64723038010124923</v>
      </c>
      <c r="H31" s="18">
        <f>(H7-H8-H16)/(H7-H8)</f>
        <v>0.72838126816013293</v>
      </c>
      <c r="I31" s="18">
        <f>(I7-I8-I16)/(I7-I8)</f>
        <v>0.7028898572444654</v>
      </c>
      <c r="J31" s="18">
        <f>(J7-J8-J16)/(J7-J8)</f>
        <v>0.70725929491876793</v>
      </c>
      <c r="K31" s="18">
        <f>(K7-K8-K16)/(K7-K8)</f>
        <v>0.57503135978781039</v>
      </c>
      <c r="L31" s="18">
        <f>(L7-L8-L16)/(L7-L8)</f>
        <v>0.61624139095575081</v>
      </c>
      <c r="M31" s="18">
        <f>(M7-M8-M16)/(M7-M8)</f>
        <v>0.603752485379218</v>
      </c>
      <c r="N31" s="18">
        <f>(N7-N8-N16)/(N7-N8)</f>
        <v>0.64282694350510428</v>
      </c>
      <c r="O31" s="18">
        <f>(O7-O8-O16)/(O7-O8)</f>
        <v>0.57538915384650513</v>
      </c>
      <c r="P31" s="18">
        <f>(P7-P8-P16)/(P7-P8)</f>
        <v>0.50241479684058665</v>
      </c>
    </row>
    <row r="32" spans="3:17" x14ac:dyDescent="0.35">
      <c r="C32" s="16"/>
      <c r="D32" s="16"/>
      <c r="E32" s="19">
        <f>SUM(E30:E31)</f>
        <v>1</v>
      </c>
      <c r="F32" s="19">
        <f>SUM(F30:F31)</f>
        <v>1</v>
      </c>
      <c r="G32" s="19">
        <f>SUM(G30:G31)</f>
        <v>1</v>
      </c>
      <c r="H32" s="19">
        <f>SUM(H30:H31)</f>
        <v>1</v>
      </c>
      <c r="I32" s="19">
        <f>SUM(I30:I31)</f>
        <v>1</v>
      </c>
      <c r="J32" s="19">
        <f>SUM(J30:J31)</f>
        <v>1</v>
      </c>
      <c r="K32" s="19">
        <f>SUM(K30:K31)</f>
        <v>1</v>
      </c>
      <c r="L32" s="19">
        <f>SUM(L30:L31)</f>
        <v>1</v>
      </c>
      <c r="M32" s="19">
        <f>SUM(M30:M31)</f>
        <v>1</v>
      </c>
      <c r="N32" s="19">
        <f>SUM(N30:N31)</f>
        <v>1</v>
      </c>
      <c r="O32" s="19">
        <f>SUM(O30:O31)</f>
        <v>1</v>
      </c>
      <c r="P32" s="19">
        <f>SUM(P30:P31)</f>
        <v>1</v>
      </c>
    </row>
    <row r="33" spans="3:17" x14ac:dyDescent="0.35"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1" t="s">
        <v>48</v>
      </c>
    </row>
    <row r="34" spans="3:17" x14ac:dyDescent="0.35">
      <c r="C34" s="17" t="s">
        <v>41</v>
      </c>
      <c r="D34" s="27" t="s">
        <v>32</v>
      </c>
      <c r="E34" s="28">
        <f>E30*E24</f>
        <v>289203.64857165201</v>
      </c>
      <c r="F34" s="28">
        <f>F30*F24</f>
        <v>256285.16645516467</v>
      </c>
      <c r="G34" s="28">
        <f>G30*G24</f>
        <v>245368.94086984187</v>
      </c>
      <c r="H34" s="28">
        <f>H30*H24</f>
        <v>244667.06439245134</v>
      </c>
      <c r="I34" s="28">
        <f>I30*I24</f>
        <v>312663.05653140141</v>
      </c>
      <c r="J34" s="28">
        <f>J30*J24</f>
        <v>295102.75664535625</v>
      </c>
      <c r="K34" s="28">
        <f>K30*K24</f>
        <v>318445.10842245771</v>
      </c>
      <c r="L34" s="28">
        <f>L30*L24</f>
        <v>269770.20992433617</v>
      </c>
      <c r="M34" s="28">
        <f>M30*M24</f>
        <v>234601.30892511853</v>
      </c>
      <c r="N34" s="28">
        <f>N30*N24</f>
        <v>312000.80856309592</v>
      </c>
      <c r="O34" s="28">
        <f>O30*O24</f>
        <v>303288.3431577537</v>
      </c>
      <c r="P34" s="28">
        <f>P30*P24</f>
        <v>343627.78342142992</v>
      </c>
      <c r="Q34" s="42">
        <f t="shared" ref="Q34:Q35" si="9">SUM(E34:P34)</f>
        <v>3425024.1958800592</v>
      </c>
    </row>
    <row r="35" spans="3:17" x14ac:dyDescent="0.35">
      <c r="C35" s="17" t="s">
        <v>42</v>
      </c>
      <c r="D35" s="27" t="s">
        <v>33</v>
      </c>
      <c r="E35" s="28">
        <f>E31*E24</f>
        <v>528482.9714283481</v>
      </c>
      <c r="F35" s="28">
        <f>F31*F24</f>
        <v>505920.69354483526</v>
      </c>
      <c r="G35" s="28">
        <f>G31*G24</f>
        <v>450181.14913015807</v>
      </c>
      <c r="H35" s="28">
        <f>H31*H24</f>
        <v>656106.83560754883</v>
      </c>
      <c r="I35" s="28">
        <f>I31*I24</f>
        <v>739684.24346859858</v>
      </c>
      <c r="J35" s="28">
        <f>J31*J24</f>
        <v>712965.9933546437</v>
      </c>
      <c r="K35" s="28">
        <f>K31*K24</f>
        <v>430892.79157754232</v>
      </c>
      <c r="L35" s="28">
        <f>L31*L24</f>
        <v>433198.28007566382</v>
      </c>
      <c r="M35" s="28">
        <f>M31*M24</f>
        <v>357456.18107488152</v>
      </c>
      <c r="N35" s="28">
        <f>N31*N24</f>
        <v>561527.59143690416</v>
      </c>
      <c r="O35" s="28">
        <f>O31*O24</f>
        <v>410985.31684224633</v>
      </c>
      <c r="P35" s="28">
        <f>P31*P24</f>
        <v>346963.05657857005</v>
      </c>
      <c r="Q35" s="42">
        <f t="shared" si="9"/>
        <v>6134365.1041199407</v>
      </c>
    </row>
    <row r="36" spans="3:17" x14ac:dyDescent="0.35">
      <c r="C36" s="16"/>
      <c r="D36" s="29" t="s">
        <v>34</v>
      </c>
      <c r="E36" s="30">
        <f>E24-E34-E35</f>
        <v>0</v>
      </c>
      <c r="F36" s="30">
        <f>F24-F34-F35</f>
        <v>0</v>
      </c>
      <c r="G36" s="30">
        <f>G24-G34-G35</f>
        <v>0</v>
      </c>
      <c r="H36" s="30">
        <f>H24-H34-H35</f>
        <v>0</v>
      </c>
      <c r="I36" s="30">
        <f>I24-I34-I35</f>
        <v>0</v>
      </c>
      <c r="J36" s="30">
        <f>J24-J34-J35</f>
        <v>0</v>
      </c>
      <c r="K36" s="30">
        <f>K24-K34-K35</f>
        <v>0</v>
      </c>
      <c r="L36" s="30">
        <f>L24-L34-L35</f>
        <v>0</v>
      </c>
      <c r="M36" s="30">
        <f>M24-M34-M35</f>
        <v>0</v>
      </c>
      <c r="N36" s="30">
        <f>N24-N34-N35</f>
        <v>0</v>
      </c>
      <c r="O36" s="30">
        <f>O24-O34-O35</f>
        <v>0</v>
      </c>
      <c r="P36" s="30">
        <f>P24-P34-P35</f>
        <v>0</v>
      </c>
    </row>
    <row r="37" spans="3:17" s="39" customFormat="1" ht="15.5" x14ac:dyDescent="0.35">
      <c r="Q37" s="40" t="s">
        <v>47</v>
      </c>
    </row>
    <row r="38" spans="3:17" x14ac:dyDescent="0.35">
      <c r="C38" s="3" t="s">
        <v>43</v>
      </c>
      <c r="D38" s="1" t="s">
        <v>45</v>
      </c>
      <c r="E38" s="24">
        <f>E25-E34</f>
        <v>-167.85786658216966</v>
      </c>
      <c r="F38" s="24">
        <f t="shared" ref="F38:P39" si="10">F25-F34</f>
        <v>-368.59368263045326</v>
      </c>
      <c r="G38" s="24">
        <f t="shared" si="10"/>
        <v>-732.33696107752621</v>
      </c>
      <c r="H38" s="24">
        <f t="shared" si="10"/>
        <v>-1264.620747600944</v>
      </c>
      <c r="I38" s="24">
        <f t="shared" si="10"/>
        <v>-1751.9545800983324</v>
      </c>
      <c r="J38" s="24">
        <f t="shared" si="10"/>
        <v>-1783.8641021929798</v>
      </c>
      <c r="K38" s="24">
        <f t="shared" si="10"/>
        <v>-2589.5112471014145</v>
      </c>
      <c r="L38" s="24">
        <f t="shared" si="10"/>
        <v>-1874.4404240878066</v>
      </c>
      <c r="M38" s="24">
        <f t="shared" si="10"/>
        <v>-1569.0686909117794</v>
      </c>
      <c r="N38" s="24">
        <f t="shared" si="10"/>
        <v>-1306.7191602640087</v>
      </c>
      <c r="O38" s="24">
        <f t="shared" si="10"/>
        <v>-448.80238425947027</v>
      </c>
      <c r="P38" s="24">
        <f t="shared" si="10"/>
        <v>-207.74448995984858</v>
      </c>
      <c r="Q38" s="24">
        <f>SUM(E38:P38)</f>
        <v>-14065.514336766733</v>
      </c>
    </row>
    <row r="39" spans="3:17" x14ac:dyDescent="0.35">
      <c r="C39" s="3" t="s">
        <v>44</v>
      </c>
      <c r="D39" s="1" t="s">
        <v>46</v>
      </c>
      <c r="E39" s="24">
        <f>E26-E35</f>
        <v>167.85786658211146</v>
      </c>
      <c r="F39" s="24">
        <f t="shared" si="10"/>
        <v>368.59368263056967</v>
      </c>
      <c r="G39" s="24">
        <f t="shared" si="10"/>
        <v>732.33696107758442</v>
      </c>
      <c r="H39" s="24">
        <f t="shared" si="10"/>
        <v>1264.6207476007985</v>
      </c>
      <c r="I39" s="24">
        <f t="shared" si="10"/>
        <v>1751.954580098507</v>
      </c>
      <c r="J39" s="24">
        <f t="shared" si="10"/>
        <v>1783.8641021929216</v>
      </c>
      <c r="K39" s="24">
        <f t="shared" si="10"/>
        <v>2589.5112471014145</v>
      </c>
      <c r="L39" s="24">
        <f t="shared" si="10"/>
        <v>1874.4404240878066</v>
      </c>
      <c r="M39" s="24">
        <f t="shared" si="10"/>
        <v>1569.0686909116339</v>
      </c>
      <c r="N39" s="24">
        <f t="shared" si="10"/>
        <v>1306.7191602640087</v>
      </c>
      <c r="O39" s="24">
        <f t="shared" si="10"/>
        <v>448.80238425947027</v>
      </c>
      <c r="P39" s="24">
        <f t="shared" si="10"/>
        <v>207.74448995984858</v>
      </c>
      <c r="Q39" s="24">
        <f>SUM(E39:P39)</f>
        <v>14065.514336766675</v>
      </c>
    </row>
  </sheetData>
  <pageMargins left="0.7" right="0.7" top="0.75" bottom="0.75" header="0.3" footer="0.3"/>
  <pageSetup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39"/>
  <sheetViews>
    <sheetView zoomScale="90" zoomScaleNormal="90" workbookViewId="0">
      <selection activeCell="B2" sqref="B2"/>
    </sheetView>
  </sheetViews>
  <sheetFormatPr defaultRowHeight="14.5" x14ac:dyDescent="0.35"/>
  <cols>
    <col min="1" max="1" width="3" style="1" customWidth="1"/>
    <col min="2" max="2" width="6.453125" style="1" bestFit="1" customWidth="1"/>
    <col min="3" max="3" width="19.36328125" style="1" customWidth="1"/>
    <col min="4" max="4" width="44.90625" style="1" customWidth="1"/>
    <col min="5" max="5" width="14.90625" style="1" customWidth="1"/>
    <col min="6" max="10" width="12.1796875" style="1" customWidth="1"/>
    <col min="11" max="15" width="12.1796875" style="1" bestFit="1" customWidth="1"/>
    <col min="16" max="16" width="11.90625" style="1" bestFit="1" customWidth="1"/>
    <col min="17" max="17" width="16.26953125" style="1" customWidth="1"/>
    <col min="18" max="16384" width="8.7265625" style="1"/>
  </cols>
  <sheetData>
    <row r="2" spans="2:16" ht="15.5" x14ac:dyDescent="0.35">
      <c r="D2" s="1" t="s">
        <v>24</v>
      </c>
      <c r="E2" s="20">
        <v>43101</v>
      </c>
      <c r="F2" s="20">
        <v>43132</v>
      </c>
      <c r="G2" s="20">
        <v>43160</v>
      </c>
      <c r="H2" s="20">
        <v>43191</v>
      </c>
      <c r="I2" s="20">
        <v>43221</v>
      </c>
      <c r="J2" s="20">
        <v>43252</v>
      </c>
      <c r="K2" s="20">
        <v>43282</v>
      </c>
      <c r="L2" s="20">
        <v>43313</v>
      </c>
      <c r="M2" s="20">
        <v>43344</v>
      </c>
      <c r="N2" s="20">
        <v>43374</v>
      </c>
      <c r="O2" s="20">
        <v>43405</v>
      </c>
      <c r="P2" s="20">
        <v>43435</v>
      </c>
    </row>
    <row r="3" spans="2:16" x14ac:dyDescent="0.35">
      <c r="D3" s="1" t="s">
        <v>26</v>
      </c>
      <c r="E3" s="21">
        <v>43101</v>
      </c>
      <c r="F3" s="21">
        <v>43132</v>
      </c>
      <c r="G3" s="21">
        <v>43160</v>
      </c>
      <c r="H3" s="21">
        <v>43191</v>
      </c>
      <c r="I3" s="21">
        <v>43221</v>
      </c>
      <c r="J3" s="21">
        <v>43252</v>
      </c>
      <c r="K3" s="21">
        <v>43282</v>
      </c>
      <c r="L3" s="21">
        <v>43313</v>
      </c>
      <c r="M3" s="21">
        <v>43344</v>
      </c>
      <c r="N3" s="21">
        <v>43374</v>
      </c>
      <c r="O3" s="21">
        <v>43405</v>
      </c>
      <c r="P3" s="21">
        <v>43435</v>
      </c>
    </row>
    <row r="4" spans="2:16" x14ac:dyDescent="0.35">
      <c r="D4" s="1" t="s">
        <v>27</v>
      </c>
      <c r="E4" s="21">
        <v>43131</v>
      </c>
      <c r="F4" s="21">
        <v>43159</v>
      </c>
      <c r="G4" s="21">
        <v>43190</v>
      </c>
      <c r="H4" s="21">
        <v>43220</v>
      </c>
      <c r="I4" s="21">
        <v>43251</v>
      </c>
      <c r="J4" s="21">
        <v>43281</v>
      </c>
      <c r="K4" s="21">
        <v>43312</v>
      </c>
      <c r="L4" s="21">
        <v>43343</v>
      </c>
      <c r="M4" s="21">
        <v>43373</v>
      </c>
      <c r="N4" s="21">
        <v>43404</v>
      </c>
      <c r="O4" s="21">
        <v>43434</v>
      </c>
      <c r="P4" s="21">
        <v>43465</v>
      </c>
    </row>
    <row r="6" spans="2:16" x14ac:dyDescent="0.35">
      <c r="C6" s="8" t="s">
        <v>25</v>
      </c>
      <c r="D6" s="9" t="s">
        <v>23</v>
      </c>
      <c r="E6" s="4" t="s">
        <v>5</v>
      </c>
      <c r="F6" s="4" t="s">
        <v>5</v>
      </c>
      <c r="G6" s="4" t="s">
        <v>5</v>
      </c>
      <c r="H6" s="4" t="s">
        <v>5</v>
      </c>
      <c r="I6" s="4" t="s">
        <v>5</v>
      </c>
      <c r="J6" s="4" t="s">
        <v>5</v>
      </c>
      <c r="K6" s="4" t="s">
        <v>5</v>
      </c>
      <c r="L6" s="4" t="s">
        <v>5</v>
      </c>
      <c r="M6" s="4" t="s">
        <v>5</v>
      </c>
      <c r="N6" s="4" t="s">
        <v>5</v>
      </c>
      <c r="O6" s="4" t="s">
        <v>5</v>
      </c>
      <c r="P6" s="4" t="s">
        <v>5</v>
      </c>
    </row>
    <row r="7" spans="2:16" x14ac:dyDescent="0.35">
      <c r="B7" s="1" t="s">
        <v>9</v>
      </c>
      <c r="C7" s="3" t="s">
        <v>0</v>
      </c>
      <c r="D7" s="1" t="s">
        <v>8</v>
      </c>
      <c r="E7" s="5">
        <v>10120871</v>
      </c>
      <c r="F7" s="5">
        <v>8795743.0099999998</v>
      </c>
      <c r="G7" s="5">
        <v>9293422</v>
      </c>
      <c r="H7" s="5">
        <v>8633437.9199999999</v>
      </c>
      <c r="I7" s="5">
        <v>8484268.4499999993</v>
      </c>
      <c r="J7" s="5">
        <v>8312326.0700000003</v>
      </c>
      <c r="K7" s="5">
        <v>8610575.25</v>
      </c>
      <c r="L7" s="5">
        <v>9144402.2200000007</v>
      </c>
      <c r="M7" s="5">
        <v>8289812.9699999997</v>
      </c>
      <c r="N7" s="5">
        <v>8833440.790000001</v>
      </c>
      <c r="O7" s="5">
        <v>8985133.3399999999</v>
      </c>
      <c r="P7" s="5">
        <v>8669175.7100000009</v>
      </c>
    </row>
    <row r="8" spans="2:16" x14ac:dyDescent="0.35">
      <c r="B8" s="1" t="s">
        <v>11</v>
      </c>
      <c r="C8" s="3" t="s">
        <v>1</v>
      </c>
      <c r="D8" s="1" t="s">
        <v>6</v>
      </c>
      <c r="E8" s="5">
        <v>1912889.67</v>
      </c>
      <c r="F8" s="5">
        <v>1729300.33</v>
      </c>
      <c r="G8" s="5">
        <v>1886887.54</v>
      </c>
      <c r="H8" s="5">
        <v>1805190.12</v>
      </c>
      <c r="I8" s="5">
        <v>1963940.33</v>
      </c>
      <c r="J8" s="5">
        <v>1959964.47</v>
      </c>
      <c r="K8" s="5">
        <v>4194517.0199999996</v>
      </c>
      <c r="L8" s="5">
        <v>4725689.01</v>
      </c>
      <c r="M8" s="5">
        <v>4238331.93</v>
      </c>
      <c r="N8" s="5">
        <v>4538667.46</v>
      </c>
      <c r="O8" s="5">
        <v>4247842.62</v>
      </c>
      <c r="P8" s="5">
        <v>3518108.44</v>
      </c>
    </row>
    <row r="9" spans="2:16" x14ac:dyDescent="0.35">
      <c r="B9" s="1" t="s">
        <v>11</v>
      </c>
      <c r="C9" s="3" t="s">
        <v>2</v>
      </c>
      <c r="D9" s="1" t="s">
        <v>22</v>
      </c>
      <c r="E9" s="5">
        <f>6303380.2-E8</f>
        <v>4390490.53</v>
      </c>
      <c r="F9" s="5">
        <f>5319943.63-F8</f>
        <v>3590643.3</v>
      </c>
      <c r="G9" s="5">
        <f>5559965.5-G8</f>
        <v>3673077.96</v>
      </c>
      <c r="H9" s="5">
        <f>5180763.29-H8</f>
        <v>3375573.17</v>
      </c>
      <c r="I9" s="5">
        <f>5575874.68-I8</f>
        <v>3611934.3499999996</v>
      </c>
      <c r="J9" s="5">
        <f>5349899.9-J8</f>
        <v>3389935.4300000006</v>
      </c>
      <c r="K9" s="5">
        <f>5323810.27-K8</f>
        <v>1129293.25</v>
      </c>
      <c r="L9" s="5">
        <f>5905547.24-L8</f>
        <v>1179858.2300000004</v>
      </c>
      <c r="M9" s="5">
        <f>5412417.81-M8</f>
        <v>1174085.8799999999</v>
      </c>
      <c r="N9" s="5">
        <f>5776600.94-N8</f>
        <v>1237933.4800000004</v>
      </c>
      <c r="O9" s="5">
        <f>5508304.39-O8</f>
        <v>1260461.7699999996</v>
      </c>
      <c r="P9" s="5">
        <f>4840949.57-P8</f>
        <v>1322841.1300000004</v>
      </c>
    </row>
    <row r="10" spans="2:16" x14ac:dyDescent="0.35">
      <c r="B10" s="1" t="s">
        <v>11</v>
      </c>
      <c r="C10" s="3" t="s">
        <v>3</v>
      </c>
      <c r="D10" s="1" t="s">
        <v>20</v>
      </c>
      <c r="E10" s="5">
        <v>79837.399999999994</v>
      </c>
      <c r="F10" s="5">
        <v>68564.72</v>
      </c>
      <c r="G10" s="5">
        <v>68058.02</v>
      </c>
      <c r="H10" s="5">
        <v>56996.4</v>
      </c>
      <c r="I10" s="5">
        <v>52352.18</v>
      </c>
      <c r="J10" s="5">
        <v>43064.1</v>
      </c>
      <c r="K10" s="5">
        <v>45808.39</v>
      </c>
      <c r="L10" s="5">
        <v>51043.360000000001</v>
      </c>
      <c r="M10" s="5">
        <v>55729.800000000047</v>
      </c>
      <c r="N10" s="5">
        <v>65440.380000000048</v>
      </c>
      <c r="O10" s="5">
        <v>70929.000000000044</v>
      </c>
      <c r="P10" s="5">
        <v>78528.579999999958</v>
      </c>
    </row>
    <row r="11" spans="2:16" x14ac:dyDescent="0.35">
      <c r="B11" s="1" t="s">
        <v>10</v>
      </c>
      <c r="C11" s="3" t="s">
        <v>4</v>
      </c>
      <c r="D11" s="1" t="s">
        <v>19</v>
      </c>
      <c r="E11" s="5">
        <f>5367.61+2614.17</f>
        <v>7981.78</v>
      </c>
      <c r="F11" s="5">
        <f>9057.74+4981.17</f>
        <v>14038.91</v>
      </c>
      <c r="G11" s="5">
        <f>27342.56+14428.89</f>
        <v>41771.449999999997</v>
      </c>
      <c r="H11" s="5">
        <f>23962.18+13711.74</f>
        <v>37673.919999999998</v>
      </c>
      <c r="I11" s="5">
        <f>36943.89+20089.96</f>
        <v>57033.85</v>
      </c>
      <c r="J11" s="5">
        <f>35444.6+19444.98</f>
        <v>54889.58</v>
      </c>
      <c r="K11" s="5">
        <f>38377.24+20790.84</f>
        <v>59168.08</v>
      </c>
      <c r="L11" s="5">
        <v>47775.63</v>
      </c>
      <c r="M11" s="5">
        <v>38626.410000000011</v>
      </c>
      <c r="N11" s="5">
        <v>21693.300000000007</v>
      </c>
      <c r="O11" s="5">
        <v>4970.8900000000003</v>
      </c>
      <c r="P11" s="5">
        <v>5535.7400000000007</v>
      </c>
    </row>
    <row r="12" spans="2:16" x14ac:dyDescent="0.35">
      <c r="B12" s="1" t="s">
        <v>12</v>
      </c>
      <c r="C12" s="3" t="s">
        <v>14</v>
      </c>
      <c r="D12" s="1" t="s">
        <v>7</v>
      </c>
      <c r="E12" s="5">
        <f>E7-E8-E9-E10+E11</f>
        <v>3745635.1799999997</v>
      </c>
      <c r="F12" s="5">
        <f t="shared" ref="F12:I12" si="0">F7-F8-F9-F10+F11</f>
        <v>3421273.57</v>
      </c>
      <c r="G12" s="5">
        <f t="shared" si="0"/>
        <v>3707169.93</v>
      </c>
      <c r="H12" s="5">
        <f t="shared" si="0"/>
        <v>3433352.15</v>
      </c>
      <c r="I12" s="5">
        <f t="shared" si="0"/>
        <v>2913075.4399999995</v>
      </c>
      <c r="J12" s="5">
        <f>J7-J8-J9-J10+J11</f>
        <v>2974251.65</v>
      </c>
      <c r="K12" s="5">
        <f>K7-K8-K9-K10+K11</f>
        <v>3300124.6700000004</v>
      </c>
      <c r="L12" s="5">
        <f t="shared" ref="L12:P12" si="1">L7-L8-L9-L10+L11</f>
        <v>3235587.2500000005</v>
      </c>
      <c r="M12" s="5">
        <f t="shared" si="1"/>
        <v>2860291.7700000005</v>
      </c>
      <c r="N12" s="5">
        <f t="shared" si="1"/>
        <v>3013092.7700000005</v>
      </c>
      <c r="O12" s="5">
        <f t="shared" si="1"/>
        <v>3410870.8400000003</v>
      </c>
      <c r="P12" s="5">
        <f t="shared" si="1"/>
        <v>3755233.3000000012</v>
      </c>
    </row>
    <row r="13" spans="2:16" s="34" customFormat="1" ht="10.5" x14ac:dyDescent="0.35">
      <c r="C13" s="3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</row>
    <row r="14" spans="2:16" ht="29" x14ac:dyDescent="0.35">
      <c r="B14" s="1" t="s">
        <v>11</v>
      </c>
      <c r="C14" s="3" t="s">
        <v>13</v>
      </c>
      <c r="D14" s="2" t="s">
        <v>21</v>
      </c>
      <c r="E14" s="5">
        <v>347882</v>
      </c>
      <c r="F14" s="5">
        <v>365507</v>
      </c>
      <c r="G14" s="5">
        <v>291107</v>
      </c>
      <c r="H14" s="5">
        <v>300071</v>
      </c>
      <c r="I14" s="5">
        <v>271464</v>
      </c>
      <c r="J14" s="5">
        <v>213941</v>
      </c>
      <c r="K14" s="5">
        <v>218916</v>
      </c>
      <c r="L14" s="5">
        <v>238478</v>
      </c>
      <c r="M14" s="5">
        <v>243967</v>
      </c>
      <c r="N14" s="5">
        <v>234761</v>
      </c>
      <c r="O14" s="5">
        <v>271661</v>
      </c>
      <c r="P14" s="5">
        <v>322163</v>
      </c>
    </row>
    <row r="15" spans="2:16" s="34" customFormat="1" ht="10.5" x14ac:dyDescent="0.35">
      <c r="C15" s="35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</row>
    <row r="16" spans="2:16" x14ac:dyDescent="0.35">
      <c r="B16" s="1" t="s">
        <v>12</v>
      </c>
      <c r="C16" s="3" t="s">
        <v>15</v>
      </c>
      <c r="D16" s="1" t="s">
        <v>18</v>
      </c>
      <c r="E16" s="5">
        <f t="shared" ref="E16:I16" si="2">E12-E14</f>
        <v>3397753.1799999997</v>
      </c>
      <c r="F16" s="5">
        <f t="shared" si="2"/>
        <v>3055766.57</v>
      </c>
      <c r="G16" s="5">
        <f t="shared" si="2"/>
        <v>3416062.93</v>
      </c>
      <c r="H16" s="5">
        <f t="shared" si="2"/>
        <v>3133281.15</v>
      </c>
      <c r="I16" s="5">
        <f t="shared" si="2"/>
        <v>2641611.4399999995</v>
      </c>
      <c r="J16" s="5">
        <f>J12-J14</f>
        <v>2760310.65</v>
      </c>
      <c r="K16" s="5">
        <f>K12-K14</f>
        <v>3081208.6700000004</v>
      </c>
      <c r="L16" s="5">
        <f t="shared" ref="L16:P16" si="3">L12-L14</f>
        <v>2997109.2500000005</v>
      </c>
      <c r="M16" s="5">
        <f t="shared" si="3"/>
        <v>2616324.7700000005</v>
      </c>
      <c r="N16" s="5">
        <f t="shared" si="3"/>
        <v>2778331.7700000005</v>
      </c>
      <c r="O16" s="5">
        <f t="shared" si="3"/>
        <v>3139209.8400000003</v>
      </c>
      <c r="P16" s="5">
        <f t="shared" si="3"/>
        <v>3433070.3000000012</v>
      </c>
    </row>
    <row r="17" spans="3:17" s="34" customFormat="1" ht="10.5" x14ac:dyDescent="0.35">
      <c r="C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3:17" s="34" customFormat="1" ht="10.5" x14ac:dyDescent="0.35"/>
    <row r="19" spans="3:17" x14ac:dyDescent="0.35">
      <c r="C19" s="14" t="s">
        <v>31</v>
      </c>
      <c r="D19" s="1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3:17" x14ac:dyDescent="0.35">
      <c r="C20" s="3" t="s">
        <v>28</v>
      </c>
      <c r="D20" s="1" t="s">
        <v>16</v>
      </c>
      <c r="E20" s="6">
        <f>(E16)/(E7-E8+E11)</f>
        <v>0.41355506767848665</v>
      </c>
      <c r="F20" s="6">
        <f t="shared" ref="F20:I20" si="4">(F16)/(F7-F8+F11)</f>
        <v>0.431576091422335</v>
      </c>
      <c r="G20" s="6">
        <f t="shared" si="4"/>
        <v>0.45863622832859724</v>
      </c>
      <c r="H20" s="6">
        <f t="shared" si="4"/>
        <v>0.4563525885931598</v>
      </c>
      <c r="I20" s="6">
        <f t="shared" si="4"/>
        <v>0.40162172190745343</v>
      </c>
      <c r="J20" s="6">
        <f>(J16)/(J7-J8+J11)</f>
        <v>0.4308104321891123</v>
      </c>
      <c r="K20" s="6">
        <f>(K16)/(K7-K8+K11)</f>
        <v>0.68850343123764846</v>
      </c>
      <c r="L20" s="6">
        <f t="shared" ref="L20:P20" si="5">(L16)/(L7-L8+L11)</f>
        <v>0.67102132286980032</v>
      </c>
      <c r="M20" s="6">
        <f t="shared" si="5"/>
        <v>0.63967140276473677</v>
      </c>
      <c r="N20" s="6">
        <f t="shared" si="5"/>
        <v>0.64365880896431249</v>
      </c>
      <c r="O20" s="6">
        <f t="shared" si="5"/>
        <v>0.66196471181183969</v>
      </c>
      <c r="P20" s="6">
        <f t="shared" si="5"/>
        <v>0.66576199357258647</v>
      </c>
    </row>
    <row r="21" spans="3:17" x14ac:dyDescent="0.35">
      <c r="C21" s="10" t="s">
        <v>29</v>
      </c>
      <c r="D21" s="11" t="s">
        <v>17</v>
      </c>
      <c r="E21" s="12">
        <f>(E7-E8-E16+E11)/(E7-E8+E11)</f>
        <v>0.5864449323215134</v>
      </c>
      <c r="F21" s="12">
        <f>(F7-F8-F16+F11)/(F7-F8+F11)</f>
        <v>0.568423908577665</v>
      </c>
      <c r="G21" s="12">
        <f>(G7-G8-G16+G11)/(G7-G8+G11)</f>
        <v>0.54136377167140282</v>
      </c>
      <c r="H21" s="12">
        <f>(H7-H8-H16+H11)/(H7-H8+H11)</f>
        <v>0.54364741140684025</v>
      </c>
      <c r="I21" s="12">
        <f>(I7-I8-I16+I11)/(I7-I8+I11)</f>
        <v>0.59837827809254662</v>
      </c>
      <c r="J21" s="12">
        <f>(J7-J8-J16+J11)/(J7-J8+J11)</f>
        <v>0.5691895678108877</v>
      </c>
      <c r="K21" s="12">
        <f>(K7-K8-K16+K11)/(K7-K8+K11)</f>
        <v>0.3114965687623516</v>
      </c>
      <c r="L21" s="12">
        <f>(L7-L8-L16+L11)/(L7-L8+L11)</f>
        <v>0.32897867713019968</v>
      </c>
      <c r="M21" s="12">
        <f>(M7-M8-M16+M11)/(M7-M8+M11)</f>
        <v>0.36032859723526317</v>
      </c>
      <c r="N21" s="12">
        <f>(N7-N8-N16+N11)/(N7-N8+N11)</f>
        <v>0.35634119103568751</v>
      </c>
      <c r="O21" s="12">
        <f>(O7-O8-O16+O11)/(O7-O8+O11)</f>
        <v>0.33803528818816042</v>
      </c>
      <c r="P21" s="12">
        <f>(P7-P8-P16+P11)/(P7-P8+P11)</f>
        <v>0.33423800642741347</v>
      </c>
    </row>
    <row r="22" spans="3:17" x14ac:dyDescent="0.35">
      <c r="E22" s="7">
        <f>SUM(E20:E21)</f>
        <v>1</v>
      </c>
      <c r="F22" s="7">
        <f>SUM(F20:F21)</f>
        <v>1</v>
      </c>
      <c r="G22" s="7">
        <f>SUM(G20:G21)</f>
        <v>1</v>
      </c>
      <c r="H22" s="7">
        <f>SUM(H20:H21)</f>
        <v>1</v>
      </c>
      <c r="I22" s="7">
        <f>SUM(I20:I21)</f>
        <v>1</v>
      </c>
      <c r="J22" s="7">
        <f>SUM(J20:J21)</f>
        <v>1</v>
      </c>
      <c r="K22" s="7">
        <f>SUM(K20:K21)</f>
        <v>1</v>
      </c>
      <c r="L22" s="7">
        <f>SUM(L20:L21)</f>
        <v>1</v>
      </c>
      <c r="M22" s="7">
        <f>SUM(M20:M21)</f>
        <v>1</v>
      </c>
      <c r="N22" s="7">
        <f>SUM(N20:N21)</f>
        <v>1</v>
      </c>
      <c r="O22" s="7">
        <f>SUM(O20:O21)</f>
        <v>1</v>
      </c>
      <c r="P22" s="7">
        <f>SUM(P20:P21)</f>
        <v>1</v>
      </c>
    </row>
    <row r="24" spans="3:17" x14ac:dyDescent="0.35">
      <c r="C24" s="3" t="s">
        <v>37</v>
      </c>
      <c r="D24" s="31" t="s">
        <v>36</v>
      </c>
      <c r="E24" s="23">
        <v>553532.97</v>
      </c>
      <c r="F24" s="23">
        <v>585952.17000000004</v>
      </c>
      <c r="G24" s="23">
        <v>706147.51</v>
      </c>
      <c r="H24" s="23">
        <v>683799.53</v>
      </c>
      <c r="I24" s="23">
        <v>709897.86</v>
      </c>
      <c r="J24" s="23">
        <v>762562.34</v>
      </c>
      <c r="K24" s="23">
        <v>348290.28</v>
      </c>
      <c r="L24" s="23">
        <v>334530.64</v>
      </c>
      <c r="M24" s="23">
        <v>351873.1</v>
      </c>
      <c r="N24" s="23">
        <v>520452.84</v>
      </c>
      <c r="O24" s="23">
        <v>467358.84</v>
      </c>
      <c r="P24" s="23">
        <v>41471.339999999997</v>
      </c>
      <c r="Q24" s="41" t="s">
        <v>48</v>
      </c>
    </row>
    <row r="25" spans="3:17" x14ac:dyDescent="0.35">
      <c r="C25" s="3" t="s">
        <v>38</v>
      </c>
      <c r="D25" s="32" t="s">
        <v>32</v>
      </c>
      <c r="E25" s="24">
        <f>E24*E20</f>
        <v>228916.36487062371</v>
      </c>
      <c r="F25" s="24">
        <f>F24*F20</f>
        <v>252882.9472890356</v>
      </c>
      <c r="G25" s="24">
        <f>G24*G20</f>
        <v>323864.83063003042</v>
      </c>
      <c r="H25" s="24">
        <f>H24*H20</f>
        <v>312053.68559428607</v>
      </c>
      <c r="I25" s="24">
        <f>I24*I20</f>
        <v>285110.40091161628</v>
      </c>
      <c r="J25" s="24">
        <f>J24*J20</f>
        <v>328519.81126654078</v>
      </c>
      <c r="K25" s="24">
        <f>K24*K20</f>
        <v>239799.05284672134</v>
      </c>
      <c r="L25" s="24">
        <f>L24*L20</f>
        <v>224477.19259328095</v>
      </c>
      <c r="M25" s="24">
        <f>M24*M20</f>
        <v>225083.15947217648</v>
      </c>
      <c r="N25" s="24">
        <f>N24*N20</f>
        <v>334994.0551164939</v>
      </c>
      <c r="O25" s="24">
        <f>O24*O20</f>
        <v>309375.05983331572</v>
      </c>
      <c r="P25" s="24">
        <f>P24*P20</f>
        <v>27610.041994526546</v>
      </c>
      <c r="Q25" s="42">
        <f t="shared" ref="Q25:Q26" si="6">SUM(E25:P25)</f>
        <v>3092686.6024186476</v>
      </c>
    </row>
    <row r="26" spans="3:17" x14ac:dyDescent="0.35">
      <c r="C26" s="3" t="s">
        <v>39</v>
      </c>
      <c r="D26" s="32" t="s">
        <v>33</v>
      </c>
      <c r="E26" s="24">
        <f>E24*E21</f>
        <v>324616.60512937629</v>
      </c>
      <c r="F26" s="24">
        <f t="shared" ref="F26:P26" si="7">F24*F21</f>
        <v>333069.22271096444</v>
      </c>
      <c r="G26" s="24">
        <f t="shared" si="7"/>
        <v>382282.67936996964</v>
      </c>
      <c r="H26" s="24">
        <f t="shared" si="7"/>
        <v>371745.84440571402</v>
      </c>
      <c r="I26" s="24">
        <f t="shared" si="7"/>
        <v>424787.45908838371</v>
      </c>
      <c r="J26" s="24">
        <f t="shared" si="7"/>
        <v>434042.52873345918</v>
      </c>
      <c r="K26" s="24">
        <f t="shared" si="7"/>
        <v>108491.2271532787</v>
      </c>
      <c r="L26" s="24">
        <f t="shared" si="7"/>
        <v>110053.44740671906</v>
      </c>
      <c r="M26" s="24">
        <f t="shared" si="7"/>
        <v>126789.94052782348</v>
      </c>
      <c r="N26" s="24">
        <f t="shared" si="7"/>
        <v>185458.7848835061</v>
      </c>
      <c r="O26" s="24">
        <f t="shared" si="7"/>
        <v>157983.78016668436</v>
      </c>
      <c r="P26" s="24">
        <f t="shared" si="7"/>
        <v>13861.298005473449</v>
      </c>
      <c r="Q26" s="42">
        <f t="shared" si="6"/>
        <v>2973182.8175813523</v>
      </c>
    </row>
    <row r="27" spans="3:17" x14ac:dyDescent="0.35">
      <c r="D27" s="25" t="s">
        <v>34</v>
      </c>
      <c r="E27" s="26">
        <f>E24-E25-E26</f>
        <v>0</v>
      </c>
      <c r="F27" s="26">
        <f t="shared" ref="F27:P27" si="8">F24-F25-F26</f>
        <v>0</v>
      </c>
      <c r="G27" s="26">
        <f t="shared" si="8"/>
        <v>0</v>
      </c>
      <c r="H27" s="26">
        <f t="shared" si="8"/>
        <v>0</v>
      </c>
      <c r="I27" s="26">
        <f t="shared" si="8"/>
        <v>0</v>
      </c>
      <c r="J27" s="26">
        <f t="shared" si="8"/>
        <v>0</v>
      </c>
      <c r="K27" s="26">
        <f t="shared" si="8"/>
        <v>0</v>
      </c>
      <c r="L27" s="26">
        <f t="shared" si="8"/>
        <v>0</v>
      </c>
      <c r="M27" s="26">
        <f t="shared" si="8"/>
        <v>0</v>
      </c>
      <c r="N27" s="26">
        <f t="shared" si="8"/>
        <v>0</v>
      </c>
      <c r="O27" s="26">
        <f t="shared" si="8"/>
        <v>0</v>
      </c>
      <c r="P27" s="26">
        <f t="shared" si="8"/>
        <v>0</v>
      </c>
    </row>
    <row r="28" spans="3:17" s="34" customFormat="1" ht="10.5" x14ac:dyDescent="0.35"/>
    <row r="29" spans="3:17" x14ac:dyDescent="0.35">
      <c r="C29" s="15" t="s">
        <v>30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3:17" x14ac:dyDescent="0.35">
      <c r="C30" s="16"/>
      <c r="D30" s="16" t="s">
        <v>16</v>
      </c>
      <c r="E30" s="18">
        <f>(E16)/(E7-E8)</f>
        <v>0.41395722570436205</v>
      </c>
      <c r="F30" s="18">
        <f>(F16)/(F7-F8)</f>
        <v>0.43243350415176651</v>
      </c>
      <c r="G30" s="18">
        <f>(G16)/(G7-G8)</f>
        <v>0.46122284969426852</v>
      </c>
      <c r="H30" s="18">
        <f>(H16)/(H7-H8)</f>
        <v>0.45887045136235388</v>
      </c>
      <c r="I30" s="18">
        <f>(I16)/(I7-I8)</f>
        <v>0.40513474036640962</v>
      </c>
      <c r="J30" s="18">
        <f>(J16)/(J7-J8)</f>
        <v>0.4345329853388698</v>
      </c>
      <c r="K30" s="18">
        <f>(K16)/(K7-K8)</f>
        <v>0.69772827021803108</v>
      </c>
      <c r="L30" s="18">
        <f>(L16)/(L7-L8)</f>
        <v>0.67827648176334121</v>
      </c>
      <c r="M30" s="18">
        <f>(M16)/(M7-M8)</f>
        <v>0.64576996514834994</v>
      </c>
      <c r="N30" s="18">
        <f>(N16)/(N7-N8)</f>
        <v>0.64690998954303369</v>
      </c>
      <c r="O30" s="18">
        <f>(O16)/(O7-O8)</f>
        <v>0.66265931848911319</v>
      </c>
      <c r="P30" s="18">
        <f>(P16)/(P7-P8)</f>
        <v>0.66647747351200881</v>
      </c>
    </row>
    <row r="31" spans="3:17" x14ac:dyDescent="0.35">
      <c r="C31" s="16"/>
      <c r="D31" s="16" t="s">
        <v>17</v>
      </c>
      <c r="E31" s="18">
        <f>(E7-E8-E16)/(E7-E8)</f>
        <v>0.586042774295638</v>
      </c>
      <c r="F31" s="18">
        <f>(F7-F8-F16)/(F7-F8)</f>
        <v>0.56756649584823349</v>
      </c>
      <c r="G31" s="18">
        <f>(G7-G8-G16)/(G7-G8)</f>
        <v>0.53877715030573148</v>
      </c>
      <c r="H31" s="18">
        <f>(H7-H8-H16)/(H7-H8)</f>
        <v>0.54112954863764606</v>
      </c>
      <c r="I31" s="18">
        <f>(I7-I8-I16)/(I7-I8)</f>
        <v>0.59486525963359038</v>
      </c>
      <c r="J31" s="18">
        <f>(J7-J8-J16)/(J7-J8)</f>
        <v>0.56546701466113014</v>
      </c>
      <c r="K31" s="18">
        <f>(K7-K8-K16)/(K7-K8)</f>
        <v>0.30227172978196892</v>
      </c>
      <c r="L31" s="18">
        <f>(L7-L8-L16)/(L7-L8)</f>
        <v>0.32172351823665879</v>
      </c>
      <c r="M31" s="18">
        <f>(M7-M8-M16)/(M7-M8)</f>
        <v>0.35423003485165011</v>
      </c>
      <c r="N31" s="18">
        <f>(N7-N8-N16)/(N7-N8)</f>
        <v>0.35309001045696636</v>
      </c>
      <c r="O31" s="18">
        <f>(O7-O8-O16)/(O7-O8)</f>
        <v>0.33734068151088675</v>
      </c>
      <c r="P31" s="18">
        <f>(P7-P8-P16)/(P7-P8)</f>
        <v>0.33352252648799124</v>
      </c>
    </row>
    <row r="32" spans="3:17" x14ac:dyDescent="0.35">
      <c r="C32" s="16"/>
      <c r="D32" s="16"/>
      <c r="E32" s="19">
        <f>SUM(E30:E31)</f>
        <v>1</v>
      </c>
      <c r="F32" s="19">
        <f>SUM(F30:F31)</f>
        <v>1</v>
      </c>
      <c r="G32" s="19">
        <f>SUM(G30:G31)</f>
        <v>1</v>
      </c>
      <c r="H32" s="19">
        <f>SUM(H30:H31)</f>
        <v>1</v>
      </c>
      <c r="I32" s="19">
        <f>SUM(I30:I31)</f>
        <v>1</v>
      </c>
      <c r="J32" s="19">
        <f>SUM(J30:J31)</f>
        <v>1</v>
      </c>
      <c r="K32" s="19">
        <f>SUM(K30:K31)</f>
        <v>1</v>
      </c>
      <c r="L32" s="19">
        <f>SUM(L30:L31)</f>
        <v>1</v>
      </c>
      <c r="M32" s="19">
        <f>SUM(M30:M31)</f>
        <v>1</v>
      </c>
      <c r="N32" s="19">
        <f>SUM(N30:N31)</f>
        <v>1</v>
      </c>
      <c r="O32" s="19">
        <f>SUM(O30:O31)</f>
        <v>1</v>
      </c>
      <c r="P32" s="19">
        <f>SUM(P30:P31)</f>
        <v>1</v>
      </c>
    </row>
    <row r="33" spans="3:17" x14ac:dyDescent="0.35"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41" t="s">
        <v>48</v>
      </c>
    </row>
    <row r="34" spans="3:17" x14ac:dyDescent="0.35">
      <c r="C34" s="17" t="s">
        <v>41</v>
      </c>
      <c r="D34" s="27" t="s">
        <v>32</v>
      </c>
      <c r="E34" s="28">
        <f>E30*E24</f>
        <v>229138.97259709585</v>
      </c>
      <c r="F34" s="28">
        <f>F30*F24</f>
        <v>253385.35013843162</v>
      </c>
      <c r="G34" s="28">
        <f>G30*G24</f>
        <v>325691.36686671199</v>
      </c>
      <c r="H34" s="28">
        <f>H30*H24</f>
        <v>313775.39897246548</v>
      </c>
      <c r="I34" s="28">
        <f>I30*I24</f>
        <v>287604.28519776982</v>
      </c>
      <c r="J34" s="28">
        <f>J30*J24</f>
        <v>331358.49010719423</v>
      </c>
      <c r="K34" s="28">
        <f>K30*K24</f>
        <v>243011.97459815373</v>
      </c>
      <c r="L34" s="28">
        <f>L30*L24</f>
        <v>226904.26554123888</v>
      </c>
      <c r="M34" s="28">
        <f>M30*M24</f>
        <v>227229.07952364185</v>
      </c>
      <c r="N34" s="28">
        <f>N30*N24</f>
        <v>336686.1412820422</v>
      </c>
      <c r="O34" s="28">
        <f>O30*O24</f>
        <v>309699.69040426251</v>
      </c>
      <c r="P34" s="28">
        <f>P30*P24</f>
        <v>27639.713906357509</v>
      </c>
      <c r="Q34" s="42">
        <f t="shared" ref="Q34:Q35" si="9">SUM(E34:P34)</f>
        <v>3112124.7291353652</v>
      </c>
    </row>
    <row r="35" spans="3:17" x14ac:dyDescent="0.35">
      <c r="C35" s="17" t="s">
        <v>42</v>
      </c>
      <c r="D35" s="27" t="s">
        <v>33</v>
      </c>
      <c r="E35" s="28">
        <f>E31*E24</f>
        <v>324393.99740290415</v>
      </c>
      <c r="F35" s="28">
        <f>F31*F24</f>
        <v>332566.81986156845</v>
      </c>
      <c r="G35" s="28">
        <f>G31*G24</f>
        <v>380456.14313328802</v>
      </c>
      <c r="H35" s="28">
        <f>H31*H24</f>
        <v>370024.13102753455</v>
      </c>
      <c r="I35" s="28">
        <f>I31*I24</f>
        <v>422293.57480223017</v>
      </c>
      <c r="J35" s="28">
        <f>J31*J24</f>
        <v>431203.84989280568</v>
      </c>
      <c r="K35" s="28">
        <f>K31*K24</f>
        <v>105278.3054018463</v>
      </c>
      <c r="L35" s="28">
        <f>L31*L24</f>
        <v>107626.37445876114</v>
      </c>
      <c r="M35" s="28">
        <f>M31*M24</f>
        <v>124644.02047635816</v>
      </c>
      <c r="N35" s="28">
        <f>N31*N24</f>
        <v>183766.69871795786</v>
      </c>
      <c r="O35" s="28">
        <f>O31*O24</f>
        <v>157659.14959573749</v>
      </c>
      <c r="P35" s="28">
        <f>P31*P24</f>
        <v>13831.62609364249</v>
      </c>
      <c r="Q35" s="42">
        <f t="shared" si="9"/>
        <v>2953744.6908646338</v>
      </c>
    </row>
    <row r="36" spans="3:17" x14ac:dyDescent="0.35">
      <c r="C36" s="16"/>
      <c r="D36" s="29" t="s">
        <v>34</v>
      </c>
      <c r="E36" s="30">
        <f>E24-E34-E35</f>
        <v>0</v>
      </c>
      <c r="F36" s="30">
        <f>F24-F34-F35</f>
        <v>0</v>
      </c>
      <c r="G36" s="30">
        <f>G24-G34-G35</f>
        <v>0</v>
      </c>
      <c r="H36" s="30">
        <f>H24-H34-H35</f>
        <v>0</v>
      </c>
      <c r="I36" s="30">
        <f>I24-I34-I35</f>
        <v>0</v>
      </c>
      <c r="J36" s="30">
        <f>J24-J34-J35</f>
        <v>0</v>
      </c>
      <c r="K36" s="30">
        <f>K24-K34-K35</f>
        <v>0</v>
      </c>
      <c r="L36" s="30">
        <f>L24-L34-L35</f>
        <v>0</v>
      </c>
      <c r="M36" s="30">
        <f>M24-M34-M35</f>
        <v>0</v>
      </c>
      <c r="N36" s="30">
        <f>N24-N34-N35</f>
        <v>0</v>
      </c>
      <c r="O36" s="30">
        <f>O24-O34-O35</f>
        <v>0</v>
      </c>
      <c r="P36" s="30">
        <f>P24-P34-P35</f>
        <v>0</v>
      </c>
    </row>
    <row r="37" spans="3:17" s="39" customFormat="1" ht="15.5" x14ac:dyDescent="0.35">
      <c r="Q37" s="40" t="s">
        <v>47</v>
      </c>
    </row>
    <row r="38" spans="3:17" x14ac:dyDescent="0.35">
      <c r="C38" s="3" t="s">
        <v>43</v>
      </c>
      <c r="D38" s="1" t="s">
        <v>45</v>
      </c>
      <c r="E38" s="24">
        <f>E25-E34</f>
        <v>-222.60772647213889</v>
      </c>
      <c r="F38" s="24">
        <f t="shared" ref="F38:P39" si="10">F25-F34</f>
        <v>-502.40284939602134</v>
      </c>
      <c r="G38" s="24">
        <f t="shared" si="10"/>
        <v>-1826.536236681568</v>
      </c>
      <c r="H38" s="24">
        <f t="shared" si="10"/>
        <v>-1721.7133781794109</v>
      </c>
      <c r="I38" s="24">
        <f t="shared" si="10"/>
        <v>-2493.8842861535377</v>
      </c>
      <c r="J38" s="24">
        <f t="shared" si="10"/>
        <v>-2838.678840653447</v>
      </c>
      <c r="K38" s="24">
        <f t="shared" si="10"/>
        <v>-3212.9217514323827</v>
      </c>
      <c r="L38" s="24">
        <f t="shared" si="10"/>
        <v>-2427.0729479579313</v>
      </c>
      <c r="M38" s="24">
        <f t="shared" si="10"/>
        <v>-2145.9200514653639</v>
      </c>
      <c r="N38" s="24">
        <f t="shared" si="10"/>
        <v>-1692.0861655483022</v>
      </c>
      <c r="O38" s="24">
        <f t="shared" si="10"/>
        <v>-324.63057094678516</v>
      </c>
      <c r="P38" s="24">
        <f t="shared" si="10"/>
        <v>-29.671911830962927</v>
      </c>
      <c r="Q38" s="24">
        <f>SUM(E38:P38)</f>
        <v>-19438.126716717852</v>
      </c>
    </row>
    <row r="39" spans="3:17" x14ac:dyDescent="0.35">
      <c r="C39" s="3" t="s">
        <v>44</v>
      </c>
      <c r="D39" s="1" t="s">
        <v>46</v>
      </c>
      <c r="E39" s="24">
        <f>E26-E35</f>
        <v>222.60772647213889</v>
      </c>
      <c r="F39" s="24">
        <f t="shared" si="10"/>
        <v>502.40284939599223</v>
      </c>
      <c r="G39" s="24">
        <f t="shared" si="10"/>
        <v>1826.5362366816262</v>
      </c>
      <c r="H39" s="24">
        <f t="shared" si="10"/>
        <v>1721.7133781794691</v>
      </c>
      <c r="I39" s="24">
        <f t="shared" si="10"/>
        <v>2493.8842861535377</v>
      </c>
      <c r="J39" s="24">
        <f t="shared" si="10"/>
        <v>2838.6788406535052</v>
      </c>
      <c r="K39" s="24">
        <f t="shared" si="10"/>
        <v>3212.9217514323973</v>
      </c>
      <c r="L39" s="24">
        <f t="shared" si="10"/>
        <v>2427.0729479579168</v>
      </c>
      <c r="M39" s="24">
        <f t="shared" si="10"/>
        <v>2145.9200514653203</v>
      </c>
      <c r="N39" s="24">
        <f t="shared" si="10"/>
        <v>1692.086165548244</v>
      </c>
      <c r="O39" s="24">
        <f t="shared" si="10"/>
        <v>324.63057094687247</v>
      </c>
      <c r="P39" s="24">
        <f t="shared" si="10"/>
        <v>29.671911830959289</v>
      </c>
      <c r="Q39" s="24">
        <f>SUM(E39:P39)</f>
        <v>19438.126716717979</v>
      </c>
    </row>
  </sheetData>
  <pageMargins left="0.38" right="0.19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2015</vt:lpstr>
      <vt:lpstr>2016</vt:lpstr>
      <vt:lpstr>2017</vt:lpstr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Bucknall</dc:creator>
  <cp:lastModifiedBy>Richard Bucknall</cp:lastModifiedBy>
  <cp:lastPrinted>2020-02-18T17:53:02Z</cp:lastPrinted>
  <dcterms:created xsi:type="dcterms:W3CDTF">2020-02-10T16:23:50Z</dcterms:created>
  <dcterms:modified xsi:type="dcterms:W3CDTF">2020-02-18T19:24:17Z</dcterms:modified>
</cp:coreProperties>
</file>