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ower\Collingwood\BILLING-FINANCE\Shared Databases\Shared Billing Documents\OEB\Rate applications\IRM\EB-2019-0027\Staff Questions\Feb 7\Submitted\"/>
    </mc:Choice>
  </mc:AlternateContent>
  <bookViews>
    <workbookView xWindow="0" yWindow="0" windowWidth="28800" windowHeight="11780" activeTab="1"/>
  </bookViews>
  <sheets>
    <sheet name="Continuity Schedule" sheetId="1" r:id="rId1"/>
    <sheet name="1588 Reconciliation" sheetId="2" r:id="rId2"/>
    <sheet name="1589 Reconciliation"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3" l="1"/>
  <c r="B34" i="3"/>
  <c r="C33" i="3"/>
  <c r="B33" i="3"/>
  <c r="C32" i="3"/>
  <c r="B32" i="3"/>
  <c r="C31" i="3"/>
  <c r="B25" i="3"/>
  <c r="C35" i="3" s="1"/>
  <c r="B21" i="3"/>
  <c r="B39" i="3" s="1"/>
  <c r="D20" i="3"/>
  <c r="D19" i="3"/>
  <c r="D18" i="3"/>
  <c r="D17" i="3"/>
  <c r="D16" i="3"/>
  <c r="D15" i="3"/>
  <c r="D10" i="3"/>
  <c r="C10" i="3"/>
  <c r="B6" i="3"/>
  <c r="D5" i="3"/>
  <c r="H4" i="3"/>
  <c r="B37" i="2"/>
  <c r="C36" i="2"/>
  <c r="B35" i="2"/>
  <c r="D24" i="2"/>
  <c r="B38" i="2"/>
  <c r="D23" i="2"/>
  <c r="D22" i="2"/>
  <c r="B36" i="2"/>
  <c r="D21" i="2"/>
  <c r="B20" i="2"/>
  <c r="D18" i="2"/>
  <c r="C12" i="2"/>
  <c r="B12" i="2"/>
  <c r="C11" i="2"/>
  <c r="D11" i="2" s="1"/>
  <c r="C8" i="2"/>
  <c r="D7" i="2"/>
  <c r="B19" i="2"/>
  <c r="D19" i="2" s="1"/>
  <c r="D6" i="2"/>
  <c r="D5" i="2"/>
  <c r="H4" i="2"/>
  <c r="AZ45" i="1"/>
  <c r="J45" i="1"/>
  <c r="X43" i="1"/>
  <c r="AD43" i="1" s="1"/>
  <c r="AH43" i="1" s="1"/>
  <c r="AN43" i="1" s="1"/>
  <c r="AR43" i="1" s="1"/>
  <c r="AX43" i="1" s="1"/>
  <c r="BB43" i="1" s="1"/>
  <c r="BH43" i="1" s="1"/>
  <c r="BL43" i="1" s="1"/>
  <c r="BP43" i="1" s="1"/>
  <c r="BS43" i="1" s="1"/>
  <c r="S43" i="1"/>
  <c r="Y43" i="1" s="1"/>
  <c r="AC43" i="1" s="1"/>
  <c r="AI43" i="1" s="1"/>
  <c r="AM43" i="1" s="1"/>
  <c r="AQ41" i="1"/>
  <c r="AQ45" i="1" s="1"/>
  <c r="AF41" i="1"/>
  <c r="AF45" i="1" s="1"/>
  <c r="AA41" i="1"/>
  <c r="AA45" i="1" s="1"/>
  <c r="L41" i="1"/>
  <c r="L45" i="1" s="1"/>
  <c r="BV40" i="1"/>
  <c r="BR40" i="1"/>
  <c r="BR41" i="1" s="1"/>
  <c r="BR45" i="1" s="1"/>
  <c r="BQ40" i="1"/>
  <c r="BK40" i="1"/>
  <c r="BA40" i="1"/>
  <c r="AZ40" i="1"/>
  <c r="AV40" i="1"/>
  <c r="AU40" i="1"/>
  <c r="AQ40" i="1"/>
  <c r="AP40" i="1"/>
  <c r="AL40" i="1"/>
  <c r="AL41" i="1" s="1"/>
  <c r="AL45" i="1" s="1"/>
  <c r="AK40" i="1"/>
  <c r="AG40" i="1"/>
  <c r="AF40" i="1"/>
  <c r="AB40" i="1"/>
  <c r="AA40" i="1"/>
  <c r="Z40" i="1"/>
  <c r="W40" i="1"/>
  <c r="V40" i="1"/>
  <c r="V41" i="1" s="1"/>
  <c r="V45" i="1" s="1"/>
  <c r="R40" i="1"/>
  <c r="Q40" i="1"/>
  <c r="M40" i="1"/>
  <c r="L40" i="1"/>
  <c r="J40" i="1"/>
  <c r="H40" i="1"/>
  <c r="E40" i="1"/>
  <c r="BV39" i="1"/>
  <c r="BV41" i="1" s="1"/>
  <c r="BV45" i="1" s="1"/>
  <c r="BR39" i="1"/>
  <c r="BQ39" i="1"/>
  <c r="BQ41" i="1" s="1"/>
  <c r="BQ45" i="1" s="1"/>
  <c r="BK39" i="1"/>
  <c r="BK41" i="1" s="1"/>
  <c r="BK45" i="1" s="1"/>
  <c r="BF39" i="1"/>
  <c r="BA39" i="1"/>
  <c r="BA41" i="1" s="1"/>
  <c r="BA45" i="1" s="1"/>
  <c r="AZ39" i="1"/>
  <c r="AZ41" i="1" s="1"/>
  <c r="AV39" i="1"/>
  <c r="AV41" i="1" s="1"/>
  <c r="AV45" i="1" s="1"/>
  <c r="AU39" i="1"/>
  <c r="AU41" i="1" s="1"/>
  <c r="AU45" i="1" s="1"/>
  <c r="AQ39" i="1"/>
  <c r="AP39" i="1"/>
  <c r="AP41" i="1" s="1"/>
  <c r="AP45" i="1" s="1"/>
  <c r="AO39" i="1"/>
  <c r="AL39" i="1"/>
  <c r="AK39" i="1"/>
  <c r="AK41" i="1" s="1"/>
  <c r="AK45" i="1" s="1"/>
  <c r="AJ39" i="1"/>
  <c r="AG39" i="1"/>
  <c r="AG41" i="1" s="1"/>
  <c r="AG45" i="1" s="1"/>
  <c r="AF39" i="1"/>
  <c r="AE39" i="1"/>
  <c r="AB39" i="1"/>
  <c r="AB41" i="1" s="1"/>
  <c r="AB45" i="1" s="1"/>
  <c r="AA39" i="1"/>
  <c r="Z39" i="1"/>
  <c r="Z41" i="1" s="1"/>
  <c r="Z45" i="1" s="1"/>
  <c r="W39" i="1"/>
  <c r="W41" i="1" s="1"/>
  <c r="W45" i="1" s="1"/>
  <c r="V39" i="1"/>
  <c r="U39" i="1"/>
  <c r="R39" i="1"/>
  <c r="R41" i="1" s="1"/>
  <c r="R45" i="1" s="1"/>
  <c r="Q39" i="1"/>
  <c r="Q41" i="1" s="1"/>
  <c r="Q45" i="1" s="1"/>
  <c r="P39" i="1"/>
  <c r="M39" i="1"/>
  <c r="M41" i="1" s="1"/>
  <c r="M45" i="1" s="1"/>
  <c r="L39" i="1"/>
  <c r="K39" i="1"/>
  <c r="J39" i="1"/>
  <c r="J41" i="1" s="1"/>
  <c r="I39" i="1"/>
  <c r="H39" i="1"/>
  <c r="H41" i="1" s="1"/>
  <c r="H45" i="1" s="1"/>
  <c r="G39" i="1"/>
  <c r="F39" i="1"/>
  <c r="E39" i="1"/>
  <c r="E41" i="1" s="1"/>
  <c r="E45" i="1" s="1"/>
  <c r="BX38" i="1"/>
  <c r="BT37" i="1"/>
  <c r="X37" i="1"/>
  <c r="AD37" i="1" s="1"/>
  <c r="AH37" i="1" s="1"/>
  <c r="AN37" i="1" s="1"/>
  <c r="AR37" i="1" s="1"/>
  <c r="AX37" i="1" s="1"/>
  <c r="BB37" i="1" s="1"/>
  <c r="BH37" i="1" s="1"/>
  <c r="BL37" i="1" s="1"/>
  <c r="BP37" i="1" s="1"/>
  <c r="BS37" i="1" s="1"/>
  <c r="T37" i="1"/>
  <c r="N37" i="1"/>
  <c r="I37" i="1"/>
  <c r="O37" i="1" s="1"/>
  <c r="S37" i="1" s="1"/>
  <c r="Y37" i="1" s="1"/>
  <c r="AC37" i="1" s="1"/>
  <c r="AI37" i="1" s="1"/>
  <c r="AM37" i="1" s="1"/>
  <c r="AS37" i="1" s="1"/>
  <c r="AW37" i="1" s="1"/>
  <c r="BC37" i="1" s="1"/>
  <c r="BG37" i="1" s="1"/>
  <c r="BT36" i="1"/>
  <c r="T36" i="1"/>
  <c r="X36" i="1" s="1"/>
  <c r="AD36" i="1" s="1"/>
  <c r="AH36" i="1" s="1"/>
  <c r="AN36" i="1" s="1"/>
  <c r="AR36" i="1" s="1"/>
  <c r="AX36" i="1" s="1"/>
  <c r="BB36" i="1" s="1"/>
  <c r="BH36" i="1" s="1"/>
  <c r="BL36" i="1" s="1"/>
  <c r="BP36" i="1" s="1"/>
  <c r="BS36" i="1" s="1"/>
  <c r="S36" i="1"/>
  <c r="Y36" i="1" s="1"/>
  <c r="AC36" i="1" s="1"/>
  <c r="AI36" i="1" s="1"/>
  <c r="AM36" i="1" s="1"/>
  <c r="AS36" i="1" s="1"/>
  <c r="AW36" i="1" s="1"/>
  <c r="BC36" i="1" s="1"/>
  <c r="BG36" i="1" s="1"/>
  <c r="O36" i="1"/>
  <c r="N36" i="1"/>
  <c r="I36" i="1"/>
  <c r="BT35" i="1"/>
  <c r="BP35" i="1"/>
  <c r="BS35" i="1" s="1"/>
  <c r="AD35" i="1"/>
  <c r="AH35" i="1" s="1"/>
  <c r="AN35" i="1" s="1"/>
  <c r="AR35" i="1" s="1"/>
  <c r="AX35" i="1" s="1"/>
  <c r="BB35" i="1" s="1"/>
  <c r="BH35" i="1" s="1"/>
  <c r="BL35" i="1" s="1"/>
  <c r="T35" i="1"/>
  <c r="X35" i="1" s="1"/>
  <c r="N35" i="1"/>
  <c r="I35" i="1"/>
  <c r="O35" i="1" s="1"/>
  <c r="S35" i="1" s="1"/>
  <c r="Y35" i="1" s="1"/>
  <c r="AC35" i="1" s="1"/>
  <c r="AI35" i="1" s="1"/>
  <c r="AM35" i="1" s="1"/>
  <c r="AS35" i="1" s="1"/>
  <c r="AW35" i="1" s="1"/>
  <c r="BC35" i="1" s="1"/>
  <c r="BG35" i="1" s="1"/>
  <c r="BT34" i="1"/>
  <c r="T34" i="1"/>
  <c r="X34" i="1" s="1"/>
  <c r="AD34" i="1" s="1"/>
  <c r="AH34" i="1" s="1"/>
  <c r="AN34" i="1" s="1"/>
  <c r="AR34" i="1" s="1"/>
  <c r="AX34" i="1" s="1"/>
  <c r="BB34" i="1" s="1"/>
  <c r="BH34" i="1" s="1"/>
  <c r="BL34" i="1" s="1"/>
  <c r="BP34" i="1" s="1"/>
  <c r="BS34" i="1" s="1"/>
  <c r="N34" i="1"/>
  <c r="I34" i="1"/>
  <c r="O34" i="1" s="1"/>
  <c r="S34" i="1" s="1"/>
  <c r="Y34" i="1" s="1"/>
  <c r="AC34" i="1" s="1"/>
  <c r="AI34" i="1" s="1"/>
  <c r="AM34" i="1" s="1"/>
  <c r="AS34" i="1" s="1"/>
  <c r="AW34" i="1" s="1"/>
  <c r="BC34" i="1" s="1"/>
  <c r="BG34" i="1" s="1"/>
  <c r="BT33" i="1"/>
  <c r="Y33" i="1"/>
  <c r="AC33" i="1" s="1"/>
  <c r="AI33" i="1" s="1"/>
  <c r="AM33" i="1" s="1"/>
  <c r="AS33" i="1" s="1"/>
  <c r="AW33" i="1" s="1"/>
  <c r="BC33" i="1" s="1"/>
  <c r="BG33" i="1" s="1"/>
  <c r="O33" i="1"/>
  <c r="S33" i="1" s="1"/>
  <c r="N33" i="1"/>
  <c r="T33" i="1" s="1"/>
  <c r="X33" i="1" s="1"/>
  <c r="AD33" i="1" s="1"/>
  <c r="AH33" i="1" s="1"/>
  <c r="AN33" i="1" s="1"/>
  <c r="AR33" i="1" s="1"/>
  <c r="AX33" i="1" s="1"/>
  <c r="BB33" i="1" s="1"/>
  <c r="BH33" i="1" s="1"/>
  <c r="BL33" i="1" s="1"/>
  <c r="BP33" i="1" s="1"/>
  <c r="BS33" i="1" s="1"/>
  <c r="I33" i="1"/>
  <c r="BT32" i="1"/>
  <c r="Y32" i="1"/>
  <c r="AC32" i="1" s="1"/>
  <c r="AI32" i="1" s="1"/>
  <c r="AM32" i="1" s="1"/>
  <c r="AS32" i="1" s="1"/>
  <c r="AW32" i="1" s="1"/>
  <c r="BC32" i="1" s="1"/>
  <c r="BG32" i="1" s="1"/>
  <c r="O32" i="1"/>
  <c r="S32" i="1" s="1"/>
  <c r="N32" i="1"/>
  <c r="T32" i="1" s="1"/>
  <c r="X32" i="1" s="1"/>
  <c r="AD32" i="1" s="1"/>
  <c r="AH32" i="1" s="1"/>
  <c r="AN32" i="1" s="1"/>
  <c r="AR32" i="1" s="1"/>
  <c r="AX32" i="1" s="1"/>
  <c r="BB32" i="1" s="1"/>
  <c r="BH32" i="1" s="1"/>
  <c r="BL32" i="1" s="1"/>
  <c r="BP32" i="1" s="1"/>
  <c r="BS32" i="1" s="1"/>
  <c r="I32" i="1"/>
  <c r="BT31" i="1"/>
  <c r="AY31" i="1"/>
  <c r="AO31" i="1"/>
  <c r="AO40" i="1" s="1"/>
  <c r="AJ31" i="1"/>
  <c r="AE31" i="1"/>
  <c r="U31" i="1"/>
  <c r="P31" i="1"/>
  <c r="N31" i="1"/>
  <c r="T31" i="1" s="1"/>
  <c r="K31" i="1"/>
  <c r="G31" i="1"/>
  <c r="F31" i="1"/>
  <c r="BW30" i="1"/>
  <c r="BX30" i="1" s="1"/>
  <c r="BT30" i="1"/>
  <c r="T30" i="1"/>
  <c r="X30" i="1" s="1"/>
  <c r="S30" i="1"/>
  <c r="Y30" i="1" s="1"/>
  <c r="O30" i="1"/>
  <c r="N30" i="1"/>
  <c r="I30" i="1"/>
  <c r="BN39" i="1"/>
  <c r="BJ39" i="1"/>
  <c r="AT39" i="1"/>
  <c r="S29" i="1"/>
  <c r="O29" i="1"/>
  <c r="N29" i="1"/>
  <c r="N39" i="1" s="1"/>
  <c r="I29" i="1"/>
  <c r="B29" i="2"/>
  <c r="C39" i="2" s="1"/>
  <c r="T28" i="1"/>
  <c r="X28" i="1" s="1"/>
  <c r="AD28" i="1" s="1"/>
  <c r="AH28" i="1" s="1"/>
  <c r="AN28" i="1" s="1"/>
  <c r="AR28" i="1" s="1"/>
  <c r="AX28" i="1" s="1"/>
  <c r="BB28" i="1" s="1"/>
  <c r="BH28" i="1" s="1"/>
  <c r="BL28" i="1" s="1"/>
  <c r="BP28" i="1" s="1"/>
  <c r="BS28" i="1" s="1"/>
  <c r="N28" i="1"/>
  <c r="I28" i="1"/>
  <c r="O28" i="1" s="1"/>
  <c r="S28" i="1" s="1"/>
  <c r="Y28" i="1" s="1"/>
  <c r="AC28" i="1" s="1"/>
  <c r="AI28" i="1" s="1"/>
  <c r="AM28" i="1" s="1"/>
  <c r="AD27" i="1"/>
  <c r="AH27" i="1" s="1"/>
  <c r="AN27" i="1" s="1"/>
  <c r="AR27" i="1" s="1"/>
  <c r="AX27" i="1" s="1"/>
  <c r="BB27" i="1" s="1"/>
  <c r="BH27" i="1" s="1"/>
  <c r="BL27" i="1" s="1"/>
  <c r="BP27" i="1" s="1"/>
  <c r="BS27" i="1" s="1"/>
  <c r="T27" i="1"/>
  <c r="X27" i="1" s="1"/>
  <c r="S27" i="1"/>
  <c r="Y27" i="1" s="1"/>
  <c r="AC27" i="1" s="1"/>
  <c r="AI27" i="1" s="1"/>
  <c r="AM27" i="1" s="1"/>
  <c r="AS27" i="1" s="1"/>
  <c r="AW27" i="1" s="1"/>
  <c r="BC27" i="1" s="1"/>
  <c r="BG27" i="1" s="1"/>
  <c r="N27" i="1"/>
  <c r="I27" i="1"/>
  <c r="O27" i="1" s="1"/>
  <c r="T26" i="1"/>
  <c r="X26" i="1" s="1"/>
  <c r="AD26" i="1" s="1"/>
  <c r="AH26" i="1" s="1"/>
  <c r="AN26" i="1" s="1"/>
  <c r="AR26" i="1" s="1"/>
  <c r="AX26" i="1" s="1"/>
  <c r="BB26" i="1" s="1"/>
  <c r="BH26" i="1" s="1"/>
  <c r="BL26" i="1" s="1"/>
  <c r="BP26" i="1" s="1"/>
  <c r="BS26" i="1" s="1"/>
  <c r="S26" i="1"/>
  <c r="Y26" i="1" s="1"/>
  <c r="AC26" i="1" s="1"/>
  <c r="AI26" i="1" s="1"/>
  <c r="AM26" i="1" s="1"/>
  <c r="AS26" i="1" s="1"/>
  <c r="AW26" i="1" s="1"/>
  <c r="BC26" i="1" s="1"/>
  <c r="BG26" i="1" s="1"/>
  <c r="N26" i="1"/>
  <c r="I26" i="1"/>
  <c r="O26" i="1" s="1"/>
  <c r="O25" i="1"/>
  <c r="S25" i="1" s="1"/>
  <c r="Y25" i="1" s="1"/>
  <c r="AC25" i="1" s="1"/>
  <c r="AI25" i="1" s="1"/>
  <c r="AM25" i="1" s="1"/>
  <c r="AS25" i="1" s="1"/>
  <c r="AW25" i="1" s="1"/>
  <c r="BC25" i="1" s="1"/>
  <c r="BG25" i="1" s="1"/>
  <c r="N25" i="1"/>
  <c r="T25" i="1" s="1"/>
  <c r="X25" i="1" s="1"/>
  <c r="AD25" i="1" s="1"/>
  <c r="AH25" i="1" s="1"/>
  <c r="AN25" i="1" s="1"/>
  <c r="AR25" i="1" s="1"/>
  <c r="AX25" i="1" s="1"/>
  <c r="BB25" i="1" s="1"/>
  <c r="BH25" i="1" s="1"/>
  <c r="I25" i="1"/>
  <c r="BT24" i="1"/>
  <c r="T24" i="1"/>
  <c r="X24" i="1" s="1"/>
  <c r="AD24" i="1" s="1"/>
  <c r="AH24" i="1" s="1"/>
  <c r="AN24" i="1" s="1"/>
  <c r="AR24" i="1" s="1"/>
  <c r="AX24" i="1" s="1"/>
  <c r="BB24" i="1" s="1"/>
  <c r="BH24" i="1" s="1"/>
  <c r="BL24" i="1" s="1"/>
  <c r="BP24" i="1" s="1"/>
  <c r="BS24" i="1" s="1"/>
  <c r="N24" i="1"/>
  <c r="I24" i="1"/>
  <c r="O24" i="1" s="1"/>
  <c r="S24" i="1" s="1"/>
  <c r="Y24" i="1" s="1"/>
  <c r="AC24" i="1" s="1"/>
  <c r="AI24" i="1" s="1"/>
  <c r="AM24" i="1" s="1"/>
  <c r="AS24" i="1" s="1"/>
  <c r="AW24" i="1" s="1"/>
  <c r="BC24" i="1" s="1"/>
  <c r="BG24" i="1" s="1"/>
  <c r="T23" i="1"/>
  <c r="X23" i="1" s="1"/>
  <c r="AD23" i="1" s="1"/>
  <c r="AH23" i="1" s="1"/>
  <c r="AN23" i="1" s="1"/>
  <c r="AR23" i="1" s="1"/>
  <c r="AX23" i="1" s="1"/>
  <c r="BB23" i="1" s="1"/>
  <c r="BH23" i="1" s="1"/>
  <c r="BL23" i="1" s="1"/>
  <c r="BP23" i="1" s="1"/>
  <c r="BS23" i="1" s="1"/>
  <c r="N23" i="1"/>
  <c r="I23" i="1"/>
  <c r="O23" i="1" s="1"/>
  <c r="S23" i="1" s="1"/>
  <c r="Y23" i="1" s="1"/>
  <c r="AC23" i="1" s="1"/>
  <c r="AI23" i="1" s="1"/>
  <c r="AM23" i="1" s="1"/>
  <c r="AS23" i="1" s="1"/>
  <c r="AW23" i="1" s="1"/>
  <c r="BC23" i="1" s="1"/>
  <c r="BG23" i="1" s="1"/>
  <c r="T22" i="1"/>
  <c r="X22" i="1" s="1"/>
  <c r="AD22" i="1" s="1"/>
  <c r="AH22" i="1" s="1"/>
  <c r="AN22" i="1" s="1"/>
  <c r="AR22" i="1" s="1"/>
  <c r="AX22" i="1" s="1"/>
  <c r="BB22" i="1" s="1"/>
  <c r="BH22" i="1" s="1"/>
  <c r="BL22" i="1" s="1"/>
  <c r="BP22" i="1" s="1"/>
  <c r="BS22" i="1" s="1"/>
  <c r="N22" i="1"/>
  <c r="I22" i="1"/>
  <c r="O22" i="1" s="1"/>
  <c r="S22" i="1" s="1"/>
  <c r="Y22" i="1" s="1"/>
  <c r="AC22" i="1" s="1"/>
  <c r="AI22" i="1" s="1"/>
  <c r="AM22" i="1" s="1"/>
  <c r="AS22" i="1" s="1"/>
  <c r="AW22" i="1" s="1"/>
  <c r="BC22" i="1" s="1"/>
  <c r="BG22" i="1" s="1"/>
  <c r="T21" i="1"/>
  <c r="X21" i="1" s="1"/>
  <c r="N21" i="1"/>
  <c r="I21" i="1"/>
  <c r="BO35" i="1" l="1"/>
  <c r="BW35" i="1"/>
  <c r="BX35" i="1" s="1"/>
  <c r="BW23" i="1"/>
  <c r="BX23" i="1" s="1"/>
  <c r="BO23" i="1"/>
  <c r="BT23" i="1" s="1"/>
  <c r="BW36" i="1"/>
  <c r="BX36" i="1" s="1"/>
  <c r="BO36" i="1"/>
  <c r="BO22" i="1"/>
  <c r="BT22" i="1" s="1"/>
  <c r="BW22" i="1"/>
  <c r="BX22" i="1" s="1"/>
  <c r="BW33" i="1"/>
  <c r="BX33" i="1" s="1"/>
  <c r="BO33" i="1"/>
  <c r="AD21" i="1"/>
  <c r="BO24" i="1"/>
  <c r="BW24" i="1"/>
  <c r="BX24" i="1" s="1"/>
  <c r="BW25" i="1"/>
  <c r="BX25" i="1" s="1"/>
  <c r="BO25" i="1"/>
  <c r="BT25" i="1" s="1"/>
  <c r="BL25" i="1"/>
  <c r="BP25" i="1" s="1"/>
  <c r="BS25" i="1" s="1"/>
  <c r="BW26" i="1"/>
  <c r="BX26" i="1" s="1"/>
  <c r="BO26" i="1"/>
  <c r="BT26" i="1" s="1"/>
  <c r="BW27" i="1"/>
  <c r="BX27" i="1" s="1"/>
  <c r="BO27" i="1"/>
  <c r="BT27" i="1" s="1"/>
  <c r="BW32" i="1"/>
  <c r="BX32" i="1" s="1"/>
  <c r="BO32" i="1"/>
  <c r="S39" i="1"/>
  <c r="Y29" i="1"/>
  <c r="X31" i="1"/>
  <c r="AD31" i="1" s="1"/>
  <c r="AH31" i="1" s="1"/>
  <c r="AN31" i="1" s="1"/>
  <c r="AR31" i="1" s="1"/>
  <c r="AX31" i="1" s="1"/>
  <c r="BB31" i="1" s="1"/>
  <c r="BH31" i="1" s="1"/>
  <c r="BL31" i="1" s="1"/>
  <c r="BP31" i="1" s="1"/>
  <c r="BS31" i="1" s="1"/>
  <c r="N40" i="1"/>
  <c r="BJ40" i="1"/>
  <c r="U40" i="1"/>
  <c r="BW34" i="1"/>
  <c r="BX34" i="1" s="1"/>
  <c r="BO34" i="1"/>
  <c r="O21" i="1"/>
  <c r="B3" i="2"/>
  <c r="AS28" i="1"/>
  <c r="AW28" i="1" s="1"/>
  <c r="BC28" i="1" s="1"/>
  <c r="G40" i="1"/>
  <c r="AJ40" i="1"/>
  <c r="AJ41" i="1" s="1"/>
  <c r="AJ45" i="1" s="1"/>
  <c r="AS43" i="1"/>
  <c r="T29" i="1"/>
  <c r="BM40" i="1"/>
  <c r="BM39" i="1"/>
  <c r="BM41" i="1" s="1"/>
  <c r="BM45" i="1" s="1"/>
  <c r="I31" i="1"/>
  <c r="O31" i="1" s="1"/>
  <c r="S31" i="1" s="1"/>
  <c r="Y31" i="1" s="1"/>
  <c r="AC31" i="1" s="1"/>
  <c r="AI31" i="1" s="1"/>
  <c r="AM31" i="1" s="1"/>
  <c r="AS31" i="1" s="1"/>
  <c r="AW31" i="1" s="1"/>
  <c r="BC31" i="1" s="1"/>
  <c r="BG31" i="1" s="1"/>
  <c r="P40" i="1"/>
  <c r="P41" i="1" s="1"/>
  <c r="P45" i="1" s="1"/>
  <c r="AE40" i="1"/>
  <c r="AE41" i="1" s="1"/>
  <c r="AE45" i="1" s="1"/>
  <c r="BW37" i="1"/>
  <c r="BX37" i="1" s="1"/>
  <c r="BO37" i="1"/>
  <c r="F41" i="1"/>
  <c r="F45" i="1" s="1"/>
  <c r="U41" i="1"/>
  <c r="U45" i="1" s="1"/>
  <c r="N41" i="1"/>
  <c r="N45" i="1" s="1"/>
  <c r="K40" i="1"/>
  <c r="K41" i="1" s="1"/>
  <c r="K45" i="1" s="1"/>
  <c r="G41" i="1"/>
  <c r="G45" i="1" s="1"/>
  <c r="BN40" i="1"/>
  <c r="BN41" i="1" s="1"/>
  <c r="BN45" i="1" s="1"/>
  <c r="C14" i="2"/>
  <c r="C34" i="2"/>
  <c r="D20" i="2"/>
  <c r="O39" i="1"/>
  <c r="O40" i="1"/>
  <c r="AY39" i="1"/>
  <c r="AY41" i="1" s="1"/>
  <c r="AY45" i="1" s="1"/>
  <c r="AY40" i="1"/>
  <c r="BE40" i="1"/>
  <c r="BE39" i="1"/>
  <c r="BE41" i="1" s="1"/>
  <c r="BE45" i="1" s="1"/>
  <c r="BJ41" i="1"/>
  <c r="BJ45" i="1" s="1"/>
  <c r="F40" i="1"/>
  <c r="AO41" i="1"/>
  <c r="AO45" i="1" s="1"/>
  <c r="D12" i="2"/>
  <c r="C13" i="2"/>
  <c r="B25" i="2"/>
  <c r="C38" i="2"/>
  <c r="C35" i="2"/>
  <c r="C37" i="2"/>
  <c r="BF28" i="1" l="1"/>
  <c r="BO31" i="1"/>
  <c r="BW31" i="1"/>
  <c r="BX31" i="1" s="1"/>
  <c r="I40" i="1"/>
  <c r="I41" i="1" s="1"/>
  <c r="I45" i="1" s="1"/>
  <c r="AH21" i="1"/>
  <c r="O41" i="1"/>
  <c r="O45" i="1" s="1"/>
  <c r="Y39" i="1"/>
  <c r="AC29" i="1"/>
  <c r="AW43" i="1"/>
  <c r="BC43" i="1" s="1"/>
  <c r="BG43" i="1" s="1"/>
  <c r="AT40" i="1"/>
  <c r="AT41" i="1" s="1"/>
  <c r="AT45" i="1" s="1"/>
  <c r="C15" i="2"/>
  <c r="B14" i="2"/>
  <c r="B12" i="3" s="1"/>
  <c r="C12" i="3"/>
  <c r="S21" i="1"/>
  <c r="B13" i="2"/>
  <c r="C11" i="3"/>
  <c r="D13" i="2"/>
  <c r="C27" i="2"/>
  <c r="BI40" i="1"/>
  <c r="BI39" i="1"/>
  <c r="BI41" i="1" s="1"/>
  <c r="BI45" i="1" s="1"/>
  <c r="T40" i="1"/>
  <c r="X29" i="1"/>
  <c r="T39" i="1"/>
  <c r="D3" i="2"/>
  <c r="B8" i="2"/>
  <c r="AN21" i="1" l="1"/>
  <c r="D11" i="3"/>
  <c r="C13" i="3"/>
  <c r="D14" i="2"/>
  <c r="BF40" i="1"/>
  <c r="BF41" i="1" s="1"/>
  <c r="BF45" i="1" s="1"/>
  <c r="X40" i="1"/>
  <c r="AD29" i="1"/>
  <c r="X39" i="1"/>
  <c r="X41" i="1" s="1"/>
  <c r="X45" i="1" s="1"/>
  <c r="Y21" i="1"/>
  <c r="S40" i="1"/>
  <c r="S41" i="1" s="1"/>
  <c r="S45" i="1" s="1"/>
  <c r="AC39" i="1"/>
  <c r="AI29" i="1"/>
  <c r="B27" i="2"/>
  <c r="B30" i="2" s="1"/>
  <c r="D8" i="2"/>
  <c r="B15" i="2"/>
  <c r="D15" i="2" s="1"/>
  <c r="T41" i="1"/>
  <c r="T45" i="1" s="1"/>
  <c r="B11" i="3"/>
  <c r="BD28" i="1"/>
  <c r="D12" i="3"/>
  <c r="BW43" i="1"/>
  <c r="BX43" i="1" s="1"/>
  <c r="BO43" i="1"/>
  <c r="BT43" i="1" s="1"/>
  <c r="B43" i="2"/>
  <c r="BG28" i="1" l="1"/>
  <c r="AI39" i="1"/>
  <c r="AM29" i="1"/>
  <c r="AC21" i="1"/>
  <c r="Y40" i="1"/>
  <c r="Y41" i="1" s="1"/>
  <c r="Y45" i="1" s="1"/>
  <c r="AD39" i="1"/>
  <c r="AH29" i="1"/>
  <c r="AD40" i="1"/>
  <c r="AR21" i="1"/>
  <c r="BD29" i="1"/>
  <c r="B13" i="3"/>
  <c r="D13" i="3"/>
  <c r="D27" i="2"/>
  <c r="C23" i="3"/>
  <c r="AH39" i="1" l="1"/>
  <c r="AH40" i="1"/>
  <c r="AN29" i="1"/>
  <c r="BW28" i="1"/>
  <c r="BX28" i="1" s="1"/>
  <c r="BO28" i="1"/>
  <c r="AD41" i="1"/>
  <c r="AD45" i="1" s="1"/>
  <c r="AM39" i="1"/>
  <c r="AS29" i="1"/>
  <c r="B3" i="3"/>
  <c r="AX21" i="1"/>
  <c r="BD40" i="1"/>
  <c r="BD39" i="1"/>
  <c r="BD41" i="1" s="1"/>
  <c r="BD45" i="1" s="1"/>
  <c r="AI21" i="1"/>
  <c r="AC40" i="1"/>
  <c r="AC41" i="1" s="1"/>
  <c r="AC45" i="1" s="1"/>
  <c r="BT28" i="1" l="1"/>
  <c r="B42" i="2"/>
  <c r="AM21" i="1"/>
  <c r="AI40" i="1"/>
  <c r="AI41" i="1" s="1"/>
  <c r="AI45" i="1" s="1"/>
  <c r="BB21" i="1"/>
  <c r="B7" i="3"/>
  <c r="D3" i="3"/>
  <c r="AS39" i="1"/>
  <c r="AW29" i="1"/>
  <c r="AN40" i="1"/>
  <c r="AN39" i="1"/>
  <c r="AN41" i="1" s="1"/>
  <c r="AN45" i="1" s="1"/>
  <c r="AR29" i="1"/>
  <c r="AH41" i="1"/>
  <c r="AH45" i="1" s="1"/>
  <c r="AW39" i="1" l="1"/>
  <c r="BC29" i="1"/>
  <c r="D7" i="3"/>
  <c r="D23" i="3" s="1"/>
  <c r="B23" i="3"/>
  <c r="B27" i="3" s="1"/>
  <c r="AS21" i="1"/>
  <c r="AM40" i="1"/>
  <c r="AM41" i="1" s="1"/>
  <c r="AM45" i="1" s="1"/>
  <c r="AR40" i="1"/>
  <c r="AR39" i="1"/>
  <c r="AR41" i="1" s="1"/>
  <c r="AR45" i="1" s="1"/>
  <c r="AX29" i="1"/>
  <c r="BH21" i="1"/>
  <c r="BL21" i="1" l="1"/>
  <c r="AX39" i="1"/>
  <c r="AX40" i="1"/>
  <c r="BB29" i="1"/>
  <c r="AW21" i="1"/>
  <c r="AS40" i="1"/>
  <c r="AS41" i="1" s="1"/>
  <c r="AS45" i="1" s="1"/>
  <c r="BC39" i="1"/>
  <c r="BG29" i="1"/>
  <c r="BC21" i="1" l="1"/>
  <c r="AW40" i="1"/>
  <c r="AW41" i="1" s="1"/>
  <c r="AW45" i="1" s="1"/>
  <c r="BP21" i="1"/>
  <c r="BG39" i="1"/>
  <c r="BO29" i="1"/>
  <c r="AX41" i="1"/>
  <c r="AX45" i="1" s="1"/>
  <c r="BB39" i="1"/>
  <c r="BB41" i="1" s="1"/>
  <c r="BB45" i="1" s="1"/>
  <c r="BB40" i="1"/>
  <c r="BH29" i="1"/>
  <c r="BH40" i="1" l="1"/>
  <c r="BH39" i="1"/>
  <c r="BH41" i="1" s="1"/>
  <c r="BH45" i="1" s="1"/>
  <c r="BL29" i="1"/>
  <c r="BG21" i="1"/>
  <c r="BC40" i="1"/>
  <c r="BC41" i="1" s="1"/>
  <c r="BC45" i="1" s="1"/>
  <c r="BO39" i="1"/>
  <c r="B38" i="3"/>
  <c r="BS21" i="1"/>
  <c r="BL40" i="1" l="1"/>
  <c r="BL39" i="1"/>
  <c r="BP29" i="1"/>
  <c r="BW29" i="1"/>
  <c r="BX29" i="1" s="1"/>
  <c r="BO21" i="1"/>
  <c r="BW21" i="1"/>
  <c r="BX21" i="1" s="1"/>
  <c r="BG40" i="1"/>
  <c r="BP40" i="1" l="1"/>
  <c r="BP39" i="1"/>
  <c r="BP41" i="1" s="1"/>
  <c r="BP45" i="1" s="1"/>
  <c r="BS29" i="1"/>
  <c r="BT29" i="1"/>
  <c r="BW40" i="1"/>
  <c r="BG41" i="1"/>
  <c r="BL41" i="1"/>
  <c r="BL45" i="1" s="1"/>
  <c r="BW39" i="1"/>
  <c r="BT21" i="1"/>
  <c r="BO40" i="1"/>
  <c r="BO41" i="1" s="1"/>
  <c r="BO45" i="1" s="1"/>
  <c r="BT40" i="1" l="1"/>
  <c r="BT39" i="1"/>
  <c r="BT41" i="1" s="1"/>
  <c r="BT45" i="1" s="1"/>
  <c r="BG45" i="1"/>
  <c r="BW41" i="1"/>
  <c r="BW45" i="1" s="1"/>
  <c r="BS39" i="1"/>
  <c r="BS40" i="1"/>
  <c r="BS41" i="1" l="1"/>
  <c r="BS45" i="1" s="1"/>
</calcChain>
</file>

<file path=xl/sharedStrings.xml><?xml version="1.0" encoding="utf-8"?>
<sst xmlns="http://schemas.openxmlformats.org/spreadsheetml/2006/main" count="211" uniqueCount="149">
  <si>
    <t>Please complete the following continuity schedule for the following Deferral/Variance Accounts.  Enter information into green cells only. Please see instructions tab for detailed instructions on how to complete tabs 3 to 7. Column BV has been prepopulated from the latest 2.1.7 RRR filing.
Please refer to the footnotes for further instructions.</t>
  </si>
  <si>
    <t>Projected Interest on Dec-31-18 Balances</t>
  </si>
  <si>
    <t>2.1.7 RRR</t>
  </si>
  <si>
    <t>Account Descriptions</t>
  </si>
  <si>
    <t>Account Number</t>
  </si>
  <si>
    <t>Opening Principal Amounts as of Jan 1, 2013</t>
  </si>
  <si>
    <t>Transactions Debit / (Credit) during 2013</t>
  </si>
  <si>
    <t>OEB-Approved Disposition during 2013</t>
  </si>
  <si>
    <r>
      <t>Principal Adjustments</t>
    </r>
    <r>
      <rPr>
        <b/>
        <vertAlign val="superscript"/>
        <sz val="10"/>
        <rFont val="Book Antiqua"/>
        <family val="1"/>
      </rPr>
      <t>1</t>
    </r>
    <r>
      <rPr>
        <b/>
        <sz val="10"/>
        <rFont val="Book Antiqua"/>
        <family val="1"/>
      </rPr>
      <t xml:space="preserve"> during 2013</t>
    </r>
  </si>
  <si>
    <t>Closing Principal Balance as of Dec 31, 2013</t>
  </si>
  <si>
    <t>Opening Interest Amounts as of Jan 1, 2013</t>
  </si>
  <si>
    <t>Interest Jan 1 to Dec 31, 2013</t>
  </si>
  <si>
    <r>
      <t>Interest Adjustments</t>
    </r>
    <r>
      <rPr>
        <b/>
        <vertAlign val="superscript"/>
        <sz val="10"/>
        <rFont val="Book Antiqua"/>
        <family val="1"/>
      </rPr>
      <t>1</t>
    </r>
    <r>
      <rPr>
        <b/>
        <sz val="10"/>
        <rFont val="Book Antiqua"/>
        <family val="1"/>
      </rPr>
      <t xml:space="preserve"> during 2013</t>
    </r>
  </si>
  <si>
    <t>Closing Interest Amounts as of Dec 31, 2013</t>
  </si>
  <si>
    <t>Opening Principal Amounts as of Jan 1, 2014</t>
  </si>
  <si>
    <t>Transactions Debit / (Credit) during 2014</t>
  </si>
  <si>
    <t>OEB-Approved Disposition during 2014</t>
  </si>
  <si>
    <r>
      <t>Principal Adjustments</t>
    </r>
    <r>
      <rPr>
        <b/>
        <vertAlign val="superscript"/>
        <sz val="10"/>
        <rFont val="Book Antiqua"/>
        <family val="1"/>
      </rPr>
      <t>1</t>
    </r>
    <r>
      <rPr>
        <b/>
        <sz val="10"/>
        <rFont val="Book Antiqua"/>
        <family val="1"/>
      </rPr>
      <t xml:space="preserve"> during 2014</t>
    </r>
  </si>
  <si>
    <t>Closing Principal Balance as of Dec 31, 2014</t>
  </si>
  <si>
    <t>Opening Interest Amounts as of Jan 1, 2014</t>
  </si>
  <si>
    <t>Interest Jan 1 to Dec 31, 2014</t>
  </si>
  <si>
    <r>
      <t>Interest Adjustments</t>
    </r>
    <r>
      <rPr>
        <b/>
        <vertAlign val="superscript"/>
        <sz val="10"/>
        <rFont val="Book Antiqua"/>
        <family val="1"/>
      </rPr>
      <t>1</t>
    </r>
    <r>
      <rPr>
        <b/>
        <sz val="10"/>
        <rFont val="Book Antiqua"/>
        <family val="1"/>
      </rPr>
      <t xml:space="preserve"> during 2014</t>
    </r>
  </si>
  <si>
    <t>Closing Interest Amounts as of Dec 31, 2014</t>
  </si>
  <si>
    <t>Opening Principal Amounts as of Jan 1, 2015</t>
  </si>
  <si>
    <t>Transactions Debit / (Credit) during 2015</t>
  </si>
  <si>
    <t>OEB-Approved Disposition during 2015</t>
  </si>
  <si>
    <r>
      <t>Principal Adjustments</t>
    </r>
    <r>
      <rPr>
        <b/>
        <vertAlign val="superscript"/>
        <sz val="10"/>
        <rFont val="Book Antiqua"/>
        <family val="1"/>
      </rPr>
      <t>1</t>
    </r>
    <r>
      <rPr>
        <b/>
        <sz val="10"/>
        <rFont val="Book Antiqua"/>
        <family val="1"/>
      </rPr>
      <t xml:space="preserve"> during 2015</t>
    </r>
  </si>
  <si>
    <t>Closing Principal Balance as of Dec 31, 2015</t>
  </si>
  <si>
    <t>Opening Interest Amounts as of Jan 1, 2015</t>
  </si>
  <si>
    <t>Interest Jan 1 to Dec 31, 2015</t>
  </si>
  <si>
    <r>
      <t>Interest Adjustments</t>
    </r>
    <r>
      <rPr>
        <b/>
        <vertAlign val="superscript"/>
        <sz val="10"/>
        <rFont val="Book Antiqua"/>
        <family val="1"/>
      </rPr>
      <t>1</t>
    </r>
    <r>
      <rPr>
        <b/>
        <sz val="10"/>
        <rFont val="Book Antiqua"/>
        <family val="1"/>
      </rPr>
      <t xml:space="preserve"> during 2015</t>
    </r>
  </si>
  <si>
    <t>Closing Interest Amounts as of Dec 31, 2015</t>
  </si>
  <si>
    <t>Opening Principal Amounts as of Jan 1, 2016</t>
  </si>
  <si>
    <t>Transactions Debit / (Credit) during 2016</t>
  </si>
  <si>
    <t>OEB-Approved Disposition during 2016</t>
  </si>
  <si>
    <r>
      <t>Principal Adjustments</t>
    </r>
    <r>
      <rPr>
        <b/>
        <vertAlign val="superscript"/>
        <sz val="10"/>
        <rFont val="Book Antiqua"/>
        <family val="1"/>
      </rPr>
      <t>1</t>
    </r>
    <r>
      <rPr>
        <b/>
        <sz val="10"/>
        <rFont val="Book Antiqua"/>
        <family val="1"/>
      </rPr>
      <t xml:space="preserve"> during 2016</t>
    </r>
  </si>
  <si>
    <t>Closing Principal Balance as of Dec 31, 2016</t>
  </si>
  <si>
    <t>Opening Interest Amounts as of Jan 1, 2016</t>
  </si>
  <si>
    <t>Interest Jan 1 to Dec 31, 2016</t>
  </si>
  <si>
    <r>
      <t>Interest Adjustments</t>
    </r>
    <r>
      <rPr>
        <b/>
        <vertAlign val="superscript"/>
        <sz val="10"/>
        <rFont val="Book Antiqua"/>
        <family val="1"/>
      </rPr>
      <t>1</t>
    </r>
    <r>
      <rPr>
        <b/>
        <sz val="10"/>
        <rFont val="Book Antiqua"/>
        <family val="1"/>
      </rPr>
      <t xml:space="preserve"> during 2016</t>
    </r>
  </si>
  <si>
    <t>Closing Interest Amounts as of Dec 31, 2016</t>
  </si>
  <si>
    <t>Opening Principal Amounts as of Jan 1, 2017</t>
  </si>
  <si>
    <t>Transactions Debit / (Credit) during 2017</t>
  </si>
  <si>
    <t>OEB-Approved Disposition during 2017</t>
  </si>
  <si>
    <r>
      <t>Principal Adjustments</t>
    </r>
    <r>
      <rPr>
        <b/>
        <vertAlign val="superscript"/>
        <sz val="10"/>
        <rFont val="Book Antiqua"/>
        <family val="1"/>
      </rPr>
      <t>1</t>
    </r>
    <r>
      <rPr>
        <b/>
        <sz val="10"/>
        <rFont val="Book Antiqua"/>
        <family val="1"/>
      </rPr>
      <t xml:space="preserve"> during 2017</t>
    </r>
  </si>
  <si>
    <t>Closing Principal Balance as of Dec 31, 2017</t>
  </si>
  <si>
    <t>Opening Interest Amounts as of Jan 1, 2017</t>
  </si>
  <si>
    <t>Interest Jan 1 to Dec 31, 2017</t>
  </si>
  <si>
    <r>
      <t>Interest Adjustments</t>
    </r>
    <r>
      <rPr>
        <b/>
        <vertAlign val="superscript"/>
        <sz val="10"/>
        <rFont val="Book Antiqua"/>
        <family val="1"/>
      </rPr>
      <t>1</t>
    </r>
    <r>
      <rPr>
        <b/>
        <sz val="10"/>
        <rFont val="Book Antiqua"/>
        <family val="1"/>
      </rPr>
      <t xml:space="preserve"> during 2017</t>
    </r>
  </si>
  <si>
    <t>Closing Interest Amounts as of Dec 31, 2017</t>
  </si>
  <si>
    <t>Opening Principal Amounts as of Jan 1, 2018</t>
  </si>
  <si>
    <t>Transactions Debit / (Credit) during 2018</t>
  </si>
  <si>
    <t>OEB-Approved Disposition during 2018</t>
  </si>
  <si>
    <r>
      <t>Principal Adjustments</t>
    </r>
    <r>
      <rPr>
        <b/>
        <vertAlign val="superscript"/>
        <sz val="10"/>
        <rFont val="Book Antiqua"/>
        <family val="1"/>
      </rPr>
      <t>1</t>
    </r>
    <r>
      <rPr>
        <b/>
        <sz val="10"/>
        <rFont val="Book Antiqua"/>
        <family val="1"/>
      </rPr>
      <t xml:space="preserve"> during 2018</t>
    </r>
  </si>
  <si>
    <t>Closing Principal Balance as of Dec 31, 2018</t>
  </si>
  <si>
    <t>Opening Interest Amounts as of Jan 1, 2018</t>
  </si>
  <si>
    <t>Interest Jan 1 to Dec 31, 2018</t>
  </si>
  <si>
    <r>
      <t>Interest Adjustments</t>
    </r>
    <r>
      <rPr>
        <b/>
        <vertAlign val="superscript"/>
        <sz val="10"/>
        <rFont val="Book Antiqua"/>
        <family val="1"/>
      </rPr>
      <t>1</t>
    </r>
    <r>
      <rPr>
        <b/>
        <sz val="10"/>
        <rFont val="Book Antiqua"/>
        <family val="1"/>
      </rPr>
      <t xml:space="preserve"> during 2018</t>
    </r>
  </si>
  <si>
    <t>Closing Interest Amounts as of Dec 31, 2018</t>
  </si>
  <si>
    <t>Principal Disposition during 2019 - instructed by OEB</t>
  </si>
  <si>
    <t>Interest Disposition during 2019 - instructed by OEB</t>
  </si>
  <si>
    <t>Closing Principal Balances as of Dec 31, 2018 Adjusted for Disposition during 2019</t>
  </si>
  <si>
    <t>Closing Interest Balances as of Dec 31, 2018 Adjusted for Disposition during 2019</t>
  </si>
  <si>
    <r>
      <t xml:space="preserve">Projected Interest from Jan 1, 2019 to Dec 31, 2019 on Dec 31, 2018 balance adjusted for disposition during 2019 </t>
    </r>
    <r>
      <rPr>
        <b/>
        <vertAlign val="superscript"/>
        <sz val="10"/>
        <rFont val="Book Antiqua"/>
        <family val="1"/>
      </rPr>
      <t>2</t>
    </r>
  </si>
  <si>
    <r>
      <t xml:space="preserve">Projected Interest from Jan 1, 2020 to Apr 30, 2020 on Dec 31, 2018 balance adjusted for disposition during 2019 </t>
    </r>
    <r>
      <rPr>
        <b/>
        <vertAlign val="superscript"/>
        <sz val="11"/>
        <rFont val="Book Antiqua"/>
        <family val="1"/>
      </rPr>
      <t>2</t>
    </r>
  </si>
  <si>
    <t>Total Interest</t>
  </si>
  <si>
    <t>Total Claim</t>
  </si>
  <si>
    <t>Account Disposition: Yes/No?</t>
  </si>
  <si>
    <t>As of Dec 31, 2018</t>
  </si>
  <si>
    <r>
      <t xml:space="preserve">Variance                           RRR vs. 2018 Balance                        </t>
    </r>
    <r>
      <rPr>
        <b/>
        <i/>
        <sz val="10"/>
        <rFont val="Book Antiqua"/>
        <family val="1"/>
      </rPr>
      <t>(Principal + Interest)</t>
    </r>
  </si>
  <si>
    <t>Claim before Forecasted Transactions</t>
  </si>
  <si>
    <t>Group 1 Accounts</t>
  </si>
  <si>
    <t>LV Variance Account</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</si>
  <si>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</si>
  <si>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</si>
  <si>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</si>
  <si>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r>
      <t>Variance WMS – Sub-account CBR Class B</t>
    </r>
    <r>
      <rPr>
        <vertAlign val="superscript"/>
        <sz val="11"/>
        <rFont val="Arial"/>
        <family val="2"/>
      </rPr>
      <t>5</t>
    </r>
  </si>
  <si>
    <t>RSVA - Retail Transmission Network Charge</t>
  </si>
  <si>
    <t>RSVA - Retail Transmission Connection Charge</t>
  </si>
  <si>
    <r>
      <t>RSVA - Power</t>
    </r>
    <r>
      <rPr>
        <vertAlign val="superscript"/>
        <sz val="11"/>
        <rFont val="Arial"/>
        <family val="2"/>
      </rPr>
      <t>4</t>
    </r>
  </si>
  <si>
    <t>Yes</t>
  </si>
  <si>
    <r>
      <t>RSVA - Global Adjustment</t>
    </r>
    <r>
      <rPr>
        <vertAlign val="superscript"/>
        <sz val="11"/>
        <rFont val="Arial"/>
        <family val="2"/>
      </rPr>
      <t>4</t>
    </r>
  </si>
  <si>
    <r>
      <t>Disposition and Recovery/Refund of Regulatory Balances (2009)</t>
    </r>
    <r>
      <rPr>
        <vertAlign val="superscript"/>
        <sz val="11"/>
        <rFont val="Arial"/>
        <family val="2"/>
      </rPr>
      <t>3</t>
    </r>
  </si>
  <si>
    <r>
      <t>Disposition and Recovery/Refund of Regulatory Balances (2013)</t>
    </r>
    <r>
      <rPr>
        <vertAlign val="superscript"/>
        <sz val="11"/>
        <rFont val="Arial"/>
        <family val="2"/>
      </rPr>
      <t>3</t>
    </r>
  </si>
  <si>
    <t>No</t>
  </si>
  <si>
    <r>
      <t>Disposition and Recovery/Refund of Regulatory Balances (2014)</t>
    </r>
    <r>
      <rPr>
        <vertAlign val="superscript"/>
        <sz val="11"/>
        <rFont val="Arial"/>
        <family val="2"/>
      </rPr>
      <t>3</t>
    </r>
  </si>
  <si>
    <r>
      <t>Disposition and Recovery/Refund of Regulatory Balances (2015)</t>
    </r>
    <r>
      <rPr>
        <vertAlign val="superscript"/>
        <sz val="11"/>
        <rFont val="Arial"/>
        <family val="2"/>
      </rPr>
      <t>3</t>
    </r>
  </si>
  <si>
    <r>
      <t>Disposition and Recovery/Refund of Regulatory Balances (2016)</t>
    </r>
    <r>
      <rPr>
        <vertAlign val="superscript"/>
        <sz val="11"/>
        <rFont val="Arial"/>
        <family val="2"/>
      </rPr>
      <t>3</t>
    </r>
  </si>
  <si>
    <r>
      <t>Disposition and Recovery/Refund of Regulatory Balances (2017)</t>
    </r>
    <r>
      <rPr>
        <vertAlign val="superscript"/>
        <sz val="11"/>
        <rFont val="Arial"/>
        <family val="2"/>
      </rPr>
      <t>3</t>
    </r>
  </si>
  <si>
    <r>
      <t>Disposition and Recovery/Refund of Regulatory Balances (2018)</t>
    </r>
    <r>
      <rPr>
        <vertAlign val="superscript"/>
        <sz val="11"/>
        <rFont val="Arial"/>
        <family val="2"/>
      </rPr>
      <t>3</t>
    </r>
  </si>
  <si>
    <r>
      <t>Disposition and Recovery/Refund of Regulatory Balances (2019)</t>
    </r>
    <r>
      <rPr>
        <vertAlign val="superscript"/>
        <sz val="11"/>
        <rFont val="Arial"/>
        <family val="2"/>
      </rPr>
      <t xml:space="preserve">3
</t>
    </r>
    <r>
      <rPr>
        <i/>
        <sz val="11"/>
        <color rgb="FFFF0000"/>
        <rFont val="Arial"/>
        <family val="2"/>
      </rPr>
      <t>Not to be disposed of until a year after rate rider has expired and that balance has been audited</t>
    </r>
  </si>
  <si>
    <t>RSVA - Global Adjustment</t>
  </si>
  <si>
    <t>Total Group 1 Balance excluding Account 1589 - Global Adjustment</t>
  </si>
  <si>
    <t>Total Group 1 Balance</t>
  </si>
  <si>
    <t>LRAM Variance Account (only input amounts if applying for disposition of this account)</t>
  </si>
  <si>
    <t>Total including Account 1568</t>
  </si>
  <si>
    <t>For all OEB-Approved dispositions, please ensure that the disposition amount has the same sign (e.g: debit balances are to have a positive figure and credit balance are to have a negative figure) as per the related OEB decision.</t>
  </si>
  <si>
    <t>Please provide explanations for the nature of the adjustments.  If the adjustment relates to previously OEB-Approved disposed balances, please provide amounts for adjustments and include supporting documentations.</t>
  </si>
  <si>
    <t>1) If the LDC’s rate year begins on January 1, 2020, the projected interest is recorded from January 1, 2019 to December 31, 2019 on the December 31, 2018 balances adjusted to remove balances approved for disposition in the 2019 rate decision.  
2) If the LDC’s rate year begins on May 1, 2020, the projected interest is recorded from January 1, 2019 to April 30, 2020 on the December 31, 2018 balances adjusted to remove balances approved for disposition in the 2019 rate decision.</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</si>
  <si>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The audited balance in the account is only to be disposed a year after the recovery/refund period has been completed. Generally, no further transactions would be expected to flow through the account after that. Any vintage year of Account 1595 is only to be disposed once on a final basis. No further dispositions of these accounts are generally expected thereafter, unless justified by the distributor.
Select yes in column BU if the sub-account is requested for disposition</t>
  </si>
  <si>
    <t>Effective May 23, 2017, per the OEB’s letter titled Guidance on Disposition of Accounts 1588 and 1589, applicants must reflect RPP settlement true-up claims pertaining to the period that is being requested for disposition in Accounts 1588 and 1589. The amount requested for disposition starts with the audited account balance. If the audited account balance does not reflect the true-up claims for that year, the impacts of the true-up claims are to be shown in the Adjustment column in that year. Note that this true-up claim will need to be reversed in the amount requested for disposition in the following year, unless the RPP settlement true-up claim was not reflected as an adjustment in the previously disposed ending account balance. Also see Accounting Procedures Handbook Update - Accounting Guidance Related to Commodity Pass-Through Accounts 1588 &amp; 1589, dated February 21, 2019 for further detailed accounting guidance.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</si>
  <si>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</si>
  <si>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RSVA - Power - Reconciliation</t>
  </si>
  <si>
    <t>Continuity Schedule</t>
  </si>
  <si>
    <t>GL/RRR</t>
  </si>
  <si>
    <t>Variance</t>
  </si>
  <si>
    <t>Comment</t>
  </si>
  <si>
    <t>Dec 31, 2018 RRR</t>
  </si>
  <si>
    <t>Principal</t>
  </si>
  <si>
    <t>Dec 31, 2016 Balance</t>
  </si>
  <si>
    <t>Interest</t>
  </si>
  <si>
    <t>2017 Transactions</t>
  </si>
  <si>
    <t>True-up of CT 1142 for 2017 consumption recorded in 2018 GL</t>
  </si>
  <si>
    <t>2017 RPP reconciliation adjustment</t>
  </si>
  <si>
    <t>True-up of RPP vs. Non-RPP allocation of CT 148 based on actual 2017 consumption</t>
  </si>
  <si>
    <t>2017 RPP reconciliation GA/Power Adjustment</t>
  </si>
  <si>
    <t>Dec 31, 2017 Balance</t>
  </si>
  <si>
    <t>POSTINGS IN 2018</t>
  </si>
  <si>
    <t>2018 OEB Approved Disposition</t>
  </si>
  <si>
    <t>EB-2017-0034</t>
  </si>
  <si>
    <t>Total of 4 lines equals value on continuity schedule cell BD28: -$35,630</t>
  </si>
  <si>
    <t>True-up of CT 148 based on actual 2017 consumption</t>
  </si>
  <si>
    <t>True-up of CT 148 based on actual 2016 consumption</t>
  </si>
  <si>
    <t>Other 2018 Transactions</t>
  </si>
  <si>
    <t>2018 PRINCIPAL ADJUSTMENTS</t>
  </si>
  <si>
    <t>Removal of true-up of CT 1142 for 2017 consumption recorded in 2018 GL</t>
  </si>
  <si>
    <t>Reversal of true-up of CT 148 based on actual 2017 consumption</t>
  </si>
  <si>
    <t>Reversal of true-up of CT 148 based on actual 2016 consumption</t>
  </si>
  <si>
    <t>GL adjustment to be posted in 2019</t>
  </si>
  <si>
    <t>Cost of power accrual for 2018 vs Actual per IESO bill</t>
  </si>
  <si>
    <t>Variance between accrual posted in 2018 and actual posted in 2019</t>
  </si>
  <si>
    <t>True-up of CT 1142 for 2018 consumption recorded in 2019 GL</t>
  </si>
  <si>
    <t>Unbilled accrued vs. billed for 2018 consumption</t>
  </si>
  <si>
    <t>True-up of RPP vs. Non-RPP allocation of CT 148 based on actual 2018 consumption</t>
  </si>
  <si>
    <t>2018 Q4 RPP reconciliation posted in 2019</t>
  </si>
  <si>
    <t>Total Principal Adjustments during 2018</t>
  </si>
  <si>
    <t>Dec 31 2018 Balance</t>
  </si>
  <si>
    <t>2019 OEB Approved Disposition</t>
  </si>
  <si>
    <t>EB-2018-0025</t>
  </si>
  <si>
    <t>2019 Adjustment Postings</t>
  </si>
  <si>
    <t>Reversal</t>
  </si>
  <si>
    <t>Continuity Schedule Check</t>
  </si>
  <si>
    <t>Principal Adjustment Check</t>
  </si>
  <si>
    <t>RSVA - Global Adjustment - Reconciliation</t>
  </si>
  <si>
    <t>Matches 2017 GA Analysis Workform</t>
  </si>
  <si>
    <t>2017 RPP Settlement Variance Posted in 2018</t>
  </si>
  <si>
    <t>Total of 3 lines equals value on continuity schedule cell BD29: $71,697</t>
  </si>
  <si>
    <t>Add current year end unbilled to actual revenue differences</t>
  </si>
  <si>
    <t>GA Accrual vs.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</si>
</sst>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8" formatCode="&quot;$&quot;#,##0.00_);[Red]\(&quot;$&quot;#,##0.00\)"/>
    <numFmt numFmtId="43" formatCode="_(* #,##0.00_);_(* \(#,##0.00\);_(* &quot;-&quot;??_);_(@_)"/>
    <numFmt numFmtId="164" formatCode="_ #,##0;[Red]\(#,##0\)"/>
    <numFmt numFmtId="165" formatCode="&quot;$&quot;#,##0;[Red]\(&quot;$&quot;#,##0\)"/>
    <numFmt numFmtId="166" formatCode="_(* #,##0_);_(* \(#,##0\);_(* &quot;-&quot;??_);_(@_)"/>
  </numFmts>
  <fonts count="4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
      <sz val="10"/>
      <color theme="0"/>
      <name val="Arial"/>
      <family val="2"/>
    </font>
    <font>
      <b/>
      <sz val="11"/>
      <name val="Arial"/>
      <family val="2"/>
    </font>
    <font>
      <b/>
      <vertAlign val="superscript"/>
      <sz val="11"/>
      <name val="Arial"/>
      <family val="2"/>
    </font>
    <font>
      <b/>
      <sz val="22"/>
      <name val="Book Antiqua"/>
      <family val="1"/>
    </font>
    <font>
      <sz val="22"/>
      <name val="Book Antiqua"/>
      <family val="1"/>
    </font>
    <font>
      <b/>
      <sz val="16"/>
      <name val="Book Antiqua"/>
      <family val="1"/>
    </font>
    <font>
      <b/>
      <sz val="10"/>
      <name val="Book Antiqua"/>
      <family val="1"/>
    </font>
    <font>
      <b/>
      <vertAlign val="superscript"/>
      <sz val="10"/>
      <name val="Book Antiqua"/>
      <family val="1"/>
    </font>
    <font>
      <b/>
      <vertAlign val="superscript"/>
      <sz val="11"/>
      <name val="Book Antiqua"/>
      <family val="1"/>
    </font>
    <font>
      <b/>
      <i/>
      <sz val="10"/>
      <name val="Book Antiqua"/>
      <family val="1"/>
    </font>
    <font>
      <sz val="10"/>
      <name val="Book Antiqua"/>
      <family val="1"/>
    </font>
    <font>
      <b/>
      <sz val="18"/>
      <name val="Arial"/>
      <family val="2"/>
    </font>
    <font>
      <sz val="11"/>
      <name val="Arial"/>
      <family val="2"/>
    </font>
    <font>
      <sz val="11"/>
      <color theme="1"/>
      <name val="Arial"/>
      <family val="2"/>
    </font>
    <font>
      <vertAlign val="superscript"/>
      <sz val="11"/>
      <name val="Arial"/>
      <family val="2"/>
    </font>
    <font>
      <b/>
      <sz val="11"/>
      <color theme="1"/>
      <name val="Arial"/>
      <family val="2"/>
    </font>
    <font>
      <i/>
      <sz val="11"/>
      <color rgb="FFFF0000"/>
      <name val="Arial"/>
      <family val="2"/>
    </font>
    <font>
      <b/>
      <sz val="11"/>
      <color indexed="12"/>
      <name val="Arial"/>
      <family val="2"/>
    </font>
    <font>
      <sz val="11"/>
      <name val="Calibri"/>
      <family val="2"/>
      <scheme val="minor"/>
    </font>
    <font>
      <b/>
      <sz val="10"/>
      <name val="Arial"/>
      <family val="2"/>
    </font>
    <font>
      <strike/>
      <sz val="10"/>
      <name val="Arial"/>
      <family val="2"/>
    </font>
    <font>
      <sz val="9"/>
      <name val="Arial"/>
      <family val="2"/>
    </font>
    <font>
      <b/>
      <sz val="16"/>
      <color theme="0"/>
      <name val="Calibri"/>
      <family val="2"/>
      <scheme val="minor"/>
    </font>
    <font>
      <b/>
      <sz val="14"/>
      <color theme="0"/>
      <name val="Calibri"/>
      <family val="2"/>
      <scheme val="minor"/>
    </font>
    <font>
      <b/>
      <sz val="11"/>
      <color rgb="FFFF0000"/>
      <name val="Calibri"/>
      <family val="2"/>
      <scheme val="minor"/>
    </font>
    <font>
      <b/>
      <sz val="12"/>
      <color theme="1"/>
      <name val="Calibri"/>
      <family val="2"/>
      <scheme val="minor"/>
    </font>
    <font>
      <u val="singleAccounting"/>
      <sz val="11"/>
      <color theme="1"/>
      <name val="Calibri"/>
      <family val="2"/>
      <scheme val="minor"/>
    </font>
    <font>
      <sz val="12"/>
      <color theme="1"/>
      <name val="Calibri"/>
      <family val="2"/>
      <scheme val="minor"/>
    </font>
    <font>
      <b/>
      <sz val="12"/>
      <color rgb="FFFF0000"/>
      <name val="Calibri"/>
      <family val="2"/>
      <scheme val="minor"/>
    </font>
    <font>
      <i/>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i/>
      <sz val="11"/>
      <color rgb="FFFF0000"/>
      <name val="Calibri"/>
      <family val="2"/>
      <scheme val="minor"/>
    </font>
  </fonts>
  <fills count="22">
    <fill>
      <patternFill patternType="none"/>
    </fill>
    <fill>
      <patternFill patternType="gray125"/>
    </fill>
    <fill>
      <patternFill patternType="solid">
        <fgColor theme="0" tint="-4.9989318521683403E-2"/>
        <bgColor indexed="64"/>
      </patternFill>
    </fill>
    <fill>
      <patternFill patternType="solid">
        <fgColor rgb="FFA6A6A6"/>
        <bgColor indexed="64"/>
      </patternFill>
    </fill>
    <fill>
      <patternFill patternType="solid">
        <fgColor indexed="9"/>
        <bgColor indexed="64"/>
      </patternFill>
    </fill>
    <fill>
      <patternFill patternType="solid">
        <fgColor rgb="FFEBF1DE"/>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13"/>
        <bgColor indexed="64"/>
      </patternFill>
    </fill>
    <fill>
      <patternFill patternType="solid">
        <fgColor rgb="FF233A81"/>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CA9CC0"/>
        <bgColor indexed="64"/>
      </patternFill>
    </fill>
    <fill>
      <patternFill patternType="solid">
        <fgColor rgb="FF00FFFF"/>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0" tint="-0.14999847407452621"/>
        <bgColor indexed="64"/>
      </patternFill>
    </fill>
  </fills>
  <borders count="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auto="1"/>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style="medium">
        <color auto="1"/>
      </left>
      <right style="medium">
        <color indexed="64"/>
      </right>
      <top/>
      <bottom style="medium">
        <color indexed="64"/>
      </bottom>
      <diagonal/>
    </border>
    <border>
      <left/>
      <right style="medium">
        <color indexed="64"/>
      </right>
      <top/>
      <bottom style="medium">
        <color indexed="39"/>
      </bottom>
      <diagonal/>
    </border>
    <border>
      <left/>
      <right/>
      <top style="medium">
        <color indexed="12"/>
      </top>
      <bottom/>
      <diagonal/>
    </border>
    <border>
      <left style="medium">
        <color indexed="64"/>
      </left>
      <right/>
      <top style="medium">
        <color indexed="12"/>
      </top>
      <bottom/>
      <diagonal/>
    </border>
    <border>
      <left/>
      <right style="medium">
        <color indexed="64"/>
      </right>
      <top style="medium">
        <color indexed="12"/>
      </top>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top style="medium">
        <color indexed="9"/>
      </top>
      <bottom/>
      <diagonal/>
    </border>
    <border>
      <left style="medium">
        <color indexed="9"/>
      </left>
      <right style="medium">
        <color indexed="9"/>
      </right>
      <top/>
      <bottom/>
      <diagonal/>
    </border>
    <border>
      <left style="medium">
        <color indexed="9"/>
      </left>
      <right/>
      <top style="medium">
        <color indexed="9"/>
      </top>
      <bottom style="medium">
        <color indexed="9"/>
      </bottom>
      <diagonal/>
    </border>
    <border>
      <left style="medium">
        <color auto="1"/>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right/>
      <top style="medium">
        <color theme="0"/>
      </top>
      <bottom style="medium">
        <color theme="0"/>
      </bottom>
      <diagonal/>
    </border>
    <border>
      <left style="medium">
        <color indexed="9"/>
      </left>
      <right/>
      <top/>
      <bottom style="medium">
        <color indexed="9"/>
      </bottom>
      <diagonal/>
    </border>
    <border>
      <left style="thin">
        <color theme="0"/>
      </left>
      <right style="thin">
        <color theme="0"/>
      </right>
      <top style="thin">
        <color theme="0"/>
      </top>
      <bottom style="thin">
        <color theme="0"/>
      </bottom>
      <diagonal/>
    </border>
    <border>
      <left/>
      <right style="thin">
        <color indexed="64"/>
      </right>
      <top/>
      <bottom/>
      <diagonal/>
    </border>
    <border>
      <left style="medium">
        <color indexed="64"/>
      </left>
      <right style="medium">
        <color indexed="9"/>
      </right>
      <top/>
      <bottom/>
      <diagonal/>
    </border>
    <border>
      <left style="medium">
        <color indexed="9"/>
      </left>
      <right/>
      <top/>
      <bottom/>
      <diagonal/>
    </border>
    <border>
      <left/>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5" fillId="0" borderId="0"/>
  </cellStyleXfs>
  <cellXfs count="282">
    <xf numFmtId="0" fontId="0" fillId="0" borderId="0" xfId="0"/>
    <xf numFmtId="0" fontId="5" fillId="0" borderId="0" xfId="2" applyFont="1" applyProtection="1"/>
    <xf numFmtId="8" fontId="0" fillId="0" borderId="0" xfId="0" applyNumberFormat="1" applyProtection="1">
      <protection locked="0"/>
    </xf>
    <xf numFmtId="0" fontId="6" fillId="0" borderId="0" xfId="2" applyFont="1" applyProtection="1">
      <protection locked="0"/>
    </xf>
    <xf numFmtId="0" fontId="5" fillId="0" borderId="0" xfId="2" applyFont="1" applyProtection="1">
      <protection locked="0"/>
    </xf>
    <xf numFmtId="0" fontId="7" fillId="0" borderId="0" xfId="2" applyFont="1" applyProtection="1">
      <protection locked="0"/>
    </xf>
    <xf numFmtId="8" fontId="0" fillId="0" borderId="0" xfId="0" applyNumberFormat="1" applyBorder="1" applyProtection="1">
      <protection locked="0"/>
    </xf>
    <xf numFmtId="8" fontId="0" fillId="0" borderId="1" xfId="0" applyNumberFormat="1" applyBorder="1" applyProtection="1">
      <protection locked="0"/>
    </xf>
    <xf numFmtId="0" fontId="8" fillId="0" borderId="1" xfId="2" applyFont="1" applyFill="1" applyBorder="1" applyAlignment="1" applyProtection="1">
      <alignment horizontal="center" vertical="center" wrapText="1"/>
      <protection locked="0"/>
    </xf>
    <xf numFmtId="0" fontId="9" fillId="0" borderId="0" xfId="0" applyNumberFormat="1" applyFont="1" applyFill="1" applyProtection="1"/>
    <xf numFmtId="0" fontId="8" fillId="0" borderId="0" xfId="0" applyNumberFormat="1" applyFont="1" applyAlignment="1" applyProtection="1">
      <alignment wrapText="1"/>
    </xf>
    <xf numFmtId="0" fontId="11" fillId="0" borderId="5" xfId="0" applyNumberFormat="1" applyFont="1" applyBorder="1" applyAlignment="1" applyProtection="1">
      <alignment horizontal="center"/>
    </xf>
    <xf numFmtId="0" fontId="11" fillId="0" borderId="4" xfId="0" applyNumberFormat="1" applyFont="1" applyBorder="1" applyAlignment="1" applyProtection="1">
      <alignment horizontal="center"/>
    </xf>
    <xf numFmtId="0" fontId="11" fillId="0" borderId="4" xfId="0" applyNumberFormat="1" applyFont="1" applyBorder="1" applyAlignment="1" applyProtection="1"/>
    <xf numFmtId="0" fontId="6" fillId="0" borderId="0" xfId="2" applyFont="1" applyProtection="1"/>
    <xf numFmtId="0" fontId="18" fillId="0" borderId="6" xfId="0" applyFont="1" applyBorder="1" applyAlignment="1" applyProtection="1">
      <alignment vertical="center"/>
    </xf>
    <xf numFmtId="0" fontId="19" fillId="0" borderId="5" xfId="0" applyFont="1" applyBorder="1" applyProtection="1"/>
    <xf numFmtId="6" fontId="19" fillId="0" borderId="17" xfId="0" applyNumberFormat="1" applyFont="1" applyBorder="1" applyProtection="1"/>
    <xf numFmtId="6" fontId="19" fillId="0" borderId="0" xfId="0" applyNumberFormat="1" applyFont="1" applyBorder="1" applyProtection="1"/>
    <xf numFmtId="164" fontId="0" fillId="0" borderId="0" xfId="0" applyNumberFormat="1" applyBorder="1" applyAlignment="1" applyProtection="1">
      <alignment wrapText="1"/>
    </xf>
    <xf numFmtId="164" fontId="8" fillId="0" borderId="10" xfId="0" applyNumberFormat="1" applyFont="1" applyBorder="1" applyAlignment="1" applyProtection="1">
      <alignment horizontal="center" vertical="center" wrapText="1"/>
    </xf>
    <xf numFmtId="164" fontId="19" fillId="0" borderId="9" xfId="0" applyNumberFormat="1" applyFont="1" applyBorder="1" applyProtection="1"/>
    <xf numFmtId="164" fontId="19" fillId="0" borderId="0" xfId="0" applyNumberFormat="1" applyFont="1" applyBorder="1" applyProtection="1"/>
    <xf numFmtId="6" fontId="0" fillId="0" borderId="0" xfId="0" applyNumberFormat="1" applyBorder="1" applyAlignment="1" applyProtection="1">
      <alignment wrapText="1"/>
    </xf>
    <xf numFmtId="6" fontId="8" fillId="0" borderId="10" xfId="0" applyNumberFormat="1" applyFont="1" applyBorder="1" applyAlignment="1" applyProtection="1">
      <alignment horizontal="center" vertical="center" wrapText="1"/>
    </xf>
    <xf numFmtId="6" fontId="19" fillId="0" borderId="9" xfId="0" applyNumberFormat="1" applyFont="1" applyBorder="1" applyProtection="1"/>
    <xf numFmtId="6" fontId="19" fillId="0" borderId="0" xfId="0" applyNumberFormat="1" applyFont="1" applyFill="1" applyBorder="1" applyProtection="1"/>
    <xf numFmtId="6" fontId="8" fillId="0" borderId="0" xfId="0" applyNumberFormat="1" applyFont="1" applyBorder="1" applyAlignment="1" applyProtection="1">
      <alignment horizontal="center" vertical="center" wrapText="1"/>
    </xf>
    <xf numFmtId="6" fontId="0" fillId="0" borderId="18" xfId="0" applyNumberFormat="1" applyBorder="1" applyAlignment="1" applyProtection="1">
      <alignment wrapText="1"/>
    </xf>
    <xf numFmtId="6" fontId="0" fillId="0" borderId="17" xfId="0" applyNumberFormat="1" applyBorder="1" applyAlignment="1" applyProtection="1">
      <alignment wrapText="1"/>
    </xf>
    <xf numFmtId="6" fontId="0" fillId="0" borderId="9" xfId="0" applyNumberFormat="1" applyBorder="1" applyProtection="1"/>
    <xf numFmtId="6" fontId="0" fillId="0" borderId="0" xfId="0" applyNumberFormat="1" applyBorder="1" applyProtection="1"/>
    <xf numFmtId="6" fontId="0" fillId="0" borderId="0" xfId="0" applyNumberFormat="1" applyFill="1" applyBorder="1" applyProtection="1"/>
    <xf numFmtId="6" fontId="0" fillId="2" borderId="10" xfId="0" applyNumberFormat="1" applyFill="1" applyBorder="1" applyProtection="1"/>
    <xf numFmtId="6" fontId="0" fillId="0" borderId="19" xfId="0" applyNumberFormat="1" applyBorder="1" applyProtection="1"/>
    <xf numFmtId="0" fontId="19" fillId="0" borderId="9" xfId="0" applyFont="1" applyBorder="1" applyProtection="1"/>
    <xf numFmtId="0" fontId="19" fillId="0" borderId="10" xfId="0" applyFont="1" applyBorder="1" applyAlignment="1" applyProtection="1">
      <alignment horizontal="center"/>
    </xf>
    <xf numFmtId="164" fontId="19" fillId="3" borderId="20" xfId="0" applyNumberFormat="1" applyFont="1" applyFill="1" applyBorder="1" applyProtection="1"/>
    <xf numFmtId="164" fontId="19" fillId="3" borderId="21" xfId="0" applyNumberFormat="1" applyFont="1" applyFill="1" applyBorder="1" applyProtection="1"/>
    <xf numFmtId="164" fontId="19" fillId="0" borderId="0" xfId="0" applyNumberFormat="1" applyFont="1" applyFill="1" applyBorder="1" applyProtection="1"/>
    <xf numFmtId="164" fontId="19" fillId="4" borderId="22" xfId="0" applyNumberFormat="1" applyFont="1" applyFill="1" applyBorder="1" applyProtection="1"/>
    <xf numFmtId="164" fontId="19" fillId="0" borderId="10" xfId="0" applyNumberFormat="1" applyFont="1" applyFill="1" applyBorder="1" applyProtection="1"/>
    <xf numFmtId="164" fontId="19" fillId="4" borderId="23" xfId="0" applyNumberFormat="1" applyFont="1" applyFill="1" applyBorder="1" applyProtection="1"/>
    <xf numFmtId="164" fontId="19" fillId="4" borderId="21" xfId="0" applyNumberFormat="1" applyFont="1" applyFill="1" applyBorder="1" applyProtection="1"/>
    <xf numFmtId="164" fontId="19" fillId="5" borderId="24" xfId="2" applyNumberFormat="1" applyFont="1" applyFill="1" applyBorder="1" applyProtection="1">
      <protection locked="0"/>
    </xf>
    <xf numFmtId="164" fontId="19" fillId="5" borderId="21" xfId="2" applyNumberFormat="1" applyFont="1" applyFill="1" applyBorder="1" applyProtection="1">
      <protection locked="0"/>
    </xf>
    <xf numFmtId="164" fontId="19" fillId="5" borderId="21" xfId="0" applyNumberFormat="1" applyFont="1" applyFill="1" applyBorder="1" applyProtection="1">
      <protection locked="0"/>
    </xf>
    <xf numFmtId="164" fontId="19" fillId="5" borderId="25" xfId="2" applyNumberFormat="1" applyFont="1" applyFill="1" applyBorder="1" applyProtection="1">
      <protection locked="0"/>
    </xf>
    <xf numFmtId="164" fontId="19" fillId="6" borderId="21" xfId="0" applyNumberFormat="1" applyFont="1" applyFill="1" applyBorder="1" applyProtection="1">
      <protection locked="0"/>
    </xf>
    <xf numFmtId="164" fontId="19" fillId="6" borderId="21" xfId="2" applyNumberFormat="1" applyFont="1" applyFill="1" applyBorder="1" applyProtection="1">
      <protection locked="0"/>
    </xf>
    <xf numFmtId="164" fontId="19" fillId="4" borderId="26" xfId="0" applyNumberFormat="1" applyFont="1" applyFill="1" applyBorder="1" applyProtection="1"/>
    <xf numFmtId="164" fontId="19" fillId="6" borderId="27" xfId="2" applyNumberFormat="1" applyFont="1" applyFill="1" applyBorder="1" applyProtection="1">
      <protection locked="0"/>
    </xf>
    <xf numFmtId="164" fontId="19" fillId="0" borderId="26" xfId="0" applyNumberFormat="1" applyFont="1" applyFill="1" applyBorder="1" applyProtection="1"/>
    <xf numFmtId="164" fontId="20" fillId="0" borderId="0" xfId="0" applyNumberFormat="1" applyFont="1" applyBorder="1" applyProtection="1"/>
    <xf numFmtId="164" fontId="20" fillId="2" borderId="10" xfId="0" applyNumberFormat="1" applyFont="1" applyFill="1" applyBorder="1" applyProtection="1"/>
    <xf numFmtId="164" fontId="20" fillId="0" borderId="10" xfId="0" applyNumberFormat="1" applyFont="1" applyBorder="1" applyProtection="1"/>
    <xf numFmtId="164" fontId="19" fillId="3" borderId="28" xfId="0" applyNumberFormat="1" applyFont="1" applyFill="1" applyBorder="1" applyProtection="1"/>
    <xf numFmtId="164" fontId="19" fillId="3" borderId="29" xfId="0" applyNumberFormat="1" applyFont="1" applyFill="1" applyBorder="1" applyProtection="1"/>
    <xf numFmtId="164" fontId="19" fillId="5" borderId="30" xfId="2" applyNumberFormat="1" applyFont="1" applyFill="1" applyBorder="1" applyProtection="1">
      <protection locked="0"/>
    </xf>
    <xf numFmtId="164" fontId="19" fillId="5" borderId="29" xfId="0" applyNumberFormat="1" applyFont="1" applyFill="1" applyBorder="1" applyProtection="1">
      <protection locked="0"/>
    </xf>
    <xf numFmtId="164" fontId="19" fillId="6" borderId="29" xfId="0" applyNumberFormat="1" applyFont="1" applyFill="1" applyBorder="1" applyProtection="1">
      <protection locked="0"/>
    </xf>
    <xf numFmtId="0" fontId="19" fillId="0" borderId="9" xfId="0" applyFont="1" applyBorder="1" applyAlignment="1" applyProtection="1"/>
    <xf numFmtId="164" fontId="19" fillId="5" borderId="31" xfId="2" applyNumberFormat="1" applyFont="1" applyFill="1" applyBorder="1" applyProtection="1">
      <protection locked="0"/>
    </xf>
    <xf numFmtId="164" fontId="19" fillId="6" borderId="27" xfId="0" applyNumberFormat="1" applyFont="1" applyFill="1" applyBorder="1" applyProtection="1">
      <protection locked="0"/>
    </xf>
    <xf numFmtId="164" fontId="19" fillId="5" borderId="26" xfId="2" applyNumberFormat="1" applyFont="1" applyFill="1" applyBorder="1" applyProtection="1">
      <protection locked="0"/>
    </xf>
    <xf numFmtId="164" fontId="19" fillId="5" borderId="28" xfId="2" applyNumberFormat="1" applyFont="1" applyFill="1" applyBorder="1" applyProtection="1">
      <protection locked="0"/>
    </xf>
    <xf numFmtId="165" fontId="19" fillId="0" borderId="9" xfId="0" applyNumberFormat="1" applyFont="1" applyBorder="1" applyAlignment="1" applyProtection="1"/>
    <xf numFmtId="0" fontId="19" fillId="0" borderId="9" xfId="0" applyFont="1" applyBorder="1" applyAlignment="1" applyProtection="1">
      <alignment horizontal="left"/>
    </xf>
    <xf numFmtId="0" fontId="22" fillId="7" borderId="32" xfId="0" applyNumberFormat="1" applyFont="1" applyFill="1" applyBorder="1" applyAlignment="1" applyProtection="1">
      <alignment horizontal="center" vertical="center"/>
      <protection locked="0"/>
    </xf>
    <xf numFmtId="164" fontId="19" fillId="6" borderId="20" xfId="0" applyNumberFormat="1" applyFont="1" applyFill="1" applyBorder="1" applyProtection="1">
      <protection locked="0"/>
    </xf>
    <xf numFmtId="164" fontId="19" fillId="6" borderId="26" xfId="2" applyNumberFormat="1" applyFont="1" applyFill="1" applyBorder="1" applyProtection="1">
      <protection locked="0"/>
    </xf>
    <xf numFmtId="164" fontId="19" fillId="5" borderId="20" xfId="0" applyNumberFormat="1" applyFont="1" applyFill="1" applyBorder="1" applyProtection="1">
      <protection locked="0"/>
    </xf>
    <xf numFmtId="0" fontId="19" fillId="0" borderId="9" xfId="2" applyFont="1" applyBorder="1" applyAlignment="1" applyProtection="1">
      <alignment horizontal="left" wrapText="1"/>
    </xf>
    <xf numFmtId="6" fontId="19" fillId="0" borderId="0" xfId="0" applyNumberFormat="1" applyFont="1" applyFill="1" applyBorder="1" applyProtection="1">
      <protection locked="0"/>
    </xf>
    <xf numFmtId="6" fontId="19" fillId="0" borderId="10" xfId="0" applyNumberFormat="1" applyFont="1" applyFill="1" applyBorder="1" applyProtection="1">
      <protection locked="0"/>
    </xf>
    <xf numFmtId="6" fontId="19" fillId="0" borderId="9" xfId="0" applyNumberFormat="1" applyFont="1" applyFill="1" applyBorder="1" applyProtection="1">
      <protection locked="0"/>
    </xf>
    <xf numFmtId="164" fontId="19" fillId="0" borderId="9" xfId="0" applyNumberFormat="1" applyFont="1" applyFill="1" applyBorder="1" applyProtection="1">
      <protection locked="0"/>
    </xf>
    <xf numFmtId="164" fontId="19" fillId="0" borderId="0" xfId="0" applyNumberFormat="1" applyFont="1" applyFill="1" applyBorder="1" applyProtection="1">
      <protection locked="0"/>
    </xf>
    <xf numFmtId="164" fontId="19" fillId="0" borderId="10" xfId="0" applyNumberFormat="1" applyFont="1" applyFill="1" applyBorder="1" applyProtection="1">
      <protection locked="0"/>
    </xf>
    <xf numFmtId="6" fontId="0" fillId="0" borderId="9" xfId="0" applyNumberFormat="1" applyBorder="1" applyProtection="1">
      <protection locked="0"/>
    </xf>
    <xf numFmtId="6" fontId="0" fillId="0" borderId="0" xfId="0" applyNumberFormat="1" applyBorder="1" applyProtection="1">
      <protection locked="0"/>
    </xf>
    <xf numFmtId="164" fontId="0" fillId="0" borderId="0" xfId="0" applyNumberFormat="1" applyBorder="1" applyProtection="1"/>
    <xf numFmtId="6" fontId="20" fillId="2" borderId="10" xfId="0" applyNumberFormat="1" applyFont="1" applyFill="1" applyBorder="1" applyProtection="1"/>
    <xf numFmtId="0" fontId="8" fillId="0" borderId="9" xfId="0" applyFont="1" applyBorder="1" applyAlignment="1" applyProtection="1">
      <alignment horizontal="left"/>
    </xf>
    <xf numFmtId="0" fontId="8" fillId="0" borderId="10" xfId="0" applyFont="1" applyBorder="1" applyAlignment="1" applyProtection="1">
      <alignment horizontal="center"/>
    </xf>
    <xf numFmtId="164" fontId="19" fillId="0" borderId="9" xfId="0" applyNumberFormat="1" applyFont="1" applyFill="1" applyBorder="1" applyProtection="1"/>
    <xf numFmtId="164" fontId="19" fillId="2" borderId="10" xfId="0" applyNumberFormat="1" applyFont="1" applyFill="1" applyBorder="1" applyProtection="1"/>
    <xf numFmtId="0" fontId="0" fillId="0" borderId="0" xfId="0" applyProtection="1"/>
    <xf numFmtId="0" fontId="8" fillId="0" borderId="9" xfId="0" applyFont="1" applyBorder="1" applyAlignment="1" applyProtection="1"/>
    <xf numFmtId="6" fontId="0" fillId="0" borderId="10" xfId="0" applyNumberFormat="1" applyBorder="1" applyProtection="1"/>
    <xf numFmtId="164" fontId="19" fillId="4" borderId="27" xfId="0" applyNumberFormat="1" applyFont="1" applyFill="1" applyBorder="1" applyProtection="1"/>
    <xf numFmtId="6" fontId="0" fillId="0" borderId="0" xfId="0" applyNumberFormat="1" applyProtection="1">
      <protection locked="0"/>
    </xf>
    <xf numFmtId="6" fontId="0" fillId="0" borderId="0" xfId="0" applyNumberFormat="1" applyProtection="1"/>
    <xf numFmtId="0" fontId="19" fillId="0" borderId="9" xfId="0" applyFont="1" applyFill="1" applyBorder="1" applyProtection="1"/>
    <xf numFmtId="0" fontId="19" fillId="0" borderId="10" xfId="0" applyFont="1" applyFill="1" applyBorder="1" applyProtection="1"/>
    <xf numFmtId="6" fontId="0" fillId="0" borderId="0" xfId="0" applyNumberFormat="1" applyFont="1" applyProtection="1">
      <protection locked="0"/>
    </xf>
    <xf numFmtId="6" fontId="0" fillId="0" borderId="10" xfId="0" applyNumberFormat="1" applyFont="1" applyBorder="1" applyProtection="1">
      <protection locked="0"/>
    </xf>
    <xf numFmtId="164" fontId="0" fillId="0" borderId="0" xfId="0" applyNumberFormat="1" applyFont="1" applyProtection="1">
      <protection locked="0"/>
    </xf>
    <xf numFmtId="164" fontId="20" fillId="0" borderId="0" xfId="0" applyNumberFormat="1" applyFont="1" applyProtection="1">
      <protection locked="0"/>
    </xf>
    <xf numFmtId="164" fontId="20" fillId="0" borderId="10" xfId="0" applyNumberFormat="1" applyFont="1" applyBorder="1" applyProtection="1">
      <protection locked="0"/>
    </xf>
    <xf numFmtId="164" fontId="20" fillId="0" borderId="33" xfId="0" applyNumberFormat="1" applyFont="1" applyBorder="1" applyProtection="1">
      <protection locked="0"/>
    </xf>
    <xf numFmtId="164" fontId="20" fillId="0" borderId="9" xfId="0" applyNumberFormat="1" applyFont="1" applyBorder="1" applyProtection="1">
      <protection locked="0"/>
    </xf>
    <xf numFmtId="164" fontId="20" fillId="0" borderId="0" xfId="0" applyNumberFormat="1" applyFont="1" applyBorder="1" applyProtection="1">
      <protection locked="0"/>
    </xf>
    <xf numFmtId="6" fontId="20" fillId="0" borderId="9" xfId="0" applyNumberFormat="1" applyFont="1" applyBorder="1" applyProtection="1">
      <protection locked="0"/>
    </xf>
    <xf numFmtId="6" fontId="20" fillId="0" borderId="0" xfId="0" applyNumberFormat="1" applyFont="1" applyBorder="1" applyProtection="1">
      <protection locked="0"/>
    </xf>
    <xf numFmtId="6" fontId="20" fillId="0" borderId="0" xfId="0" applyNumberFormat="1" applyFont="1" applyBorder="1" applyProtection="1"/>
    <xf numFmtId="6" fontId="20" fillId="0" borderId="10" xfId="0" applyNumberFormat="1" applyFont="1" applyBorder="1" applyProtection="1"/>
    <xf numFmtId="6" fontId="3" fillId="0" borderId="0" xfId="0" applyNumberFormat="1" applyFont="1" applyProtection="1">
      <protection locked="0"/>
    </xf>
    <xf numFmtId="0" fontId="24" fillId="0" borderId="9" xfId="2" applyFont="1" applyBorder="1" applyProtection="1"/>
    <xf numFmtId="0" fontId="24" fillId="0" borderId="10" xfId="2" applyFont="1" applyBorder="1" applyAlignment="1" applyProtection="1">
      <alignment horizontal="center"/>
    </xf>
    <xf numFmtId="6" fontId="25" fillId="8" borderId="0" xfId="0" applyNumberFormat="1" applyFont="1" applyFill="1" applyBorder="1" applyProtection="1">
      <protection locked="0"/>
    </xf>
    <xf numFmtId="6" fontId="25" fillId="8" borderId="10" xfId="0" applyNumberFormat="1" applyFont="1" applyFill="1" applyBorder="1" applyProtection="1">
      <protection locked="0"/>
    </xf>
    <xf numFmtId="164" fontId="19" fillId="6" borderId="34" xfId="0" applyNumberFormat="1" applyFont="1" applyFill="1" applyBorder="1" applyProtection="1">
      <protection locked="0"/>
    </xf>
    <xf numFmtId="164" fontId="19" fillId="6" borderId="25" xfId="0" applyNumberFormat="1" applyFont="1" applyFill="1" applyBorder="1" applyProtection="1">
      <protection locked="0"/>
    </xf>
    <xf numFmtId="164" fontId="19" fillId="4" borderId="20" xfId="0" applyNumberFormat="1" applyFont="1" applyFill="1" applyBorder="1" applyProtection="1">
      <protection locked="0"/>
    </xf>
    <xf numFmtId="164" fontId="19" fillId="4" borderId="23" xfId="0" applyNumberFormat="1" applyFont="1" applyFill="1" applyBorder="1" applyProtection="1">
      <protection locked="0"/>
    </xf>
    <xf numFmtId="164" fontId="19" fillId="6" borderId="35" xfId="2" applyNumberFormat="1" applyFont="1" applyFill="1" applyBorder="1" applyProtection="1">
      <protection locked="0"/>
    </xf>
    <xf numFmtId="0" fontId="0" fillId="0" borderId="36" xfId="0" applyBorder="1" applyProtection="1"/>
    <xf numFmtId="0" fontId="8" fillId="0" borderId="37" xfId="0" applyFont="1" applyFill="1" applyBorder="1" applyProtection="1"/>
    <xf numFmtId="0" fontId="19" fillId="0" borderId="38" xfId="0" applyFont="1" applyFill="1" applyBorder="1" applyProtection="1"/>
    <xf numFmtId="164" fontId="19" fillId="0" borderId="1" xfId="0" applyNumberFormat="1" applyFont="1" applyFill="1" applyBorder="1" applyProtection="1"/>
    <xf numFmtId="164" fontId="19" fillId="0" borderId="38" xfId="0" applyNumberFormat="1" applyFont="1" applyFill="1" applyBorder="1" applyProtection="1"/>
    <xf numFmtId="164" fontId="19" fillId="0" borderId="37" xfId="0" applyNumberFormat="1" applyFont="1" applyFill="1" applyBorder="1" applyProtection="1"/>
    <xf numFmtId="164" fontId="19" fillId="2" borderId="1" xfId="0" applyNumberFormat="1" applyFont="1" applyFill="1" applyBorder="1" applyProtection="1"/>
    <xf numFmtId="164" fontId="19" fillId="0" borderId="15" xfId="0" applyNumberFormat="1" applyFont="1" applyFill="1" applyBorder="1" applyProtection="1"/>
    <xf numFmtId="6" fontId="3" fillId="0" borderId="1" xfId="0" applyNumberFormat="1" applyFont="1" applyBorder="1" applyProtection="1"/>
    <xf numFmtId="6" fontId="0" fillId="0" borderId="1" xfId="0" applyNumberFormat="1" applyBorder="1" applyProtection="1"/>
    <xf numFmtId="0" fontId="0" fillId="0" borderId="0" xfId="0" applyBorder="1" applyProtection="1"/>
    <xf numFmtId="0" fontId="8" fillId="0" borderId="0" xfId="0" applyFont="1" applyFill="1" applyBorder="1" applyProtection="1"/>
    <xf numFmtId="0" fontId="19" fillId="0" borderId="0" xfId="0" applyFont="1" applyFill="1" applyBorder="1" applyProtection="1"/>
    <xf numFmtId="6" fontId="3" fillId="0" borderId="0" xfId="0" applyNumberFormat="1" applyFont="1" applyBorder="1" applyProtection="1">
      <protection locked="0"/>
    </xf>
    <xf numFmtId="0" fontId="3" fillId="0" borderId="0" xfId="0" applyFont="1" applyProtection="1">
      <protection locked="0"/>
    </xf>
    <xf numFmtId="0" fontId="0" fillId="0" borderId="0" xfId="0" applyProtection="1">
      <protection locked="0"/>
    </xf>
    <xf numFmtId="0" fontId="26" fillId="0" borderId="0" xfId="2" applyFont="1" applyProtection="1"/>
    <xf numFmtId="0" fontId="21" fillId="0" borderId="0" xfId="2" applyFont="1" applyProtection="1"/>
    <xf numFmtId="8" fontId="0" fillId="0" borderId="0" xfId="0" applyNumberFormat="1" applyAlignment="1" applyProtection="1">
      <alignment vertical="top"/>
      <protection locked="0"/>
    </xf>
    <xf numFmtId="0" fontId="21" fillId="0" borderId="0" xfId="2" applyFont="1" applyAlignment="1" applyProtection="1">
      <alignment horizontal="right"/>
    </xf>
    <xf numFmtId="0" fontId="27" fillId="0" borderId="0" xfId="2" applyFont="1" applyProtection="1"/>
    <xf numFmtId="0" fontId="21" fillId="0" borderId="0" xfId="2" applyFont="1" applyAlignment="1" applyProtection="1">
      <alignment vertical="top"/>
    </xf>
    <xf numFmtId="0" fontId="28" fillId="0" borderId="0" xfId="2" applyFont="1" applyAlignment="1" applyProtection="1">
      <alignment horizontal="left" vertical="top" wrapText="1"/>
    </xf>
    <xf numFmtId="0" fontId="5" fillId="0" borderId="0" xfId="0" applyFont="1" applyAlignment="1" applyProtection="1">
      <alignment horizontal="left" vertical="top" wrapText="1"/>
      <protection locked="0"/>
    </xf>
    <xf numFmtId="0" fontId="5" fillId="0" borderId="0" xfId="2" applyFont="1" applyAlignment="1" applyProtection="1">
      <alignment vertical="top" wrapText="1"/>
    </xf>
    <xf numFmtId="8" fontId="0" fillId="0" borderId="0" xfId="0" applyNumberFormat="1" applyAlignment="1" applyProtection="1">
      <protection locked="0"/>
    </xf>
    <xf numFmtId="8" fontId="0" fillId="0" borderId="0" xfId="0" applyNumberFormat="1" applyProtection="1"/>
    <xf numFmtId="0" fontId="29" fillId="10" borderId="39" xfId="0" applyFont="1" applyFill="1" applyBorder="1" applyAlignment="1"/>
    <xf numFmtId="0" fontId="2" fillId="10" borderId="42" xfId="0" applyFont="1" applyFill="1" applyBorder="1"/>
    <xf numFmtId="43" fontId="0" fillId="0" borderId="0" xfId="1" applyFont="1"/>
    <xf numFmtId="166" fontId="31" fillId="0" borderId="0" xfId="1" applyNumberFormat="1" applyFont="1"/>
    <xf numFmtId="0" fontId="32" fillId="0" borderId="45" xfId="0" applyFont="1" applyBorder="1"/>
    <xf numFmtId="166" fontId="32" fillId="0" borderId="45" xfId="1" applyNumberFormat="1" applyFont="1" applyBorder="1"/>
    <xf numFmtId="166" fontId="32" fillId="2" borderId="45" xfId="1" applyNumberFormat="1" applyFont="1" applyFill="1" applyBorder="1"/>
    <xf numFmtId="0" fontId="0" fillId="0" borderId="45" xfId="0" applyBorder="1"/>
    <xf numFmtId="166" fontId="33" fillId="0" borderId="0" xfId="1" applyNumberFormat="1" applyFont="1"/>
    <xf numFmtId="166" fontId="0" fillId="0" borderId="45" xfId="1" applyNumberFormat="1" applyFont="1" applyBorder="1"/>
    <xf numFmtId="166" fontId="1" fillId="2" borderId="45" xfId="1" applyNumberFormat="1" applyFont="1" applyFill="1" applyBorder="1"/>
    <xf numFmtId="166" fontId="0" fillId="0" borderId="0" xfId="1" applyNumberFormat="1" applyFont="1"/>
    <xf numFmtId="0" fontId="0" fillId="0" borderId="45" xfId="0" applyBorder="1" applyAlignment="1">
      <alignment horizontal="left" indent="3"/>
    </xf>
    <xf numFmtId="166" fontId="0" fillId="11" borderId="45" xfId="1" applyNumberFormat="1" applyFont="1" applyFill="1" applyBorder="1"/>
    <xf numFmtId="166" fontId="0" fillId="12" borderId="45" xfId="1" applyNumberFormat="1" applyFont="1" applyFill="1" applyBorder="1"/>
    <xf numFmtId="166" fontId="33" fillId="0" borderId="45" xfId="1" applyNumberFormat="1" applyFont="1" applyBorder="1"/>
    <xf numFmtId="166" fontId="33" fillId="2" borderId="45" xfId="1" applyNumberFormat="1" applyFont="1" applyFill="1" applyBorder="1"/>
    <xf numFmtId="166" fontId="32" fillId="13" borderId="45" xfId="1" applyNumberFormat="1" applyFont="1" applyFill="1" applyBorder="1"/>
    <xf numFmtId="166" fontId="32" fillId="0" borderId="45" xfId="1" applyNumberFormat="1" applyFont="1" applyFill="1" applyBorder="1"/>
    <xf numFmtId="0" fontId="34" fillId="0" borderId="0" xfId="0" applyFont="1"/>
    <xf numFmtId="166" fontId="34" fillId="0" borderId="0" xfId="1" applyNumberFormat="1" applyFont="1"/>
    <xf numFmtId="0" fontId="4" fillId="0" borderId="45" xfId="0" applyFont="1" applyBorder="1"/>
    <xf numFmtId="166" fontId="0" fillId="13" borderId="45" xfId="1" applyNumberFormat="1" applyFont="1" applyFill="1" applyBorder="1"/>
    <xf numFmtId="166" fontId="0" fillId="14" borderId="45" xfId="1" applyNumberFormat="1" applyFont="1" applyFill="1" applyBorder="1"/>
    <xf numFmtId="166" fontId="0" fillId="14" borderId="45" xfId="1" applyNumberFormat="1" applyFont="1" applyFill="1" applyBorder="1" applyAlignment="1">
      <alignment vertical="center" wrapText="1"/>
    </xf>
    <xf numFmtId="166" fontId="0" fillId="0" borderId="45" xfId="1" applyNumberFormat="1" applyFont="1" applyFill="1" applyBorder="1" applyAlignment="1">
      <alignment vertical="center" wrapText="1"/>
    </xf>
    <xf numFmtId="166" fontId="0" fillId="15" borderId="45" xfId="1" applyNumberFormat="1" applyFont="1" applyFill="1" applyBorder="1"/>
    <xf numFmtId="0" fontId="0" fillId="0" borderId="33" xfId="0" applyBorder="1"/>
    <xf numFmtId="166" fontId="0" fillId="16" borderId="45" xfId="1" applyNumberFormat="1" applyFont="1" applyFill="1" applyBorder="1"/>
    <xf numFmtId="166" fontId="0" fillId="17" borderId="45" xfId="1" applyNumberFormat="1" applyFont="1" applyFill="1" applyBorder="1"/>
    <xf numFmtId="166" fontId="0" fillId="18" borderId="45" xfId="1" applyNumberFormat="1" applyFont="1" applyFill="1" applyBorder="1"/>
    <xf numFmtId="166" fontId="33" fillId="19" borderId="45" xfId="1" applyNumberFormat="1" applyFont="1" applyFill="1" applyBorder="1"/>
    <xf numFmtId="166" fontId="4" fillId="0" borderId="45" xfId="1" applyNumberFormat="1" applyFont="1" applyBorder="1"/>
    <xf numFmtId="166" fontId="35" fillId="0" borderId="45" xfId="1" applyNumberFormat="1" applyFont="1" applyBorder="1"/>
    <xf numFmtId="166" fontId="34" fillId="20" borderId="45" xfId="1" applyNumberFormat="1" applyFont="1" applyFill="1" applyBorder="1"/>
    <xf numFmtId="0" fontId="32" fillId="0" borderId="0" xfId="0" applyFont="1"/>
    <xf numFmtId="0" fontId="4" fillId="0" borderId="0" xfId="0" applyFont="1"/>
    <xf numFmtId="0" fontId="36" fillId="0" borderId="45" xfId="0" applyFont="1" applyFill="1" applyBorder="1" applyAlignment="1">
      <alignment horizontal="left" indent="2"/>
    </xf>
    <xf numFmtId="166" fontId="37" fillId="0" borderId="45" xfId="1" applyNumberFormat="1" applyFont="1" applyBorder="1"/>
    <xf numFmtId="0" fontId="38" fillId="0" borderId="45" xfId="0" applyFont="1" applyBorder="1" applyAlignment="1">
      <alignment horizontal="left" indent="1"/>
    </xf>
    <xf numFmtId="166" fontId="38" fillId="0" borderId="45" xfId="1" applyNumberFormat="1" applyFont="1" applyBorder="1"/>
    <xf numFmtId="166" fontId="39" fillId="0" borderId="45" xfId="1" applyNumberFormat="1" applyFont="1" applyBorder="1"/>
    <xf numFmtId="166" fontId="39" fillId="2" borderId="45" xfId="1" applyNumberFormat="1" applyFont="1" applyFill="1" applyBorder="1"/>
    <xf numFmtId="0" fontId="39" fillId="0" borderId="45" xfId="0" applyFont="1" applyBorder="1"/>
    <xf numFmtId="0" fontId="39" fillId="0" borderId="0" xfId="0" applyFont="1"/>
    <xf numFmtId="0" fontId="36" fillId="21" borderId="45" xfId="0" applyFont="1" applyFill="1" applyBorder="1"/>
    <xf numFmtId="166" fontId="36" fillId="21" borderId="45" xfId="1" applyNumberFormat="1" applyFont="1" applyFill="1" applyBorder="1"/>
    <xf numFmtId="166" fontId="4" fillId="2" borderId="45" xfId="1" applyNumberFormat="1" applyFont="1" applyFill="1" applyBorder="1"/>
    <xf numFmtId="0" fontId="36" fillId="21" borderId="45" xfId="0" applyFont="1" applyFill="1" applyBorder="1" applyAlignment="1">
      <alignment horizontal="left" indent="4"/>
    </xf>
    <xf numFmtId="166" fontId="4" fillId="19" borderId="45" xfId="1" applyNumberFormat="1" applyFont="1" applyFill="1" applyBorder="1"/>
    <xf numFmtId="0" fontId="36" fillId="21" borderId="42" xfId="0" applyFont="1" applyFill="1" applyBorder="1"/>
    <xf numFmtId="166" fontId="36" fillId="21" borderId="42" xfId="1" applyNumberFormat="1" applyFont="1" applyFill="1" applyBorder="1"/>
    <xf numFmtId="166" fontId="4" fillId="2" borderId="42" xfId="1" applyNumberFormat="1" applyFont="1" applyFill="1" applyBorder="1"/>
    <xf numFmtId="0" fontId="40" fillId="2" borderId="46" xfId="0" applyFont="1" applyFill="1" applyBorder="1" applyAlignment="1">
      <alignment horizontal="right"/>
    </xf>
    <xf numFmtId="166" fontId="40" fillId="2" borderId="47" xfId="1" applyNumberFormat="1" applyFont="1" applyFill="1" applyBorder="1"/>
    <xf numFmtId="166" fontId="4" fillId="0" borderId="0" xfId="1" applyNumberFormat="1" applyFont="1"/>
    <xf numFmtId="0" fontId="29" fillId="10" borderId="48" xfId="0" applyFont="1" applyFill="1" applyBorder="1" applyAlignment="1"/>
    <xf numFmtId="166" fontId="3" fillId="0" borderId="0" xfId="1" applyNumberFormat="1" applyFont="1"/>
    <xf numFmtId="166" fontId="33" fillId="15" borderId="45" xfId="1" applyNumberFormat="1" applyFont="1" applyFill="1" applyBorder="1"/>
    <xf numFmtId="0" fontId="0" fillId="0" borderId="0" xfId="0" applyBorder="1"/>
    <xf numFmtId="0" fontId="0" fillId="0" borderId="33" xfId="0" applyBorder="1" applyAlignment="1">
      <alignment horizontal="left" vertical="center" wrapText="1"/>
    </xf>
    <xf numFmtId="166" fontId="0" fillId="19" borderId="45" xfId="1" applyNumberFormat="1" applyFont="1" applyFill="1" applyBorder="1"/>
    <xf numFmtId="166" fontId="33" fillId="18" borderId="45" xfId="1" applyNumberFormat="1" applyFont="1" applyFill="1" applyBorder="1"/>
    <xf numFmtId="166" fontId="35" fillId="0" borderId="45" xfId="1" applyNumberFormat="1" applyFont="1" applyFill="1" applyBorder="1"/>
    <xf numFmtId="166" fontId="0" fillId="21" borderId="45" xfId="1" applyNumberFormat="1" applyFont="1" applyFill="1" applyBorder="1"/>
    <xf numFmtId="0" fontId="0" fillId="21" borderId="45" xfId="0" applyFill="1" applyBorder="1"/>
    <xf numFmtId="0" fontId="36" fillId="21" borderId="45" xfId="0" applyFont="1" applyFill="1" applyBorder="1" applyAlignment="1">
      <alignment horizontal="left" indent="3"/>
    </xf>
    <xf numFmtId="0" fontId="0" fillId="21" borderId="42" xfId="0" applyFill="1" applyBorder="1"/>
    <xf numFmtId="166" fontId="0" fillId="21" borderId="42" xfId="1" applyNumberFormat="1" applyFont="1" applyFill="1" applyBorder="1"/>
    <xf numFmtId="0" fontId="37" fillId="0" borderId="0" xfId="0" applyFont="1"/>
    <xf numFmtId="166" fontId="37" fillId="0" borderId="0" xfId="1" applyNumberFormat="1" applyFont="1"/>
    <xf numFmtId="0" fontId="8" fillId="9" borderId="0" xfId="2" applyFont="1" applyFill="1" applyBorder="1" applyAlignment="1" applyProtection="1">
      <alignment horizontal="left" vertical="top" wrapText="1"/>
    </xf>
    <xf numFmtId="8" fontId="13" fillId="0" borderId="7" xfId="0" applyNumberFormat="1" applyFont="1" applyFill="1" applyBorder="1" applyAlignment="1" applyProtection="1">
      <alignment horizontal="center" vertical="center" wrapText="1"/>
    </xf>
    <xf numFmtId="8" fontId="13" fillId="0" borderId="0" xfId="0" applyNumberFormat="1" applyFont="1" applyFill="1" applyBorder="1" applyAlignment="1" applyProtection="1">
      <alignment horizontal="center" vertical="center" wrapText="1"/>
    </xf>
    <xf numFmtId="8" fontId="13" fillId="0" borderId="13" xfId="0" applyNumberFormat="1" applyFont="1" applyFill="1" applyBorder="1" applyAlignment="1" applyProtection="1">
      <alignment horizontal="center" vertical="center" wrapText="1"/>
    </xf>
    <xf numFmtId="8" fontId="13" fillId="0" borderId="8" xfId="0" applyNumberFormat="1" applyFont="1" applyFill="1" applyBorder="1" applyAlignment="1" applyProtection="1">
      <alignment horizontal="center" vertical="center" wrapText="1"/>
    </xf>
    <xf numFmtId="8" fontId="13" fillId="0" borderId="11" xfId="0" applyNumberFormat="1" applyFont="1" applyFill="1" applyBorder="1" applyAlignment="1" applyProtection="1">
      <alignment horizontal="center" vertical="center" wrapText="1"/>
    </xf>
    <xf numFmtId="8" fontId="13" fillId="0" borderId="15" xfId="0" applyNumberFormat="1" applyFont="1" applyFill="1" applyBorder="1" applyAlignment="1" applyProtection="1">
      <alignment horizontal="center" vertical="center" wrapText="1"/>
    </xf>
    <xf numFmtId="8" fontId="13" fillId="0" borderId="5" xfId="0" applyNumberFormat="1" applyFont="1" applyFill="1" applyBorder="1" applyAlignment="1" applyProtection="1">
      <alignment horizontal="center" vertical="center" wrapText="1"/>
    </xf>
    <xf numFmtId="8" fontId="13" fillId="0" borderId="10" xfId="0" applyNumberFormat="1" applyFont="1" applyFill="1" applyBorder="1" applyAlignment="1" applyProtection="1">
      <alignment horizontal="center" vertical="center" wrapText="1"/>
    </xf>
    <xf numFmtId="8" fontId="13" fillId="0" borderId="16" xfId="0" applyNumberFormat="1" applyFont="1" applyFill="1" applyBorder="1" applyAlignment="1" applyProtection="1">
      <alignment horizontal="center" vertical="center" wrapText="1"/>
    </xf>
    <xf numFmtId="8" fontId="13" fillId="0" borderId="14" xfId="0" applyNumberFormat="1" applyFont="1" applyFill="1" applyBorder="1" applyAlignment="1" applyProtection="1">
      <alignment horizontal="center" vertical="center" wrapText="1"/>
    </xf>
    <xf numFmtId="8" fontId="13" fillId="0" borderId="6" xfId="0" applyNumberFormat="1" applyFont="1" applyFill="1" applyBorder="1" applyAlignment="1" applyProtection="1">
      <alignment horizontal="center" vertical="center" wrapText="1"/>
    </xf>
    <xf numFmtId="8" fontId="17" fillId="0" borderId="9" xfId="0" applyNumberFormat="1" applyFont="1" applyFill="1" applyBorder="1" applyAlignment="1" applyProtection="1">
      <alignment horizontal="center" vertical="center" wrapText="1"/>
    </xf>
    <xf numFmtId="8" fontId="17" fillId="0" borderId="12" xfId="0" applyNumberFormat="1" applyFont="1" applyFill="1" applyBorder="1" applyAlignment="1" applyProtection="1">
      <alignment horizontal="center" vertical="center" wrapText="1"/>
    </xf>
    <xf numFmtId="8" fontId="17" fillId="0" borderId="0" xfId="0" applyNumberFormat="1" applyFont="1" applyFill="1" applyBorder="1" applyAlignment="1" applyProtection="1">
      <alignment horizontal="center" vertical="center" wrapText="1"/>
    </xf>
    <xf numFmtId="8" fontId="17" fillId="0" borderId="13" xfId="0" applyNumberFormat="1" applyFont="1" applyFill="1" applyBorder="1" applyAlignment="1" applyProtection="1">
      <alignment horizontal="center" vertical="center" wrapText="1"/>
    </xf>
    <xf numFmtId="8" fontId="13" fillId="0" borderId="9" xfId="0" applyNumberFormat="1" applyFont="1" applyFill="1" applyBorder="1" applyAlignment="1" applyProtection="1">
      <alignment horizontal="center" vertical="center" wrapText="1"/>
    </xf>
    <xf numFmtId="8" fontId="13" fillId="0" borderId="12" xfId="0" applyNumberFormat="1" applyFont="1" applyFill="1" applyBorder="1" applyAlignment="1" applyProtection="1">
      <alignment horizontal="center" vertical="center" wrapText="1"/>
    </xf>
    <xf numFmtId="164" fontId="13" fillId="0" borderId="7" xfId="0" applyNumberFormat="1" applyFont="1" applyFill="1" applyBorder="1" applyAlignment="1" applyProtection="1">
      <alignment horizontal="center" vertical="center" wrapText="1"/>
    </xf>
    <xf numFmtId="164" fontId="13" fillId="0" borderId="0" xfId="0" applyNumberFormat="1" applyFont="1" applyFill="1" applyBorder="1" applyAlignment="1" applyProtection="1">
      <alignment horizontal="center" vertical="center" wrapText="1"/>
    </xf>
    <xf numFmtId="164" fontId="13" fillId="0" borderId="13" xfId="0" applyNumberFormat="1" applyFont="1" applyFill="1" applyBorder="1" applyAlignment="1" applyProtection="1">
      <alignment horizontal="center" vertical="center" wrapText="1"/>
    </xf>
    <xf numFmtId="164" fontId="17" fillId="0" borderId="0" xfId="0" applyNumberFormat="1" applyFont="1" applyFill="1" applyBorder="1" applyAlignment="1" applyProtection="1">
      <alignment horizontal="center" vertical="center" wrapText="1"/>
    </xf>
    <xf numFmtId="164" fontId="17" fillId="0" borderId="13" xfId="0" applyNumberFormat="1" applyFont="1" applyFill="1" applyBorder="1" applyAlignment="1" applyProtection="1">
      <alignment horizontal="center" vertical="center" wrapText="1"/>
    </xf>
    <xf numFmtId="164" fontId="13" fillId="0" borderId="5" xfId="0" applyNumberFormat="1" applyFont="1" applyFill="1" applyBorder="1" applyAlignment="1" applyProtection="1">
      <alignment horizontal="center" vertical="center" wrapText="1"/>
    </xf>
    <xf numFmtId="164" fontId="13" fillId="0" borderId="10" xfId="0" applyNumberFormat="1" applyFont="1" applyFill="1" applyBorder="1" applyAlignment="1" applyProtection="1">
      <alignment horizontal="center" vertical="center" wrapText="1"/>
    </xf>
    <xf numFmtId="164" fontId="13" fillId="0" borderId="14" xfId="0" applyNumberFormat="1" applyFont="1" applyFill="1" applyBorder="1" applyAlignment="1" applyProtection="1">
      <alignment horizontal="center" vertical="center" wrapText="1"/>
    </xf>
    <xf numFmtId="164" fontId="13" fillId="0" borderId="6" xfId="0" applyNumberFormat="1" applyFont="1" applyFill="1" applyBorder="1" applyAlignment="1" applyProtection="1">
      <alignment horizontal="center" vertical="center" wrapText="1"/>
    </xf>
    <xf numFmtId="164" fontId="13" fillId="0" borderId="9" xfId="0" applyNumberFormat="1" applyFont="1" applyFill="1" applyBorder="1" applyAlignment="1" applyProtection="1">
      <alignment horizontal="center" vertical="center" wrapText="1"/>
    </xf>
    <xf numFmtId="164" fontId="13" fillId="0" borderId="1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xf>
    <xf numFmtId="0" fontId="11" fillId="0" borderId="2" xfId="0" applyNumberFormat="1" applyFont="1" applyBorder="1" applyAlignment="1" applyProtection="1">
      <alignment horizontal="center"/>
    </xf>
    <xf numFmtId="0" fontId="11" fillId="0" borderId="3" xfId="0" applyNumberFormat="1" applyFont="1" applyBorder="1" applyAlignment="1" applyProtection="1">
      <alignment horizontal="center"/>
    </xf>
    <xf numFmtId="0" fontId="11" fillId="0" borderId="5" xfId="0" applyNumberFormat="1" applyFont="1" applyBorder="1" applyAlignment="1" applyProtection="1">
      <alignment horizontal="center"/>
    </xf>
    <xf numFmtId="0" fontId="12" fillId="0" borderId="6" xfId="0" applyFont="1" applyFill="1" applyBorder="1" applyAlignment="1" applyProtection="1">
      <alignment horizontal="left" vertical="center"/>
    </xf>
    <xf numFmtId="0" fontId="12" fillId="0" borderId="9" xfId="0" applyFont="1" applyFill="1" applyBorder="1" applyAlignment="1" applyProtection="1">
      <alignment horizontal="left" vertical="center"/>
    </xf>
    <xf numFmtId="0" fontId="13" fillId="0" borderId="5"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8" fillId="0" borderId="0" xfId="2" applyFont="1" applyAlignment="1" applyProtection="1">
      <alignment horizontal="left" vertical="top" wrapText="1"/>
    </xf>
    <xf numFmtId="166" fontId="30" fillId="10" borderId="40" xfId="1" applyNumberFormat="1" applyFont="1" applyFill="1" applyBorder="1" applyAlignment="1">
      <alignment horizontal="center" vertical="center" wrapText="1"/>
    </xf>
    <xf numFmtId="166" fontId="30" fillId="10" borderId="43" xfId="1" applyNumberFormat="1" applyFont="1" applyFill="1" applyBorder="1" applyAlignment="1">
      <alignment horizontal="center" vertical="center" wrapText="1"/>
    </xf>
    <xf numFmtId="166" fontId="30" fillId="10" borderId="40" xfId="1" applyNumberFormat="1" applyFont="1" applyFill="1" applyBorder="1" applyAlignment="1">
      <alignment horizontal="center" vertical="center"/>
    </xf>
    <xf numFmtId="166" fontId="30" fillId="10" borderId="43" xfId="1" applyNumberFormat="1" applyFont="1" applyFill="1" applyBorder="1" applyAlignment="1">
      <alignment horizontal="center" vertical="center"/>
    </xf>
    <xf numFmtId="0" fontId="30" fillId="10" borderId="41" xfId="0" applyFont="1" applyFill="1" applyBorder="1" applyAlignment="1">
      <alignment horizontal="center" vertical="center"/>
    </xf>
    <xf numFmtId="0" fontId="30" fillId="10" borderId="44" xfId="0" applyFont="1" applyFill="1" applyBorder="1" applyAlignment="1">
      <alignment horizontal="center" vertical="center"/>
    </xf>
    <xf numFmtId="0" fontId="0" fillId="0" borderId="0" xfId="0" applyAlignment="1">
      <alignment horizontal="center"/>
    </xf>
    <xf numFmtId="0" fontId="0" fillId="0" borderId="45" xfId="0" applyBorder="1" applyAlignment="1">
      <alignment horizontal="left" vertical="center" wrapText="1"/>
    </xf>
    <xf numFmtId="166" fontId="30" fillId="10" borderId="48" xfId="1" applyNumberFormat="1" applyFont="1" applyFill="1" applyBorder="1" applyAlignment="1">
      <alignment horizontal="center" vertical="center" wrapText="1"/>
    </xf>
    <xf numFmtId="166" fontId="30" fillId="10" borderId="42" xfId="1" applyNumberFormat="1" applyFont="1" applyFill="1" applyBorder="1" applyAlignment="1">
      <alignment horizontal="center" vertical="center" wrapText="1"/>
    </xf>
    <xf numFmtId="166" fontId="30" fillId="10" borderId="48" xfId="1" applyNumberFormat="1" applyFont="1" applyFill="1" applyBorder="1" applyAlignment="1">
      <alignment horizontal="center" vertical="center"/>
    </xf>
    <xf numFmtId="166" fontId="30" fillId="10" borderId="42" xfId="1" applyNumberFormat="1" applyFont="1" applyFill="1" applyBorder="1" applyAlignment="1">
      <alignment horizontal="center" vertical="center"/>
    </xf>
    <xf numFmtId="0" fontId="30" fillId="10" borderId="48" xfId="0" applyFont="1" applyFill="1" applyBorder="1" applyAlignment="1">
      <alignment horizontal="center" vertical="center"/>
    </xf>
    <xf numFmtId="0" fontId="30" fillId="10" borderId="42" xfId="0" applyFont="1" applyFill="1" applyBorder="1" applyAlignment="1">
      <alignment horizontal="center" vertical="center"/>
    </xf>
    <xf numFmtId="0" fontId="32" fillId="0" borderId="33" xfId="0" applyFont="1" applyBorder="1"/>
    <xf numFmtId="0" fontId="0" fillId="0" borderId="33" xfId="0" applyBorder="1" applyAlignment="1">
      <alignment horizontal="left" vertical="center" wrapText="1"/>
    </xf>
    <xf numFmtId="0" fontId="4" fillId="0" borderId="33" xfId="0" applyFont="1" applyBorder="1"/>
    <xf numFmtId="0" fontId="0" fillId="0" borderId="33" xfId="0" applyFont="1" applyBorder="1"/>
    <xf numFmtId="0" fontId="39" fillId="0" borderId="33" xfId="0" applyFont="1" applyBorder="1"/>
    <xf numFmtId="166" fontId="30" fillId="10" borderId="41" xfId="1" applyNumberFormat="1" applyFont="1" applyFill="1" applyBorder="1" applyAlignment="1">
      <alignment horizontal="center" vertical="center"/>
    </xf>
    <xf numFmtId="166" fontId="30" fillId="10" borderId="44" xfId="1" applyNumberFormat="1" applyFont="1" applyFill="1" applyBorder="1" applyAlignment="1">
      <alignment horizontal="center" vertical="center"/>
    </xf>
    <xf numFmtId="0" fontId="0" fillId="0" borderId="49" xfId="0" applyBorder="1"/>
    <xf numFmtId="0" fontId="32" fillId="0" borderId="42" xfId="0" applyFont="1" applyBorder="1"/>
    <xf numFmtId="166" fontId="37" fillId="0" borderId="42" xfId="1" applyNumberFormat="1" applyFont="1" applyBorder="1"/>
    <xf numFmtId="166" fontId="0" fillId="0" borderId="42" xfId="1" applyNumberFormat="1" applyFont="1" applyBorder="1"/>
    <xf numFmtId="166" fontId="1" fillId="2" borderId="42" xfId="1" applyNumberFormat="1" applyFont="1" applyFill="1" applyBorder="1"/>
    <xf numFmtId="0" fontId="0" fillId="0" borderId="42" xfId="0" applyBorder="1"/>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126996</xdr:colOff>
      <xdr:row>0</xdr:row>
      <xdr:rowOff>0</xdr:rowOff>
    </xdr:from>
    <xdr:to>
      <xdr:col>3</xdr:col>
      <xdr:colOff>1057276</xdr:colOff>
      <xdr:row>10</xdr:row>
      <xdr:rowOff>164059</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6996" y="0"/>
          <a:ext cx="6931030" cy="1897609"/>
        </a:xfrm>
        <a:prstGeom prst="rect">
          <a:avLst/>
        </a:prstGeom>
        <a:ln>
          <a:noFill/>
        </a:ln>
        <a:effectLst>
          <a:softEdge rad="112500"/>
        </a:effectLst>
      </xdr:spPr>
    </xdr:pic>
    <xdr:clientData/>
  </xdr:twoCellAnchor>
  <xdr:twoCellAnchor>
    <xdr:from>
      <xdr:col>1</xdr:col>
      <xdr:colOff>71158</xdr:colOff>
      <xdr:row>4</xdr:row>
      <xdr:rowOff>14078</xdr:rowOff>
    </xdr:from>
    <xdr:to>
      <xdr:col>3</xdr:col>
      <xdr:colOff>400050</xdr:colOff>
      <xdr:row>7</xdr:row>
      <xdr:rowOff>12327</xdr:rowOff>
    </xdr:to>
    <xdr:sp macro="" textlink="">
      <xdr:nvSpPr>
        <xdr:cNvPr id="3" name="Rectangle 2"/>
        <xdr:cNvSpPr/>
      </xdr:nvSpPr>
      <xdr:spPr>
        <a:xfrm>
          <a:off x="71158" y="661778"/>
          <a:ext cx="6329642" cy="512599"/>
        </a:xfrm>
        <a:prstGeom prst="rect">
          <a:avLst/>
        </a:prstGeom>
        <a:noFill/>
      </xdr:spPr>
      <xdr:txBody>
        <a:bodyPr wrap="none" lIns="91440" tIns="45720" rIns="91440" bIns="45720" anchor="ctr">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baseline="0">
              <a:effectLst>
                <a:outerShdw blurRad="50800" dist="38100" algn="tr" rotWithShape="0">
                  <a:prstClr val="black">
                    <a:alpha val="40000"/>
                  </a:prstClr>
                </a:outerShdw>
              </a:effectLst>
              <a:latin typeface="+mn-lt"/>
              <a:ea typeface="+mn-ea"/>
              <a:cs typeface="+mn-cs"/>
            </a:rPr>
            <a:t>Incentive Rate-setting Mechanism Rate </a:t>
          </a:r>
        </a:p>
        <a:p>
          <a:pPr algn="ctr" rtl="0"/>
          <a:r>
            <a:rPr lang="en-CA" sz="2800" b="1" i="0" baseline="0">
              <a:effectLst>
                <a:outerShdw blurRad="50800" dist="38100" algn="tr" rotWithShape="0">
                  <a:prstClr val="black">
                    <a:alpha val="40000"/>
                  </a:prstClr>
                </a:outerShdw>
              </a:effectLst>
              <a:latin typeface="+mn-lt"/>
              <a:ea typeface="+mn-ea"/>
              <a:cs typeface="+mn-cs"/>
            </a:rPr>
            <a:t>Generator for 2020 Filers</a:t>
          </a:r>
          <a:endParaRPr lang="en-CA" sz="2800" b="1">
            <a:effectLst>
              <a:outerShdw blurRad="50800" dist="38100" algn="tr" rotWithShape="0">
                <a:prstClr val="black">
                  <a:alpha val="40000"/>
                </a:prstClr>
              </a:outerShdw>
            </a:effectLst>
            <a:latin typeface="+mn-lt"/>
            <a:ea typeface="+mn-ea"/>
            <a:cs typeface="+mn-cs"/>
          </a:endParaRPr>
        </a:p>
      </xdr:txBody>
    </xdr:sp>
    <xdr:clientData/>
  </xdr:twoCellAnchor>
  <xdr:twoCellAnchor>
    <xdr:from>
      <xdr:col>1</xdr:col>
      <xdr:colOff>129624</xdr:colOff>
      <xdr:row>0</xdr:row>
      <xdr:rowOff>153177</xdr:rowOff>
    </xdr:from>
    <xdr:to>
      <xdr:col>2</xdr:col>
      <xdr:colOff>328406</xdr:colOff>
      <xdr:row>3</xdr:row>
      <xdr:rowOff>45547</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9624" y="15317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279671</xdr:colOff>
      <xdr:row>0</xdr:row>
      <xdr:rowOff>122923</xdr:rowOff>
    </xdr:from>
    <xdr:to>
      <xdr:col>2</xdr:col>
      <xdr:colOff>2862885</xdr:colOff>
      <xdr:row>2</xdr:row>
      <xdr:rowOff>144848</xdr:rowOff>
    </xdr:to>
    <xdr:sp macro="" textlink="">
      <xdr:nvSpPr>
        <xdr:cNvPr id="5" name="Rectangle 4"/>
        <xdr:cNvSpPr/>
      </xdr:nvSpPr>
      <xdr:spPr>
        <a:xfrm>
          <a:off x="470171" y="122923"/>
          <a:ext cx="2583214" cy="34577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60"/>
  <sheetViews>
    <sheetView topLeftCell="B10" zoomScale="70" zoomScaleNormal="70" workbookViewId="0">
      <pane xSplit="3" ySplit="10" topLeftCell="E24" activePane="bottomRight" state="frozen"/>
      <selection activeCell="BM28" sqref="BM28"/>
      <selection pane="topRight" activeCell="BM28" sqref="BM28"/>
      <selection pane="bottomLeft" activeCell="BM28" sqref="BM28"/>
      <selection pane="bottomRight" activeCell="E47" sqref="E47:BX48"/>
    </sheetView>
  </sheetViews>
  <sheetFormatPr defaultColWidth="9.1796875" defaultRowHeight="14.5" x14ac:dyDescent="0.35"/>
  <cols>
    <col min="1" max="1" width="9.1796875" style="1" hidden="1" customWidth="1"/>
    <col min="2" max="2" width="2.81640625" style="1" bestFit="1" customWidth="1"/>
    <col min="3" max="3" width="87.1796875" style="1" customWidth="1"/>
    <col min="4" max="4" width="16.54296875" style="1" customWidth="1"/>
    <col min="5" max="5" width="16.1796875" style="143" customWidth="1"/>
    <col min="6" max="6" width="23.1796875" style="143" customWidth="1"/>
    <col min="7" max="8" width="18.453125" style="143" customWidth="1"/>
    <col min="9" max="9" width="14.7265625" style="143" customWidth="1"/>
    <col min="10" max="10" width="14.1796875" style="143" customWidth="1"/>
    <col min="11" max="13" width="14.81640625" style="143" customWidth="1"/>
    <col min="14" max="14" width="15.453125" style="143" customWidth="1"/>
    <col min="15" max="15" width="16.1796875" style="143" customWidth="1"/>
    <col min="16" max="16" width="23.1796875" style="143" customWidth="1"/>
    <col min="17" max="18" width="18.453125" style="143" customWidth="1"/>
    <col min="19" max="19" width="14.7265625" style="143" customWidth="1"/>
    <col min="20" max="20" width="14.1796875" style="143" customWidth="1"/>
    <col min="21" max="23" width="14.81640625" style="143" customWidth="1"/>
    <col min="24" max="24" width="15.453125" style="143" customWidth="1"/>
    <col min="25" max="25" width="16.1796875" style="143" customWidth="1"/>
    <col min="26" max="26" width="23.1796875" style="143" customWidth="1"/>
    <col min="27" max="28" width="18.453125" style="143" customWidth="1"/>
    <col min="29" max="29" width="14.7265625" style="143" customWidth="1"/>
    <col min="30" max="30" width="14.1796875" style="143" customWidth="1"/>
    <col min="31" max="33" width="14.81640625" style="143" customWidth="1"/>
    <col min="34" max="34" width="15.453125" style="143" customWidth="1"/>
    <col min="35" max="35" width="16.1796875" style="143" customWidth="1"/>
    <col min="36" max="36" width="23.1796875" style="143" customWidth="1"/>
    <col min="37" max="38" width="18.453125" style="143" customWidth="1"/>
    <col min="39" max="39" width="14.7265625" style="143" customWidth="1"/>
    <col min="40" max="40" width="14.1796875" style="143" customWidth="1"/>
    <col min="41" max="43" width="14.81640625" style="143" customWidth="1"/>
    <col min="44" max="44" width="15.453125" style="143" customWidth="1"/>
    <col min="45" max="45" width="16.1796875" style="143" customWidth="1"/>
    <col min="46" max="46" width="23.1796875" style="143" customWidth="1"/>
    <col min="47" max="48" width="18.453125" style="143" customWidth="1"/>
    <col min="49" max="49" width="14.7265625" style="143" customWidth="1"/>
    <col min="50" max="50" width="14.1796875" style="143" customWidth="1"/>
    <col min="51" max="53" width="14.81640625" style="143" customWidth="1"/>
    <col min="54" max="54" width="15.453125" style="143" customWidth="1"/>
    <col min="55" max="55" width="16.1796875" style="143" customWidth="1"/>
    <col min="56" max="56" width="23.1796875" style="143" customWidth="1"/>
    <col min="57" max="58" width="18.453125" style="143" customWidth="1"/>
    <col min="59" max="59" width="14.7265625" style="143" customWidth="1"/>
    <col min="60" max="60" width="14.1796875" style="143" customWidth="1"/>
    <col min="61" max="63" width="14.81640625" style="143" customWidth="1"/>
    <col min="64" max="64" width="15.453125" style="143" customWidth="1"/>
    <col min="65" max="66" width="14.81640625" style="143" customWidth="1"/>
    <col min="67" max="67" width="16.81640625" style="143" customWidth="1"/>
    <col min="68" max="68" width="17.26953125" style="143" customWidth="1"/>
    <col min="69" max="70" width="26.81640625" style="143" customWidth="1"/>
    <col min="71" max="71" width="18.1796875" style="143" customWidth="1"/>
    <col min="72" max="72" width="13.7265625" style="143" customWidth="1"/>
    <col min="73" max="73" width="14.453125" style="143" customWidth="1"/>
    <col min="74" max="74" width="22.453125" style="143" bestFit="1" customWidth="1"/>
    <col min="75" max="75" width="19.81640625" style="143" customWidth="1"/>
    <col min="76" max="76" width="9.1796875" style="14"/>
    <col min="77" max="16384" width="9.1796875" style="1"/>
  </cols>
  <sheetData>
    <row r="1" spans="3:80" ht="12.75" customHeight="1" x14ac:dyDescent="0.3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3"/>
      <c r="BY1" s="4"/>
      <c r="BZ1" s="4"/>
      <c r="CA1" s="4"/>
      <c r="CB1" s="5" t="b">
        <v>0</v>
      </c>
    </row>
    <row r="2" spans="3:80" ht="12.75" customHeight="1" x14ac:dyDescent="0.35">
      <c r="C2" s="4" t="b">
        <v>0</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3"/>
      <c r="BY2" s="4"/>
      <c r="BZ2" s="4"/>
      <c r="CA2" s="4"/>
      <c r="CB2" s="5" t="b">
        <v>0</v>
      </c>
    </row>
    <row r="3" spans="3:80" ht="12.75" customHeight="1" x14ac:dyDescent="0.35">
      <c r="C3" s="4" t="b">
        <v>1</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3"/>
      <c r="BY3" s="4"/>
      <c r="BZ3" s="4"/>
      <c r="CA3" s="4"/>
      <c r="CB3" s="5" t="b">
        <v>0</v>
      </c>
    </row>
    <row r="4" spans="3:80" ht="12.75" customHeight="1" x14ac:dyDescent="0.35">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3"/>
      <c r="BY4" s="4"/>
      <c r="BZ4" s="4"/>
      <c r="CA4" s="4"/>
      <c r="CB4" s="5" t="b">
        <v>0</v>
      </c>
    </row>
    <row r="5" spans="3:80" ht="12.75" customHeight="1" x14ac:dyDescent="0.3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3"/>
      <c r="BY5" s="4"/>
      <c r="BZ5" s="4"/>
      <c r="CA5" s="4"/>
      <c r="CB5" s="5" t="b">
        <v>0</v>
      </c>
    </row>
    <row r="6" spans="3:80" ht="12.75" customHeight="1" x14ac:dyDescent="0.3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3"/>
      <c r="BY6" s="4"/>
      <c r="BZ6" s="4"/>
      <c r="CA6" s="4"/>
      <c r="CB6" s="5" t="b">
        <v>0</v>
      </c>
    </row>
    <row r="7" spans="3:80" x14ac:dyDescent="0.35">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3"/>
      <c r="BY7" s="4"/>
      <c r="BZ7" s="4"/>
      <c r="CA7" s="4"/>
      <c r="CB7" s="5" t="b">
        <v>0</v>
      </c>
    </row>
    <row r="8" spans="3:80" x14ac:dyDescent="0.35">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3"/>
      <c r="BY8" s="4"/>
      <c r="BZ8" s="4"/>
      <c r="CA8" s="4"/>
      <c r="CB8" s="5" t="b">
        <v>0</v>
      </c>
    </row>
    <row r="9" spans="3:80" x14ac:dyDescent="0.35">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3"/>
      <c r="BY9" s="4"/>
      <c r="BZ9" s="4"/>
      <c r="CA9" s="4"/>
      <c r="CB9" s="5" t="b">
        <v>0</v>
      </c>
    </row>
    <row r="10" spans="3:80" x14ac:dyDescent="0.35">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3"/>
      <c r="BY10" s="4"/>
      <c r="BZ10" s="4"/>
      <c r="CA10" s="4"/>
      <c r="CB10" s="5" t="b">
        <v>1</v>
      </c>
    </row>
    <row r="11" spans="3:80" x14ac:dyDescent="0.3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3"/>
      <c r="BY11" s="4"/>
      <c r="BZ11" s="4"/>
      <c r="CA11" s="4"/>
      <c r="CB11" s="5" t="b">
        <v>1</v>
      </c>
    </row>
    <row r="12" spans="3:80" ht="63" customHeight="1" x14ac:dyDescent="0.35">
      <c r="C12" s="254" t="s">
        <v>0</v>
      </c>
      <c r="D12" s="25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3"/>
      <c r="BY12" s="4"/>
      <c r="BZ12" s="4"/>
      <c r="CA12" s="4"/>
      <c r="CB12" s="4"/>
    </row>
    <row r="13" spans="3:80" ht="24.75" customHeight="1" thickBot="1" x14ac:dyDescent="0.4">
      <c r="C13" s="254"/>
      <c r="D13" s="254"/>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3"/>
      <c r="BY13" s="4"/>
      <c r="BZ13" s="4"/>
      <c r="CA13" s="4"/>
      <c r="CB13" s="4"/>
    </row>
    <row r="14" spans="3:80" ht="44.25" hidden="1" customHeight="1" x14ac:dyDescent="0.35">
      <c r="C14" s="254"/>
      <c r="D14" s="25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6"/>
      <c r="BW14" s="2"/>
      <c r="BX14" s="3"/>
      <c r="BY14" s="4"/>
      <c r="BZ14" s="4"/>
      <c r="CA14" s="4"/>
      <c r="CB14" s="4"/>
    </row>
    <row r="15" spans="3:80" ht="101.25" hidden="1" customHeight="1" x14ac:dyDescent="0.35">
      <c r="C15" s="254"/>
      <c r="D15" s="254"/>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7"/>
      <c r="BU15" s="7"/>
      <c r="BV15" s="8"/>
      <c r="BW15" s="2"/>
      <c r="BX15" s="3"/>
      <c r="BY15" s="4"/>
      <c r="BZ15" s="4"/>
      <c r="CA15" s="4"/>
      <c r="CB15" s="4"/>
    </row>
    <row r="16" spans="3:80" ht="29" thickBot="1" x14ac:dyDescent="0.7">
      <c r="C16" s="9"/>
      <c r="D16" s="10"/>
      <c r="E16" s="244">
        <v>2013</v>
      </c>
      <c r="F16" s="245"/>
      <c r="G16" s="245"/>
      <c r="H16" s="245"/>
      <c r="I16" s="245"/>
      <c r="J16" s="245"/>
      <c r="K16" s="245"/>
      <c r="L16" s="245"/>
      <c r="M16" s="245"/>
      <c r="N16" s="246"/>
      <c r="O16" s="244">
        <v>2014</v>
      </c>
      <c r="P16" s="245"/>
      <c r="Q16" s="245"/>
      <c r="R16" s="245"/>
      <c r="S16" s="245"/>
      <c r="T16" s="245"/>
      <c r="U16" s="245"/>
      <c r="V16" s="245"/>
      <c r="W16" s="245"/>
      <c r="X16" s="246"/>
      <c r="Y16" s="244">
        <v>2015</v>
      </c>
      <c r="Z16" s="245"/>
      <c r="AA16" s="245"/>
      <c r="AB16" s="245"/>
      <c r="AC16" s="245"/>
      <c r="AD16" s="245"/>
      <c r="AE16" s="245"/>
      <c r="AF16" s="245"/>
      <c r="AG16" s="245"/>
      <c r="AH16" s="246"/>
      <c r="AI16" s="244">
        <v>2016</v>
      </c>
      <c r="AJ16" s="245"/>
      <c r="AK16" s="245"/>
      <c r="AL16" s="245"/>
      <c r="AM16" s="245"/>
      <c r="AN16" s="245"/>
      <c r="AO16" s="245"/>
      <c r="AP16" s="245"/>
      <c r="AQ16" s="245"/>
      <c r="AR16" s="246"/>
      <c r="AS16" s="244">
        <v>2017</v>
      </c>
      <c r="AT16" s="245"/>
      <c r="AU16" s="245"/>
      <c r="AV16" s="245"/>
      <c r="AW16" s="245"/>
      <c r="AX16" s="245"/>
      <c r="AY16" s="245"/>
      <c r="AZ16" s="245"/>
      <c r="BA16" s="245"/>
      <c r="BB16" s="245"/>
      <c r="BC16" s="244">
        <v>2018</v>
      </c>
      <c r="BD16" s="245"/>
      <c r="BE16" s="245"/>
      <c r="BF16" s="245"/>
      <c r="BG16" s="245"/>
      <c r="BH16" s="245"/>
      <c r="BI16" s="245"/>
      <c r="BJ16" s="245"/>
      <c r="BK16" s="245"/>
      <c r="BL16" s="246"/>
      <c r="BM16" s="244">
        <v>2019</v>
      </c>
      <c r="BN16" s="245"/>
      <c r="BO16" s="245"/>
      <c r="BP16" s="245"/>
      <c r="BQ16" s="247" t="s">
        <v>1</v>
      </c>
      <c r="BR16" s="248"/>
      <c r="BS16" s="248"/>
      <c r="BT16" s="249"/>
      <c r="BU16" s="11"/>
      <c r="BV16" s="12" t="s">
        <v>2</v>
      </c>
      <c r="BW16" s="13"/>
    </row>
    <row r="17" spans="3:80" ht="12.75" customHeight="1" x14ac:dyDescent="0.25">
      <c r="C17" s="250" t="s">
        <v>3</v>
      </c>
      <c r="D17" s="252" t="s">
        <v>4</v>
      </c>
      <c r="E17" s="226" t="s">
        <v>5</v>
      </c>
      <c r="F17" s="216" t="s">
        <v>6</v>
      </c>
      <c r="G17" s="233" t="s">
        <v>7</v>
      </c>
      <c r="H17" s="233" t="s">
        <v>8</v>
      </c>
      <c r="I17" s="233" t="s">
        <v>9</v>
      </c>
      <c r="J17" s="233" t="s">
        <v>10</v>
      </c>
      <c r="K17" s="233" t="s">
        <v>11</v>
      </c>
      <c r="L17" s="233" t="s">
        <v>7</v>
      </c>
      <c r="M17" s="233" t="s">
        <v>12</v>
      </c>
      <c r="N17" s="238" t="s">
        <v>13</v>
      </c>
      <c r="O17" s="241" t="s">
        <v>14</v>
      </c>
      <c r="P17" s="233" t="s">
        <v>15</v>
      </c>
      <c r="Q17" s="233" t="s">
        <v>16</v>
      </c>
      <c r="R17" s="233" t="s">
        <v>17</v>
      </c>
      <c r="S17" s="233" t="s">
        <v>18</v>
      </c>
      <c r="T17" s="233" t="s">
        <v>19</v>
      </c>
      <c r="U17" s="233" t="s">
        <v>20</v>
      </c>
      <c r="V17" s="233" t="s">
        <v>16</v>
      </c>
      <c r="W17" s="216" t="s">
        <v>21</v>
      </c>
      <c r="X17" s="222" t="s">
        <v>22</v>
      </c>
      <c r="Y17" s="226" t="s">
        <v>23</v>
      </c>
      <c r="Z17" s="216" t="s">
        <v>24</v>
      </c>
      <c r="AA17" s="216" t="s">
        <v>25</v>
      </c>
      <c r="AB17" s="216" t="s">
        <v>26</v>
      </c>
      <c r="AC17" s="216" t="s">
        <v>27</v>
      </c>
      <c r="AD17" s="216" t="s">
        <v>28</v>
      </c>
      <c r="AE17" s="216" t="s">
        <v>29</v>
      </c>
      <c r="AF17" s="216" t="s">
        <v>25</v>
      </c>
      <c r="AG17" s="216" t="s">
        <v>30</v>
      </c>
      <c r="AH17" s="222" t="s">
        <v>31</v>
      </c>
      <c r="AI17" s="226" t="s">
        <v>32</v>
      </c>
      <c r="AJ17" s="216" t="s">
        <v>33</v>
      </c>
      <c r="AK17" s="216" t="s">
        <v>34</v>
      </c>
      <c r="AL17" s="216" t="s">
        <v>35</v>
      </c>
      <c r="AM17" s="216" t="s">
        <v>36</v>
      </c>
      <c r="AN17" s="216" t="s">
        <v>37</v>
      </c>
      <c r="AO17" s="216" t="s">
        <v>38</v>
      </c>
      <c r="AP17" s="216" t="s">
        <v>34</v>
      </c>
      <c r="AQ17" s="216" t="s">
        <v>39</v>
      </c>
      <c r="AR17" s="222" t="s">
        <v>40</v>
      </c>
      <c r="AS17" s="226" t="s">
        <v>41</v>
      </c>
      <c r="AT17" s="216" t="s">
        <v>42</v>
      </c>
      <c r="AU17" s="216" t="s">
        <v>43</v>
      </c>
      <c r="AV17" s="216" t="s">
        <v>44</v>
      </c>
      <c r="AW17" s="216" t="s">
        <v>45</v>
      </c>
      <c r="AX17" s="216" t="s">
        <v>46</v>
      </c>
      <c r="AY17" s="216" t="s">
        <v>47</v>
      </c>
      <c r="AZ17" s="216" t="s">
        <v>43</v>
      </c>
      <c r="BA17" s="216" t="s">
        <v>48</v>
      </c>
      <c r="BB17" s="216" t="s">
        <v>49</v>
      </c>
      <c r="BC17" s="226" t="s">
        <v>50</v>
      </c>
      <c r="BD17" s="216" t="s">
        <v>51</v>
      </c>
      <c r="BE17" s="216" t="s">
        <v>52</v>
      </c>
      <c r="BF17" s="216" t="s">
        <v>53</v>
      </c>
      <c r="BG17" s="216" t="s">
        <v>54</v>
      </c>
      <c r="BH17" s="216" t="s">
        <v>55</v>
      </c>
      <c r="BI17" s="216" t="s">
        <v>56</v>
      </c>
      <c r="BJ17" s="216" t="s">
        <v>52</v>
      </c>
      <c r="BK17" s="216" t="s">
        <v>57</v>
      </c>
      <c r="BL17" s="222" t="s">
        <v>58</v>
      </c>
      <c r="BM17" s="226" t="s">
        <v>59</v>
      </c>
      <c r="BN17" s="216" t="s">
        <v>60</v>
      </c>
      <c r="BO17" s="216" t="s">
        <v>61</v>
      </c>
      <c r="BP17" s="216" t="s">
        <v>62</v>
      </c>
      <c r="BQ17" s="226" t="s">
        <v>63</v>
      </c>
      <c r="BR17" s="216" t="s">
        <v>64</v>
      </c>
      <c r="BS17" s="216" t="s">
        <v>65</v>
      </c>
      <c r="BT17" s="216" t="s">
        <v>66</v>
      </c>
      <c r="BU17" s="219" t="s">
        <v>67</v>
      </c>
      <c r="BV17" s="222" t="s">
        <v>68</v>
      </c>
      <c r="BW17" s="222" t="s">
        <v>69</v>
      </c>
    </row>
    <row r="18" spans="3:80" ht="30.75" customHeight="1" x14ac:dyDescent="0.25">
      <c r="C18" s="251"/>
      <c r="D18" s="253"/>
      <c r="E18" s="231"/>
      <c r="F18" s="217"/>
      <c r="G18" s="236"/>
      <c r="H18" s="234"/>
      <c r="I18" s="236"/>
      <c r="J18" s="234"/>
      <c r="K18" s="236"/>
      <c r="L18" s="236"/>
      <c r="M18" s="234"/>
      <c r="N18" s="239"/>
      <c r="O18" s="242"/>
      <c r="P18" s="234"/>
      <c r="Q18" s="234"/>
      <c r="R18" s="234"/>
      <c r="S18" s="234"/>
      <c r="T18" s="234"/>
      <c r="U18" s="234"/>
      <c r="V18" s="234"/>
      <c r="W18" s="217"/>
      <c r="X18" s="223"/>
      <c r="Y18" s="231"/>
      <c r="Z18" s="217"/>
      <c r="AA18" s="229"/>
      <c r="AB18" s="229"/>
      <c r="AC18" s="229"/>
      <c r="AD18" s="217"/>
      <c r="AE18" s="229"/>
      <c r="AF18" s="229"/>
      <c r="AG18" s="229"/>
      <c r="AH18" s="223"/>
      <c r="AI18" s="231"/>
      <c r="AJ18" s="217"/>
      <c r="AK18" s="229"/>
      <c r="AL18" s="229"/>
      <c r="AM18" s="229"/>
      <c r="AN18" s="217"/>
      <c r="AO18" s="229"/>
      <c r="AP18" s="229"/>
      <c r="AQ18" s="229"/>
      <c r="AR18" s="223"/>
      <c r="AS18" s="231"/>
      <c r="AT18" s="217"/>
      <c r="AU18" s="229"/>
      <c r="AV18" s="229"/>
      <c r="AW18" s="229"/>
      <c r="AX18" s="217"/>
      <c r="AY18" s="229"/>
      <c r="AZ18" s="229"/>
      <c r="BA18" s="229"/>
      <c r="BB18" s="217"/>
      <c r="BC18" s="231"/>
      <c r="BD18" s="217"/>
      <c r="BE18" s="229"/>
      <c r="BF18" s="229"/>
      <c r="BG18" s="229"/>
      <c r="BH18" s="217"/>
      <c r="BI18" s="229"/>
      <c r="BJ18" s="229"/>
      <c r="BK18" s="229"/>
      <c r="BL18" s="223"/>
      <c r="BM18" s="227"/>
      <c r="BN18" s="229"/>
      <c r="BO18" s="229"/>
      <c r="BP18" s="229"/>
      <c r="BQ18" s="231"/>
      <c r="BR18" s="217"/>
      <c r="BS18" s="217"/>
      <c r="BT18" s="217"/>
      <c r="BU18" s="220"/>
      <c r="BV18" s="223"/>
      <c r="BW18" s="223"/>
    </row>
    <row r="19" spans="3:80" ht="38.25" customHeight="1" thickBot="1" x14ac:dyDescent="0.3">
      <c r="C19" s="251"/>
      <c r="D19" s="253"/>
      <c r="E19" s="232"/>
      <c r="F19" s="218"/>
      <c r="G19" s="237"/>
      <c r="H19" s="235"/>
      <c r="I19" s="237"/>
      <c r="J19" s="235"/>
      <c r="K19" s="237"/>
      <c r="L19" s="237"/>
      <c r="M19" s="235"/>
      <c r="N19" s="240"/>
      <c r="O19" s="243"/>
      <c r="P19" s="235"/>
      <c r="Q19" s="235"/>
      <c r="R19" s="235"/>
      <c r="S19" s="235"/>
      <c r="T19" s="235"/>
      <c r="U19" s="235"/>
      <c r="V19" s="235"/>
      <c r="W19" s="218"/>
      <c r="X19" s="225"/>
      <c r="Y19" s="232"/>
      <c r="Z19" s="218"/>
      <c r="AA19" s="230"/>
      <c r="AB19" s="230"/>
      <c r="AC19" s="230"/>
      <c r="AD19" s="218"/>
      <c r="AE19" s="230"/>
      <c r="AF19" s="230"/>
      <c r="AG19" s="230"/>
      <c r="AH19" s="225"/>
      <c r="AI19" s="232"/>
      <c r="AJ19" s="218"/>
      <c r="AK19" s="230"/>
      <c r="AL19" s="230"/>
      <c r="AM19" s="230"/>
      <c r="AN19" s="218"/>
      <c r="AO19" s="230"/>
      <c r="AP19" s="230"/>
      <c r="AQ19" s="230"/>
      <c r="AR19" s="225"/>
      <c r="AS19" s="232"/>
      <c r="AT19" s="218"/>
      <c r="AU19" s="230"/>
      <c r="AV19" s="230"/>
      <c r="AW19" s="230"/>
      <c r="AX19" s="218"/>
      <c r="AY19" s="230"/>
      <c r="AZ19" s="230"/>
      <c r="BA19" s="230"/>
      <c r="BB19" s="218"/>
      <c r="BC19" s="232"/>
      <c r="BD19" s="218"/>
      <c r="BE19" s="230"/>
      <c r="BF19" s="230"/>
      <c r="BG19" s="230"/>
      <c r="BH19" s="218"/>
      <c r="BI19" s="230"/>
      <c r="BJ19" s="230"/>
      <c r="BK19" s="230"/>
      <c r="BL19" s="225"/>
      <c r="BM19" s="228"/>
      <c r="BN19" s="230"/>
      <c r="BO19" s="230"/>
      <c r="BP19" s="230"/>
      <c r="BQ19" s="232"/>
      <c r="BR19" s="218"/>
      <c r="BS19" s="218"/>
      <c r="BT19" s="218" t="s">
        <v>70</v>
      </c>
      <c r="BU19" s="221"/>
      <c r="BV19" s="224"/>
      <c r="BW19" s="225"/>
    </row>
    <row r="20" spans="3:80" ht="23.5" thickBot="1" x14ac:dyDescent="0.4">
      <c r="C20" s="15" t="s">
        <v>71</v>
      </c>
      <c r="D20" s="16"/>
      <c r="E20" s="17"/>
      <c r="F20" s="18"/>
      <c r="G20" s="19"/>
      <c r="H20" s="19"/>
      <c r="I20" s="19"/>
      <c r="J20" s="19"/>
      <c r="K20" s="19"/>
      <c r="L20" s="19"/>
      <c r="M20" s="19"/>
      <c r="N20" s="20"/>
      <c r="O20" s="21"/>
      <c r="P20" s="22"/>
      <c r="Q20" s="19"/>
      <c r="R20" s="19"/>
      <c r="S20" s="19"/>
      <c r="T20" s="19"/>
      <c r="U20" s="19"/>
      <c r="V20" s="19"/>
      <c r="W20" s="23"/>
      <c r="X20" s="24"/>
      <c r="Y20" s="25"/>
      <c r="Z20" s="26"/>
      <c r="AA20" s="23"/>
      <c r="AB20" s="23"/>
      <c r="AC20" s="23"/>
      <c r="AD20" s="23"/>
      <c r="AE20" s="23"/>
      <c r="AF20" s="23"/>
      <c r="AG20" s="23"/>
      <c r="AH20" s="24"/>
      <c r="AI20" s="25"/>
      <c r="AJ20" s="18"/>
      <c r="AK20" s="23"/>
      <c r="AL20" s="23"/>
      <c r="AM20" s="23"/>
      <c r="AN20" s="23"/>
      <c r="AO20" s="23"/>
      <c r="AP20" s="23"/>
      <c r="AQ20" s="23"/>
      <c r="AR20" s="24"/>
      <c r="AS20" s="25"/>
      <c r="AT20" s="18"/>
      <c r="AU20" s="23"/>
      <c r="AV20" s="23"/>
      <c r="AW20" s="23"/>
      <c r="AX20" s="23"/>
      <c r="AY20" s="23"/>
      <c r="AZ20" s="23"/>
      <c r="BA20" s="23"/>
      <c r="BB20" s="27"/>
      <c r="BC20" s="25"/>
      <c r="BD20" s="18"/>
      <c r="BE20" s="23"/>
      <c r="BF20" s="23"/>
      <c r="BG20" s="23"/>
      <c r="BH20" s="23"/>
      <c r="BI20" s="23"/>
      <c r="BJ20" s="23"/>
      <c r="BK20" s="23"/>
      <c r="BL20" s="24"/>
      <c r="BM20" s="28"/>
      <c r="BN20" s="29"/>
      <c r="BO20" s="23"/>
      <c r="BP20" s="29"/>
      <c r="BQ20" s="30"/>
      <c r="BR20" s="31"/>
      <c r="BS20" s="31"/>
      <c r="BT20" s="31"/>
      <c r="BU20" s="32"/>
      <c r="BV20" s="33"/>
      <c r="BW20" s="34"/>
    </row>
    <row r="21" spans="3:80" thickBot="1" x14ac:dyDescent="0.35">
      <c r="C21" s="35" t="s">
        <v>72</v>
      </c>
      <c r="D21" s="36">
        <v>1550</v>
      </c>
      <c r="E21" s="37"/>
      <c r="F21" s="38"/>
      <c r="G21" s="38"/>
      <c r="H21" s="38"/>
      <c r="I21" s="39">
        <f>E21+F21-G21+H21</f>
        <v>0</v>
      </c>
      <c r="J21" s="38"/>
      <c r="K21" s="38"/>
      <c r="L21" s="38"/>
      <c r="M21" s="38"/>
      <c r="N21" s="39">
        <f>J21+K21-L21+M21</f>
        <v>0</v>
      </c>
      <c r="O21" s="40">
        <f>I21</f>
        <v>0</v>
      </c>
      <c r="P21" s="38"/>
      <c r="Q21" s="38"/>
      <c r="R21" s="38"/>
      <c r="S21" s="39">
        <f t="shared" ref="S21:S31" si="0">O21+P21-Q21+SUM(R21:R21)</f>
        <v>0</v>
      </c>
      <c r="T21" s="39">
        <f t="shared" ref="T21:T37" si="1">N21</f>
        <v>0</v>
      </c>
      <c r="U21" s="38"/>
      <c r="V21" s="38"/>
      <c r="W21" s="38"/>
      <c r="X21" s="41">
        <f>T21+U21-V21+W21</f>
        <v>0</v>
      </c>
      <c r="Y21" s="42">
        <f>S21</f>
        <v>0</v>
      </c>
      <c r="Z21" s="38"/>
      <c r="AA21" s="38"/>
      <c r="AB21" s="38"/>
      <c r="AC21" s="39">
        <f>Y21+Z21-AA21+SUM(AB21:AB21)</f>
        <v>0</v>
      </c>
      <c r="AD21" s="43">
        <f t="shared" ref="AD21:AD37" si="2">X21</f>
        <v>0</v>
      </c>
      <c r="AE21" s="38"/>
      <c r="AF21" s="38"/>
      <c r="AG21" s="38"/>
      <c r="AH21" s="41">
        <f>AD21+AE21-AF21+AG21</f>
        <v>0</v>
      </c>
      <c r="AI21" s="42">
        <f t="shared" ref="AI21:AI37" si="3">AC21</f>
        <v>0</v>
      </c>
      <c r="AJ21" s="38"/>
      <c r="AK21" s="38"/>
      <c r="AL21" s="44">
        <v>1160201.2299999997</v>
      </c>
      <c r="AM21" s="39">
        <f>AI21+AJ21-AK21+SUM(AL21:AL21)</f>
        <v>1160201.2299999997</v>
      </c>
      <c r="AN21" s="43">
        <f t="shared" ref="AN21:AN37" si="4">AH21</f>
        <v>0</v>
      </c>
      <c r="AO21" s="38"/>
      <c r="AP21" s="38"/>
      <c r="AQ21" s="44">
        <v>14949.110000000004</v>
      </c>
      <c r="AR21" s="41">
        <f>AN21+AO21-AP21+AQ21</f>
        <v>14949.110000000004</v>
      </c>
      <c r="AS21" s="42">
        <f>AM21</f>
        <v>1160201.2299999997</v>
      </c>
      <c r="AT21" s="45">
        <v>527668.00000000023</v>
      </c>
      <c r="AU21" s="46"/>
      <c r="AV21" s="46"/>
      <c r="AW21" s="39">
        <f>AS21+AT21-AU21+SUM(AV21:AV21)</f>
        <v>1687869.23</v>
      </c>
      <c r="AX21" s="43">
        <f t="shared" ref="AX21:AX37" si="5">AR21</f>
        <v>14949.110000000004</v>
      </c>
      <c r="AY21" s="47">
        <v>17043.209999999995</v>
      </c>
      <c r="AZ21" s="46"/>
      <c r="BA21" s="46"/>
      <c r="BB21" s="39">
        <f>AX21+AY21-AZ21+BA21</f>
        <v>31992.32</v>
      </c>
      <c r="BC21" s="42">
        <f t="shared" ref="BC21:BC37" si="6">AW21</f>
        <v>1687869.23</v>
      </c>
      <c r="BD21" s="45">
        <v>396702.76</v>
      </c>
      <c r="BE21" s="46">
        <v>1160201</v>
      </c>
      <c r="BF21" s="48"/>
      <c r="BG21" s="39">
        <f>BC21+BD21-BE21+SUM(BF21:BF21)</f>
        <v>924370.99</v>
      </c>
      <c r="BH21" s="43">
        <f t="shared" ref="BH21:BH37" si="7">BB21</f>
        <v>31992.32</v>
      </c>
      <c r="BI21" s="45">
        <v>19567.96</v>
      </c>
      <c r="BJ21" s="46">
        <v>34603</v>
      </c>
      <c r="BK21" s="48"/>
      <c r="BL21" s="41">
        <f>BH21+BI21-BJ21+BK21</f>
        <v>16957.28</v>
      </c>
      <c r="BM21" s="49">
        <v>527668</v>
      </c>
      <c r="BN21" s="49">
        <v>10992</v>
      </c>
      <c r="BO21" s="43">
        <f>BG21-BM21</f>
        <v>396702.99</v>
      </c>
      <c r="BP21" s="50">
        <f>BL21-BN21</f>
        <v>5965.2799999999988</v>
      </c>
      <c r="BQ21" s="51">
        <v>8912.2315561643845</v>
      </c>
      <c r="BR21" s="49">
        <v>2843.2192379178082</v>
      </c>
      <c r="BS21" s="52">
        <f>BP21+BQ21+BR21</f>
        <v>17720.730794082192</v>
      </c>
      <c r="BT21" s="53">
        <f>SUM(BO21:BR21)</f>
        <v>414423.72079408221</v>
      </c>
      <c r="BU21" s="39"/>
      <c r="BV21" s="54">
        <v>941328.27</v>
      </c>
      <c r="BW21" s="55">
        <f>ROUND(BV21-SUM(BG21,BL21),2)</f>
        <v>0</v>
      </c>
      <c r="BX21" s="3" t="str">
        <f>IF(ABS(BW21)&gt;1,"Please provide an explanation of the variance in the Manager's Summary","")</f>
        <v/>
      </c>
      <c r="BY21" s="4"/>
      <c r="BZ21" s="4"/>
      <c r="CA21" s="4"/>
      <c r="CB21" s="4"/>
    </row>
    <row r="22" spans="3:80" thickBot="1" x14ac:dyDescent="0.35">
      <c r="C22" s="35" t="s">
        <v>73</v>
      </c>
      <c r="D22" s="36">
        <v>1551</v>
      </c>
      <c r="E22" s="37"/>
      <c r="F22" s="38"/>
      <c r="G22" s="38"/>
      <c r="H22" s="38"/>
      <c r="I22" s="39">
        <f>E22+F22-G22+H22</f>
        <v>0</v>
      </c>
      <c r="J22" s="38"/>
      <c r="K22" s="38"/>
      <c r="L22" s="38"/>
      <c r="M22" s="38"/>
      <c r="N22" s="39">
        <f>J22+K22-L22+M22</f>
        <v>0</v>
      </c>
      <c r="O22" s="40">
        <f>I22</f>
        <v>0</v>
      </c>
      <c r="P22" s="38"/>
      <c r="Q22" s="38"/>
      <c r="R22" s="38"/>
      <c r="S22" s="39">
        <f t="shared" si="0"/>
        <v>0</v>
      </c>
      <c r="T22" s="39">
        <f t="shared" si="1"/>
        <v>0</v>
      </c>
      <c r="U22" s="38"/>
      <c r="V22" s="38"/>
      <c r="W22" s="38"/>
      <c r="X22" s="41">
        <f>T22+U22-V22+W22</f>
        <v>0</v>
      </c>
      <c r="Y22" s="42">
        <f t="shared" ref="Y22:Y37" si="8">S22</f>
        <v>0</v>
      </c>
      <c r="Z22" s="38"/>
      <c r="AA22" s="38"/>
      <c r="AB22" s="38"/>
      <c r="AC22" s="39">
        <f>Y22+Z22-AA22+SUM(AB22:AB22)</f>
        <v>0</v>
      </c>
      <c r="AD22" s="43">
        <f>X22</f>
        <v>0</v>
      </c>
      <c r="AE22" s="38"/>
      <c r="AF22" s="56"/>
      <c r="AG22" s="57"/>
      <c r="AH22" s="41">
        <f>AD22+AE22-AF22+AG22</f>
        <v>0</v>
      </c>
      <c r="AI22" s="42">
        <f t="shared" si="3"/>
        <v>0</v>
      </c>
      <c r="AJ22" s="38"/>
      <c r="AK22" s="38"/>
      <c r="AL22" s="58">
        <v>-17523.39</v>
      </c>
      <c r="AM22" s="39">
        <f t="shared" ref="AM22:AM37" si="9">AI22+AJ22-AK22+SUM(AL22:AL22)</f>
        <v>-17523.39</v>
      </c>
      <c r="AN22" s="43">
        <f t="shared" si="4"/>
        <v>0</v>
      </c>
      <c r="AO22" s="38"/>
      <c r="AP22" s="56"/>
      <c r="AQ22" s="58">
        <v>-298.73</v>
      </c>
      <c r="AR22" s="41">
        <f>AN22+AO22-AP22+AQ22</f>
        <v>-298.73</v>
      </c>
      <c r="AS22" s="42">
        <f t="shared" ref="AS22:AS37" si="10">AM22</f>
        <v>-17523.39</v>
      </c>
      <c r="AT22" s="45">
        <v>-6462.16</v>
      </c>
      <c r="AU22" s="46"/>
      <c r="AV22" s="46"/>
      <c r="AW22" s="39">
        <f t="shared" ref="AW22:AW37" si="11">AS22+AT22-AU22+SUM(AV22:AV22)</f>
        <v>-23985.55</v>
      </c>
      <c r="AX22" s="43">
        <f t="shared" si="5"/>
        <v>-298.73</v>
      </c>
      <c r="AY22" s="45">
        <v>-235.92999999999995</v>
      </c>
      <c r="AZ22" s="46"/>
      <c r="BA22" s="59"/>
      <c r="BB22" s="39">
        <f>AX22+AY22-AZ22+BA22</f>
        <v>-534.66</v>
      </c>
      <c r="BC22" s="42">
        <f t="shared" si="6"/>
        <v>-23985.55</v>
      </c>
      <c r="BD22" s="45">
        <v>-18684.350000000002</v>
      </c>
      <c r="BE22" s="46">
        <v>-17523</v>
      </c>
      <c r="BF22" s="48"/>
      <c r="BG22" s="39">
        <f t="shared" ref="BG22:BG37" si="12">BC22+BD22-BE22+SUM(BF22:BF22)</f>
        <v>-25146.9</v>
      </c>
      <c r="BH22" s="43">
        <f t="shared" si="7"/>
        <v>-534.66</v>
      </c>
      <c r="BI22" s="45">
        <v>-432.87</v>
      </c>
      <c r="BJ22" s="46">
        <v>-596</v>
      </c>
      <c r="BK22" s="60"/>
      <c r="BL22" s="41">
        <f>BH22+BI22-BJ22+BK22</f>
        <v>-371.53</v>
      </c>
      <c r="BM22" s="49">
        <v>-6462</v>
      </c>
      <c r="BN22" s="49">
        <v>-105</v>
      </c>
      <c r="BO22" s="43">
        <f t="shared" ref="BO22:BO37" si="13">BG22-BM22</f>
        <v>-18684.900000000001</v>
      </c>
      <c r="BP22" s="50">
        <f t="shared" ref="BP22:BP37" si="14">BL22-BN22</f>
        <v>-266.52999999999997</v>
      </c>
      <c r="BQ22" s="51">
        <v>-419.77035616438366</v>
      </c>
      <c r="BR22" s="49">
        <v>-133.91698191780822</v>
      </c>
      <c r="BS22" s="52">
        <f t="shared" ref="BS22:BS37" si="15">BP22+BQ22+BR22</f>
        <v>-820.21733808219187</v>
      </c>
      <c r="BT22" s="53">
        <f>SUM(BO22:BR22)</f>
        <v>-19505.117338082193</v>
      </c>
      <c r="BU22" s="39"/>
      <c r="BV22" s="54">
        <v>-25518.43</v>
      </c>
      <c r="BW22" s="55">
        <f t="shared" ref="BW22:BW36" si="16">ROUND(BV22-SUM(BG22,BL22),2)</f>
        <v>0</v>
      </c>
      <c r="BX22" s="3" t="str">
        <f t="shared" ref="BX22:BX43" si="17">IF(ABS(BW22)&gt;1,"Please provide an explanation of the variance in the Manager's Summary","")</f>
        <v/>
      </c>
      <c r="BY22" s="4"/>
      <c r="BZ22" s="4"/>
      <c r="CA22" s="4"/>
      <c r="CB22" s="4"/>
    </row>
    <row r="23" spans="3:80" ht="17" thickBot="1" x14ac:dyDescent="0.35">
      <c r="C23" s="61" t="s">
        <v>74</v>
      </c>
      <c r="D23" s="36">
        <v>1580</v>
      </c>
      <c r="E23" s="37"/>
      <c r="F23" s="38"/>
      <c r="G23" s="38"/>
      <c r="H23" s="38"/>
      <c r="I23" s="39">
        <f t="shared" ref="I23:I37" si="18">E23+F23-G23+H23</f>
        <v>0</v>
      </c>
      <c r="J23" s="38"/>
      <c r="K23" s="38"/>
      <c r="L23" s="38"/>
      <c r="M23" s="38"/>
      <c r="N23" s="39">
        <f t="shared" ref="N23:N37" si="19">J23+K23-L23+M23</f>
        <v>0</v>
      </c>
      <c r="O23" s="40">
        <f t="shared" ref="O23:O37" si="20">I23</f>
        <v>0</v>
      </c>
      <c r="P23" s="38"/>
      <c r="Q23" s="38"/>
      <c r="R23" s="38"/>
      <c r="S23" s="39">
        <f t="shared" si="0"/>
        <v>0</v>
      </c>
      <c r="T23" s="39">
        <f t="shared" si="1"/>
        <v>0</v>
      </c>
      <c r="U23" s="38"/>
      <c r="V23" s="38"/>
      <c r="W23" s="38"/>
      <c r="X23" s="41">
        <f t="shared" ref="X23:X37" si="21">T23+U23-V23+W23</f>
        <v>0</v>
      </c>
      <c r="Y23" s="42">
        <f t="shared" si="8"/>
        <v>0</v>
      </c>
      <c r="Z23" s="38"/>
      <c r="AA23" s="38"/>
      <c r="AB23" s="38"/>
      <c r="AC23" s="39">
        <f t="shared" ref="AC23:AC31" si="22">Y23+Z23-AA23+SUM(AB23:AB23)</f>
        <v>0</v>
      </c>
      <c r="AD23" s="43">
        <f t="shared" si="2"/>
        <v>0</v>
      </c>
      <c r="AE23" s="38"/>
      <c r="AF23" s="38"/>
      <c r="AG23" s="38"/>
      <c r="AH23" s="41">
        <f t="shared" ref="AH23:AH37" si="23">AD23+AE23-AF23+AG23</f>
        <v>0</v>
      </c>
      <c r="AI23" s="42">
        <f t="shared" si="3"/>
        <v>0</v>
      </c>
      <c r="AJ23" s="38"/>
      <c r="AK23" s="38"/>
      <c r="AL23" s="62">
        <v>-1455959.3499999999</v>
      </c>
      <c r="AM23" s="39">
        <f t="shared" si="9"/>
        <v>-1455959.3499999999</v>
      </c>
      <c r="AN23" s="43">
        <f t="shared" si="4"/>
        <v>0</v>
      </c>
      <c r="AO23" s="38"/>
      <c r="AP23" s="38"/>
      <c r="AQ23" s="62">
        <v>-24657.229999999996</v>
      </c>
      <c r="AR23" s="41">
        <f t="shared" ref="AR23:AR37" si="24">AN23+AO23-AP23+AQ23</f>
        <v>-24657.229999999996</v>
      </c>
      <c r="AS23" s="42">
        <f t="shared" si="10"/>
        <v>-1455959.3499999999</v>
      </c>
      <c r="AT23" s="45">
        <v>-310867.34000000008</v>
      </c>
      <c r="AU23" s="46"/>
      <c r="AV23" s="46"/>
      <c r="AW23" s="39">
        <f t="shared" si="11"/>
        <v>-1766826.69</v>
      </c>
      <c r="AX23" s="43">
        <f t="shared" si="5"/>
        <v>-24657.229999999996</v>
      </c>
      <c r="AY23" s="47">
        <v>-19222.050000000003</v>
      </c>
      <c r="AZ23" s="46"/>
      <c r="BA23" s="46"/>
      <c r="BB23" s="39">
        <f t="shared" ref="BB23:BB37" si="25">AX23+AY23-AZ23+BA23</f>
        <v>-43879.28</v>
      </c>
      <c r="BC23" s="42">
        <f t="shared" si="6"/>
        <v>-1766826.69</v>
      </c>
      <c r="BD23" s="45">
        <v>-4765.3100000000559</v>
      </c>
      <c r="BE23" s="46">
        <v>-1455959</v>
      </c>
      <c r="BF23" s="48"/>
      <c r="BG23" s="39">
        <f t="shared" si="12"/>
        <v>-315633</v>
      </c>
      <c r="BH23" s="43">
        <f t="shared" si="7"/>
        <v>-43879.28</v>
      </c>
      <c r="BI23" s="45">
        <v>-13124.020000000004</v>
      </c>
      <c r="BJ23" s="46">
        <v>-49321</v>
      </c>
      <c r="BK23" s="48"/>
      <c r="BL23" s="41">
        <f t="shared" ref="BL23:BL37" si="26">BH23+BI23-BJ23+BK23</f>
        <v>-7682.3000000000029</v>
      </c>
      <c r="BM23" s="49">
        <v>-312914</v>
      </c>
      <c r="BN23" s="49">
        <v>-2971</v>
      </c>
      <c r="BO23" s="43">
        <f t="shared" si="13"/>
        <v>-2719</v>
      </c>
      <c r="BP23" s="50">
        <f t="shared" si="14"/>
        <v>-4711.3000000000029</v>
      </c>
      <c r="BQ23" s="51">
        <v>-61.084383561643833</v>
      </c>
      <c r="BR23" s="49">
        <v>-19.487408219178082</v>
      </c>
      <c r="BS23" s="52">
        <f t="shared" si="15"/>
        <v>-4791.8717917808253</v>
      </c>
      <c r="BT23" s="53">
        <f>SUM(BO23:BR23)</f>
        <v>-7510.8717917808253</v>
      </c>
      <c r="BU23" s="39"/>
      <c r="BV23" s="54">
        <v>-328002.14</v>
      </c>
      <c r="BW23" s="55">
        <f t="shared" si="16"/>
        <v>-4686.84</v>
      </c>
      <c r="BX23" s="3" t="str">
        <f>IF(ABS(ROUND(BW23,0))=ABS(ROUND(BV25,0)),"","The variance does not match the value in cell BV25. Please provide an explanation of the variance in the Manager's Summary")</f>
        <v/>
      </c>
      <c r="BY23" s="4"/>
      <c r="BZ23" s="4"/>
      <c r="CA23" s="4"/>
      <c r="CB23" s="4"/>
    </row>
    <row r="24" spans="3:80" ht="17" thickBot="1" x14ac:dyDescent="0.35">
      <c r="C24" s="61" t="s">
        <v>75</v>
      </c>
      <c r="D24" s="36">
        <v>1580</v>
      </c>
      <c r="E24" s="37"/>
      <c r="F24" s="38"/>
      <c r="G24" s="38"/>
      <c r="H24" s="38"/>
      <c r="I24" s="39">
        <f t="shared" si="18"/>
        <v>0</v>
      </c>
      <c r="J24" s="38"/>
      <c r="K24" s="38"/>
      <c r="L24" s="38"/>
      <c r="M24" s="38"/>
      <c r="N24" s="39">
        <f t="shared" si="19"/>
        <v>0</v>
      </c>
      <c r="O24" s="40">
        <f t="shared" si="20"/>
        <v>0</v>
      </c>
      <c r="P24" s="38"/>
      <c r="Q24" s="38"/>
      <c r="R24" s="38"/>
      <c r="S24" s="39">
        <f t="shared" si="0"/>
        <v>0</v>
      </c>
      <c r="T24" s="39">
        <f t="shared" si="1"/>
        <v>0</v>
      </c>
      <c r="U24" s="38"/>
      <c r="V24" s="38"/>
      <c r="W24" s="38"/>
      <c r="X24" s="41">
        <f t="shared" si="21"/>
        <v>0</v>
      </c>
      <c r="Y24" s="42">
        <f t="shared" si="8"/>
        <v>0</v>
      </c>
      <c r="Z24" s="38"/>
      <c r="AA24" s="38"/>
      <c r="AB24" s="38"/>
      <c r="AC24" s="39">
        <f t="shared" si="22"/>
        <v>0</v>
      </c>
      <c r="AD24" s="43">
        <f t="shared" si="2"/>
        <v>0</v>
      </c>
      <c r="AE24" s="38"/>
      <c r="AF24" s="38"/>
      <c r="AG24" s="38"/>
      <c r="AH24" s="41">
        <f t="shared" si="23"/>
        <v>0</v>
      </c>
      <c r="AI24" s="42">
        <f t="shared" si="3"/>
        <v>0</v>
      </c>
      <c r="AJ24" s="38"/>
      <c r="AK24" s="38"/>
      <c r="AL24" s="46">
        <v>0</v>
      </c>
      <c r="AM24" s="39">
        <f t="shared" si="9"/>
        <v>0</v>
      </c>
      <c r="AN24" s="43">
        <f t="shared" si="4"/>
        <v>0</v>
      </c>
      <c r="AO24" s="38"/>
      <c r="AP24" s="38"/>
      <c r="AQ24" s="46">
        <v>0</v>
      </c>
      <c r="AR24" s="41">
        <f t="shared" si="24"/>
        <v>0</v>
      </c>
      <c r="AS24" s="42">
        <f t="shared" si="10"/>
        <v>0</v>
      </c>
      <c r="AT24" s="45">
        <v>0</v>
      </c>
      <c r="AU24" s="46"/>
      <c r="AV24" s="46"/>
      <c r="AW24" s="39">
        <f t="shared" si="11"/>
        <v>0</v>
      </c>
      <c r="AX24" s="43">
        <f t="shared" si="5"/>
        <v>0</v>
      </c>
      <c r="AY24" s="46">
        <v>0</v>
      </c>
      <c r="AZ24" s="46"/>
      <c r="BA24" s="46"/>
      <c r="BB24" s="39">
        <f t="shared" si="25"/>
        <v>0</v>
      </c>
      <c r="BC24" s="42">
        <f t="shared" si="6"/>
        <v>0</v>
      </c>
      <c r="BD24" s="46"/>
      <c r="BE24" s="46"/>
      <c r="BF24" s="48"/>
      <c r="BG24" s="39">
        <f>BC24+BD24-BE24+SUM(BF24:BF24)</f>
        <v>0</v>
      </c>
      <c r="BH24" s="43">
        <f t="shared" si="7"/>
        <v>0</v>
      </c>
      <c r="BI24" s="46"/>
      <c r="BJ24" s="46"/>
      <c r="BK24" s="48"/>
      <c r="BL24" s="41">
        <f t="shared" si="26"/>
        <v>0</v>
      </c>
      <c r="BM24" s="49"/>
      <c r="BN24" s="49"/>
      <c r="BO24" s="43">
        <f t="shared" si="13"/>
        <v>0</v>
      </c>
      <c r="BP24" s="50">
        <f t="shared" si="14"/>
        <v>0</v>
      </c>
      <c r="BQ24" s="63">
        <v>0</v>
      </c>
      <c r="BR24" s="49">
        <v>0</v>
      </c>
      <c r="BS24" s="52">
        <f t="shared" si="15"/>
        <v>0</v>
      </c>
      <c r="BT24" s="53">
        <f>IF(CB5=TRUE, 0, 0)</f>
        <v>0</v>
      </c>
      <c r="BU24" s="39"/>
      <c r="BV24" s="54">
        <v>0</v>
      </c>
      <c r="BW24" s="55">
        <f t="shared" si="16"/>
        <v>0</v>
      </c>
      <c r="BX24" s="3" t="str">
        <f t="shared" si="17"/>
        <v/>
      </c>
      <c r="BY24" s="4"/>
      <c r="BZ24" s="4"/>
      <c r="CA24" s="4"/>
      <c r="CB24" s="4"/>
    </row>
    <row r="25" spans="3:80" ht="17" thickBot="1" x14ac:dyDescent="0.35">
      <c r="C25" s="61" t="s">
        <v>76</v>
      </c>
      <c r="D25" s="36">
        <v>1580</v>
      </c>
      <c r="E25" s="37"/>
      <c r="F25" s="38"/>
      <c r="G25" s="38"/>
      <c r="H25" s="38"/>
      <c r="I25" s="39">
        <f t="shared" si="18"/>
        <v>0</v>
      </c>
      <c r="J25" s="38"/>
      <c r="K25" s="38"/>
      <c r="L25" s="38"/>
      <c r="M25" s="38"/>
      <c r="N25" s="39">
        <f t="shared" si="19"/>
        <v>0</v>
      </c>
      <c r="O25" s="40">
        <f t="shared" si="20"/>
        <v>0</v>
      </c>
      <c r="P25" s="38"/>
      <c r="Q25" s="38"/>
      <c r="R25" s="38"/>
      <c r="S25" s="39">
        <f t="shared" si="0"/>
        <v>0</v>
      </c>
      <c r="T25" s="39">
        <f t="shared" si="1"/>
        <v>0</v>
      </c>
      <c r="U25" s="38"/>
      <c r="V25" s="38"/>
      <c r="W25" s="38"/>
      <c r="X25" s="41">
        <f t="shared" si="21"/>
        <v>0</v>
      </c>
      <c r="Y25" s="42">
        <f t="shared" si="8"/>
        <v>0</v>
      </c>
      <c r="Z25" s="38"/>
      <c r="AA25" s="38"/>
      <c r="AB25" s="38"/>
      <c r="AC25" s="39">
        <f t="shared" si="22"/>
        <v>0</v>
      </c>
      <c r="AD25" s="43">
        <f t="shared" si="2"/>
        <v>0</v>
      </c>
      <c r="AE25" s="38"/>
      <c r="AF25" s="38"/>
      <c r="AG25" s="38"/>
      <c r="AH25" s="41">
        <f t="shared" si="23"/>
        <v>0</v>
      </c>
      <c r="AI25" s="42">
        <f t="shared" si="3"/>
        <v>0</v>
      </c>
      <c r="AJ25" s="38"/>
      <c r="AK25" s="38"/>
      <c r="AL25" s="46">
        <v>67204.47</v>
      </c>
      <c r="AM25" s="39">
        <f t="shared" si="9"/>
        <v>67204.47</v>
      </c>
      <c r="AN25" s="43">
        <f t="shared" si="4"/>
        <v>0</v>
      </c>
      <c r="AO25" s="38"/>
      <c r="AP25" s="38"/>
      <c r="AQ25" s="46">
        <v>1001.65</v>
      </c>
      <c r="AR25" s="41">
        <f t="shared" si="24"/>
        <v>1001.65</v>
      </c>
      <c r="AS25" s="42">
        <f t="shared" si="10"/>
        <v>67204.47</v>
      </c>
      <c r="AT25" s="45">
        <v>-2045.9000000000015</v>
      </c>
      <c r="AU25" s="46"/>
      <c r="AV25" s="46"/>
      <c r="AW25" s="39">
        <f t="shared" si="11"/>
        <v>65158.57</v>
      </c>
      <c r="AX25" s="43">
        <f t="shared" si="5"/>
        <v>1001.65</v>
      </c>
      <c r="AY25" s="46">
        <v>791.93</v>
      </c>
      <c r="AZ25" s="46"/>
      <c r="BA25" s="46"/>
      <c r="BB25" s="39">
        <f t="shared" si="25"/>
        <v>1793.58</v>
      </c>
      <c r="BC25" s="42">
        <f t="shared" si="6"/>
        <v>65158.57</v>
      </c>
      <c r="BD25" s="45">
        <v>-2528.3099999999977</v>
      </c>
      <c r="BE25" s="46">
        <v>67204</v>
      </c>
      <c r="BF25" s="48"/>
      <c r="BG25" s="39">
        <f t="shared" si="12"/>
        <v>-4573.739999999998</v>
      </c>
      <c r="BH25" s="43">
        <f t="shared" si="7"/>
        <v>1793.58</v>
      </c>
      <c r="BI25" s="45">
        <v>233.32000000000016</v>
      </c>
      <c r="BJ25" s="46">
        <v>2140</v>
      </c>
      <c r="BK25" s="48"/>
      <c r="BL25" s="41">
        <f t="shared" si="26"/>
        <v>-113.09999999999991</v>
      </c>
      <c r="BM25" s="49"/>
      <c r="BN25" s="49"/>
      <c r="BO25" s="43">
        <f t="shared" si="13"/>
        <v>-4573.739999999998</v>
      </c>
      <c r="BP25" s="50">
        <f t="shared" si="14"/>
        <v>-113.09999999999991</v>
      </c>
      <c r="BQ25" s="51">
        <v>-102.75251506849312</v>
      </c>
      <c r="BR25" s="49">
        <v>-32.780558465753408</v>
      </c>
      <c r="BS25" s="52">
        <f t="shared" si="15"/>
        <v>-248.63307353424645</v>
      </c>
      <c r="BT25" s="53">
        <f>SUM(BO25:BR25)</f>
        <v>-4822.3730735342451</v>
      </c>
      <c r="BU25" s="39"/>
      <c r="BV25" s="54">
        <v>-4686.84</v>
      </c>
      <c r="BW25" s="55">
        <f t="shared" si="16"/>
        <v>0</v>
      </c>
      <c r="BX25" s="3" t="str">
        <f t="shared" si="17"/>
        <v/>
      </c>
      <c r="BY25" s="4"/>
      <c r="BZ25" s="4"/>
      <c r="CA25" s="4"/>
      <c r="CB25" s="4"/>
    </row>
    <row r="26" spans="3:80" thickBot="1" x14ac:dyDescent="0.35">
      <c r="C26" s="61" t="s">
        <v>77</v>
      </c>
      <c r="D26" s="36">
        <v>1584</v>
      </c>
      <c r="E26" s="37"/>
      <c r="F26" s="38"/>
      <c r="G26" s="38"/>
      <c r="H26" s="38"/>
      <c r="I26" s="39">
        <f t="shared" si="18"/>
        <v>0</v>
      </c>
      <c r="J26" s="38"/>
      <c r="K26" s="38"/>
      <c r="L26" s="38"/>
      <c r="M26" s="38"/>
      <c r="N26" s="39">
        <f t="shared" si="19"/>
        <v>0</v>
      </c>
      <c r="O26" s="40">
        <f t="shared" si="20"/>
        <v>0</v>
      </c>
      <c r="P26" s="38"/>
      <c r="Q26" s="38"/>
      <c r="R26" s="38"/>
      <c r="S26" s="39">
        <f t="shared" si="0"/>
        <v>0</v>
      </c>
      <c r="T26" s="39">
        <f t="shared" si="1"/>
        <v>0</v>
      </c>
      <c r="U26" s="38"/>
      <c r="V26" s="38"/>
      <c r="W26" s="38"/>
      <c r="X26" s="41">
        <f t="shared" si="21"/>
        <v>0</v>
      </c>
      <c r="Y26" s="42">
        <f t="shared" si="8"/>
        <v>0</v>
      </c>
      <c r="Z26" s="38"/>
      <c r="AA26" s="38"/>
      <c r="AB26" s="38"/>
      <c r="AC26" s="39">
        <f t="shared" si="22"/>
        <v>0</v>
      </c>
      <c r="AD26" s="43">
        <f t="shared" si="2"/>
        <v>0</v>
      </c>
      <c r="AE26" s="38"/>
      <c r="AF26" s="38"/>
      <c r="AG26" s="38"/>
      <c r="AH26" s="41">
        <f t="shared" si="23"/>
        <v>0</v>
      </c>
      <c r="AI26" s="42">
        <f t="shared" si="3"/>
        <v>0</v>
      </c>
      <c r="AJ26" s="38"/>
      <c r="AK26" s="38"/>
      <c r="AL26" s="64">
        <v>64933.920000000013</v>
      </c>
      <c r="AM26" s="39">
        <f t="shared" si="9"/>
        <v>64933.920000000013</v>
      </c>
      <c r="AN26" s="43">
        <f t="shared" si="4"/>
        <v>0</v>
      </c>
      <c r="AO26" s="38"/>
      <c r="AP26" s="38"/>
      <c r="AQ26" s="64">
        <v>-1228.2370000000071</v>
      </c>
      <c r="AR26" s="41">
        <f t="shared" si="24"/>
        <v>-1228.2370000000071</v>
      </c>
      <c r="AS26" s="42">
        <f t="shared" si="10"/>
        <v>64933.920000000013</v>
      </c>
      <c r="AT26" s="45">
        <v>4080.2799999999843</v>
      </c>
      <c r="AU26" s="46"/>
      <c r="AV26" s="46"/>
      <c r="AW26" s="39">
        <f t="shared" si="11"/>
        <v>69014.2</v>
      </c>
      <c r="AX26" s="43">
        <f t="shared" si="5"/>
        <v>-1228.2370000000071</v>
      </c>
      <c r="AY26" s="65">
        <v>713.42700000000718</v>
      </c>
      <c r="AZ26" s="46"/>
      <c r="BA26" s="46"/>
      <c r="BB26" s="39">
        <f t="shared" si="25"/>
        <v>-514.80999999999995</v>
      </c>
      <c r="BC26" s="42">
        <f t="shared" si="6"/>
        <v>69014.2</v>
      </c>
      <c r="BD26" s="45">
        <v>51980.47</v>
      </c>
      <c r="BE26" s="46">
        <v>64934</v>
      </c>
      <c r="BF26" s="48"/>
      <c r="BG26" s="39">
        <f t="shared" si="12"/>
        <v>56060.67</v>
      </c>
      <c r="BH26" s="43">
        <f t="shared" si="7"/>
        <v>-514.80999999999995</v>
      </c>
      <c r="BI26" s="45">
        <v>931.73999999999978</v>
      </c>
      <c r="BJ26" s="46">
        <v>-128</v>
      </c>
      <c r="BK26" s="48"/>
      <c r="BL26" s="41">
        <f t="shared" si="26"/>
        <v>544.92999999999984</v>
      </c>
      <c r="BM26" s="49">
        <v>4080</v>
      </c>
      <c r="BN26" s="49">
        <v>-281</v>
      </c>
      <c r="BO26" s="43">
        <f t="shared" si="13"/>
        <v>51980.67</v>
      </c>
      <c r="BP26" s="50">
        <f t="shared" si="14"/>
        <v>825.92999999999984</v>
      </c>
      <c r="BQ26" s="51">
        <v>1167.7849150684929</v>
      </c>
      <c r="BR26" s="49">
        <v>372.55187046575338</v>
      </c>
      <c r="BS26" s="52">
        <f t="shared" si="15"/>
        <v>2366.2667855342461</v>
      </c>
      <c r="BT26" s="53">
        <f>SUM(BO26:BR26)</f>
        <v>54346.936785534243</v>
      </c>
      <c r="BU26" s="39"/>
      <c r="BV26" s="54">
        <v>56605.599999999999</v>
      </c>
      <c r="BW26" s="55">
        <f t="shared" si="16"/>
        <v>0</v>
      </c>
      <c r="BX26" s="3" t="str">
        <f t="shared" si="17"/>
        <v/>
      </c>
      <c r="BY26" s="4"/>
      <c r="BZ26" s="4"/>
      <c r="CA26" s="4"/>
      <c r="CB26" s="4"/>
    </row>
    <row r="27" spans="3:80" thickBot="1" x14ac:dyDescent="0.35">
      <c r="C27" s="66" t="s">
        <v>78</v>
      </c>
      <c r="D27" s="36">
        <v>1586</v>
      </c>
      <c r="E27" s="37"/>
      <c r="F27" s="38"/>
      <c r="G27" s="38"/>
      <c r="H27" s="38"/>
      <c r="I27" s="39">
        <f t="shared" si="18"/>
        <v>0</v>
      </c>
      <c r="J27" s="38"/>
      <c r="K27" s="38"/>
      <c r="L27" s="38"/>
      <c r="M27" s="38"/>
      <c r="N27" s="39">
        <f t="shared" si="19"/>
        <v>0</v>
      </c>
      <c r="O27" s="42">
        <f t="shared" si="20"/>
        <v>0</v>
      </c>
      <c r="P27" s="38"/>
      <c r="Q27" s="38"/>
      <c r="R27" s="38"/>
      <c r="S27" s="39">
        <f t="shared" si="0"/>
        <v>0</v>
      </c>
      <c r="T27" s="39">
        <f t="shared" si="1"/>
        <v>0</v>
      </c>
      <c r="U27" s="38"/>
      <c r="V27" s="38"/>
      <c r="W27" s="38"/>
      <c r="X27" s="41">
        <f t="shared" si="21"/>
        <v>0</v>
      </c>
      <c r="Y27" s="42">
        <f t="shared" si="8"/>
        <v>0</v>
      </c>
      <c r="Z27" s="38"/>
      <c r="AA27" s="38"/>
      <c r="AB27" s="38"/>
      <c r="AC27" s="39">
        <f t="shared" si="22"/>
        <v>0</v>
      </c>
      <c r="AD27" s="43">
        <f t="shared" si="2"/>
        <v>0</v>
      </c>
      <c r="AE27" s="38"/>
      <c r="AF27" s="38"/>
      <c r="AG27" s="38"/>
      <c r="AH27" s="41">
        <f t="shared" si="23"/>
        <v>0</v>
      </c>
      <c r="AI27" s="42">
        <f t="shared" si="3"/>
        <v>0</v>
      </c>
      <c r="AJ27" s="38"/>
      <c r="AK27" s="38"/>
      <c r="AL27" s="64">
        <v>159277.21999999988</v>
      </c>
      <c r="AM27" s="39">
        <f t="shared" si="9"/>
        <v>159277.21999999988</v>
      </c>
      <c r="AN27" s="43">
        <f t="shared" si="4"/>
        <v>0</v>
      </c>
      <c r="AO27" s="38"/>
      <c r="AP27" s="38"/>
      <c r="AQ27" s="64">
        <v>985.67000000000917</v>
      </c>
      <c r="AR27" s="41">
        <f t="shared" si="24"/>
        <v>985.67000000000917</v>
      </c>
      <c r="AS27" s="42">
        <f t="shared" si="10"/>
        <v>159277.21999999988</v>
      </c>
      <c r="AT27" s="45">
        <v>3407.3000000001048</v>
      </c>
      <c r="AU27" s="46"/>
      <c r="AV27" s="46"/>
      <c r="AW27" s="39">
        <f t="shared" si="11"/>
        <v>162684.51999999999</v>
      </c>
      <c r="AX27" s="43">
        <f t="shared" si="5"/>
        <v>985.67000000000917</v>
      </c>
      <c r="AY27" s="45">
        <v>1937.399999999991</v>
      </c>
      <c r="AZ27" s="46"/>
      <c r="BA27" s="46"/>
      <c r="BB27" s="39">
        <f t="shared" si="25"/>
        <v>2923.07</v>
      </c>
      <c r="BC27" s="42">
        <f t="shared" si="6"/>
        <v>162684.51999999999</v>
      </c>
      <c r="BD27" s="45">
        <v>16742.620000000024</v>
      </c>
      <c r="BE27" s="46">
        <v>159277</v>
      </c>
      <c r="BF27" s="48"/>
      <c r="BG27" s="39">
        <f t="shared" si="12"/>
        <v>20150.140000000014</v>
      </c>
      <c r="BH27" s="43">
        <f t="shared" si="7"/>
        <v>2923.07</v>
      </c>
      <c r="BI27" s="45">
        <v>1071.73</v>
      </c>
      <c r="BJ27" s="46">
        <v>3684</v>
      </c>
      <c r="BK27" s="48"/>
      <c r="BL27" s="41">
        <f t="shared" si="26"/>
        <v>310.80000000000018</v>
      </c>
      <c r="BM27" s="49">
        <v>3407</v>
      </c>
      <c r="BN27" s="49">
        <v>-673</v>
      </c>
      <c r="BO27" s="43">
        <f t="shared" si="13"/>
        <v>16743.140000000014</v>
      </c>
      <c r="BP27" s="50">
        <f t="shared" si="14"/>
        <v>983.80000000000018</v>
      </c>
      <c r="BQ27" s="51">
        <v>376.14725479452079</v>
      </c>
      <c r="BR27" s="49">
        <v>120.00014860273981</v>
      </c>
      <c r="BS27" s="52">
        <f t="shared" si="15"/>
        <v>1479.9474033972608</v>
      </c>
      <c r="BT27" s="53">
        <f>SUM(BO27:BR27)</f>
        <v>18223.087403397272</v>
      </c>
      <c r="BU27" s="39"/>
      <c r="BV27" s="54">
        <v>20460.939999999999</v>
      </c>
      <c r="BW27" s="55">
        <f t="shared" si="16"/>
        <v>0</v>
      </c>
      <c r="BX27" s="3" t="str">
        <f t="shared" si="17"/>
        <v/>
      </c>
      <c r="BY27" s="4"/>
      <c r="BZ27" s="4"/>
      <c r="CA27" s="4"/>
      <c r="CB27" s="4"/>
    </row>
    <row r="28" spans="3:80" ht="17" thickBot="1" x14ac:dyDescent="0.35">
      <c r="C28" s="67" t="s">
        <v>79</v>
      </c>
      <c r="D28" s="36">
        <v>1588</v>
      </c>
      <c r="E28" s="37"/>
      <c r="F28" s="38"/>
      <c r="G28" s="38"/>
      <c r="H28" s="38"/>
      <c r="I28" s="39">
        <f t="shared" si="18"/>
        <v>0</v>
      </c>
      <c r="J28" s="38"/>
      <c r="K28" s="38"/>
      <c r="L28" s="38"/>
      <c r="M28" s="38"/>
      <c r="N28" s="39">
        <f t="shared" si="19"/>
        <v>0</v>
      </c>
      <c r="O28" s="42">
        <f t="shared" si="20"/>
        <v>0</v>
      </c>
      <c r="P28" s="38"/>
      <c r="Q28" s="38"/>
      <c r="R28" s="38"/>
      <c r="S28" s="39">
        <f t="shared" si="0"/>
        <v>0</v>
      </c>
      <c r="T28" s="39">
        <f t="shared" si="1"/>
        <v>0</v>
      </c>
      <c r="U28" s="38"/>
      <c r="V28" s="38"/>
      <c r="W28" s="38"/>
      <c r="X28" s="41">
        <f t="shared" si="21"/>
        <v>0</v>
      </c>
      <c r="Y28" s="42">
        <f t="shared" si="8"/>
        <v>0</v>
      </c>
      <c r="Z28" s="38"/>
      <c r="AA28" s="38"/>
      <c r="AB28" s="38"/>
      <c r="AC28" s="39">
        <f t="shared" si="22"/>
        <v>0</v>
      </c>
      <c r="AD28" s="43">
        <f t="shared" si="2"/>
        <v>0</v>
      </c>
      <c r="AE28" s="38"/>
      <c r="AF28" s="38"/>
      <c r="AG28" s="38"/>
      <c r="AH28" s="41">
        <f t="shared" si="23"/>
        <v>0</v>
      </c>
      <c r="AI28" s="42">
        <f t="shared" si="3"/>
        <v>0</v>
      </c>
      <c r="AJ28" s="38"/>
      <c r="AK28" s="38"/>
      <c r="AL28" s="64">
        <v>1003648.0499999998</v>
      </c>
      <c r="AM28" s="39">
        <f t="shared" si="9"/>
        <v>1003648.0499999998</v>
      </c>
      <c r="AN28" s="43">
        <f t="shared" si="4"/>
        <v>0</v>
      </c>
      <c r="AO28" s="38"/>
      <c r="AP28" s="38"/>
      <c r="AQ28" s="64">
        <v>-71826.25999999998</v>
      </c>
      <c r="AR28" s="41">
        <f t="shared" si="24"/>
        <v>-71826.25999999998</v>
      </c>
      <c r="AS28" s="42">
        <f t="shared" si="10"/>
        <v>1003648.0499999998</v>
      </c>
      <c r="AT28" s="45">
        <v>-475562.59999999986</v>
      </c>
      <c r="AU28" s="46"/>
      <c r="AV28" s="46">
        <v>324072.39334765717</v>
      </c>
      <c r="AW28" s="39">
        <f t="shared" si="11"/>
        <v>852157.84334765712</v>
      </c>
      <c r="AX28" s="43">
        <f t="shared" si="5"/>
        <v>-71826.25999999998</v>
      </c>
      <c r="AY28" s="45">
        <v>11038.809999999983</v>
      </c>
      <c r="AZ28" s="46"/>
      <c r="BA28" s="46"/>
      <c r="BB28" s="39">
        <f t="shared" si="25"/>
        <v>-60787.45</v>
      </c>
      <c r="BC28" s="42">
        <f t="shared" si="6"/>
        <v>852157.84334765712</v>
      </c>
      <c r="BD28" s="45">
        <f>'1588 Reconciliation'!B12+'1588 Reconciliation'!B13+'1588 Reconciliation'!B14+'1588 Reconciliation'!B15</f>
        <v>-35629.900000000023</v>
      </c>
      <c r="BE28" s="46">
        <v>1003648</v>
      </c>
      <c r="BF28" s="48">
        <f>'1588 Reconciliation'!B25</f>
        <v>116480.40248889953</v>
      </c>
      <c r="BG28" s="39">
        <f t="shared" si="12"/>
        <v>-70639.654163443367</v>
      </c>
      <c r="BH28" s="43">
        <f t="shared" si="7"/>
        <v>-60787.45</v>
      </c>
      <c r="BI28" s="45">
        <v>-6376.1200000000026</v>
      </c>
      <c r="BJ28" s="46">
        <v>-54825</v>
      </c>
      <c r="BK28" s="48"/>
      <c r="BL28" s="41">
        <f t="shared" si="26"/>
        <v>-12338.570000000007</v>
      </c>
      <c r="BM28" s="49">
        <v>-151490</v>
      </c>
      <c r="BN28" s="49">
        <v>-9868</v>
      </c>
      <c r="BO28" s="43">
        <f t="shared" si="13"/>
        <v>80850.345836556633</v>
      </c>
      <c r="BP28" s="50">
        <f t="shared" si="14"/>
        <v>-2470.570000000007</v>
      </c>
      <c r="BQ28" s="51">
        <v>1816.3587667390836</v>
      </c>
      <c r="BR28" s="49">
        <v>579.46274802310268</v>
      </c>
      <c r="BS28" s="52">
        <f t="shared" si="15"/>
        <v>-74.74848523782066</v>
      </c>
      <c r="BT28" s="53">
        <f>IF(BU28="Yes", SUM(BO28:BR28), 0)</f>
        <v>80775.597351318807</v>
      </c>
      <c r="BU28" s="68" t="s">
        <v>80</v>
      </c>
      <c r="BV28" s="54">
        <v>-523531.02</v>
      </c>
      <c r="BW28" s="55">
        <f t="shared" si="16"/>
        <v>-440552.8</v>
      </c>
      <c r="BX28" s="3" t="str">
        <f t="shared" si="17"/>
        <v>Please provide an explanation of the variance in the Manager's Summary</v>
      </c>
      <c r="BY28" s="4"/>
      <c r="BZ28" s="4"/>
      <c r="CA28" s="4"/>
      <c r="CB28" s="4"/>
    </row>
    <row r="29" spans="3:80" ht="17" thickBot="1" x14ac:dyDescent="0.35">
      <c r="C29" s="67" t="s">
        <v>81</v>
      </c>
      <c r="D29" s="36">
        <v>1589</v>
      </c>
      <c r="E29" s="37"/>
      <c r="F29" s="38"/>
      <c r="G29" s="38"/>
      <c r="H29" s="38"/>
      <c r="I29" s="39">
        <f t="shared" si="18"/>
        <v>0</v>
      </c>
      <c r="J29" s="38"/>
      <c r="K29" s="38"/>
      <c r="L29" s="38"/>
      <c r="M29" s="38"/>
      <c r="N29" s="39">
        <f t="shared" si="19"/>
        <v>0</v>
      </c>
      <c r="O29" s="42">
        <f t="shared" si="20"/>
        <v>0</v>
      </c>
      <c r="P29" s="38"/>
      <c r="Q29" s="38"/>
      <c r="R29" s="38"/>
      <c r="S29" s="39">
        <f t="shared" si="0"/>
        <v>0</v>
      </c>
      <c r="T29" s="39">
        <f t="shared" si="1"/>
        <v>0</v>
      </c>
      <c r="U29" s="38"/>
      <c r="V29" s="38"/>
      <c r="W29" s="38"/>
      <c r="X29" s="41">
        <f t="shared" si="21"/>
        <v>0</v>
      </c>
      <c r="Y29" s="42">
        <f t="shared" si="8"/>
        <v>0</v>
      </c>
      <c r="Z29" s="38"/>
      <c r="AA29" s="38"/>
      <c r="AB29" s="38"/>
      <c r="AC29" s="39">
        <f t="shared" si="22"/>
        <v>0</v>
      </c>
      <c r="AD29" s="43">
        <f t="shared" si="2"/>
        <v>0</v>
      </c>
      <c r="AE29" s="38"/>
      <c r="AF29" s="38"/>
      <c r="AG29" s="38"/>
      <c r="AH29" s="41">
        <f t="shared" si="23"/>
        <v>0</v>
      </c>
      <c r="AI29" s="42">
        <f t="shared" si="3"/>
        <v>0</v>
      </c>
      <c r="AJ29" s="38"/>
      <c r="AK29" s="38"/>
      <c r="AL29" s="64">
        <v>375566.32000000123</v>
      </c>
      <c r="AM29" s="39">
        <f t="shared" si="9"/>
        <v>375566.32000000123</v>
      </c>
      <c r="AN29" s="43">
        <f t="shared" si="4"/>
        <v>0</v>
      </c>
      <c r="AO29" s="38"/>
      <c r="AP29" s="38"/>
      <c r="AQ29" s="64">
        <v>64416.149999999987</v>
      </c>
      <c r="AR29" s="41">
        <f t="shared" si="24"/>
        <v>64416.149999999987</v>
      </c>
      <c r="AS29" s="42">
        <f t="shared" si="10"/>
        <v>375566.32000000123</v>
      </c>
      <c r="AT29" s="45">
        <v>575610.65999999875</v>
      </c>
      <c r="AU29" s="46"/>
      <c r="AV29" s="46">
        <v>-224500.77334765717</v>
      </c>
      <c r="AW29" s="39">
        <f t="shared" si="11"/>
        <v>726676.20665234281</v>
      </c>
      <c r="AX29" s="43">
        <f t="shared" si="5"/>
        <v>64416.149999999987</v>
      </c>
      <c r="AY29" s="45">
        <v>8494.9700000000084</v>
      </c>
      <c r="AZ29" s="46"/>
      <c r="BA29" s="46"/>
      <c r="BB29" s="39">
        <f t="shared" si="25"/>
        <v>72911.12</v>
      </c>
      <c r="BC29" s="42">
        <f t="shared" si="6"/>
        <v>726676.20665234281</v>
      </c>
      <c r="BD29" s="45">
        <f>'1589 Reconciliation'!B11+'1589 Reconciliation'!B12+'1589 Reconciliation'!B13</f>
        <v>71696.920000000071</v>
      </c>
      <c r="BE29" s="46">
        <v>375566</v>
      </c>
      <c r="BF29" s="48">
        <v>-159960</v>
      </c>
      <c r="BG29" s="39">
        <f t="shared" si="12"/>
        <v>262847.12665234285</v>
      </c>
      <c r="BH29" s="43">
        <f t="shared" si="7"/>
        <v>72911.12</v>
      </c>
      <c r="BI29" s="45">
        <v>17907.350000000006</v>
      </c>
      <c r="BJ29" s="46">
        <v>70778</v>
      </c>
      <c r="BK29" s="48"/>
      <c r="BL29" s="41">
        <f t="shared" si="26"/>
        <v>20040.47</v>
      </c>
      <c r="BM29" s="49">
        <v>351110</v>
      </c>
      <c r="BN29" s="49">
        <v>11184</v>
      </c>
      <c r="BO29" s="43">
        <f t="shared" si="13"/>
        <v>-88262.873347657151</v>
      </c>
      <c r="BP29" s="50">
        <f t="shared" si="14"/>
        <v>8856.4700000000012</v>
      </c>
      <c r="BQ29" s="51">
        <v>-1983.5641245227093</v>
      </c>
      <c r="BR29" s="49">
        <v>-632.80533533553762</v>
      </c>
      <c r="BS29" s="52">
        <f t="shared" si="15"/>
        <v>6240.1005401417551</v>
      </c>
      <c r="BT29" s="53">
        <f>IF(BU29="Yes", SUM(BO29:BR29), 0)</f>
        <v>-82022.772807515401</v>
      </c>
      <c r="BU29" s="68" t="s">
        <v>80</v>
      </c>
      <c r="BV29" s="54">
        <v>667348.37</v>
      </c>
      <c r="BW29" s="55">
        <f t="shared" si="16"/>
        <v>384460.77</v>
      </c>
      <c r="BX29" s="3" t="str">
        <f t="shared" si="17"/>
        <v>Please provide an explanation of the variance in the Manager's Summary</v>
      </c>
      <c r="BY29" s="4"/>
      <c r="BZ29" s="4"/>
      <c r="CA29" s="4"/>
      <c r="CB29" s="4"/>
    </row>
    <row r="30" spans="3:80" ht="17" thickBot="1" x14ac:dyDescent="0.35">
      <c r="C30" s="67" t="s">
        <v>82</v>
      </c>
      <c r="D30" s="36">
        <v>1595</v>
      </c>
      <c r="E30" s="69"/>
      <c r="F30" s="48"/>
      <c r="G30" s="48"/>
      <c r="H30" s="48"/>
      <c r="I30" s="39">
        <f t="shared" si="18"/>
        <v>0</v>
      </c>
      <c r="J30" s="48"/>
      <c r="K30" s="48"/>
      <c r="L30" s="48"/>
      <c r="M30" s="48"/>
      <c r="N30" s="39">
        <f t="shared" si="19"/>
        <v>0</v>
      </c>
      <c r="O30" s="42">
        <f t="shared" si="20"/>
        <v>0</v>
      </c>
      <c r="P30" s="48"/>
      <c r="Q30" s="48"/>
      <c r="R30" s="48"/>
      <c r="S30" s="39">
        <f t="shared" si="0"/>
        <v>0</v>
      </c>
      <c r="T30" s="39">
        <f t="shared" si="1"/>
        <v>0</v>
      </c>
      <c r="U30" s="48"/>
      <c r="V30" s="48"/>
      <c r="W30" s="48"/>
      <c r="X30" s="41">
        <f t="shared" si="21"/>
        <v>0</v>
      </c>
      <c r="Y30" s="42">
        <f t="shared" si="8"/>
        <v>0</v>
      </c>
      <c r="Z30" s="48"/>
      <c r="AA30" s="48"/>
      <c r="AB30" s="48"/>
      <c r="AC30" s="39"/>
      <c r="AD30" s="43"/>
      <c r="AE30" s="48"/>
      <c r="AF30" s="48"/>
      <c r="AG30" s="48"/>
      <c r="AH30" s="41"/>
      <c r="AI30" s="42"/>
      <c r="AJ30" s="48"/>
      <c r="AK30" s="48"/>
      <c r="AL30" s="70"/>
      <c r="AM30" s="39"/>
      <c r="AN30" s="43"/>
      <c r="AO30" s="48"/>
      <c r="AP30" s="48"/>
      <c r="AQ30" s="70"/>
      <c r="AR30" s="41"/>
      <c r="AS30" s="42"/>
      <c r="AT30" s="49"/>
      <c r="AU30" s="48"/>
      <c r="AV30" s="48"/>
      <c r="AW30" s="39"/>
      <c r="AX30" s="43"/>
      <c r="AY30" s="49"/>
      <c r="AZ30" s="48"/>
      <c r="BA30" s="48"/>
      <c r="BB30" s="39"/>
      <c r="BC30" s="42"/>
      <c r="BD30" s="49"/>
      <c r="BE30" s="46"/>
      <c r="BF30" s="48"/>
      <c r="BG30" s="39"/>
      <c r="BH30" s="43"/>
      <c r="BI30" s="49"/>
      <c r="BJ30" s="46"/>
      <c r="BK30" s="48"/>
      <c r="BL30" s="41"/>
      <c r="BM30" s="49"/>
      <c r="BN30" s="49"/>
      <c r="BO30" s="43"/>
      <c r="BP30" s="50"/>
      <c r="BQ30" s="51">
        <v>0</v>
      </c>
      <c r="BR30" s="49">
        <v>0</v>
      </c>
      <c r="BS30" s="52"/>
      <c r="BT30" s="53">
        <f>IF(CB7=TRUE, SUM(BO30:BR30), 0)</f>
        <v>0</v>
      </c>
      <c r="BU30" s="68" t="s">
        <v>80</v>
      </c>
      <c r="BV30" s="54"/>
      <c r="BW30" s="55">
        <f t="shared" si="16"/>
        <v>0</v>
      </c>
      <c r="BX30" s="3" t="str">
        <f t="shared" si="17"/>
        <v/>
      </c>
      <c r="BY30" s="4"/>
      <c r="BZ30" s="4"/>
      <c r="CA30" s="4"/>
      <c r="CB30" s="4"/>
    </row>
    <row r="31" spans="3:80" ht="17" thickBot="1" x14ac:dyDescent="0.35">
      <c r="C31" s="67" t="s">
        <v>83</v>
      </c>
      <c r="D31" s="36">
        <v>1595</v>
      </c>
      <c r="E31" s="71">
        <v>-1668480.0899999999</v>
      </c>
      <c r="F31" s="46">
        <f>1351097-9195</f>
        <v>1341902</v>
      </c>
      <c r="G31" s="46">
        <f>-79658-209732</f>
        <v>-289390</v>
      </c>
      <c r="H31" s="46"/>
      <c r="I31" s="39">
        <f t="shared" si="18"/>
        <v>-37188.089999999851</v>
      </c>
      <c r="J31" s="46">
        <v>-288635</v>
      </c>
      <c r="K31" s="46">
        <f>-15643+517</f>
        <v>-15126</v>
      </c>
      <c r="L31" s="46">
        <v>-27160</v>
      </c>
      <c r="M31" s="46"/>
      <c r="N31" s="39">
        <f t="shared" si="19"/>
        <v>-276601</v>
      </c>
      <c r="O31" s="42">
        <f t="shared" si="20"/>
        <v>-37188.089999999851</v>
      </c>
      <c r="P31" s="46">
        <f>551900-74339</f>
        <v>477561</v>
      </c>
      <c r="Q31" s="46"/>
      <c r="R31" s="46"/>
      <c r="S31" s="39">
        <f t="shared" si="0"/>
        <v>440372.91000000015</v>
      </c>
      <c r="T31" s="39">
        <f t="shared" si="1"/>
        <v>-276601</v>
      </c>
      <c r="U31" s="46">
        <f>3244-10669</f>
        <v>-7425</v>
      </c>
      <c r="V31" s="46"/>
      <c r="W31" s="46"/>
      <c r="X31" s="41">
        <f t="shared" si="21"/>
        <v>-284026</v>
      </c>
      <c r="Y31" s="42">
        <f t="shared" si="8"/>
        <v>440372.91000000015</v>
      </c>
      <c r="Z31" s="46">
        <v>-18752</v>
      </c>
      <c r="AA31" s="46"/>
      <c r="AB31" s="46"/>
      <c r="AC31" s="39">
        <f t="shared" si="22"/>
        <v>421620.91000000015</v>
      </c>
      <c r="AD31" s="43">
        <f t="shared" si="2"/>
        <v>-284026</v>
      </c>
      <c r="AE31" s="46">
        <f>3751+1342</f>
        <v>5093</v>
      </c>
      <c r="AF31" s="46"/>
      <c r="AG31" s="46"/>
      <c r="AH31" s="41">
        <f t="shared" si="23"/>
        <v>-278933</v>
      </c>
      <c r="AI31" s="42">
        <f t="shared" si="3"/>
        <v>421620.91000000015</v>
      </c>
      <c r="AJ31" s="46">
        <f>-259066</f>
        <v>-259066</v>
      </c>
      <c r="AK31" s="46"/>
      <c r="AL31" s="64"/>
      <c r="AM31" s="39">
        <f t="shared" si="9"/>
        <v>162554.91000000015</v>
      </c>
      <c r="AN31" s="43">
        <f t="shared" si="4"/>
        <v>-278933</v>
      </c>
      <c r="AO31" s="46">
        <f>253415+1182</f>
        <v>254597</v>
      </c>
      <c r="AP31" s="46"/>
      <c r="AQ31" s="64"/>
      <c r="AR31" s="41">
        <f t="shared" si="24"/>
        <v>-24336</v>
      </c>
      <c r="AS31" s="42">
        <f t="shared" si="10"/>
        <v>162554.91000000015</v>
      </c>
      <c r="AT31" s="45"/>
      <c r="AU31" s="46"/>
      <c r="AV31" s="46"/>
      <c r="AW31" s="39">
        <f t="shared" si="11"/>
        <v>162554.91000000015</v>
      </c>
      <c r="AX31" s="43">
        <f t="shared" si="5"/>
        <v>-24336</v>
      </c>
      <c r="AY31" s="45">
        <f>662+1290</f>
        <v>1952</v>
      </c>
      <c r="AZ31" s="46"/>
      <c r="BA31" s="46"/>
      <c r="BB31" s="39">
        <f t="shared" si="25"/>
        <v>-22384</v>
      </c>
      <c r="BC31" s="42">
        <f t="shared" si="6"/>
        <v>162554.91000000015</v>
      </c>
      <c r="BD31" s="49"/>
      <c r="BE31" s="48">
        <v>162555</v>
      </c>
      <c r="BF31" s="48"/>
      <c r="BG31" s="39">
        <f t="shared" si="12"/>
        <v>-8.9999999850988388E-2</v>
      </c>
      <c r="BH31" s="43">
        <f t="shared" si="7"/>
        <v>-22384</v>
      </c>
      <c r="BI31" s="49"/>
      <c r="BJ31" s="48">
        <v>-21581</v>
      </c>
      <c r="BK31" s="48">
        <v>803</v>
      </c>
      <c r="BL31" s="41">
        <f t="shared" si="26"/>
        <v>0</v>
      </c>
      <c r="BM31" s="49"/>
      <c r="BN31" s="49"/>
      <c r="BO31" s="43">
        <f t="shared" si="13"/>
        <v>-8.9999999850988388E-2</v>
      </c>
      <c r="BP31" s="50">
        <f t="shared" si="14"/>
        <v>0</v>
      </c>
      <c r="BQ31" s="51">
        <v>-2.0219178048715199E-3</v>
      </c>
      <c r="BR31" s="49">
        <v>-6.4504109482242645E-4</v>
      </c>
      <c r="BS31" s="52">
        <f t="shared" si="15"/>
        <v>-2.6669588996939466E-3</v>
      </c>
      <c r="BT31" s="53">
        <f>IF(BU31="Yes", SUM(BO31:BR31), 0)</f>
        <v>0</v>
      </c>
      <c r="BU31" s="68" t="s">
        <v>84</v>
      </c>
      <c r="BV31" s="54">
        <v>0</v>
      </c>
      <c r="BW31" s="55">
        <f t="shared" si="16"/>
        <v>0.09</v>
      </c>
      <c r="BX31" s="3" t="str">
        <f t="shared" si="17"/>
        <v/>
      </c>
      <c r="BY31" s="4"/>
      <c r="BZ31" s="4"/>
      <c r="CA31" s="4"/>
      <c r="CB31" s="4"/>
    </row>
    <row r="32" spans="3:80" ht="17" thickBot="1" x14ac:dyDescent="0.35">
      <c r="C32" s="67" t="s">
        <v>85</v>
      </c>
      <c r="D32" s="36">
        <v>1595</v>
      </c>
      <c r="E32" s="71"/>
      <c r="F32" s="46"/>
      <c r="G32" s="46"/>
      <c r="H32" s="46"/>
      <c r="I32" s="39">
        <f t="shared" si="18"/>
        <v>0</v>
      </c>
      <c r="J32" s="46"/>
      <c r="K32" s="46"/>
      <c r="L32" s="46"/>
      <c r="M32" s="46"/>
      <c r="N32" s="39">
        <f t="shared" si="19"/>
        <v>0</v>
      </c>
      <c r="O32" s="42">
        <f t="shared" si="20"/>
        <v>0</v>
      </c>
      <c r="P32" s="46"/>
      <c r="Q32" s="46"/>
      <c r="R32" s="46"/>
      <c r="S32" s="39">
        <f t="shared" ref="S32:S37" si="27">O32+P32-Q32+SUM(R32:R32)</f>
        <v>0</v>
      </c>
      <c r="T32" s="39">
        <f t="shared" si="1"/>
        <v>0</v>
      </c>
      <c r="U32" s="46"/>
      <c r="V32" s="46"/>
      <c r="W32" s="46"/>
      <c r="X32" s="41">
        <f t="shared" si="21"/>
        <v>0</v>
      </c>
      <c r="Y32" s="42">
        <f t="shared" si="8"/>
        <v>0</v>
      </c>
      <c r="Z32" s="46"/>
      <c r="AA32" s="46"/>
      <c r="AB32" s="46"/>
      <c r="AC32" s="39">
        <f t="shared" ref="AC32:AC37" si="28">Y32+Z32-AA32+SUM(AB32:AB32)</f>
        <v>0</v>
      </c>
      <c r="AD32" s="43">
        <f t="shared" si="2"/>
        <v>0</v>
      </c>
      <c r="AE32" s="46"/>
      <c r="AF32" s="46"/>
      <c r="AG32" s="46"/>
      <c r="AH32" s="41">
        <f t="shared" si="23"/>
        <v>0</v>
      </c>
      <c r="AI32" s="42">
        <f t="shared" si="3"/>
        <v>0</v>
      </c>
      <c r="AJ32" s="46"/>
      <c r="AK32" s="46"/>
      <c r="AL32" s="64"/>
      <c r="AM32" s="39">
        <f t="shared" si="9"/>
        <v>0</v>
      </c>
      <c r="AN32" s="43">
        <f t="shared" si="4"/>
        <v>0</v>
      </c>
      <c r="AO32" s="46"/>
      <c r="AP32" s="46"/>
      <c r="AQ32" s="64"/>
      <c r="AR32" s="41">
        <f t="shared" si="24"/>
        <v>0</v>
      </c>
      <c r="AS32" s="42">
        <f t="shared" si="10"/>
        <v>0</v>
      </c>
      <c r="AT32" s="45"/>
      <c r="AU32" s="46"/>
      <c r="AV32" s="46"/>
      <c r="AW32" s="39">
        <f t="shared" si="11"/>
        <v>0</v>
      </c>
      <c r="AX32" s="43">
        <f t="shared" si="5"/>
        <v>0</v>
      </c>
      <c r="AY32" s="45"/>
      <c r="AZ32" s="46"/>
      <c r="BA32" s="46"/>
      <c r="BB32" s="39">
        <f t="shared" si="25"/>
        <v>0</v>
      </c>
      <c r="BC32" s="42">
        <f t="shared" si="6"/>
        <v>0</v>
      </c>
      <c r="BD32" s="49"/>
      <c r="BE32" s="48"/>
      <c r="BF32" s="48"/>
      <c r="BG32" s="39">
        <f t="shared" si="12"/>
        <v>0</v>
      </c>
      <c r="BH32" s="43">
        <f t="shared" si="7"/>
        <v>0</v>
      </c>
      <c r="BI32" s="49"/>
      <c r="BJ32" s="48"/>
      <c r="BK32" s="48"/>
      <c r="BL32" s="41">
        <f t="shared" si="26"/>
        <v>0</v>
      </c>
      <c r="BM32" s="49"/>
      <c r="BN32" s="49"/>
      <c r="BO32" s="43">
        <f t="shared" si="13"/>
        <v>0</v>
      </c>
      <c r="BP32" s="50">
        <f t="shared" si="14"/>
        <v>0</v>
      </c>
      <c r="BQ32" s="51">
        <v>0</v>
      </c>
      <c r="BR32" s="49">
        <v>0</v>
      </c>
      <c r="BS32" s="52">
        <f t="shared" si="15"/>
        <v>0</v>
      </c>
      <c r="BT32" s="53">
        <f t="shared" ref="BT32:BT37" si="29">IF(BU32="Yes", SUM(BO32:BR32), 0)</f>
        <v>0</v>
      </c>
      <c r="BU32" s="68" t="s">
        <v>84</v>
      </c>
      <c r="BV32" s="54">
        <v>0</v>
      </c>
      <c r="BW32" s="55">
        <f t="shared" si="16"/>
        <v>0</v>
      </c>
      <c r="BX32" s="3" t="str">
        <f t="shared" si="17"/>
        <v/>
      </c>
      <c r="BY32" s="4"/>
      <c r="BZ32" s="4"/>
      <c r="CA32" s="4"/>
      <c r="CB32" s="4"/>
    </row>
    <row r="33" spans="1:80" ht="17" thickBot="1" x14ac:dyDescent="0.35">
      <c r="C33" s="67" t="s">
        <v>86</v>
      </c>
      <c r="D33" s="36">
        <v>1595</v>
      </c>
      <c r="E33" s="71"/>
      <c r="F33" s="46"/>
      <c r="G33" s="46"/>
      <c r="H33" s="46"/>
      <c r="I33" s="39">
        <f t="shared" si="18"/>
        <v>0</v>
      </c>
      <c r="J33" s="46"/>
      <c r="K33" s="46"/>
      <c r="L33" s="46"/>
      <c r="M33" s="46"/>
      <c r="N33" s="39">
        <f t="shared" si="19"/>
        <v>0</v>
      </c>
      <c r="O33" s="42">
        <f t="shared" si="20"/>
        <v>0</v>
      </c>
      <c r="P33" s="46"/>
      <c r="Q33" s="46"/>
      <c r="R33" s="46"/>
      <c r="S33" s="39">
        <f t="shared" si="27"/>
        <v>0</v>
      </c>
      <c r="T33" s="39">
        <f t="shared" si="1"/>
        <v>0</v>
      </c>
      <c r="U33" s="46"/>
      <c r="V33" s="46"/>
      <c r="W33" s="46"/>
      <c r="X33" s="41">
        <f t="shared" si="21"/>
        <v>0</v>
      </c>
      <c r="Y33" s="42">
        <f t="shared" si="8"/>
        <v>0</v>
      </c>
      <c r="Z33" s="46">
        <v>-652682.48</v>
      </c>
      <c r="AA33" s="46">
        <v>-1150097</v>
      </c>
      <c r="AB33" s="46">
        <v>0</v>
      </c>
      <c r="AC33" s="39">
        <f t="shared" si="28"/>
        <v>497414.52</v>
      </c>
      <c r="AD33" s="43">
        <f t="shared" si="2"/>
        <v>0</v>
      </c>
      <c r="AE33" s="46">
        <v>5622.84</v>
      </c>
      <c r="AF33" s="46">
        <v>-11149</v>
      </c>
      <c r="AG33" s="46">
        <v>0</v>
      </c>
      <c r="AH33" s="41">
        <f t="shared" si="23"/>
        <v>16771.84</v>
      </c>
      <c r="AI33" s="42">
        <f t="shared" si="3"/>
        <v>497414.52</v>
      </c>
      <c r="AJ33" s="46">
        <v>-356914.98</v>
      </c>
      <c r="AK33" s="46">
        <v>0</v>
      </c>
      <c r="AL33" s="64">
        <v>2217.85</v>
      </c>
      <c r="AM33" s="39">
        <f t="shared" si="9"/>
        <v>142717.39000000004</v>
      </c>
      <c r="AN33" s="43">
        <f t="shared" si="4"/>
        <v>16771.84</v>
      </c>
      <c r="AO33" s="46">
        <v>2277.4199999999983</v>
      </c>
      <c r="AP33" s="46">
        <v>0</v>
      </c>
      <c r="AQ33" s="64">
        <v>0</v>
      </c>
      <c r="AR33" s="41">
        <f t="shared" si="24"/>
        <v>19049.259999999998</v>
      </c>
      <c r="AS33" s="42">
        <f t="shared" si="10"/>
        <v>142717.39000000004</v>
      </c>
      <c r="AT33" s="45"/>
      <c r="AU33" s="46"/>
      <c r="AV33" s="46"/>
      <c r="AW33" s="39">
        <f t="shared" si="11"/>
        <v>142717.39000000004</v>
      </c>
      <c r="AX33" s="43">
        <f t="shared" si="5"/>
        <v>19049.259999999998</v>
      </c>
      <c r="AY33" s="45">
        <v>1713.760000000002</v>
      </c>
      <c r="AZ33" s="46">
        <v>0</v>
      </c>
      <c r="BA33" s="46">
        <v>0</v>
      </c>
      <c r="BB33" s="39">
        <f t="shared" si="25"/>
        <v>20763.02</v>
      </c>
      <c r="BC33" s="42">
        <f t="shared" si="6"/>
        <v>142717.39000000004</v>
      </c>
      <c r="BD33" s="49"/>
      <c r="BE33" s="48">
        <v>142717</v>
      </c>
      <c r="BF33" s="48"/>
      <c r="BG33" s="39">
        <f t="shared" si="12"/>
        <v>0.39000000004307367</v>
      </c>
      <c r="BH33" s="43">
        <f t="shared" si="7"/>
        <v>20763.02</v>
      </c>
      <c r="BI33" s="49"/>
      <c r="BJ33" s="48">
        <v>21467</v>
      </c>
      <c r="BK33" s="48">
        <v>704</v>
      </c>
      <c r="BL33" s="41">
        <f t="shared" si="26"/>
        <v>2.0000000000436557E-2</v>
      </c>
      <c r="BM33" s="49"/>
      <c r="BN33" s="49"/>
      <c r="BO33" s="43">
        <f t="shared" si="13"/>
        <v>0.39000000004307367</v>
      </c>
      <c r="BP33" s="50">
        <f t="shared" si="14"/>
        <v>2.0000000000436557E-2</v>
      </c>
      <c r="BQ33" s="51">
        <v>8.7616438365841209E-3</v>
      </c>
      <c r="BR33" s="49">
        <v>2.7951780825004953E-3</v>
      </c>
      <c r="BS33" s="52">
        <f t="shared" si="15"/>
        <v>3.1556821919521173E-2</v>
      </c>
      <c r="BT33" s="53">
        <f t="shared" si="29"/>
        <v>0</v>
      </c>
      <c r="BU33" s="68" t="s">
        <v>84</v>
      </c>
      <c r="BV33" s="54">
        <v>0</v>
      </c>
      <c r="BW33" s="55">
        <f t="shared" si="16"/>
        <v>-0.41</v>
      </c>
      <c r="BX33" s="3" t="str">
        <f t="shared" si="17"/>
        <v/>
      </c>
      <c r="BY33" s="4"/>
      <c r="BZ33" s="4"/>
      <c r="CA33" s="4"/>
      <c r="CB33" s="4"/>
    </row>
    <row r="34" spans="1:80" ht="17" thickBot="1" x14ac:dyDescent="0.35">
      <c r="C34" s="67" t="s">
        <v>87</v>
      </c>
      <c r="D34" s="36">
        <v>1595</v>
      </c>
      <c r="E34" s="71"/>
      <c r="F34" s="46"/>
      <c r="G34" s="46"/>
      <c r="H34" s="46"/>
      <c r="I34" s="39">
        <f t="shared" si="18"/>
        <v>0</v>
      </c>
      <c r="J34" s="46"/>
      <c r="K34" s="46"/>
      <c r="L34" s="46"/>
      <c r="M34" s="46"/>
      <c r="N34" s="39">
        <f t="shared" si="19"/>
        <v>0</v>
      </c>
      <c r="O34" s="42">
        <f t="shared" si="20"/>
        <v>0</v>
      </c>
      <c r="P34" s="46"/>
      <c r="Q34" s="46"/>
      <c r="R34" s="46"/>
      <c r="S34" s="39">
        <f t="shared" si="27"/>
        <v>0</v>
      </c>
      <c r="T34" s="39">
        <f t="shared" si="1"/>
        <v>0</v>
      </c>
      <c r="U34" s="46"/>
      <c r="V34" s="46"/>
      <c r="W34" s="46"/>
      <c r="X34" s="41">
        <f t="shared" si="21"/>
        <v>0</v>
      </c>
      <c r="Y34" s="42">
        <f t="shared" si="8"/>
        <v>0</v>
      </c>
      <c r="Z34" s="46"/>
      <c r="AA34" s="46"/>
      <c r="AB34" s="46"/>
      <c r="AC34" s="39">
        <f t="shared" si="28"/>
        <v>0</v>
      </c>
      <c r="AD34" s="43">
        <f t="shared" si="2"/>
        <v>0</v>
      </c>
      <c r="AE34" s="46"/>
      <c r="AF34" s="46"/>
      <c r="AG34" s="46"/>
      <c r="AH34" s="41">
        <f t="shared" si="23"/>
        <v>0</v>
      </c>
      <c r="AI34" s="42">
        <f t="shared" si="3"/>
        <v>0</v>
      </c>
      <c r="AJ34" s="46"/>
      <c r="AK34" s="46"/>
      <c r="AL34" s="64"/>
      <c r="AM34" s="39">
        <f t="shared" si="9"/>
        <v>0</v>
      </c>
      <c r="AN34" s="43">
        <f t="shared" si="4"/>
        <v>0</v>
      </c>
      <c r="AO34" s="46"/>
      <c r="AP34" s="46"/>
      <c r="AQ34" s="64"/>
      <c r="AR34" s="41">
        <f t="shared" si="24"/>
        <v>0</v>
      </c>
      <c r="AS34" s="42">
        <f t="shared" si="10"/>
        <v>0</v>
      </c>
      <c r="AT34" s="45"/>
      <c r="AU34" s="46"/>
      <c r="AV34" s="46"/>
      <c r="AW34" s="39">
        <f t="shared" si="11"/>
        <v>0</v>
      </c>
      <c r="AX34" s="43">
        <f t="shared" si="5"/>
        <v>0</v>
      </c>
      <c r="AY34" s="45"/>
      <c r="AZ34" s="46"/>
      <c r="BA34" s="46"/>
      <c r="BB34" s="39">
        <f t="shared" si="25"/>
        <v>0</v>
      </c>
      <c r="BC34" s="42">
        <f t="shared" si="6"/>
        <v>0</v>
      </c>
      <c r="BD34" s="49"/>
      <c r="BE34" s="48"/>
      <c r="BF34" s="48"/>
      <c r="BG34" s="39">
        <f t="shared" si="12"/>
        <v>0</v>
      </c>
      <c r="BH34" s="43">
        <f t="shared" si="7"/>
        <v>0</v>
      </c>
      <c r="BI34" s="49"/>
      <c r="BJ34" s="48"/>
      <c r="BK34" s="48"/>
      <c r="BL34" s="41">
        <f t="shared" si="26"/>
        <v>0</v>
      </c>
      <c r="BM34" s="49"/>
      <c r="BN34" s="49"/>
      <c r="BO34" s="43">
        <f t="shared" si="13"/>
        <v>0</v>
      </c>
      <c r="BP34" s="50">
        <f t="shared" si="14"/>
        <v>0</v>
      </c>
      <c r="BQ34" s="51">
        <v>0</v>
      </c>
      <c r="BR34" s="49">
        <v>0</v>
      </c>
      <c r="BS34" s="52">
        <f t="shared" si="15"/>
        <v>0</v>
      </c>
      <c r="BT34" s="53">
        <f t="shared" si="29"/>
        <v>0</v>
      </c>
      <c r="BU34" s="68" t="s">
        <v>84</v>
      </c>
      <c r="BV34" s="54">
        <v>0</v>
      </c>
      <c r="BW34" s="55">
        <f t="shared" si="16"/>
        <v>0</v>
      </c>
      <c r="BX34" s="3" t="str">
        <f t="shared" si="17"/>
        <v/>
      </c>
      <c r="BY34" s="4"/>
      <c r="BZ34" s="4"/>
      <c r="CA34" s="4"/>
      <c r="CB34" s="4"/>
    </row>
    <row r="35" spans="1:80" ht="17" thickBot="1" x14ac:dyDescent="0.35">
      <c r="C35" s="67" t="s">
        <v>88</v>
      </c>
      <c r="D35" s="36">
        <v>1595</v>
      </c>
      <c r="E35" s="71"/>
      <c r="F35" s="46"/>
      <c r="G35" s="46"/>
      <c r="H35" s="46"/>
      <c r="I35" s="39">
        <f t="shared" si="18"/>
        <v>0</v>
      </c>
      <c r="J35" s="46"/>
      <c r="K35" s="46"/>
      <c r="L35" s="46"/>
      <c r="M35" s="46"/>
      <c r="N35" s="39">
        <f t="shared" si="19"/>
        <v>0</v>
      </c>
      <c r="O35" s="42">
        <f t="shared" si="20"/>
        <v>0</v>
      </c>
      <c r="P35" s="46"/>
      <c r="Q35" s="46"/>
      <c r="R35" s="46"/>
      <c r="S35" s="39">
        <f t="shared" si="27"/>
        <v>0</v>
      </c>
      <c r="T35" s="39">
        <f t="shared" si="1"/>
        <v>0</v>
      </c>
      <c r="U35" s="46"/>
      <c r="V35" s="46"/>
      <c r="W35" s="46"/>
      <c r="X35" s="41">
        <f t="shared" si="21"/>
        <v>0</v>
      </c>
      <c r="Y35" s="42">
        <f t="shared" si="8"/>
        <v>0</v>
      </c>
      <c r="Z35" s="46"/>
      <c r="AA35" s="46"/>
      <c r="AB35" s="46"/>
      <c r="AC35" s="39">
        <f t="shared" si="28"/>
        <v>0</v>
      </c>
      <c r="AD35" s="43">
        <f t="shared" si="2"/>
        <v>0</v>
      </c>
      <c r="AE35" s="46"/>
      <c r="AF35" s="46"/>
      <c r="AG35" s="46"/>
      <c r="AH35" s="41">
        <f t="shared" si="23"/>
        <v>0</v>
      </c>
      <c r="AI35" s="42">
        <f t="shared" si="3"/>
        <v>0</v>
      </c>
      <c r="AJ35" s="46"/>
      <c r="AK35" s="46"/>
      <c r="AL35" s="64"/>
      <c r="AM35" s="39">
        <f t="shared" si="9"/>
        <v>0</v>
      </c>
      <c r="AN35" s="43">
        <f t="shared" si="4"/>
        <v>0</v>
      </c>
      <c r="AO35" s="46"/>
      <c r="AP35" s="46"/>
      <c r="AQ35" s="45"/>
      <c r="AR35" s="41">
        <f t="shared" si="24"/>
        <v>0</v>
      </c>
      <c r="AS35" s="42">
        <f t="shared" si="10"/>
        <v>0</v>
      </c>
      <c r="AT35" s="45"/>
      <c r="AU35" s="46"/>
      <c r="AV35" s="46"/>
      <c r="AW35" s="39">
        <f t="shared" si="11"/>
        <v>0</v>
      </c>
      <c r="AX35" s="43">
        <f t="shared" si="5"/>
        <v>0</v>
      </c>
      <c r="AY35" s="45"/>
      <c r="AZ35" s="46"/>
      <c r="BA35" s="46"/>
      <c r="BB35" s="39">
        <f t="shared" si="25"/>
        <v>0</v>
      </c>
      <c r="BC35" s="42">
        <f t="shared" si="6"/>
        <v>0</v>
      </c>
      <c r="BD35" s="49"/>
      <c r="BE35" s="48"/>
      <c r="BF35" s="48"/>
      <c r="BG35" s="39">
        <f t="shared" si="12"/>
        <v>0</v>
      </c>
      <c r="BH35" s="43">
        <f t="shared" si="7"/>
        <v>0</v>
      </c>
      <c r="BI35" s="49"/>
      <c r="BJ35" s="48"/>
      <c r="BK35" s="48"/>
      <c r="BL35" s="41">
        <f t="shared" si="26"/>
        <v>0</v>
      </c>
      <c r="BM35" s="49"/>
      <c r="BN35" s="49"/>
      <c r="BO35" s="43">
        <f t="shared" si="13"/>
        <v>0</v>
      </c>
      <c r="BP35" s="50">
        <f t="shared" si="14"/>
        <v>0</v>
      </c>
      <c r="BQ35" s="51">
        <v>0</v>
      </c>
      <c r="BR35" s="49">
        <v>0</v>
      </c>
      <c r="BS35" s="52">
        <f t="shared" si="15"/>
        <v>0</v>
      </c>
      <c r="BT35" s="53">
        <f t="shared" si="29"/>
        <v>0</v>
      </c>
      <c r="BU35" s="68" t="s">
        <v>84</v>
      </c>
      <c r="BV35" s="54">
        <v>0</v>
      </c>
      <c r="BW35" s="55">
        <f t="shared" si="16"/>
        <v>0</v>
      </c>
      <c r="BX35" s="3" t="str">
        <f t="shared" si="17"/>
        <v/>
      </c>
      <c r="BY35" s="4"/>
      <c r="BZ35" s="4"/>
      <c r="CA35" s="4"/>
      <c r="CB35" s="4"/>
    </row>
    <row r="36" spans="1:80" ht="17" thickBot="1" x14ac:dyDescent="0.35">
      <c r="C36" s="67" t="s">
        <v>89</v>
      </c>
      <c r="D36" s="36">
        <v>1595</v>
      </c>
      <c r="E36" s="71"/>
      <c r="F36" s="46"/>
      <c r="G36" s="46"/>
      <c r="H36" s="46"/>
      <c r="I36" s="39">
        <f t="shared" si="18"/>
        <v>0</v>
      </c>
      <c r="J36" s="46"/>
      <c r="K36" s="46"/>
      <c r="L36" s="46"/>
      <c r="M36" s="46"/>
      <c r="N36" s="39">
        <f t="shared" si="19"/>
        <v>0</v>
      </c>
      <c r="O36" s="42">
        <f t="shared" si="20"/>
        <v>0</v>
      </c>
      <c r="P36" s="46"/>
      <c r="Q36" s="46"/>
      <c r="R36" s="46"/>
      <c r="S36" s="39">
        <f t="shared" si="27"/>
        <v>0</v>
      </c>
      <c r="T36" s="39">
        <f>N36</f>
        <v>0</v>
      </c>
      <c r="U36" s="46"/>
      <c r="V36" s="46"/>
      <c r="W36" s="46"/>
      <c r="X36" s="41">
        <f t="shared" si="21"/>
        <v>0</v>
      </c>
      <c r="Y36" s="42">
        <f t="shared" si="8"/>
        <v>0</v>
      </c>
      <c r="Z36" s="46"/>
      <c r="AA36" s="46"/>
      <c r="AB36" s="46"/>
      <c r="AC36" s="39">
        <f t="shared" si="28"/>
        <v>0</v>
      </c>
      <c r="AD36" s="43">
        <f t="shared" si="2"/>
        <v>0</v>
      </c>
      <c r="AE36" s="46"/>
      <c r="AF36" s="46"/>
      <c r="AG36" s="46"/>
      <c r="AH36" s="41">
        <f t="shared" si="23"/>
        <v>0</v>
      </c>
      <c r="AI36" s="42">
        <f t="shared" si="3"/>
        <v>0</v>
      </c>
      <c r="AJ36" s="46"/>
      <c r="AK36" s="46"/>
      <c r="AL36" s="64"/>
      <c r="AM36" s="39">
        <f t="shared" si="9"/>
        <v>0</v>
      </c>
      <c r="AN36" s="43">
        <f t="shared" si="4"/>
        <v>0</v>
      </c>
      <c r="AO36" s="46"/>
      <c r="AP36" s="46"/>
      <c r="AQ36" s="45"/>
      <c r="AR36" s="41">
        <f t="shared" si="24"/>
        <v>0</v>
      </c>
      <c r="AS36" s="42">
        <f t="shared" si="10"/>
        <v>0</v>
      </c>
      <c r="AT36" s="45"/>
      <c r="AU36" s="46"/>
      <c r="AV36" s="46"/>
      <c r="AW36" s="39">
        <f t="shared" si="11"/>
        <v>0</v>
      </c>
      <c r="AX36" s="43">
        <f t="shared" si="5"/>
        <v>0</v>
      </c>
      <c r="AY36" s="45"/>
      <c r="AZ36" s="46"/>
      <c r="BA36" s="46"/>
      <c r="BB36" s="39">
        <f t="shared" si="25"/>
        <v>0</v>
      </c>
      <c r="BC36" s="42">
        <f t="shared" si="6"/>
        <v>0</v>
      </c>
      <c r="BD36" s="49">
        <v>1188733.22</v>
      </c>
      <c r="BE36" s="48"/>
      <c r="BF36" s="48"/>
      <c r="BG36" s="39">
        <f t="shared" si="12"/>
        <v>1188733.22</v>
      </c>
      <c r="BH36" s="43">
        <f t="shared" si="7"/>
        <v>0</v>
      </c>
      <c r="BI36" s="49">
        <v>29276.400000000001</v>
      </c>
      <c r="BJ36" s="48"/>
      <c r="BK36" s="48"/>
      <c r="BL36" s="41">
        <f t="shared" si="26"/>
        <v>29276.400000000001</v>
      </c>
      <c r="BM36" s="49"/>
      <c r="BN36" s="49"/>
      <c r="BO36" s="43">
        <f t="shared" si="13"/>
        <v>1188733.22</v>
      </c>
      <c r="BP36" s="50">
        <f t="shared" si="14"/>
        <v>29276.400000000001</v>
      </c>
      <c r="BQ36" s="51">
        <v>26705.787408219181</v>
      </c>
      <c r="BR36" s="49">
        <v>8519.7975438904105</v>
      </c>
      <c r="BS36" s="52">
        <f t="shared" si="15"/>
        <v>64501.984952109589</v>
      </c>
      <c r="BT36" s="53">
        <f t="shared" si="29"/>
        <v>0</v>
      </c>
      <c r="BU36" s="68" t="s">
        <v>84</v>
      </c>
      <c r="BV36" s="54">
        <v>1218009.6200000001</v>
      </c>
      <c r="BW36" s="55">
        <f t="shared" si="16"/>
        <v>0</v>
      </c>
      <c r="BX36" s="3" t="str">
        <f t="shared" si="17"/>
        <v/>
      </c>
      <c r="BY36" s="4"/>
      <c r="BZ36" s="4"/>
      <c r="CA36" s="4"/>
      <c r="CB36" s="4"/>
    </row>
    <row r="37" spans="1:80" ht="31.5" thickBot="1" x14ac:dyDescent="0.4">
      <c r="C37" s="72" t="s">
        <v>90</v>
      </c>
      <c r="D37" s="36">
        <v>1595</v>
      </c>
      <c r="E37" s="71"/>
      <c r="F37" s="46"/>
      <c r="G37" s="46"/>
      <c r="H37" s="46"/>
      <c r="I37" s="39">
        <f t="shared" si="18"/>
        <v>0</v>
      </c>
      <c r="J37" s="46"/>
      <c r="K37" s="46"/>
      <c r="L37" s="46"/>
      <c r="M37" s="46"/>
      <c r="N37" s="39">
        <f t="shared" si="19"/>
        <v>0</v>
      </c>
      <c r="O37" s="42">
        <f t="shared" si="20"/>
        <v>0</v>
      </c>
      <c r="P37" s="46"/>
      <c r="Q37" s="46"/>
      <c r="R37" s="46"/>
      <c r="S37" s="39">
        <f t="shared" si="27"/>
        <v>0</v>
      </c>
      <c r="T37" s="39">
        <f t="shared" si="1"/>
        <v>0</v>
      </c>
      <c r="U37" s="46"/>
      <c r="V37" s="46"/>
      <c r="W37" s="46"/>
      <c r="X37" s="41">
        <f t="shared" si="21"/>
        <v>0</v>
      </c>
      <c r="Y37" s="42">
        <f t="shared" si="8"/>
        <v>0</v>
      </c>
      <c r="Z37" s="46"/>
      <c r="AA37" s="46"/>
      <c r="AB37" s="46"/>
      <c r="AC37" s="39">
        <f t="shared" si="28"/>
        <v>0</v>
      </c>
      <c r="AD37" s="43">
        <f t="shared" si="2"/>
        <v>0</v>
      </c>
      <c r="AE37" s="46"/>
      <c r="AF37" s="46"/>
      <c r="AG37" s="46"/>
      <c r="AH37" s="41">
        <f t="shared" si="23"/>
        <v>0</v>
      </c>
      <c r="AI37" s="42">
        <f t="shared" si="3"/>
        <v>0</v>
      </c>
      <c r="AJ37" s="46"/>
      <c r="AK37" s="46"/>
      <c r="AL37" s="64"/>
      <c r="AM37" s="39">
        <f t="shared" si="9"/>
        <v>0</v>
      </c>
      <c r="AN37" s="43">
        <f t="shared" si="4"/>
        <v>0</v>
      </c>
      <c r="AO37" s="46"/>
      <c r="AP37" s="46"/>
      <c r="AQ37" s="45"/>
      <c r="AR37" s="41">
        <f t="shared" si="24"/>
        <v>0</v>
      </c>
      <c r="AS37" s="42">
        <f t="shared" si="10"/>
        <v>0</v>
      </c>
      <c r="AT37" s="45"/>
      <c r="AU37" s="46"/>
      <c r="AV37" s="46"/>
      <c r="AW37" s="39">
        <f t="shared" si="11"/>
        <v>0</v>
      </c>
      <c r="AX37" s="43">
        <f t="shared" si="5"/>
        <v>0</v>
      </c>
      <c r="AY37" s="45"/>
      <c r="AZ37" s="46"/>
      <c r="BA37" s="46"/>
      <c r="BB37" s="39">
        <f t="shared" si="25"/>
        <v>0</v>
      </c>
      <c r="BC37" s="42">
        <f t="shared" si="6"/>
        <v>0</v>
      </c>
      <c r="BD37" s="49"/>
      <c r="BE37" s="48"/>
      <c r="BF37" s="48"/>
      <c r="BG37" s="39">
        <f t="shared" si="12"/>
        <v>0</v>
      </c>
      <c r="BH37" s="43">
        <f t="shared" si="7"/>
        <v>0</v>
      </c>
      <c r="BI37" s="49"/>
      <c r="BJ37" s="48"/>
      <c r="BK37" s="48"/>
      <c r="BL37" s="41">
        <f t="shared" si="26"/>
        <v>0</v>
      </c>
      <c r="BM37" s="49"/>
      <c r="BN37" s="49"/>
      <c r="BO37" s="43">
        <f t="shared" si="13"/>
        <v>0</v>
      </c>
      <c r="BP37" s="50">
        <f t="shared" si="14"/>
        <v>0</v>
      </c>
      <c r="BQ37" s="51">
        <v>0</v>
      </c>
      <c r="BR37" s="49">
        <v>0</v>
      </c>
      <c r="BS37" s="52">
        <f t="shared" si="15"/>
        <v>0</v>
      </c>
      <c r="BT37" s="53">
        <f t="shared" si="29"/>
        <v>0</v>
      </c>
      <c r="BU37" s="68" t="s">
        <v>84</v>
      </c>
      <c r="BV37" s="54"/>
      <c r="BW37" s="55">
        <f>ROUND(BV37-SUM(BG37,BL37),2)</f>
        <v>0</v>
      </c>
      <c r="BX37" s="3" t="str">
        <f t="shared" si="17"/>
        <v/>
      </c>
      <c r="BY37" s="4"/>
      <c r="BZ37" s="4"/>
      <c r="CA37" s="4"/>
      <c r="CB37" s="4"/>
    </row>
    <row r="38" spans="1:80" x14ac:dyDescent="0.35">
      <c r="C38" s="67"/>
      <c r="D38" s="36"/>
      <c r="E38" s="73"/>
      <c r="F38" s="73"/>
      <c r="G38" s="73"/>
      <c r="H38" s="73"/>
      <c r="I38" s="73"/>
      <c r="J38" s="73"/>
      <c r="K38" s="73"/>
      <c r="L38" s="73"/>
      <c r="M38" s="73"/>
      <c r="N38" s="74"/>
      <c r="O38" s="75"/>
      <c r="P38" s="73"/>
      <c r="Q38" s="73"/>
      <c r="R38" s="73"/>
      <c r="S38" s="73"/>
      <c r="T38" s="73"/>
      <c r="U38" s="73"/>
      <c r="V38" s="73"/>
      <c r="W38" s="73"/>
      <c r="X38" s="74"/>
      <c r="Y38" s="75"/>
      <c r="Z38" s="73"/>
      <c r="AA38" s="73"/>
      <c r="AB38" s="73"/>
      <c r="AC38" s="73"/>
      <c r="AD38" s="73"/>
      <c r="AE38" s="73"/>
      <c r="AF38" s="73"/>
      <c r="AG38" s="73"/>
      <c r="AH38" s="74"/>
      <c r="AI38" s="76"/>
      <c r="AJ38" s="77"/>
      <c r="AK38" s="77"/>
      <c r="AL38" s="77"/>
      <c r="AM38" s="77"/>
      <c r="AN38" s="77"/>
      <c r="AO38" s="77"/>
      <c r="AP38" s="77"/>
      <c r="AQ38" s="77"/>
      <c r="AR38" s="78"/>
      <c r="AS38" s="76"/>
      <c r="AT38" s="77"/>
      <c r="AU38" s="77"/>
      <c r="AV38" s="77"/>
      <c r="AW38" s="77"/>
      <c r="AX38" s="77"/>
      <c r="AY38" s="77"/>
      <c r="AZ38" s="77"/>
      <c r="BA38" s="77"/>
      <c r="BB38" s="77"/>
      <c r="BC38" s="76"/>
      <c r="BD38" s="77"/>
      <c r="BE38" s="77"/>
      <c r="BF38" s="77"/>
      <c r="BG38" s="77"/>
      <c r="BH38" s="77"/>
      <c r="BI38" s="77"/>
      <c r="BJ38" s="77"/>
      <c r="BK38" s="77"/>
      <c r="BL38" s="78"/>
      <c r="BM38" s="76"/>
      <c r="BN38" s="77"/>
      <c r="BO38" s="39"/>
      <c r="BP38" s="39"/>
      <c r="BQ38" s="79"/>
      <c r="BR38" s="80"/>
      <c r="BS38" s="31"/>
      <c r="BT38" s="81"/>
      <c r="BU38" s="39"/>
      <c r="BV38" s="82"/>
      <c r="BW38" s="55"/>
      <c r="BX38" s="3" t="str">
        <f t="shared" si="17"/>
        <v/>
      </c>
      <c r="BY38" s="4"/>
      <c r="BZ38" s="4"/>
      <c r="CA38" s="4"/>
      <c r="CB38" s="4"/>
    </row>
    <row r="39" spans="1:80" thickBot="1" x14ac:dyDescent="0.35">
      <c r="C39" s="83" t="s">
        <v>91</v>
      </c>
      <c r="D39" s="84">
        <v>1589</v>
      </c>
      <c r="E39" s="39">
        <f t="shared" ref="E39:BP39" si="30">E29</f>
        <v>0</v>
      </c>
      <c r="F39" s="39">
        <f t="shared" si="30"/>
        <v>0</v>
      </c>
      <c r="G39" s="39">
        <f t="shared" si="30"/>
        <v>0</v>
      </c>
      <c r="H39" s="39">
        <f t="shared" si="30"/>
        <v>0</v>
      </c>
      <c r="I39" s="39">
        <f t="shared" si="30"/>
        <v>0</v>
      </c>
      <c r="J39" s="39">
        <f t="shared" si="30"/>
        <v>0</v>
      </c>
      <c r="K39" s="39">
        <f t="shared" si="30"/>
        <v>0</v>
      </c>
      <c r="L39" s="39">
        <f t="shared" si="30"/>
        <v>0</v>
      </c>
      <c r="M39" s="39">
        <f t="shared" si="30"/>
        <v>0</v>
      </c>
      <c r="N39" s="39">
        <f t="shared" si="30"/>
        <v>0</v>
      </c>
      <c r="O39" s="85">
        <f t="shared" si="30"/>
        <v>0</v>
      </c>
      <c r="P39" s="39">
        <f t="shared" si="30"/>
        <v>0</v>
      </c>
      <c r="Q39" s="39">
        <f t="shared" si="30"/>
        <v>0</v>
      </c>
      <c r="R39" s="39">
        <f t="shared" si="30"/>
        <v>0</v>
      </c>
      <c r="S39" s="39">
        <f t="shared" si="30"/>
        <v>0</v>
      </c>
      <c r="T39" s="39">
        <f t="shared" si="30"/>
        <v>0</v>
      </c>
      <c r="U39" s="39">
        <f t="shared" si="30"/>
        <v>0</v>
      </c>
      <c r="V39" s="39">
        <f t="shared" si="30"/>
        <v>0</v>
      </c>
      <c r="W39" s="39">
        <f t="shared" si="30"/>
        <v>0</v>
      </c>
      <c r="X39" s="41">
        <f t="shared" si="30"/>
        <v>0</v>
      </c>
      <c r="Y39" s="85">
        <f t="shared" si="30"/>
        <v>0</v>
      </c>
      <c r="Z39" s="39">
        <f t="shared" si="30"/>
        <v>0</v>
      </c>
      <c r="AA39" s="39">
        <f t="shared" si="30"/>
        <v>0</v>
      </c>
      <c r="AB39" s="39">
        <f t="shared" si="30"/>
        <v>0</v>
      </c>
      <c r="AC39" s="39">
        <f t="shared" si="30"/>
        <v>0</v>
      </c>
      <c r="AD39" s="39">
        <f t="shared" si="30"/>
        <v>0</v>
      </c>
      <c r="AE39" s="39">
        <f t="shared" si="30"/>
        <v>0</v>
      </c>
      <c r="AF39" s="39">
        <f t="shared" si="30"/>
        <v>0</v>
      </c>
      <c r="AG39" s="39">
        <f t="shared" si="30"/>
        <v>0</v>
      </c>
      <c r="AH39" s="41">
        <f t="shared" si="30"/>
        <v>0</v>
      </c>
      <c r="AI39" s="85">
        <f t="shared" si="30"/>
        <v>0</v>
      </c>
      <c r="AJ39" s="39">
        <f t="shared" si="30"/>
        <v>0</v>
      </c>
      <c r="AK39" s="39">
        <f t="shared" si="30"/>
        <v>0</v>
      </c>
      <c r="AL39" s="39">
        <f t="shared" si="30"/>
        <v>375566.32000000123</v>
      </c>
      <c r="AM39" s="39">
        <f t="shared" si="30"/>
        <v>375566.32000000123</v>
      </c>
      <c r="AN39" s="39">
        <f t="shared" si="30"/>
        <v>0</v>
      </c>
      <c r="AO39" s="39">
        <f t="shared" si="30"/>
        <v>0</v>
      </c>
      <c r="AP39" s="39">
        <f t="shared" si="30"/>
        <v>0</v>
      </c>
      <c r="AQ39" s="39">
        <f t="shared" si="30"/>
        <v>64416.149999999987</v>
      </c>
      <c r="AR39" s="41">
        <f t="shared" si="30"/>
        <v>64416.149999999987</v>
      </c>
      <c r="AS39" s="85">
        <f t="shared" si="30"/>
        <v>375566.32000000123</v>
      </c>
      <c r="AT39" s="39">
        <f t="shared" si="30"/>
        <v>575610.65999999875</v>
      </c>
      <c r="AU39" s="39">
        <f t="shared" si="30"/>
        <v>0</v>
      </c>
      <c r="AV39" s="39">
        <f t="shared" si="30"/>
        <v>-224500.77334765717</v>
      </c>
      <c r="AW39" s="39">
        <f t="shared" si="30"/>
        <v>726676.20665234281</v>
      </c>
      <c r="AX39" s="39">
        <f t="shared" si="30"/>
        <v>64416.149999999987</v>
      </c>
      <c r="AY39" s="39">
        <f t="shared" si="30"/>
        <v>8494.9700000000084</v>
      </c>
      <c r="AZ39" s="39">
        <f t="shared" si="30"/>
        <v>0</v>
      </c>
      <c r="BA39" s="39">
        <f t="shared" si="30"/>
        <v>0</v>
      </c>
      <c r="BB39" s="39">
        <f t="shared" si="30"/>
        <v>72911.12</v>
      </c>
      <c r="BC39" s="85">
        <f t="shared" si="30"/>
        <v>726676.20665234281</v>
      </c>
      <c r="BD39" s="39">
        <f t="shared" si="30"/>
        <v>71696.920000000071</v>
      </c>
      <c r="BE39" s="39">
        <f t="shared" si="30"/>
        <v>375566</v>
      </c>
      <c r="BF39" s="39">
        <f t="shared" si="30"/>
        <v>-159960</v>
      </c>
      <c r="BG39" s="39">
        <f t="shared" si="30"/>
        <v>262847.12665234285</v>
      </c>
      <c r="BH39" s="39">
        <f t="shared" si="30"/>
        <v>72911.12</v>
      </c>
      <c r="BI39" s="39">
        <f t="shared" si="30"/>
        <v>17907.350000000006</v>
      </c>
      <c r="BJ39" s="39">
        <f t="shared" si="30"/>
        <v>70778</v>
      </c>
      <c r="BK39" s="39">
        <f t="shared" si="30"/>
        <v>0</v>
      </c>
      <c r="BL39" s="41">
        <f t="shared" si="30"/>
        <v>20040.47</v>
      </c>
      <c r="BM39" s="85">
        <f t="shared" si="30"/>
        <v>351110</v>
      </c>
      <c r="BN39" s="39">
        <f t="shared" si="30"/>
        <v>11184</v>
      </c>
      <c r="BO39" s="39">
        <f t="shared" si="30"/>
        <v>-88262.873347657151</v>
      </c>
      <c r="BP39" s="39">
        <f t="shared" si="30"/>
        <v>8856.4700000000012</v>
      </c>
      <c r="BQ39" s="85">
        <f t="shared" ref="BQ39:BT39" si="31">BQ29</f>
        <v>-1983.5641245227093</v>
      </c>
      <c r="BR39" s="39">
        <f t="shared" si="31"/>
        <v>-632.80533533553762</v>
      </c>
      <c r="BS39" s="39">
        <f t="shared" si="31"/>
        <v>6240.1005401417551</v>
      </c>
      <c r="BT39" s="53">
        <f t="shared" si="31"/>
        <v>-82022.772807515401</v>
      </c>
      <c r="BU39" s="39"/>
      <c r="BV39" s="86">
        <f>BV29</f>
        <v>667348.37</v>
      </c>
      <c r="BW39" s="55">
        <f>ROUND(BV39-SUM(BG39,BL39),2)</f>
        <v>384460.77</v>
      </c>
      <c r="BX39" s="3"/>
      <c r="BY39" s="4"/>
      <c r="BZ39" s="4"/>
      <c r="CA39" s="4"/>
      <c r="CB39" s="4"/>
    </row>
    <row r="40" spans="1:80" s="92" customFormat="1" ht="15" thickBot="1" x14ac:dyDescent="0.4">
      <c r="A40" s="87"/>
      <c r="B40" s="87"/>
      <c r="C40" s="88" t="s">
        <v>92</v>
      </c>
      <c r="D40" s="89"/>
      <c r="E40" s="39">
        <f t="shared" ref="E40:BP40" si="32">SUM(E21:E37)-E29</f>
        <v>-1668480.0899999999</v>
      </c>
      <c r="F40" s="39">
        <f t="shared" si="32"/>
        <v>1341902</v>
      </c>
      <c r="G40" s="39">
        <f t="shared" si="32"/>
        <v>-289390</v>
      </c>
      <c r="H40" s="39">
        <f t="shared" si="32"/>
        <v>0</v>
      </c>
      <c r="I40" s="39">
        <f t="shared" si="32"/>
        <v>-37188.089999999851</v>
      </c>
      <c r="J40" s="39">
        <f t="shared" si="32"/>
        <v>-288635</v>
      </c>
      <c r="K40" s="39">
        <f t="shared" si="32"/>
        <v>-15126</v>
      </c>
      <c r="L40" s="39">
        <f t="shared" si="32"/>
        <v>-27160</v>
      </c>
      <c r="M40" s="39">
        <f t="shared" si="32"/>
        <v>0</v>
      </c>
      <c r="N40" s="39">
        <f t="shared" si="32"/>
        <v>-276601</v>
      </c>
      <c r="O40" s="85">
        <f t="shared" si="32"/>
        <v>-37188.089999999851</v>
      </c>
      <c r="P40" s="39">
        <f t="shared" si="32"/>
        <v>477561</v>
      </c>
      <c r="Q40" s="39">
        <f t="shared" si="32"/>
        <v>0</v>
      </c>
      <c r="R40" s="39">
        <f t="shared" si="32"/>
        <v>0</v>
      </c>
      <c r="S40" s="39">
        <f t="shared" si="32"/>
        <v>440372.91000000015</v>
      </c>
      <c r="T40" s="39">
        <f t="shared" si="32"/>
        <v>-276601</v>
      </c>
      <c r="U40" s="39">
        <f t="shared" si="32"/>
        <v>-7425</v>
      </c>
      <c r="V40" s="39">
        <f t="shared" si="32"/>
        <v>0</v>
      </c>
      <c r="W40" s="39">
        <f t="shared" si="32"/>
        <v>0</v>
      </c>
      <c r="X40" s="39">
        <f t="shared" si="32"/>
        <v>-284026</v>
      </c>
      <c r="Y40" s="85">
        <f t="shared" si="32"/>
        <v>440372.91000000015</v>
      </c>
      <c r="Z40" s="39">
        <f t="shared" si="32"/>
        <v>-671434.48</v>
      </c>
      <c r="AA40" s="39">
        <f t="shared" si="32"/>
        <v>-1150097</v>
      </c>
      <c r="AB40" s="39">
        <f t="shared" si="32"/>
        <v>0</v>
      </c>
      <c r="AC40" s="39">
        <f t="shared" si="32"/>
        <v>919035.43000000017</v>
      </c>
      <c r="AD40" s="39">
        <f t="shared" si="32"/>
        <v>-284026</v>
      </c>
      <c r="AE40" s="39">
        <f t="shared" si="32"/>
        <v>10715.84</v>
      </c>
      <c r="AF40" s="39">
        <f t="shared" si="32"/>
        <v>-11149</v>
      </c>
      <c r="AG40" s="39">
        <f t="shared" si="32"/>
        <v>0</v>
      </c>
      <c r="AH40" s="39">
        <f t="shared" si="32"/>
        <v>-262161.15999999997</v>
      </c>
      <c r="AI40" s="85">
        <f t="shared" si="32"/>
        <v>919035.43000000017</v>
      </c>
      <c r="AJ40" s="39">
        <f t="shared" si="32"/>
        <v>-615980.98</v>
      </c>
      <c r="AK40" s="39">
        <f t="shared" si="32"/>
        <v>0</v>
      </c>
      <c r="AL40" s="39">
        <f t="shared" si="32"/>
        <v>983999.99999999977</v>
      </c>
      <c r="AM40" s="39">
        <f t="shared" si="32"/>
        <v>1287054.45</v>
      </c>
      <c r="AN40" s="39">
        <f t="shared" si="32"/>
        <v>-262161.15999999997</v>
      </c>
      <c r="AO40" s="39">
        <f t="shared" si="32"/>
        <v>256874.41999999998</v>
      </c>
      <c r="AP40" s="39">
        <f t="shared" si="32"/>
        <v>0</v>
      </c>
      <c r="AQ40" s="39">
        <f t="shared" si="32"/>
        <v>-81074.026999999973</v>
      </c>
      <c r="AR40" s="39">
        <f t="shared" si="32"/>
        <v>-86360.766999999978</v>
      </c>
      <c r="AS40" s="90">
        <f t="shared" si="32"/>
        <v>1287054.45</v>
      </c>
      <c r="AT40" s="39">
        <f t="shared" si="32"/>
        <v>-259782.41999999958</v>
      </c>
      <c r="AU40" s="39">
        <f t="shared" si="32"/>
        <v>0</v>
      </c>
      <c r="AV40" s="39">
        <f t="shared" si="32"/>
        <v>324072.39334765717</v>
      </c>
      <c r="AW40" s="39">
        <f t="shared" si="32"/>
        <v>1351344.4233476573</v>
      </c>
      <c r="AX40" s="39">
        <f t="shared" si="32"/>
        <v>-86360.766999999978</v>
      </c>
      <c r="AY40" s="39">
        <f t="shared" si="32"/>
        <v>15732.556999999975</v>
      </c>
      <c r="AZ40" s="39">
        <f t="shared" si="32"/>
        <v>0</v>
      </c>
      <c r="BA40" s="39">
        <f t="shared" si="32"/>
        <v>0</v>
      </c>
      <c r="BB40" s="39">
        <f t="shared" si="32"/>
        <v>-70628.209999999992</v>
      </c>
      <c r="BC40" s="85">
        <f t="shared" si="32"/>
        <v>1351344.4233476573</v>
      </c>
      <c r="BD40" s="39">
        <f t="shared" si="32"/>
        <v>1592551.2</v>
      </c>
      <c r="BE40" s="39">
        <f t="shared" si="32"/>
        <v>1287054</v>
      </c>
      <c r="BF40" s="39">
        <f t="shared" si="32"/>
        <v>116480.40248889953</v>
      </c>
      <c r="BG40" s="39">
        <f t="shared" si="32"/>
        <v>1773322.0258365567</v>
      </c>
      <c r="BH40" s="39">
        <f t="shared" si="32"/>
        <v>-70628.209999999992</v>
      </c>
      <c r="BI40" s="39">
        <f t="shared" si="32"/>
        <v>31148.139999999992</v>
      </c>
      <c r="BJ40" s="39">
        <f t="shared" si="32"/>
        <v>-64557</v>
      </c>
      <c r="BK40" s="39">
        <f t="shared" si="32"/>
        <v>1507</v>
      </c>
      <c r="BL40" s="41">
        <f t="shared" si="32"/>
        <v>26583.929999999993</v>
      </c>
      <c r="BM40" s="85">
        <f t="shared" si="32"/>
        <v>64289</v>
      </c>
      <c r="BN40" s="39">
        <f t="shared" si="32"/>
        <v>-2906</v>
      </c>
      <c r="BO40" s="39">
        <f t="shared" si="32"/>
        <v>1709033.0258365567</v>
      </c>
      <c r="BP40" s="39">
        <f t="shared" si="32"/>
        <v>29489.929999999993</v>
      </c>
      <c r="BQ40" s="85">
        <f t="shared" ref="BQ40:BT40" si="33">SUM(BQ21:BQ37)-BQ29</f>
        <v>38394.70938591718</v>
      </c>
      <c r="BR40" s="39">
        <f t="shared" si="33"/>
        <v>12248.848750434061</v>
      </c>
      <c r="BS40" s="39">
        <f t="shared" si="33"/>
        <v>80133.488136351225</v>
      </c>
      <c r="BT40" s="39">
        <f t="shared" si="33"/>
        <v>535930.98013093532</v>
      </c>
      <c r="BU40" s="39"/>
      <c r="BV40" s="86">
        <f>SUM(BV21:BV37)-BV29-BV24-BV25</f>
        <v>1359352.84</v>
      </c>
      <c r="BW40" s="55">
        <f>ROUND(BV40-SUM(BG40,BL40),2)</f>
        <v>-440553.12</v>
      </c>
      <c r="BX40" s="3"/>
      <c r="BY40" s="91"/>
      <c r="BZ40" s="91"/>
      <c r="CA40" s="91"/>
      <c r="CB40" s="91"/>
    </row>
    <row r="41" spans="1:80" s="92" customFormat="1" ht="15" thickBot="1" x14ac:dyDescent="0.4">
      <c r="A41" s="87"/>
      <c r="B41" s="87"/>
      <c r="C41" s="88" t="s">
        <v>93</v>
      </c>
      <c r="D41" s="89"/>
      <c r="E41" s="39">
        <f>SUM(E39,E40)</f>
        <v>-1668480.0899999999</v>
      </c>
      <c r="F41" s="39">
        <f t="shared" ref="F41:O41" si="34">SUM(F39,F40)</f>
        <v>1341902</v>
      </c>
      <c r="G41" s="39">
        <f>SUM(G39,G40)</f>
        <v>-289390</v>
      </c>
      <c r="H41" s="39">
        <f t="shared" si="34"/>
        <v>0</v>
      </c>
      <c r="I41" s="39">
        <f t="shared" si="34"/>
        <v>-37188.089999999851</v>
      </c>
      <c r="J41" s="39">
        <f t="shared" si="34"/>
        <v>-288635</v>
      </c>
      <c r="K41" s="39">
        <f t="shared" si="34"/>
        <v>-15126</v>
      </c>
      <c r="L41" s="39">
        <f t="shared" si="34"/>
        <v>-27160</v>
      </c>
      <c r="M41" s="39">
        <f t="shared" si="34"/>
        <v>0</v>
      </c>
      <c r="N41" s="39">
        <f t="shared" si="34"/>
        <v>-276601</v>
      </c>
      <c r="O41" s="85">
        <f t="shared" si="34"/>
        <v>-37188.089999999851</v>
      </c>
      <c r="P41" s="39">
        <f>SUM(P39,P40)</f>
        <v>477561</v>
      </c>
      <c r="Q41" s="39">
        <f>SUM(Q39,Q40)</f>
        <v>0</v>
      </c>
      <c r="R41" s="39">
        <f t="shared" ref="R41:BS41" si="35">SUM(R39,R40)</f>
        <v>0</v>
      </c>
      <c r="S41" s="39">
        <f t="shared" si="35"/>
        <v>440372.91000000015</v>
      </c>
      <c r="T41" s="39">
        <f t="shared" si="35"/>
        <v>-276601</v>
      </c>
      <c r="U41" s="39">
        <f t="shared" si="35"/>
        <v>-7425</v>
      </c>
      <c r="V41" s="39">
        <f t="shared" si="35"/>
        <v>0</v>
      </c>
      <c r="W41" s="39">
        <f t="shared" si="35"/>
        <v>0</v>
      </c>
      <c r="X41" s="41">
        <f t="shared" si="35"/>
        <v>-284026</v>
      </c>
      <c r="Y41" s="39">
        <f t="shared" si="35"/>
        <v>440372.91000000015</v>
      </c>
      <c r="Z41" s="39">
        <f t="shared" si="35"/>
        <v>-671434.48</v>
      </c>
      <c r="AA41" s="39">
        <f>SUM(AA39,AA40)</f>
        <v>-1150097</v>
      </c>
      <c r="AB41" s="39">
        <f t="shared" si="35"/>
        <v>0</v>
      </c>
      <c r="AC41" s="39">
        <f t="shared" si="35"/>
        <v>919035.43000000017</v>
      </c>
      <c r="AD41" s="39">
        <f t="shared" si="35"/>
        <v>-284026</v>
      </c>
      <c r="AE41" s="39">
        <f t="shared" si="35"/>
        <v>10715.84</v>
      </c>
      <c r="AF41" s="39">
        <f t="shared" si="35"/>
        <v>-11149</v>
      </c>
      <c r="AG41" s="39">
        <f t="shared" si="35"/>
        <v>0</v>
      </c>
      <c r="AH41" s="41">
        <f t="shared" si="35"/>
        <v>-262161.15999999997</v>
      </c>
      <c r="AI41" s="39">
        <f t="shared" si="35"/>
        <v>919035.43000000017</v>
      </c>
      <c r="AJ41" s="39">
        <f t="shared" si="35"/>
        <v>-615980.98</v>
      </c>
      <c r="AK41" s="39">
        <f>SUM(AK39,AK40)</f>
        <v>0</v>
      </c>
      <c r="AL41" s="39">
        <f t="shared" si="35"/>
        <v>1359566.320000001</v>
      </c>
      <c r="AM41" s="39">
        <f t="shared" si="35"/>
        <v>1662620.7700000012</v>
      </c>
      <c r="AN41" s="39">
        <f t="shared" si="35"/>
        <v>-262161.15999999997</v>
      </c>
      <c r="AO41" s="39">
        <f t="shared" si="35"/>
        <v>256874.41999999998</v>
      </c>
      <c r="AP41" s="39">
        <f t="shared" si="35"/>
        <v>0</v>
      </c>
      <c r="AQ41" s="39">
        <f t="shared" si="35"/>
        <v>-16657.876999999986</v>
      </c>
      <c r="AR41" s="39">
        <f t="shared" si="35"/>
        <v>-21944.616999999991</v>
      </c>
      <c r="AS41" s="90">
        <f>SUM(AS39,AS40)</f>
        <v>1662620.7700000012</v>
      </c>
      <c r="AT41" s="39">
        <f t="shared" si="35"/>
        <v>315828.23999999918</v>
      </c>
      <c r="AU41" s="39">
        <f>SUM(AU39,AU40)</f>
        <v>0</v>
      </c>
      <c r="AV41" s="39">
        <f t="shared" si="35"/>
        <v>99571.62</v>
      </c>
      <c r="AW41" s="39">
        <f t="shared" si="35"/>
        <v>2078020.6300000001</v>
      </c>
      <c r="AX41" s="39">
        <f t="shared" si="35"/>
        <v>-21944.616999999991</v>
      </c>
      <c r="AY41" s="39">
        <f t="shared" si="35"/>
        <v>24227.526999999984</v>
      </c>
      <c r="AZ41" s="39">
        <f t="shared" si="35"/>
        <v>0</v>
      </c>
      <c r="BA41" s="39">
        <f t="shared" si="35"/>
        <v>0</v>
      </c>
      <c r="BB41" s="39">
        <f t="shared" si="35"/>
        <v>2282.9100000000035</v>
      </c>
      <c r="BC41" s="85">
        <f t="shared" si="35"/>
        <v>2078020.6300000001</v>
      </c>
      <c r="BD41" s="39">
        <f t="shared" si="35"/>
        <v>1664248.12</v>
      </c>
      <c r="BE41" s="39">
        <f>SUM(BE39,BE40)</f>
        <v>1662620</v>
      </c>
      <c r="BF41" s="39">
        <f t="shared" si="35"/>
        <v>-43479.597511100466</v>
      </c>
      <c r="BG41" s="39">
        <f t="shared" si="35"/>
        <v>2036169.1524888994</v>
      </c>
      <c r="BH41" s="39">
        <f t="shared" si="35"/>
        <v>2282.9100000000035</v>
      </c>
      <c r="BI41" s="39">
        <f t="shared" si="35"/>
        <v>49055.49</v>
      </c>
      <c r="BJ41" s="39">
        <f t="shared" si="35"/>
        <v>6221</v>
      </c>
      <c r="BK41" s="39">
        <f t="shared" si="35"/>
        <v>1507</v>
      </c>
      <c r="BL41" s="41">
        <f t="shared" si="35"/>
        <v>46624.399999999994</v>
      </c>
      <c r="BM41" s="85">
        <f>SUM(BM39,BM40)-BM37</f>
        <v>415399</v>
      </c>
      <c r="BN41" s="39">
        <f t="shared" si="35"/>
        <v>8278</v>
      </c>
      <c r="BO41" s="39">
        <f t="shared" si="35"/>
        <v>1620770.1524888994</v>
      </c>
      <c r="BP41" s="39">
        <f t="shared" si="35"/>
        <v>38346.399999999994</v>
      </c>
      <c r="BQ41" s="85">
        <f t="shared" si="35"/>
        <v>36411.145261394471</v>
      </c>
      <c r="BR41" s="39">
        <f t="shared" si="35"/>
        <v>11616.043415098524</v>
      </c>
      <c r="BS41" s="39">
        <f t="shared" si="35"/>
        <v>86373.588676492975</v>
      </c>
      <c r="BT41" s="39">
        <f>SUM(BT39,BT40)</f>
        <v>453908.20732341992</v>
      </c>
      <c r="BU41" s="39"/>
      <c r="BV41" s="86">
        <f>SUM(BV39,BV40)</f>
        <v>2026701.21</v>
      </c>
      <c r="BW41" s="55">
        <f>ROUND(BV41-SUM(BG41,BL41),2)</f>
        <v>-56092.34</v>
      </c>
      <c r="BX41" s="3"/>
      <c r="BY41" s="91"/>
      <c r="BZ41" s="91"/>
      <c r="CA41" s="91"/>
      <c r="CB41" s="91"/>
    </row>
    <row r="42" spans="1:80" s="92" customFormat="1" ht="15" thickBot="1" x14ac:dyDescent="0.4">
      <c r="A42" s="87"/>
      <c r="B42" s="87"/>
      <c r="C42" s="93"/>
      <c r="D42" s="94"/>
      <c r="E42" s="95"/>
      <c r="F42" s="95"/>
      <c r="G42" s="95"/>
      <c r="H42" s="95"/>
      <c r="I42" s="95"/>
      <c r="J42" s="95"/>
      <c r="K42" s="95"/>
      <c r="L42" s="95"/>
      <c r="M42" s="95"/>
      <c r="N42" s="96"/>
      <c r="O42" s="97"/>
      <c r="P42" s="98"/>
      <c r="Q42" s="98"/>
      <c r="R42" s="98"/>
      <c r="S42" s="98"/>
      <c r="T42" s="98"/>
      <c r="U42" s="98"/>
      <c r="V42" s="98"/>
      <c r="W42" s="98"/>
      <c r="X42" s="99"/>
      <c r="Y42" s="98"/>
      <c r="Z42" s="98"/>
      <c r="AA42" s="98"/>
      <c r="AB42" s="98"/>
      <c r="AC42" s="98"/>
      <c r="AD42" s="98"/>
      <c r="AE42" s="98"/>
      <c r="AF42" s="98"/>
      <c r="AG42" s="98"/>
      <c r="AH42" s="99"/>
      <c r="AI42" s="98"/>
      <c r="AJ42" s="98"/>
      <c r="AK42" s="98"/>
      <c r="AL42" s="98"/>
      <c r="AM42" s="98"/>
      <c r="AN42" s="98"/>
      <c r="AO42" s="98"/>
      <c r="AP42" s="98"/>
      <c r="AQ42" s="98"/>
      <c r="AR42" s="100"/>
      <c r="AS42" s="76"/>
      <c r="AT42" s="98"/>
      <c r="AU42" s="98"/>
      <c r="AV42" s="98"/>
      <c r="AW42" s="98"/>
      <c r="AX42" s="98"/>
      <c r="AY42" s="98"/>
      <c r="AZ42" s="98"/>
      <c r="BA42" s="98"/>
      <c r="BB42" s="98"/>
      <c r="BC42" s="101"/>
      <c r="BD42" s="102"/>
      <c r="BE42" s="102"/>
      <c r="BF42" s="102"/>
      <c r="BG42" s="102"/>
      <c r="BH42" s="102"/>
      <c r="BI42" s="102"/>
      <c r="BJ42" s="102"/>
      <c r="BK42" s="102"/>
      <c r="BL42" s="99"/>
      <c r="BM42" s="103"/>
      <c r="BN42" s="104"/>
      <c r="BO42" s="105"/>
      <c r="BP42" s="105"/>
      <c r="BQ42" s="103"/>
      <c r="BR42" s="104"/>
      <c r="BS42" s="26"/>
      <c r="BT42" s="53"/>
      <c r="BU42" s="39"/>
      <c r="BV42" s="82"/>
      <c r="BW42" s="106"/>
      <c r="BX42" s="107"/>
      <c r="BY42" s="91"/>
      <c r="BZ42" s="91"/>
      <c r="CA42" s="91"/>
      <c r="CB42" s="91"/>
    </row>
    <row r="43" spans="1:80" s="92" customFormat="1" ht="15" thickBot="1" x14ac:dyDescent="0.4">
      <c r="A43" s="87">
        <v>29</v>
      </c>
      <c r="B43" s="87"/>
      <c r="C43" s="108" t="s">
        <v>94</v>
      </c>
      <c r="D43" s="109">
        <v>1568</v>
      </c>
      <c r="E43" s="110"/>
      <c r="F43" s="110"/>
      <c r="G43" s="110"/>
      <c r="H43" s="110"/>
      <c r="I43" s="110"/>
      <c r="J43" s="110"/>
      <c r="K43" s="110"/>
      <c r="L43" s="110"/>
      <c r="M43" s="110"/>
      <c r="N43" s="111"/>
      <c r="O43" s="112"/>
      <c r="P43" s="113">
        <v>24404.560000000001</v>
      </c>
      <c r="Q43" s="113"/>
      <c r="R43" s="113"/>
      <c r="S43" s="77">
        <f>O43+P43-Q43+SUM(R43:R43)</f>
        <v>24404.560000000001</v>
      </c>
      <c r="T43" s="113"/>
      <c r="U43" s="113"/>
      <c r="V43" s="113"/>
      <c r="W43" s="113"/>
      <c r="X43" s="78">
        <f>T43+U43-V43+W43</f>
        <v>0</v>
      </c>
      <c r="Y43" s="114">
        <f>S43</f>
        <v>24404.560000000001</v>
      </c>
      <c r="Z43" s="113">
        <v>28325.21</v>
      </c>
      <c r="AA43" s="113"/>
      <c r="AB43" s="113"/>
      <c r="AC43" s="77">
        <f>Y43+Z43-AA43+SUM(AB43:AB43)</f>
        <v>52729.770000000004</v>
      </c>
      <c r="AD43" s="77">
        <f>X43</f>
        <v>0</v>
      </c>
      <c r="AE43" s="113"/>
      <c r="AF43" s="113"/>
      <c r="AG43" s="48"/>
      <c r="AH43" s="78">
        <f>AD43+AE43-AF43+AG43</f>
        <v>0</v>
      </c>
      <c r="AI43" s="115">
        <f>AC43</f>
        <v>52729.770000000004</v>
      </c>
      <c r="AJ43" s="49">
        <v>50809.86</v>
      </c>
      <c r="AK43" s="113"/>
      <c r="AL43" s="116"/>
      <c r="AM43" s="77">
        <f>AI43+AJ43-AK43+SUM(AL43:AL43)</f>
        <v>103539.63</v>
      </c>
      <c r="AN43" s="77">
        <f>AH43</f>
        <v>0</v>
      </c>
      <c r="AO43" s="113"/>
      <c r="AP43" s="113"/>
      <c r="AQ43" s="116"/>
      <c r="AR43" s="78">
        <f>AN43+AO43-AP43+AQ43</f>
        <v>0</v>
      </c>
      <c r="AS43" s="115">
        <f>AM43</f>
        <v>103539.63</v>
      </c>
      <c r="AT43" s="113">
        <v>39516.790000000008</v>
      </c>
      <c r="AU43" s="113"/>
      <c r="AV43" s="113"/>
      <c r="AW43" s="77">
        <f>AS43+AT43-AU43+SUM(AV43:AV43)</f>
        <v>143056.42000000001</v>
      </c>
      <c r="AX43" s="77">
        <f>AR43</f>
        <v>0</v>
      </c>
      <c r="AY43" s="49">
        <v>2860.54</v>
      </c>
      <c r="AZ43" s="113"/>
      <c r="BA43" s="113"/>
      <c r="BB43" s="77">
        <f>AX43+AY43-AZ43+BA43</f>
        <v>2860.54</v>
      </c>
      <c r="BC43" s="115">
        <f>AW43</f>
        <v>143056.42000000001</v>
      </c>
      <c r="BD43" s="49">
        <v>274315</v>
      </c>
      <c r="BE43" s="49">
        <v>51879.919501960503</v>
      </c>
      <c r="BF43" s="49">
        <v>-28255.655761742099</v>
      </c>
      <c r="BG43" s="77">
        <f>BC43+BD43-BE43+SUM(BF43:BF43)</f>
        <v>337235.84473629744</v>
      </c>
      <c r="BH43" s="77">
        <f>BB43</f>
        <v>2860.54</v>
      </c>
      <c r="BI43" s="49">
        <v>3473</v>
      </c>
      <c r="BJ43" s="113">
        <v>2840</v>
      </c>
      <c r="BK43" s="113">
        <v>3926</v>
      </c>
      <c r="BL43" s="78">
        <f>BH43+BI43-BJ43+BK43</f>
        <v>7419.54</v>
      </c>
      <c r="BM43" s="49">
        <v>61054</v>
      </c>
      <c r="BN43" s="49">
        <v>2619</v>
      </c>
      <c r="BO43" s="43">
        <f>BG43-BM43</f>
        <v>276181.84473629744</v>
      </c>
      <c r="BP43" s="50">
        <f>BL43-BN43</f>
        <v>4800.54</v>
      </c>
      <c r="BQ43" s="112">
        <v>6204.633224212711</v>
      </c>
      <c r="BR43" s="49">
        <v>1979.429331041518</v>
      </c>
      <c r="BS43" s="39">
        <f>BP43+BQ43+BR43</f>
        <v>12984.602555254229</v>
      </c>
      <c r="BT43" s="53">
        <f>SUM(BO43:BR43)</f>
        <v>289166.44729155168</v>
      </c>
      <c r="BU43" s="39"/>
      <c r="BV43" s="86">
        <v>368984.77</v>
      </c>
      <c r="BW43" s="55">
        <f>ROUND(BV43-SUM(BG43,BL43),2)</f>
        <v>24329.39</v>
      </c>
      <c r="BX43" s="3" t="str">
        <f t="shared" si="17"/>
        <v>Please provide an explanation of the variance in the Manager's Summary</v>
      </c>
      <c r="BY43" s="91"/>
      <c r="BZ43" s="91"/>
      <c r="CA43" s="91"/>
      <c r="CB43" s="91"/>
    </row>
    <row r="44" spans="1:80" s="92" customFormat="1" x14ac:dyDescent="0.35">
      <c r="A44" s="87"/>
      <c r="B44" s="87"/>
      <c r="C44" s="108"/>
      <c r="D44" s="109"/>
      <c r="E44" s="95"/>
      <c r="F44" s="95"/>
      <c r="G44" s="95"/>
      <c r="H44" s="95"/>
      <c r="I44" s="95"/>
      <c r="J44" s="95"/>
      <c r="K44" s="95"/>
      <c r="L44" s="95"/>
      <c r="M44" s="95"/>
      <c r="N44" s="96"/>
      <c r="O44" s="97"/>
      <c r="P44" s="98"/>
      <c r="Q44" s="98"/>
      <c r="R44" s="98"/>
      <c r="S44" s="98"/>
      <c r="T44" s="98"/>
      <c r="U44" s="98"/>
      <c r="V44" s="98"/>
      <c r="W44" s="98"/>
      <c r="X44" s="99"/>
      <c r="Y44" s="98"/>
      <c r="Z44" s="98"/>
      <c r="AA44" s="98"/>
      <c r="AB44" s="98"/>
      <c r="AC44" s="98"/>
      <c r="AD44" s="98"/>
      <c r="AE44" s="98"/>
      <c r="AF44" s="98"/>
      <c r="AG44" s="98"/>
      <c r="AH44" s="99"/>
      <c r="AI44" s="98"/>
      <c r="AJ44" s="98"/>
      <c r="AK44" s="98"/>
      <c r="AL44" s="98"/>
      <c r="AM44" s="98"/>
      <c r="AN44" s="98"/>
      <c r="AO44" s="98"/>
      <c r="AP44" s="98"/>
      <c r="AQ44" s="98"/>
      <c r="AR44" s="98"/>
      <c r="AS44" s="76"/>
      <c r="AT44" s="98"/>
      <c r="AU44" s="98"/>
      <c r="AV44" s="98"/>
      <c r="AW44" s="98"/>
      <c r="AX44" s="98"/>
      <c r="AY44" s="98"/>
      <c r="AZ44" s="98"/>
      <c r="BA44" s="98"/>
      <c r="BB44" s="98"/>
      <c r="BC44" s="101"/>
      <c r="BD44" s="102"/>
      <c r="BE44" s="102"/>
      <c r="BF44" s="102"/>
      <c r="BG44" s="102"/>
      <c r="BH44" s="102"/>
      <c r="BI44" s="102"/>
      <c r="BJ44" s="102"/>
      <c r="BK44" s="102"/>
      <c r="BL44" s="99"/>
      <c r="BM44" s="103"/>
      <c r="BN44" s="104"/>
      <c r="BO44" s="105"/>
      <c r="BP44" s="105"/>
      <c r="BQ44" s="103"/>
      <c r="BR44" s="104"/>
      <c r="BS44" s="105"/>
      <c r="BT44" s="53"/>
      <c r="BU44" s="39"/>
      <c r="BV44" s="82"/>
      <c r="BW44" s="106"/>
      <c r="BX44" s="107"/>
      <c r="BY44" s="91"/>
      <c r="BZ44" s="91"/>
      <c r="CA44" s="91"/>
      <c r="CB44" s="91"/>
    </row>
    <row r="45" spans="1:80" s="126" customFormat="1" ht="15" thickBot="1" x14ac:dyDescent="0.4">
      <c r="A45" s="117"/>
      <c r="B45" s="117"/>
      <c r="C45" s="118" t="s">
        <v>95</v>
      </c>
      <c r="D45" s="119"/>
      <c r="E45" s="120">
        <f>SUM(E41,E43)</f>
        <v>-1668480.0899999999</v>
      </c>
      <c r="F45" s="120">
        <f t="shared" ref="F45:BQ45" si="36">SUM(F41,F43)</f>
        <v>1341902</v>
      </c>
      <c r="G45" s="120">
        <f t="shared" si="36"/>
        <v>-289390</v>
      </c>
      <c r="H45" s="120">
        <f t="shared" si="36"/>
        <v>0</v>
      </c>
      <c r="I45" s="120">
        <f t="shared" si="36"/>
        <v>-37188.089999999851</v>
      </c>
      <c r="J45" s="120">
        <f t="shared" si="36"/>
        <v>-288635</v>
      </c>
      <c r="K45" s="120">
        <f t="shared" si="36"/>
        <v>-15126</v>
      </c>
      <c r="L45" s="120">
        <f t="shared" si="36"/>
        <v>-27160</v>
      </c>
      <c r="M45" s="120">
        <f t="shared" si="36"/>
        <v>0</v>
      </c>
      <c r="N45" s="121">
        <f t="shared" si="36"/>
        <v>-276601</v>
      </c>
      <c r="O45" s="122">
        <f t="shared" si="36"/>
        <v>-37188.089999999851</v>
      </c>
      <c r="P45" s="120">
        <f t="shared" si="36"/>
        <v>501965.56</v>
      </c>
      <c r="Q45" s="120">
        <f t="shared" si="36"/>
        <v>0</v>
      </c>
      <c r="R45" s="120">
        <f t="shared" si="36"/>
        <v>0</v>
      </c>
      <c r="S45" s="120">
        <f t="shared" si="36"/>
        <v>464777.47000000015</v>
      </c>
      <c r="T45" s="120">
        <f t="shared" si="36"/>
        <v>-276601</v>
      </c>
      <c r="U45" s="120">
        <f t="shared" si="36"/>
        <v>-7425</v>
      </c>
      <c r="V45" s="120">
        <f t="shared" si="36"/>
        <v>0</v>
      </c>
      <c r="W45" s="120">
        <f t="shared" si="36"/>
        <v>0</v>
      </c>
      <c r="X45" s="120">
        <f t="shared" si="36"/>
        <v>-284026</v>
      </c>
      <c r="Y45" s="122">
        <f t="shared" si="36"/>
        <v>464777.47000000015</v>
      </c>
      <c r="Z45" s="120">
        <f>SUM(Z41,Z43)</f>
        <v>-643109.27</v>
      </c>
      <c r="AA45" s="120">
        <f t="shared" si="36"/>
        <v>-1150097</v>
      </c>
      <c r="AB45" s="120">
        <f t="shared" si="36"/>
        <v>0</v>
      </c>
      <c r="AC45" s="120">
        <f t="shared" si="36"/>
        <v>971765.20000000019</v>
      </c>
      <c r="AD45" s="120">
        <f t="shared" si="36"/>
        <v>-284026</v>
      </c>
      <c r="AE45" s="120">
        <f t="shared" si="36"/>
        <v>10715.84</v>
      </c>
      <c r="AF45" s="120">
        <f t="shared" si="36"/>
        <v>-11149</v>
      </c>
      <c r="AG45" s="120">
        <f t="shared" si="36"/>
        <v>0</v>
      </c>
      <c r="AH45" s="120">
        <f t="shared" si="36"/>
        <v>-262161.15999999997</v>
      </c>
      <c r="AI45" s="122">
        <f t="shared" si="36"/>
        <v>971765.20000000019</v>
      </c>
      <c r="AJ45" s="120">
        <f t="shared" si="36"/>
        <v>-565171.12</v>
      </c>
      <c r="AK45" s="120">
        <f t="shared" si="36"/>
        <v>0</v>
      </c>
      <c r="AL45" s="120">
        <f t="shared" si="36"/>
        <v>1359566.320000001</v>
      </c>
      <c r="AM45" s="120">
        <f t="shared" si="36"/>
        <v>1766160.4000000013</v>
      </c>
      <c r="AN45" s="120">
        <f t="shared" si="36"/>
        <v>-262161.15999999997</v>
      </c>
      <c r="AO45" s="120">
        <f t="shared" si="36"/>
        <v>256874.41999999998</v>
      </c>
      <c r="AP45" s="120">
        <f t="shared" si="36"/>
        <v>0</v>
      </c>
      <c r="AQ45" s="120">
        <f t="shared" si="36"/>
        <v>-16657.876999999986</v>
      </c>
      <c r="AR45" s="120">
        <f t="shared" si="36"/>
        <v>-21944.616999999991</v>
      </c>
      <c r="AS45" s="122">
        <f t="shared" si="36"/>
        <v>1766160.4000000013</v>
      </c>
      <c r="AT45" s="120">
        <f t="shared" si="36"/>
        <v>355345.02999999921</v>
      </c>
      <c r="AU45" s="120">
        <f t="shared" si="36"/>
        <v>0</v>
      </c>
      <c r="AV45" s="120">
        <f t="shared" si="36"/>
        <v>99571.62</v>
      </c>
      <c r="AW45" s="120">
        <f t="shared" si="36"/>
        <v>2221077.0500000003</v>
      </c>
      <c r="AX45" s="120">
        <f t="shared" si="36"/>
        <v>-21944.616999999991</v>
      </c>
      <c r="AY45" s="120">
        <f t="shared" si="36"/>
        <v>27088.066999999985</v>
      </c>
      <c r="AZ45" s="120">
        <f t="shared" si="36"/>
        <v>0</v>
      </c>
      <c r="BA45" s="120">
        <f t="shared" si="36"/>
        <v>0</v>
      </c>
      <c r="BB45" s="120">
        <f t="shared" si="36"/>
        <v>5143.4500000000035</v>
      </c>
      <c r="BC45" s="122">
        <f t="shared" si="36"/>
        <v>2221077.0500000003</v>
      </c>
      <c r="BD45" s="120">
        <f t="shared" si="36"/>
        <v>1938563.12</v>
      </c>
      <c r="BE45" s="120">
        <f t="shared" si="36"/>
        <v>1714499.9195019605</v>
      </c>
      <c r="BF45" s="120">
        <f t="shared" si="36"/>
        <v>-71735.253272842558</v>
      </c>
      <c r="BG45" s="120">
        <f t="shared" si="36"/>
        <v>2373404.997225197</v>
      </c>
      <c r="BH45" s="120">
        <f t="shared" si="36"/>
        <v>5143.4500000000035</v>
      </c>
      <c r="BI45" s="120">
        <f t="shared" si="36"/>
        <v>52528.49</v>
      </c>
      <c r="BJ45" s="120">
        <f t="shared" si="36"/>
        <v>9061</v>
      </c>
      <c r="BK45" s="120">
        <f t="shared" si="36"/>
        <v>5433</v>
      </c>
      <c r="BL45" s="121">
        <f t="shared" si="36"/>
        <v>54043.939999999995</v>
      </c>
      <c r="BM45" s="120">
        <f t="shared" si="36"/>
        <v>476453</v>
      </c>
      <c r="BN45" s="120">
        <f t="shared" si="36"/>
        <v>10897</v>
      </c>
      <c r="BO45" s="120">
        <f t="shared" si="36"/>
        <v>1896951.9972251968</v>
      </c>
      <c r="BP45" s="120">
        <f t="shared" si="36"/>
        <v>43146.939999999995</v>
      </c>
      <c r="BQ45" s="122">
        <f t="shared" si="36"/>
        <v>42615.778485607181</v>
      </c>
      <c r="BR45" s="120">
        <f>SUM(BR41,BR43)</f>
        <v>13595.472746140042</v>
      </c>
      <c r="BS45" s="120">
        <f>SUM(BS41,BS43)</f>
        <v>99358.191231747202</v>
      </c>
      <c r="BT45" s="120">
        <f>SUM(BT41,BT43)</f>
        <v>743074.6546149716</v>
      </c>
      <c r="BU45" s="120"/>
      <c r="BV45" s="123">
        <f>SUM(BV41,BV43)</f>
        <v>2395685.98</v>
      </c>
      <c r="BW45" s="124">
        <f>ROUND(SUM(BW41,BW43),2)</f>
        <v>-31762.95</v>
      </c>
      <c r="BX45" s="125"/>
    </row>
    <row r="46" spans="1:80" s="31" customFormat="1" x14ac:dyDescent="0.35">
      <c r="A46" s="127"/>
      <c r="B46" s="127"/>
      <c r="C46" s="128"/>
      <c r="D46" s="129"/>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80"/>
      <c r="BR46" s="80"/>
      <c r="BS46" s="80"/>
      <c r="BT46" s="80"/>
      <c r="BU46" s="80"/>
      <c r="BV46" s="80"/>
      <c r="BW46" s="80"/>
      <c r="BX46" s="130"/>
      <c r="BY46" s="80"/>
      <c r="BZ46" s="80"/>
      <c r="CA46" s="80"/>
      <c r="CB46" s="80"/>
    </row>
    <row r="47" spans="1:80" s="87" customFormat="1" x14ac:dyDescent="0.35">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131"/>
      <c r="BY47" s="132"/>
      <c r="BZ47" s="132"/>
      <c r="CA47" s="132"/>
      <c r="CB47" s="132"/>
    </row>
    <row r="48" spans="1:80" s="87" customFormat="1" x14ac:dyDescent="0.35">
      <c r="B48" s="133"/>
      <c r="C48" s="215" t="s">
        <v>96</v>
      </c>
      <c r="D48" s="21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131"/>
      <c r="BY48" s="132"/>
      <c r="BZ48" s="132"/>
      <c r="CA48" s="132"/>
      <c r="CB48" s="132"/>
    </row>
    <row r="49" spans="2:80" s="87" customFormat="1" ht="31.5" customHeight="1" x14ac:dyDescent="0.35">
      <c r="B49" s="134"/>
      <c r="C49" s="215"/>
      <c r="D49" s="215"/>
      <c r="E49" s="135"/>
      <c r="F49" s="135"/>
      <c r="G49" s="135"/>
      <c r="H49" s="135"/>
      <c r="I49" s="135"/>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131"/>
      <c r="BY49" s="132"/>
      <c r="BZ49" s="132"/>
      <c r="CA49" s="132"/>
      <c r="CB49" s="132"/>
    </row>
    <row r="50" spans="2:80" s="87" customFormat="1" ht="17" x14ac:dyDescent="0.35">
      <c r="B50" s="136"/>
      <c r="C50" s="137"/>
      <c r="D50" s="1"/>
      <c r="E50" s="135"/>
      <c r="F50" s="135"/>
      <c r="G50" s="135"/>
      <c r="H50" s="135"/>
      <c r="I50" s="135"/>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131"/>
      <c r="BY50" s="132"/>
      <c r="BZ50" s="132"/>
      <c r="CA50" s="132"/>
      <c r="CB50" s="132"/>
    </row>
    <row r="51" spans="2:80" s="87" customFormat="1" ht="26.25" customHeight="1" x14ac:dyDescent="0.35">
      <c r="B51" s="138">
        <v>1</v>
      </c>
      <c r="C51" s="139" t="s">
        <v>97</v>
      </c>
      <c r="D51" s="1"/>
      <c r="E51" s="140"/>
      <c r="F51" s="140"/>
      <c r="G51" s="140"/>
      <c r="H51" s="140"/>
      <c r="I51" s="140"/>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131"/>
      <c r="BY51" s="132"/>
      <c r="BZ51" s="132"/>
      <c r="CA51" s="132"/>
      <c r="CB51" s="132"/>
    </row>
    <row r="52" spans="2:80" s="87" customFormat="1" ht="75" customHeight="1" x14ac:dyDescent="0.35">
      <c r="B52" s="138">
        <v>2</v>
      </c>
      <c r="C52" s="139" t="s">
        <v>98</v>
      </c>
      <c r="D52" s="141"/>
      <c r="E52" s="135"/>
      <c r="F52" s="135"/>
      <c r="G52" s="135"/>
      <c r="H52" s="135"/>
      <c r="I52" s="135"/>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131"/>
      <c r="BY52" s="132"/>
      <c r="BZ52" s="132"/>
      <c r="CA52" s="132"/>
      <c r="CB52" s="132"/>
    </row>
    <row r="53" spans="2:80" s="87" customFormat="1" ht="112.5" customHeight="1" x14ac:dyDescent="0.35">
      <c r="B53" s="138">
        <v>3</v>
      </c>
      <c r="C53" s="139" t="s">
        <v>99</v>
      </c>
      <c r="D53" s="141"/>
      <c r="E53" s="142"/>
      <c r="F53" s="142"/>
      <c r="G53" s="142"/>
      <c r="H53" s="142"/>
      <c r="I53" s="14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131"/>
      <c r="BY53" s="132"/>
      <c r="BZ53" s="132"/>
      <c r="CA53" s="132"/>
      <c r="CB53" s="132"/>
    </row>
    <row r="54" spans="2:80" ht="108.75" customHeight="1" x14ac:dyDescent="0.35">
      <c r="B54" s="138">
        <v>4</v>
      </c>
      <c r="C54" s="139" t="s">
        <v>100</v>
      </c>
      <c r="E54" s="142"/>
      <c r="F54" s="142"/>
      <c r="G54" s="142"/>
      <c r="H54" s="142"/>
      <c r="I54" s="14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3"/>
      <c r="BY54" s="4"/>
      <c r="BZ54" s="4"/>
      <c r="CA54" s="4"/>
      <c r="CB54" s="4"/>
    </row>
    <row r="55" spans="2:80" ht="59.5" customHeight="1" x14ac:dyDescent="0.35">
      <c r="B55" s="138">
        <v>5</v>
      </c>
      <c r="C55" s="139" t="s">
        <v>101</v>
      </c>
      <c r="E55" s="142"/>
      <c r="F55" s="142"/>
      <c r="G55" s="142"/>
      <c r="H55" s="142"/>
      <c r="I55" s="14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3"/>
      <c r="BY55" s="4"/>
      <c r="BZ55" s="4"/>
      <c r="CA55" s="4"/>
      <c r="CB55" s="4"/>
    </row>
    <row r="56" spans="2:80" x14ac:dyDescent="0.35">
      <c r="E56" s="142"/>
      <c r="F56" s="142"/>
      <c r="G56" s="142"/>
      <c r="H56" s="142"/>
      <c r="I56" s="14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3"/>
      <c r="BY56" s="4"/>
      <c r="BZ56" s="4"/>
      <c r="CA56" s="4"/>
      <c r="CB56" s="4"/>
    </row>
    <row r="57" spans="2:80" x14ac:dyDescent="0.35">
      <c r="E57" s="142"/>
      <c r="F57" s="142"/>
      <c r="G57" s="142"/>
      <c r="H57" s="142"/>
      <c r="I57" s="14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3"/>
      <c r="BY57" s="4"/>
      <c r="BZ57" s="4"/>
      <c r="CA57" s="4"/>
      <c r="CB57" s="4"/>
    </row>
    <row r="58" spans="2:80" x14ac:dyDescent="0.35">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3"/>
      <c r="BY58" s="4"/>
      <c r="BZ58" s="4"/>
      <c r="CA58" s="4"/>
      <c r="CB58" s="4"/>
    </row>
    <row r="59" spans="2:80" x14ac:dyDescent="0.35">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3"/>
      <c r="BY59" s="4"/>
      <c r="BZ59" s="4"/>
      <c r="CA59" s="4"/>
      <c r="CB59" s="4"/>
    </row>
    <row r="60" spans="2:80" x14ac:dyDescent="0.35">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3"/>
      <c r="BY60" s="4"/>
      <c r="BZ60" s="4"/>
      <c r="CA60" s="4"/>
      <c r="CB60" s="4"/>
    </row>
  </sheetData>
  <mergeCells count="83">
    <mergeCell ref="C12:D15"/>
    <mergeCell ref="E16:N16"/>
    <mergeCell ref="O16:X16"/>
    <mergeCell ref="Y16:AH16"/>
    <mergeCell ref="AI16:AR16"/>
    <mergeCell ref="BC16:BL16"/>
    <mergeCell ref="BM16:BP16"/>
    <mergeCell ref="BQ16:BT16"/>
    <mergeCell ref="C17:C19"/>
    <mergeCell ref="D17:D19"/>
    <mergeCell ref="E17:E19"/>
    <mergeCell ref="F17:F19"/>
    <mergeCell ref="G17:G19"/>
    <mergeCell ref="H17:H19"/>
    <mergeCell ref="I17:I19"/>
    <mergeCell ref="AS16:BB16"/>
    <mergeCell ref="U17:U19"/>
    <mergeCell ref="J17:J19"/>
    <mergeCell ref="K17:K19"/>
    <mergeCell ref="L17:L19"/>
    <mergeCell ref="M17:M19"/>
    <mergeCell ref="N17:N19"/>
    <mergeCell ref="O17:O19"/>
    <mergeCell ref="P17:P19"/>
    <mergeCell ref="Q17:Q19"/>
    <mergeCell ref="R17:R19"/>
    <mergeCell ref="S17:S19"/>
    <mergeCell ref="T17:T19"/>
    <mergeCell ref="AG17:AG19"/>
    <mergeCell ref="V17:V19"/>
    <mergeCell ref="W17:W19"/>
    <mergeCell ref="X17:X19"/>
    <mergeCell ref="Y17:Y19"/>
    <mergeCell ref="Z17:Z19"/>
    <mergeCell ref="AA17:AA19"/>
    <mergeCell ref="AB17:AB19"/>
    <mergeCell ref="AC17:AC19"/>
    <mergeCell ref="AD17:AD19"/>
    <mergeCell ref="AE17:AE19"/>
    <mergeCell ref="AF17:AF19"/>
    <mergeCell ref="AS17:AS19"/>
    <mergeCell ref="AH17:AH19"/>
    <mergeCell ref="AI17:AI19"/>
    <mergeCell ref="AJ17:AJ19"/>
    <mergeCell ref="AK17:AK19"/>
    <mergeCell ref="AL17:AL19"/>
    <mergeCell ref="AM17:AM19"/>
    <mergeCell ref="AN17:AN19"/>
    <mergeCell ref="AO17:AO19"/>
    <mergeCell ref="AP17:AP19"/>
    <mergeCell ref="AQ17:AQ19"/>
    <mergeCell ref="AR17:AR19"/>
    <mergeCell ref="BE17:BE19"/>
    <mergeCell ref="AT17:AT19"/>
    <mergeCell ref="AU17:AU19"/>
    <mergeCell ref="AV17:AV19"/>
    <mergeCell ref="AW17:AW19"/>
    <mergeCell ref="AX17:AX19"/>
    <mergeCell ref="AY17:AY19"/>
    <mergeCell ref="BV17:BV19"/>
    <mergeCell ref="BW17:BW19"/>
    <mergeCell ref="BL17:BL19"/>
    <mergeCell ref="BM17:BM19"/>
    <mergeCell ref="BN17:BN19"/>
    <mergeCell ref="BO17:BO19"/>
    <mergeCell ref="BP17:BP19"/>
    <mergeCell ref="BQ17:BQ19"/>
    <mergeCell ref="C48:D49"/>
    <mergeCell ref="BR17:BR19"/>
    <mergeCell ref="BS17:BS19"/>
    <mergeCell ref="BT17:BT19"/>
    <mergeCell ref="BU17:BU19"/>
    <mergeCell ref="BF17:BF19"/>
    <mergeCell ref="BG17:BG19"/>
    <mergeCell ref="BH17:BH19"/>
    <mergeCell ref="BI17:BI19"/>
    <mergeCell ref="BJ17:BJ19"/>
    <mergeCell ref="BK17:BK19"/>
    <mergeCell ref="AZ17:AZ19"/>
    <mergeCell ref="BA17:BA19"/>
    <mergeCell ref="BB17:BB19"/>
    <mergeCell ref="BC17:BC19"/>
    <mergeCell ref="BD17:BD19"/>
  </mergeCells>
  <dataValidations count="1">
    <dataValidation type="list" errorTitle="Selection Needed" error="Please select an option from the drop-down list." prompt="Use the following format eg: January 1, 2013" sqref="BU28:BU37">
      <formula1>"Yes,No"</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H43"/>
  <sheetViews>
    <sheetView showGridLines="0" tabSelected="1" zoomScale="90" zoomScaleNormal="90" workbookViewId="0">
      <selection activeCell="A3" sqref="A3"/>
    </sheetView>
  </sheetViews>
  <sheetFormatPr defaultRowHeight="14.5" x14ac:dyDescent="0.35"/>
  <cols>
    <col min="1" max="1" width="81.54296875" bestFit="1" customWidth="1"/>
    <col min="2" max="2" width="19.54296875" style="155" customWidth="1"/>
    <col min="3" max="3" width="20" style="155" customWidth="1"/>
    <col min="4" max="4" width="14.453125" style="199" customWidth="1"/>
    <col min="5" max="5" width="65.453125" bestFit="1" customWidth="1"/>
    <col min="8" max="8" width="11.54296875" style="155" bestFit="1" customWidth="1"/>
  </cols>
  <sheetData>
    <row r="1" spans="1:8" ht="21" x14ac:dyDescent="0.5">
      <c r="A1" s="144" t="s">
        <v>102</v>
      </c>
      <c r="B1" s="255" t="s">
        <v>103</v>
      </c>
      <c r="C1" s="257" t="s">
        <v>104</v>
      </c>
      <c r="D1" s="274" t="s">
        <v>105</v>
      </c>
      <c r="E1" s="259" t="s">
        <v>106</v>
      </c>
      <c r="G1" s="261" t="s">
        <v>107</v>
      </c>
      <c r="H1" s="261"/>
    </row>
    <row r="2" spans="1:8" x14ac:dyDescent="0.35">
      <c r="A2" s="145"/>
      <c r="B2" s="256"/>
      <c r="C2" s="258"/>
      <c r="D2" s="275"/>
      <c r="E2" s="260"/>
      <c r="G2" s="146" t="s">
        <v>108</v>
      </c>
      <c r="H2" s="147">
        <v>-511192.45</v>
      </c>
    </row>
    <row r="3" spans="1:8" ht="17" x14ac:dyDescent="0.5">
      <c r="A3" s="148" t="s">
        <v>109</v>
      </c>
      <c r="B3" s="149">
        <f>'Continuity Schedule'!$AM$28</f>
        <v>1003648.0499999998</v>
      </c>
      <c r="C3" s="149">
        <v>1003647.92</v>
      </c>
      <c r="D3" s="150">
        <f>C3-B3</f>
        <v>-0.12999999977182597</v>
      </c>
      <c r="E3" s="171"/>
      <c r="G3" s="146" t="s">
        <v>110</v>
      </c>
      <c r="H3" s="152">
        <v>-12338.57</v>
      </c>
    </row>
    <row r="4" spans="1:8" x14ac:dyDescent="0.35">
      <c r="A4" s="151"/>
      <c r="B4" s="153"/>
      <c r="C4" s="153"/>
      <c r="D4" s="154"/>
      <c r="E4" s="171"/>
      <c r="G4" s="146"/>
      <c r="H4" s="155">
        <f>SUM(H2:H3)</f>
        <v>-523531.02</v>
      </c>
    </row>
    <row r="5" spans="1:8" x14ac:dyDescent="0.35">
      <c r="A5" s="156" t="s">
        <v>111</v>
      </c>
      <c r="B5" s="153">
        <v>-475562.47000000009</v>
      </c>
      <c r="C5" s="153">
        <v>-475562.47</v>
      </c>
      <c r="D5" s="154">
        <f>C5-B5</f>
        <v>0</v>
      </c>
      <c r="E5" s="171"/>
    </row>
    <row r="6" spans="1:8" x14ac:dyDescent="0.35">
      <c r="A6" s="156" t="s">
        <v>112</v>
      </c>
      <c r="B6" s="157">
        <v>99571.62</v>
      </c>
      <c r="C6" s="153">
        <v>0</v>
      </c>
      <c r="D6" s="154">
        <f t="shared" ref="D6:D7" si="0">C6-B6</f>
        <v>-99571.62</v>
      </c>
      <c r="E6" s="171" t="s">
        <v>113</v>
      </c>
    </row>
    <row r="7" spans="1:8" ht="16" x14ac:dyDescent="0.5">
      <c r="A7" s="156" t="s">
        <v>114</v>
      </c>
      <c r="B7" s="158">
        <v>224500.77</v>
      </c>
      <c r="C7" s="159">
        <v>0</v>
      </c>
      <c r="D7" s="160">
        <f t="shared" si="0"/>
        <v>-224500.77</v>
      </c>
      <c r="E7" s="171" t="s">
        <v>115</v>
      </c>
    </row>
    <row r="8" spans="1:8" s="163" customFormat="1" ht="15.5" x14ac:dyDescent="0.35">
      <c r="A8" s="148" t="s">
        <v>116</v>
      </c>
      <c r="B8" s="161">
        <f>SUM(B3:B7)</f>
        <v>852157.96999999974</v>
      </c>
      <c r="C8" s="162">
        <f>C3+C5+C6</f>
        <v>528085.45000000007</v>
      </c>
      <c r="D8" s="150">
        <f>C8-B8</f>
        <v>-324072.51999999967</v>
      </c>
      <c r="E8" s="269"/>
      <c r="H8" s="164"/>
    </row>
    <row r="9" spans="1:8" x14ac:dyDescent="0.35">
      <c r="A9" s="151"/>
      <c r="B9" s="153"/>
      <c r="C9" s="153"/>
      <c r="D9" s="154"/>
      <c r="E9" s="171"/>
    </row>
    <row r="10" spans="1:8" x14ac:dyDescent="0.35">
      <c r="A10" s="165" t="s">
        <v>117</v>
      </c>
      <c r="B10" s="153"/>
      <c r="C10" s="153"/>
      <c r="D10" s="154"/>
      <c r="E10" s="171"/>
    </row>
    <row r="11" spans="1:8" x14ac:dyDescent="0.35">
      <c r="A11" s="156" t="s">
        <v>118</v>
      </c>
      <c r="B11" s="166">
        <v>-1003648</v>
      </c>
      <c r="C11" s="166">
        <f>B11</f>
        <v>-1003648</v>
      </c>
      <c r="D11" s="154">
        <f t="shared" ref="D11:D24" si="1">C11-B11</f>
        <v>0</v>
      </c>
      <c r="E11" s="171" t="s">
        <v>119</v>
      </c>
    </row>
    <row r="12" spans="1:8" x14ac:dyDescent="0.35">
      <c r="A12" s="156" t="s">
        <v>112</v>
      </c>
      <c r="B12" s="167">
        <f>C12</f>
        <v>99571.62</v>
      </c>
      <c r="C12" s="167">
        <f>-B18</f>
        <v>99571.62</v>
      </c>
      <c r="D12" s="154">
        <f t="shared" si="1"/>
        <v>0</v>
      </c>
      <c r="E12" s="270" t="s">
        <v>120</v>
      </c>
      <c r="H12"/>
    </row>
    <row r="13" spans="1:8" x14ac:dyDescent="0.35">
      <c r="A13" s="156" t="s">
        <v>121</v>
      </c>
      <c r="B13" s="167">
        <f t="shared" ref="B13:B14" si="2">C13</f>
        <v>224500.77</v>
      </c>
      <c r="C13" s="167">
        <f t="shared" ref="C13:C14" si="3">-B19</f>
        <v>224500.77</v>
      </c>
      <c r="D13" s="154">
        <f t="shared" si="1"/>
        <v>0</v>
      </c>
      <c r="E13" s="270"/>
      <c r="H13"/>
    </row>
    <row r="14" spans="1:8" x14ac:dyDescent="0.35">
      <c r="A14" s="156" t="s">
        <v>122</v>
      </c>
      <c r="B14" s="167">
        <f t="shared" si="2"/>
        <v>-256790</v>
      </c>
      <c r="C14" s="167">
        <f t="shared" si="3"/>
        <v>-256790</v>
      </c>
      <c r="D14" s="154">
        <f t="shared" si="1"/>
        <v>0</v>
      </c>
      <c r="E14" s="270"/>
      <c r="H14"/>
    </row>
    <row r="15" spans="1:8" x14ac:dyDescent="0.35">
      <c r="A15" s="156" t="s">
        <v>123</v>
      </c>
      <c r="B15" s="168">
        <f>C15</f>
        <v>-102912.29000000004</v>
      </c>
      <c r="C15" s="168">
        <f>H2-C14-C13-C12-C11-C8</f>
        <v>-102912.29000000004</v>
      </c>
      <c r="D15" s="154">
        <f t="shared" si="1"/>
        <v>0</v>
      </c>
      <c r="E15" s="270"/>
      <c r="H15"/>
    </row>
    <row r="16" spans="1:8" x14ac:dyDescent="0.35">
      <c r="A16" s="276"/>
      <c r="B16" s="153"/>
      <c r="C16" s="153"/>
      <c r="D16" s="154"/>
      <c r="E16" s="171"/>
      <c r="H16"/>
    </row>
    <row r="17" spans="1:8" x14ac:dyDescent="0.35">
      <c r="A17" s="165" t="s">
        <v>124</v>
      </c>
      <c r="B17" s="153"/>
      <c r="C17" s="153"/>
      <c r="D17" s="154"/>
      <c r="E17" s="171"/>
      <c r="H17"/>
    </row>
    <row r="18" spans="1:8" x14ac:dyDescent="0.35">
      <c r="A18" s="156" t="s">
        <v>125</v>
      </c>
      <c r="B18" s="157">
        <v>-99571.62</v>
      </c>
      <c r="C18" s="169"/>
      <c r="D18" s="154">
        <f t="shared" si="1"/>
        <v>99571.62</v>
      </c>
      <c r="E18" s="171"/>
    </row>
    <row r="19" spans="1:8" x14ac:dyDescent="0.35">
      <c r="A19" s="156" t="s">
        <v>126</v>
      </c>
      <c r="B19" s="158">
        <f>-B7</f>
        <v>-224500.77</v>
      </c>
      <c r="C19" s="169"/>
      <c r="D19" s="154">
        <f t="shared" si="1"/>
        <v>224500.77</v>
      </c>
      <c r="E19" s="171"/>
    </row>
    <row r="20" spans="1:8" x14ac:dyDescent="0.35">
      <c r="A20" s="156" t="s">
        <v>127</v>
      </c>
      <c r="B20" s="170">
        <f>-'1589 Reconciliation'!B17</f>
        <v>256790</v>
      </c>
      <c r="C20" s="169"/>
      <c r="D20" s="154">
        <f t="shared" si="1"/>
        <v>-256790</v>
      </c>
      <c r="E20" s="171" t="s">
        <v>128</v>
      </c>
    </row>
    <row r="21" spans="1:8" x14ac:dyDescent="0.35">
      <c r="A21" s="156" t="s">
        <v>129</v>
      </c>
      <c r="B21" s="172">
        <v>36437.982488899419</v>
      </c>
      <c r="C21" s="153"/>
      <c r="D21" s="154">
        <f t="shared" si="1"/>
        <v>-36437.982488899419</v>
      </c>
      <c r="E21" s="171" t="s">
        <v>130</v>
      </c>
    </row>
    <row r="22" spans="1:8" x14ac:dyDescent="0.35">
      <c r="A22" s="156" t="s">
        <v>131</v>
      </c>
      <c r="B22" s="173">
        <v>-36304.06</v>
      </c>
      <c r="C22" s="153"/>
      <c r="D22" s="154">
        <f t="shared" si="1"/>
        <v>36304.06</v>
      </c>
      <c r="E22" s="171" t="s">
        <v>130</v>
      </c>
    </row>
    <row r="23" spans="1:8" x14ac:dyDescent="0.35">
      <c r="A23" s="156" t="s">
        <v>132</v>
      </c>
      <c r="B23" s="174">
        <v>-172558.12999999989</v>
      </c>
      <c r="C23" s="153"/>
      <c r="D23" s="154">
        <f t="shared" si="1"/>
        <v>172558.12999999989</v>
      </c>
      <c r="E23" s="171" t="s">
        <v>130</v>
      </c>
    </row>
    <row r="24" spans="1:8" ht="16" x14ac:dyDescent="0.5">
      <c r="A24" s="156" t="s">
        <v>133</v>
      </c>
      <c r="B24" s="175">
        <v>356187</v>
      </c>
      <c r="C24" s="159"/>
      <c r="D24" s="160">
        <f t="shared" si="1"/>
        <v>-356187</v>
      </c>
      <c r="E24" s="171" t="s">
        <v>134</v>
      </c>
    </row>
    <row r="25" spans="1:8" ht="16" x14ac:dyDescent="0.5">
      <c r="A25" s="165" t="s">
        <v>135</v>
      </c>
      <c r="B25" s="176">
        <f>SUM(B18:B24)</f>
        <v>116480.40248889953</v>
      </c>
      <c r="C25" s="159"/>
      <c r="D25" s="160"/>
      <c r="E25" s="171"/>
    </row>
    <row r="26" spans="1:8" ht="16" x14ac:dyDescent="0.5">
      <c r="A26" s="156"/>
      <c r="B26" s="176"/>
      <c r="C26" s="159"/>
      <c r="D26" s="160"/>
      <c r="E26" s="171"/>
    </row>
    <row r="27" spans="1:8" s="163" customFormat="1" ht="15.5" x14ac:dyDescent="0.35">
      <c r="A27" s="148" t="s">
        <v>136</v>
      </c>
      <c r="B27" s="149">
        <f>SUM(B8:B24)</f>
        <v>-70639.52751110075</v>
      </c>
      <c r="C27" s="177">
        <f>SUM(C8:C24)</f>
        <v>-511192.44999999995</v>
      </c>
      <c r="D27" s="178">
        <f>SUM(D8:D24)</f>
        <v>-440552.9224888992</v>
      </c>
      <c r="E27" s="269"/>
      <c r="F27" s="179"/>
      <c r="H27" s="164"/>
    </row>
    <row r="28" spans="1:8" x14ac:dyDescent="0.35">
      <c r="A28" s="165"/>
      <c r="B28" s="176"/>
      <c r="C28" s="176"/>
      <c r="D28" s="154"/>
      <c r="E28" s="271"/>
      <c r="F28" s="180"/>
    </row>
    <row r="29" spans="1:8" x14ac:dyDescent="0.35">
      <c r="A29" s="181" t="s">
        <v>137</v>
      </c>
      <c r="B29" s="166">
        <f>'Continuity Schedule'!BM28</f>
        <v>-151490</v>
      </c>
      <c r="C29" s="176"/>
      <c r="D29" s="154"/>
      <c r="E29" s="272" t="s">
        <v>138</v>
      </c>
      <c r="F29" s="180"/>
    </row>
    <row r="30" spans="1:8" ht="18.5" x14ac:dyDescent="0.45">
      <c r="A30" s="148" t="s">
        <v>61</v>
      </c>
      <c r="B30" s="182">
        <f>B27-B29</f>
        <v>80850.47248889925</v>
      </c>
      <c r="C30" s="153"/>
      <c r="D30" s="154"/>
      <c r="E30" s="171"/>
    </row>
    <row r="31" spans="1:8" s="188" customFormat="1" ht="13" x14ac:dyDescent="0.3">
      <c r="A31" s="183"/>
      <c r="B31" s="184"/>
      <c r="C31" s="185"/>
      <c r="D31" s="186"/>
      <c r="E31" s="273"/>
    </row>
    <row r="32" spans="1:8" ht="18.5" x14ac:dyDescent="0.45">
      <c r="A32" s="277"/>
      <c r="B32" s="278"/>
      <c r="C32" s="279"/>
      <c r="D32" s="280"/>
      <c r="E32" s="171"/>
    </row>
    <row r="33" spans="1:5" x14ac:dyDescent="0.35">
      <c r="A33" s="189" t="s">
        <v>139</v>
      </c>
      <c r="B33" s="190"/>
      <c r="C33" s="190"/>
      <c r="D33" s="191"/>
      <c r="E33" s="189"/>
    </row>
    <row r="34" spans="1:5" x14ac:dyDescent="0.35">
      <c r="A34" s="192" t="s">
        <v>140</v>
      </c>
      <c r="B34" s="190"/>
      <c r="C34" s="170">
        <f>B20</f>
        <v>256790</v>
      </c>
      <c r="D34" s="191"/>
      <c r="E34" s="189"/>
    </row>
    <row r="35" spans="1:5" x14ac:dyDescent="0.35">
      <c r="A35" s="192" t="s">
        <v>140</v>
      </c>
      <c r="B35" s="172">
        <f>-B21</f>
        <v>-36437.982488899419</v>
      </c>
      <c r="C35" s="172">
        <f>B21</f>
        <v>36437.982488899419</v>
      </c>
      <c r="D35" s="191"/>
      <c r="E35" s="189"/>
    </row>
    <row r="36" spans="1:5" x14ac:dyDescent="0.35">
      <c r="A36" s="192" t="s">
        <v>140</v>
      </c>
      <c r="B36" s="173">
        <f>-B22</f>
        <v>36304.06</v>
      </c>
      <c r="C36" s="173">
        <f t="shared" ref="C36:C38" si="4">B22</f>
        <v>-36304.06</v>
      </c>
      <c r="D36" s="191"/>
      <c r="E36" s="189"/>
    </row>
    <row r="37" spans="1:5" x14ac:dyDescent="0.35">
      <c r="A37" s="192" t="s">
        <v>140</v>
      </c>
      <c r="B37" s="174">
        <f>-B23</f>
        <v>172558.12999999989</v>
      </c>
      <c r="C37" s="174">
        <f t="shared" si="4"/>
        <v>-172558.12999999989</v>
      </c>
      <c r="D37" s="191"/>
      <c r="E37" s="189"/>
    </row>
    <row r="38" spans="1:5" x14ac:dyDescent="0.35">
      <c r="A38" s="192" t="s">
        <v>140</v>
      </c>
      <c r="B38" s="193">
        <f>-B24</f>
        <v>-356187</v>
      </c>
      <c r="C38" s="193">
        <f t="shared" si="4"/>
        <v>356187</v>
      </c>
      <c r="D38" s="191"/>
      <c r="E38" s="189"/>
    </row>
    <row r="39" spans="1:5" x14ac:dyDescent="0.35">
      <c r="A39" s="192" t="s">
        <v>137</v>
      </c>
      <c r="B39" s="190"/>
      <c r="C39" s="166">
        <f>B29</f>
        <v>-151490</v>
      </c>
      <c r="D39" s="191"/>
      <c r="E39" s="189" t="s">
        <v>138</v>
      </c>
    </row>
    <row r="40" spans="1:5" x14ac:dyDescent="0.35">
      <c r="A40" s="194"/>
      <c r="B40" s="195"/>
      <c r="C40" s="195"/>
      <c r="D40" s="196"/>
      <c r="E40" s="194"/>
    </row>
    <row r="42" spans="1:5" x14ac:dyDescent="0.35">
      <c r="A42" s="197" t="s">
        <v>141</v>
      </c>
      <c r="B42" s="198">
        <f>B30-'Continuity Schedule'!BO28</f>
        <v>0.12665234261658043</v>
      </c>
    </row>
    <row r="43" spans="1:5" x14ac:dyDescent="0.35">
      <c r="A43" s="197" t="s">
        <v>142</v>
      </c>
      <c r="B43" s="198">
        <f>B25-'Continuity Schedule'!BF28</f>
        <v>0</v>
      </c>
    </row>
  </sheetData>
  <mergeCells count="6">
    <mergeCell ref="E12:E15"/>
    <mergeCell ref="B1:B2"/>
    <mergeCell ref="C1:C2"/>
    <mergeCell ref="D1:D2"/>
    <mergeCell ref="E1:E2"/>
    <mergeCell ref="G1:H1"/>
  </mergeCells>
  <pageMargins left="0.7" right="0.7" top="0.75" bottom="0.75" header="0.3" footer="0.3"/>
  <pageSetup scale="5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H39"/>
  <sheetViews>
    <sheetView showGridLines="0" workbookViewId="0">
      <selection activeCell="A27" sqref="A27"/>
    </sheetView>
  </sheetViews>
  <sheetFormatPr defaultRowHeight="14.5" x14ac:dyDescent="0.35"/>
  <cols>
    <col min="1" max="1" width="82.54296875" bestFit="1" customWidth="1"/>
    <col min="2" max="2" width="22.81640625" style="155" customWidth="1"/>
    <col min="3" max="3" width="18.1796875" style="155" customWidth="1"/>
    <col min="4" max="4" width="14.81640625" style="199" customWidth="1"/>
    <col min="5" max="5" width="61.1796875" bestFit="1" customWidth="1"/>
    <col min="8" max="8" width="11.54296875" style="155" bestFit="1" customWidth="1"/>
  </cols>
  <sheetData>
    <row r="1" spans="1:8" ht="21" x14ac:dyDescent="0.5">
      <c r="A1" s="200" t="s">
        <v>143</v>
      </c>
      <c r="B1" s="263" t="s">
        <v>103</v>
      </c>
      <c r="C1" s="265" t="s">
        <v>104</v>
      </c>
      <c r="D1" s="265" t="s">
        <v>105</v>
      </c>
      <c r="E1" s="267" t="s">
        <v>106</v>
      </c>
      <c r="G1" s="261" t="s">
        <v>107</v>
      </c>
      <c r="H1" s="261"/>
    </row>
    <row r="2" spans="1:8" x14ac:dyDescent="0.35">
      <c r="A2" s="145"/>
      <c r="B2" s="264"/>
      <c r="C2" s="266"/>
      <c r="D2" s="266"/>
      <c r="E2" s="268"/>
      <c r="G2" s="146" t="s">
        <v>108</v>
      </c>
      <c r="H2" s="201">
        <v>647307.9</v>
      </c>
    </row>
    <row r="3" spans="1:8" ht="17" x14ac:dyDescent="0.5">
      <c r="A3" s="148" t="s">
        <v>109</v>
      </c>
      <c r="B3" s="149">
        <f>'Continuity Schedule'!$AM$29</f>
        <v>375566.32000000123</v>
      </c>
      <c r="C3" s="149">
        <v>375566.32000000123</v>
      </c>
      <c r="D3" s="150">
        <f>C3-B3</f>
        <v>0</v>
      </c>
      <c r="E3" s="151"/>
      <c r="G3" s="146" t="s">
        <v>110</v>
      </c>
      <c r="H3" s="152">
        <v>20040.47</v>
      </c>
    </row>
    <row r="4" spans="1:8" x14ac:dyDescent="0.35">
      <c r="A4" s="151"/>
      <c r="B4" s="153"/>
      <c r="C4" s="153"/>
      <c r="D4" s="154"/>
      <c r="E4" s="151"/>
      <c r="G4" s="146"/>
      <c r="H4" s="155">
        <f>SUM(H2:H3)</f>
        <v>667348.37</v>
      </c>
    </row>
    <row r="5" spans="1:8" x14ac:dyDescent="0.35">
      <c r="A5" s="156" t="s">
        <v>111</v>
      </c>
      <c r="B5" s="153">
        <v>575610.32000000007</v>
      </c>
      <c r="C5" s="153">
        <v>575610.31999999844</v>
      </c>
      <c r="D5" s="154">
        <f>C5-B5</f>
        <v>-1.6298145055770874E-9</v>
      </c>
      <c r="E5" s="151" t="s">
        <v>144</v>
      </c>
    </row>
    <row r="6" spans="1:8" ht="16" x14ac:dyDescent="0.5">
      <c r="A6" s="156" t="s">
        <v>114</v>
      </c>
      <c r="B6" s="202">
        <f>-'1588 Reconciliation'!B7</f>
        <v>-224500.77</v>
      </c>
      <c r="C6" s="159">
        <v>0</v>
      </c>
      <c r="D6" s="154">
        <v>0</v>
      </c>
      <c r="E6" s="151" t="s">
        <v>145</v>
      </c>
    </row>
    <row r="7" spans="1:8" s="163" customFormat="1" ht="15.5" x14ac:dyDescent="0.35">
      <c r="A7" s="148" t="s">
        <v>116</v>
      </c>
      <c r="B7" s="161">
        <f>B3+B5+B6</f>
        <v>726675.87000000128</v>
      </c>
      <c r="C7" s="162">
        <v>951176.98</v>
      </c>
      <c r="D7" s="150">
        <f>C7-B7</f>
        <v>224501.10999999871</v>
      </c>
      <c r="E7" s="148"/>
    </row>
    <row r="8" spans="1:8" x14ac:dyDescent="0.35">
      <c r="A8" s="151"/>
      <c r="B8" s="153"/>
      <c r="C8" s="153"/>
      <c r="D8" s="154"/>
      <c r="E8" s="151"/>
    </row>
    <row r="9" spans="1:8" x14ac:dyDescent="0.35">
      <c r="A9" s="165" t="s">
        <v>117</v>
      </c>
      <c r="B9" s="153"/>
      <c r="C9" s="153"/>
      <c r="D9" s="154"/>
      <c r="E9" s="151"/>
    </row>
    <row r="10" spans="1:8" x14ac:dyDescent="0.35">
      <c r="A10" s="156" t="s">
        <v>118</v>
      </c>
      <c r="B10" s="166">
        <v>-375566</v>
      </c>
      <c r="C10" s="153">
        <f>B10</f>
        <v>-375566</v>
      </c>
      <c r="D10" s="154">
        <f t="shared" ref="D10:D20" si="0">C10-B10</f>
        <v>0</v>
      </c>
      <c r="E10" s="151" t="s">
        <v>119</v>
      </c>
    </row>
    <row r="11" spans="1:8" x14ac:dyDescent="0.35">
      <c r="A11" s="156" t="s">
        <v>121</v>
      </c>
      <c r="B11" s="167">
        <f>-'1588 Reconciliation'!B13</f>
        <v>-224500.77</v>
      </c>
      <c r="C11" s="167">
        <f>-'1588 Reconciliation'!C13</f>
        <v>-224500.77</v>
      </c>
      <c r="D11" s="154">
        <f t="shared" si="0"/>
        <v>0</v>
      </c>
      <c r="E11" s="262" t="s">
        <v>146</v>
      </c>
    </row>
    <row r="12" spans="1:8" x14ac:dyDescent="0.35">
      <c r="A12" s="156" t="s">
        <v>122</v>
      </c>
      <c r="B12" s="167">
        <f>-'1588 Reconciliation'!B14</f>
        <v>256790</v>
      </c>
      <c r="C12" s="167">
        <f>-'1588 Reconciliation'!C14</f>
        <v>256790</v>
      </c>
      <c r="D12" s="154">
        <f t="shared" si="0"/>
        <v>0</v>
      </c>
      <c r="E12" s="262"/>
    </row>
    <row r="13" spans="1:8" x14ac:dyDescent="0.35">
      <c r="A13" s="156" t="s">
        <v>123</v>
      </c>
      <c r="B13" s="167">
        <f>C13</f>
        <v>39407.690000000061</v>
      </c>
      <c r="C13" s="167">
        <f>H2-C7-C10-C11-C12</f>
        <v>39407.690000000061</v>
      </c>
      <c r="D13" s="154">
        <f t="shared" si="0"/>
        <v>0</v>
      </c>
      <c r="E13" s="262"/>
    </row>
    <row r="14" spans="1:8" x14ac:dyDescent="0.35">
      <c r="A14" s="156"/>
      <c r="B14" s="153"/>
      <c r="C14" s="203"/>
      <c r="D14" s="154"/>
      <c r="E14" s="204"/>
    </row>
    <row r="15" spans="1:8" x14ac:dyDescent="0.35">
      <c r="A15" s="165" t="s">
        <v>124</v>
      </c>
      <c r="B15" s="153"/>
      <c r="C15" s="203"/>
      <c r="D15" s="154">
        <f t="shared" si="0"/>
        <v>0</v>
      </c>
      <c r="E15" s="171"/>
    </row>
    <row r="16" spans="1:8" x14ac:dyDescent="0.35">
      <c r="A16" s="156" t="s">
        <v>126</v>
      </c>
      <c r="B16" s="158">
        <v>224501</v>
      </c>
      <c r="C16" s="203"/>
      <c r="D16" s="154">
        <f t="shared" si="0"/>
        <v>-224501</v>
      </c>
      <c r="E16" s="171"/>
      <c r="H16"/>
    </row>
    <row r="17" spans="1:8" x14ac:dyDescent="0.35">
      <c r="A17" s="156" t="s">
        <v>127</v>
      </c>
      <c r="B17" s="170">
        <v>-256790</v>
      </c>
      <c r="C17" s="203"/>
      <c r="D17" s="154">
        <f t="shared" si="0"/>
        <v>256790</v>
      </c>
      <c r="E17" s="171" t="s">
        <v>128</v>
      </c>
      <c r="H17"/>
    </row>
    <row r="18" spans="1:8" x14ac:dyDescent="0.35">
      <c r="A18" s="156" t="s">
        <v>133</v>
      </c>
      <c r="B18" s="205">
        <v>-356186.56531196926</v>
      </c>
      <c r="C18" s="153">
        <v>0</v>
      </c>
      <c r="D18" s="154">
        <f t="shared" si="0"/>
        <v>356186.56531196926</v>
      </c>
      <c r="E18" s="151" t="s">
        <v>134</v>
      </c>
    </row>
    <row r="19" spans="1:8" x14ac:dyDescent="0.35">
      <c r="A19" s="156" t="s">
        <v>147</v>
      </c>
      <c r="B19" s="173">
        <v>208593.75800000003</v>
      </c>
      <c r="C19" s="153">
        <v>0</v>
      </c>
      <c r="D19" s="154">
        <f t="shared" si="0"/>
        <v>-208593.75800000003</v>
      </c>
      <c r="E19" s="151" t="s">
        <v>130</v>
      </c>
    </row>
    <row r="20" spans="1:8" ht="16" x14ac:dyDescent="0.5">
      <c r="A20" s="156" t="s">
        <v>148</v>
      </c>
      <c r="B20" s="206">
        <v>19922.069999999949</v>
      </c>
      <c r="C20" s="159">
        <v>0</v>
      </c>
      <c r="D20" s="160">
        <f t="shared" si="0"/>
        <v>-19922.069999999949</v>
      </c>
      <c r="E20" s="151" t="s">
        <v>130</v>
      </c>
    </row>
    <row r="21" spans="1:8" ht="16" x14ac:dyDescent="0.5">
      <c r="A21" s="165" t="s">
        <v>135</v>
      </c>
      <c r="B21" s="176">
        <f>SUM(B16:B20)</f>
        <v>-159959.73731196928</v>
      </c>
      <c r="C21" s="159"/>
      <c r="D21" s="160"/>
      <c r="E21" s="151"/>
    </row>
    <row r="22" spans="1:8" ht="16" x14ac:dyDescent="0.5">
      <c r="A22" s="156"/>
      <c r="B22" s="159"/>
      <c r="C22" s="159"/>
      <c r="D22" s="160"/>
      <c r="E22" s="151"/>
    </row>
    <row r="23" spans="1:8" s="163" customFormat="1" ht="15.5" x14ac:dyDescent="0.35">
      <c r="A23" s="148" t="s">
        <v>136</v>
      </c>
      <c r="B23" s="162">
        <f>SUM(B7:B20)</f>
        <v>262847.05268803204</v>
      </c>
      <c r="C23" s="207">
        <f>SUM(C7:C20)</f>
        <v>647307.9</v>
      </c>
      <c r="D23" s="178">
        <f>SUM(D7:D20)</f>
        <v>384460.84731196798</v>
      </c>
      <c r="E23" s="148"/>
    </row>
    <row r="24" spans="1:8" s="163" customFormat="1" ht="15.5" x14ac:dyDescent="0.35">
      <c r="A24" s="148"/>
      <c r="B24" s="162"/>
      <c r="C24" s="207"/>
      <c r="D24" s="186"/>
      <c r="E24" s="148"/>
    </row>
    <row r="25" spans="1:8" s="188" customFormat="1" x14ac:dyDescent="0.35">
      <c r="A25" s="181" t="s">
        <v>137</v>
      </c>
      <c r="B25" s="166">
        <f>'Continuity Schedule'!BM29</f>
        <v>351110</v>
      </c>
      <c r="C25" s="185"/>
      <c r="D25" s="186"/>
      <c r="E25" s="151" t="s">
        <v>138</v>
      </c>
    </row>
    <row r="26" spans="1:8" s="188" customFormat="1" ht="13" x14ac:dyDescent="0.3">
      <c r="A26" s="183"/>
      <c r="B26" s="184"/>
      <c r="C26" s="185"/>
      <c r="D26" s="186"/>
      <c r="E26" s="187"/>
    </row>
    <row r="27" spans="1:8" ht="18.5" x14ac:dyDescent="0.45">
      <c r="A27" s="148" t="s">
        <v>61</v>
      </c>
      <c r="B27" s="182">
        <f>B23-B25</f>
        <v>-88262.947311967961</v>
      </c>
      <c r="C27" s="153"/>
      <c r="D27" s="154"/>
      <c r="E27" s="151"/>
      <c r="H27"/>
    </row>
    <row r="28" spans="1:8" ht="18.5" x14ac:dyDescent="0.45">
      <c r="A28" s="148"/>
      <c r="B28" s="182"/>
      <c r="C28" s="153"/>
      <c r="D28" s="154"/>
      <c r="E28" s="151"/>
      <c r="H28"/>
    </row>
    <row r="29" spans="1:8" x14ac:dyDescent="0.35">
      <c r="A29" s="281"/>
      <c r="B29" s="279"/>
      <c r="C29" s="279"/>
      <c r="D29" s="196"/>
      <c r="E29" s="151"/>
    </row>
    <row r="30" spans="1:8" x14ac:dyDescent="0.35">
      <c r="A30" s="189" t="s">
        <v>139</v>
      </c>
      <c r="B30" s="208"/>
      <c r="C30" s="208"/>
      <c r="D30" s="191"/>
      <c r="E30" s="209"/>
    </row>
    <row r="31" spans="1:8" x14ac:dyDescent="0.35">
      <c r="A31" s="189"/>
      <c r="B31" s="208"/>
      <c r="C31" s="170">
        <f>B17</f>
        <v>-256790</v>
      </c>
      <c r="D31" s="191"/>
      <c r="E31" s="209"/>
    </row>
    <row r="32" spans="1:8" x14ac:dyDescent="0.35">
      <c r="A32" s="210" t="s">
        <v>140</v>
      </c>
      <c r="B32" s="205">
        <f>-B18</f>
        <v>356186.56531196926</v>
      </c>
      <c r="C32" s="205">
        <f t="shared" ref="C32:C34" si="1">B18</f>
        <v>-356186.56531196926</v>
      </c>
      <c r="D32" s="191"/>
      <c r="E32" s="209"/>
    </row>
    <row r="33" spans="1:5" x14ac:dyDescent="0.35">
      <c r="A33" s="210" t="s">
        <v>140</v>
      </c>
      <c r="B33" s="173">
        <f>-B19</f>
        <v>-208593.75800000003</v>
      </c>
      <c r="C33" s="173">
        <f t="shared" si="1"/>
        <v>208593.75800000003</v>
      </c>
      <c r="D33" s="191"/>
      <c r="E33" s="209"/>
    </row>
    <row r="34" spans="1:5" x14ac:dyDescent="0.35">
      <c r="A34" s="210" t="s">
        <v>140</v>
      </c>
      <c r="B34" s="174">
        <f>-B20</f>
        <v>-19922.069999999949</v>
      </c>
      <c r="C34" s="174">
        <f t="shared" si="1"/>
        <v>19922.069999999949</v>
      </c>
      <c r="D34" s="191"/>
      <c r="E34" s="209"/>
    </row>
    <row r="35" spans="1:5" x14ac:dyDescent="0.35">
      <c r="A35" s="210" t="s">
        <v>137</v>
      </c>
      <c r="B35" s="208"/>
      <c r="C35" s="166">
        <f>B25</f>
        <v>351110</v>
      </c>
      <c r="D35" s="191"/>
      <c r="E35" s="209" t="s">
        <v>138</v>
      </c>
    </row>
    <row r="36" spans="1:5" x14ac:dyDescent="0.35">
      <c r="A36" s="211"/>
      <c r="B36" s="212"/>
      <c r="C36" s="212"/>
      <c r="D36" s="196"/>
      <c r="E36" s="211"/>
    </row>
    <row r="37" spans="1:5" ht="18.5" x14ac:dyDescent="0.45">
      <c r="A37" s="213"/>
      <c r="B37" s="214"/>
    </row>
    <row r="38" spans="1:5" x14ac:dyDescent="0.35">
      <c r="A38" s="197" t="s">
        <v>141</v>
      </c>
      <c r="B38" s="198">
        <f>B27-'Continuity Schedule'!BO29</f>
        <v>-7.3964310809969902E-2</v>
      </c>
    </row>
    <row r="39" spans="1:5" x14ac:dyDescent="0.35">
      <c r="A39" s="197" t="s">
        <v>142</v>
      </c>
      <c r="B39" s="198">
        <f>B21-'Continuity Schedule'!BF29</f>
        <v>0.26268803072161973</v>
      </c>
    </row>
  </sheetData>
  <mergeCells count="6">
    <mergeCell ref="E11:E13"/>
    <mergeCell ref="B1:B2"/>
    <mergeCell ref="C1:C2"/>
    <mergeCell ref="D1:D2"/>
    <mergeCell ref="E1:E2"/>
    <mergeCell ref="G1:H1"/>
  </mergeCells>
  <pageMargins left="0.7" right="0.7" top="0.75" bottom="0.75" header="0.3" footer="0.3"/>
  <pageSetup scale="58"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Continuity Schedule</vt:lpstr>
      <vt:lpstr>1588 Reconciliation</vt:lpstr>
      <vt:lpstr>1589 Reconciliation</vt:lpstr>
    </vt:vector>
  </TitlesOfParts>
  <Company>EPCOR Utilities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Hesselink, Tim</dc:creator>
  <cp:lastModifiedBy>Hesselink, Tim</cp:lastModifiedBy>
  <dcterms:created xsi:type="dcterms:W3CDTF">2020-02-19T21:22:00Z</dcterms:created>
  <dcterms:modified xsi:type="dcterms:W3CDTF">2020-02-20T01:55:13Z</dcterms:modified>
</cp:coreProperties>
</file>