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mc:AlternateContent xmlns:mc="http://schemas.openxmlformats.org/markup-compatibility/2006">
    <mc:Choice Requires="x15">
      <x15ac:absPath xmlns:x15ac="http://schemas.microsoft.com/office/spreadsheetml/2010/11/ac" url="F:\2020 Rate Application\2 - Interrogatories Round 1\0-Files for Submission\"/>
    </mc:Choice>
  </mc:AlternateContent>
  <xr:revisionPtr revIDLastSave="0" documentId="13_ncr:1_{976E5DFB-1086-423F-B88E-C1D9DFEEFA54}" xr6:coauthVersionLast="36" xr6:coauthVersionMax="36" xr10:uidLastSave="{00000000-0000-0000-0000-000000000000}"/>
  <bookViews>
    <workbookView xWindow="0" yWindow="0" windowWidth="28800" windowHeight="11325" xr2:uid="{00000000-000D-0000-FFFF-FFFF00000000}"/>
  </bookViews>
  <sheets>
    <sheet name="2020 Commodity Expense Forecast" sheetId="2" r:id="rId1"/>
    <sheet name="Cost of Power" sheetId="1" r:id="rId2"/>
    <sheet name="Load Forecast Data" sheetId="3" r:id="rId3"/>
  </sheets>
  <externalReferences>
    <externalReference r:id="rId4"/>
    <externalReference r:id="rId5"/>
    <externalReference r:id="rId6"/>
    <externalReference r:id="rId7"/>
    <externalReference r:id="rId8"/>
    <externalReference r:id="rId9"/>
    <externalReference r:id="rId10"/>
  </externalReferences>
  <definedNames>
    <definedName name="BI_LDCLIST">'[1]3. Rate Class Selection'!$B$19:$B$21</definedName>
    <definedName name="BridgeYear">'[2]LDC Info'!$E$26</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#REF!</definedName>
    <definedName name="LDC_LIST">[4]lists!$AM$1:$AM$80</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[2]lists!$AA$1:$AA$71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description">[5]hidden1!$D$1:$D$122</definedName>
    <definedName name="RebaseYear">'[2]LDC Info'!$E$28</definedName>
    <definedName name="SALBENF">#REF!</definedName>
    <definedName name="salreg">#REF!</definedName>
    <definedName name="SALREGF">#REF!</definedName>
    <definedName name="TEMPA">#REF!</definedName>
    <definedName name="TestYear">'[6]LDC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[7]Financials!$A$1</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3" l="1"/>
  <c r="J85" i="1" l="1"/>
  <c r="I58" i="1" l="1"/>
  <c r="I57" i="1"/>
  <c r="I56" i="1"/>
  <c r="I55" i="1"/>
  <c r="I54" i="1"/>
  <c r="I53" i="1"/>
  <c r="E58" i="1"/>
  <c r="E57" i="1"/>
  <c r="E56" i="1"/>
  <c r="E55" i="1"/>
  <c r="E54" i="1"/>
  <c r="E53" i="1"/>
  <c r="I48" i="1"/>
  <c r="I47" i="1"/>
  <c r="I46" i="1"/>
  <c r="I45" i="1"/>
  <c r="I44" i="1"/>
  <c r="I43" i="1"/>
  <c r="E48" i="1"/>
  <c r="E47" i="1"/>
  <c r="E46" i="1"/>
  <c r="E45" i="1"/>
  <c r="E44" i="1"/>
  <c r="E43" i="1"/>
  <c r="I38" i="1"/>
  <c r="I37" i="1"/>
  <c r="I36" i="1"/>
  <c r="I35" i="1"/>
  <c r="I34" i="1"/>
  <c r="I33" i="1"/>
  <c r="E38" i="1"/>
  <c r="E37" i="1"/>
  <c r="E36" i="1"/>
  <c r="E35" i="1"/>
  <c r="E34" i="1"/>
  <c r="E33" i="1"/>
  <c r="B29" i="3" l="1"/>
  <c r="B28" i="3"/>
  <c r="B27" i="3"/>
  <c r="B26" i="3"/>
  <c r="B25" i="3"/>
  <c r="B24" i="3"/>
  <c r="B20" i="3"/>
  <c r="B19" i="3"/>
  <c r="B18" i="3"/>
  <c r="B17" i="3"/>
  <c r="B16" i="3"/>
  <c r="B15" i="3"/>
  <c r="B10" i="3"/>
  <c r="B9" i="3"/>
  <c r="B8" i="3"/>
  <c r="I26" i="3"/>
  <c r="B7" i="3"/>
  <c r="D84" i="1"/>
  <c r="F84" i="1" s="1"/>
  <c r="B6" i="3"/>
  <c r="D83" i="1"/>
  <c r="F83" i="1" s="1"/>
  <c r="B5" i="3"/>
  <c r="G7" i="3" l="1"/>
  <c r="G8" i="3"/>
  <c r="I2" i="3"/>
  <c r="L2" i="3" s="1"/>
  <c r="J29" i="3"/>
  <c r="J26" i="3"/>
  <c r="J28" i="3"/>
  <c r="G5" i="3"/>
  <c r="G6" i="3"/>
  <c r="E11" i="3"/>
  <c r="C11" i="3"/>
  <c r="G9" i="3"/>
  <c r="D11" i="3"/>
  <c r="G10" i="3"/>
  <c r="K26" i="3" l="1"/>
  <c r="K17" i="3"/>
  <c r="K28" i="3"/>
  <c r="I17" i="3"/>
  <c r="J17" i="3"/>
  <c r="J20" i="3"/>
  <c r="K20" i="3"/>
  <c r="K19" i="3"/>
  <c r="J19" i="3"/>
  <c r="J18" i="3"/>
  <c r="K18" i="3"/>
  <c r="K16" i="3"/>
  <c r="J16" i="3"/>
  <c r="J15" i="3"/>
  <c r="K15" i="3"/>
  <c r="G11" i="3"/>
  <c r="L11" i="3"/>
  <c r="L30" i="3" l="1"/>
  <c r="L21" i="3" l="1"/>
  <c r="L22" i="3" s="1"/>
  <c r="B50" i="2"/>
  <c r="K54" i="2" l="1"/>
  <c r="K55" i="2"/>
  <c r="H55" i="2" l="1"/>
  <c r="L55" i="2" l="1"/>
  <c r="J28" i="1" s="1"/>
  <c r="G42" i="2"/>
  <c r="F85" i="1" l="1"/>
  <c r="J84" i="1"/>
  <c r="J83" i="1"/>
  <c r="D29" i="1"/>
  <c r="F28" i="1"/>
  <c r="F27" i="1"/>
  <c r="F26" i="1"/>
  <c r="F25" i="1"/>
  <c r="F24" i="1"/>
  <c r="F23" i="1"/>
  <c r="H18" i="1"/>
  <c r="D18" i="1"/>
  <c r="H17" i="1"/>
  <c r="D17" i="1"/>
  <c r="H16" i="1"/>
  <c r="D16" i="1"/>
  <c r="H15" i="1"/>
  <c r="D15" i="1"/>
  <c r="H14" i="1"/>
  <c r="D14" i="1"/>
  <c r="H13" i="1"/>
  <c r="D13" i="1"/>
  <c r="F12" i="1"/>
  <c r="B56" i="2"/>
  <c r="B55" i="2"/>
  <c r="A18" i="1" s="1"/>
  <c r="A28" i="1" s="1"/>
  <c r="A38" i="1" s="1"/>
  <c r="H54" i="2"/>
  <c r="B54" i="2"/>
  <c r="A17" i="1" s="1"/>
  <c r="A27" i="1" s="1"/>
  <c r="A37" i="1" s="1"/>
  <c r="K53" i="2"/>
  <c r="H53" i="2"/>
  <c r="L53" i="2" s="1"/>
  <c r="B53" i="2"/>
  <c r="A16" i="1" s="1"/>
  <c r="A26" i="1" s="1"/>
  <c r="A36" i="1" s="1"/>
  <c r="K52" i="2"/>
  <c r="H52" i="2"/>
  <c r="B52" i="2"/>
  <c r="A15" i="1" s="1"/>
  <c r="A25" i="1" s="1"/>
  <c r="A35" i="1" s="1"/>
  <c r="H35" i="1" s="1"/>
  <c r="K51" i="2"/>
  <c r="H51" i="2"/>
  <c r="L51" i="2" s="1"/>
  <c r="B51" i="2"/>
  <c r="A14" i="1" s="1"/>
  <c r="K50" i="2"/>
  <c r="H50" i="2"/>
  <c r="A13" i="1"/>
  <c r="G47" i="2"/>
  <c r="L43" i="2"/>
  <c r="G45" i="2"/>
  <c r="F45" i="2"/>
  <c r="I37" i="2"/>
  <c r="H37" i="2"/>
  <c r="F37" i="2"/>
  <c r="J36" i="2"/>
  <c r="J35" i="2"/>
  <c r="J34" i="2"/>
  <c r="J33" i="2"/>
  <c r="J32" i="2"/>
  <c r="J31" i="2"/>
  <c r="J30" i="2"/>
  <c r="J29" i="2"/>
  <c r="H20" i="2"/>
  <c r="K36" i="2" l="1"/>
  <c r="K29" i="2"/>
  <c r="L29" i="2" s="1"/>
  <c r="A23" i="1"/>
  <c r="A33" i="1" s="1"/>
  <c r="D33" i="1" s="1"/>
  <c r="A83" i="1"/>
  <c r="L50" i="2"/>
  <c r="A24" i="1"/>
  <c r="A34" i="1" s="1"/>
  <c r="D34" i="1" s="1"/>
  <c r="A84" i="1"/>
  <c r="L52" i="2"/>
  <c r="F13" i="1"/>
  <c r="L54" i="2"/>
  <c r="J27" i="1" s="1"/>
  <c r="H33" i="1"/>
  <c r="H37" i="1"/>
  <c r="J37" i="1" s="1"/>
  <c r="D37" i="1"/>
  <c r="H36" i="1"/>
  <c r="J36" i="1" s="1"/>
  <c r="D36" i="1"/>
  <c r="D35" i="1"/>
  <c r="D38" i="1"/>
  <c r="F38" i="1" s="1"/>
  <c r="H38" i="1"/>
  <c r="A47" i="1"/>
  <c r="D47" i="1" s="1"/>
  <c r="F47" i="1" s="1"/>
  <c r="A43" i="1"/>
  <c r="J33" i="1"/>
  <c r="A46" i="1"/>
  <c r="D46" i="1" s="1"/>
  <c r="F46" i="1" s="1"/>
  <c r="A45" i="1"/>
  <c r="J35" i="1"/>
  <c r="A48" i="1"/>
  <c r="D48" i="1" s="1"/>
  <c r="F48" i="1" s="1"/>
  <c r="J86" i="1"/>
  <c r="F29" i="1"/>
  <c r="F86" i="1"/>
  <c r="K30" i="2"/>
  <c r="L30" i="2" s="1"/>
  <c r="J14" i="1"/>
  <c r="L36" i="2"/>
  <c r="K31" i="2"/>
  <c r="L31" i="2" s="1"/>
  <c r="K35" i="2"/>
  <c r="L35" i="2" s="1"/>
  <c r="J13" i="1"/>
  <c r="J16" i="1"/>
  <c r="J17" i="1"/>
  <c r="K34" i="2"/>
  <c r="L34" i="2" s="1"/>
  <c r="K33" i="2"/>
  <c r="F17" i="1" s="1"/>
  <c r="J23" i="1"/>
  <c r="F14" i="1"/>
  <c r="F15" i="1"/>
  <c r="K32" i="2"/>
  <c r="F16" i="1" s="1"/>
  <c r="J26" i="1"/>
  <c r="J15" i="1"/>
  <c r="J18" i="1"/>
  <c r="D19" i="1"/>
  <c r="H57" i="2"/>
  <c r="L56" i="2" s="1"/>
  <c r="J24" i="1"/>
  <c r="H19" i="1"/>
  <c r="L42" i="2"/>
  <c r="H34" i="1" l="1"/>
  <c r="J34" i="1" s="1"/>
  <c r="D43" i="1"/>
  <c r="F43" i="1" s="1"/>
  <c r="H43" i="1"/>
  <c r="D45" i="1"/>
  <c r="F45" i="1" s="1"/>
  <c r="H45" i="1"/>
  <c r="A44" i="1"/>
  <c r="D44" i="1" s="1"/>
  <c r="F44" i="1" s="1"/>
  <c r="F49" i="1" s="1"/>
  <c r="F35" i="1"/>
  <c r="F34" i="1"/>
  <c r="J38" i="1"/>
  <c r="J39" i="1" s="1"/>
  <c r="F37" i="1"/>
  <c r="F36" i="1"/>
  <c r="F33" i="1"/>
  <c r="K86" i="1"/>
  <c r="E100" i="1" s="1"/>
  <c r="A58" i="1"/>
  <c r="H48" i="1"/>
  <c r="J48" i="1" s="1"/>
  <c r="A57" i="1"/>
  <c r="H47" i="1"/>
  <c r="J47" i="1" s="1"/>
  <c r="A53" i="1"/>
  <c r="J43" i="1"/>
  <c r="A56" i="1"/>
  <c r="H46" i="1"/>
  <c r="J46" i="1" s="1"/>
  <c r="A55" i="1"/>
  <c r="J45" i="1"/>
  <c r="A54" i="1"/>
  <c r="H44" i="1"/>
  <c r="J44" i="1" s="1"/>
  <c r="J25" i="1"/>
  <c r="J29" i="1" s="1"/>
  <c r="K30" i="1" s="1"/>
  <c r="J19" i="1"/>
  <c r="L58" i="2"/>
  <c r="F18" i="1"/>
  <c r="F19" i="1" s="1"/>
  <c r="L32" i="2"/>
  <c r="L33" i="2"/>
  <c r="L45" i="2"/>
  <c r="A64" i="1" l="1"/>
  <c r="H54" i="1"/>
  <c r="J54" i="1" s="1"/>
  <c r="D54" i="1"/>
  <c r="F54" i="1" s="1"/>
  <c r="A66" i="1"/>
  <c r="D56" i="1"/>
  <c r="F56" i="1" s="1"/>
  <c r="H56" i="1"/>
  <c r="J56" i="1" s="1"/>
  <c r="A67" i="1"/>
  <c r="H57" i="1"/>
  <c r="J57" i="1" s="1"/>
  <c r="D57" i="1"/>
  <c r="F57" i="1" s="1"/>
  <c r="A65" i="1"/>
  <c r="H55" i="1"/>
  <c r="J55" i="1" s="1"/>
  <c r="D55" i="1"/>
  <c r="F55" i="1" s="1"/>
  <c r="A63" i="1"/>
  <c r="D53" i="1"/>
  <c r="F53" i="1" s="1"/>
  <c r="H53" i="1"/>
  <c r="J53" i="1" s="1"/>
  <c r="A68" i="1"/>
  <c r="H58" i="1"/>
  <c r="J58" i="1" s="1"/>
  <c r="D58" i="1"/>
  <c r="F58" i="1" s="1"/>
  <c r="F39" i="1"/>
  <c r="K40" i="1" s="1"/>
  <c r="E97" i="1" s="1"/>
  <c r="J49" i="1"/>
  <c r="K50" i="1" s="1"/>
  <c r="E98" i="1" s="1"/>
  <c r="K20" i="1"/>
  <c r="L30" i="1"/>
  <c r="L37" i="2"/>
  <c r="A78" i="1" l="1"/>
  <c r="H68" i="1"/>
  <c r="J68" i="1" s="1"/>
  <c r="D68" i="1"/>
  <c r="F68" i="1" s="1"/>
  <c r="J59" i="1"/>
  <c r="A77" i="1"/>
  <c r="H67" i="1"/>
  <c r="J67" i="1" s="1"/>
  <c r="D67" i="1"/>
  <c r="F67" i="1" s="1"/>
  <c r="F59" i="1"/>
  <c r="K60" i="1" s="1"/>
  <c r="A75" i="1"/>
  <c r="H65" i="1"/>
  <c r="J65" i="1" s="1"/>
  <c r="D65" i="1"/>
  <c r="F65" i="1" s="1"/>
  <c r="A76" i="1"/>
  <c r="D66" i="1"/>
  <c r="F66" i="1" s="1"/>
  <c r="H66" i="1"/>
  <c r="J66" i="1" s="1"/>
  <c r="A73" i="1"/>
  <c r="D63" i="1"/>
  <c r="F63" i="1" s="1"/>
  <c r="H63" i="1"/>
  <c r="J63" i="1" s="1"/>
  <c r="A74" i="1"/>
  <c r="H64" i="1"/>
  <c r="J64" i="1" s="1"/>
  <c r="D64" i="1"/>
  <c r="F64" i="1" s="1"/>
  <c r="L20" i="1"/>
  <c r="E94" i="1"/>
  <c r="E95" i="1"/>
  <c r="H76" i="1" l="1"/>
  <c r="J76" i="1" s="1"/>
  <c r="D76" i="1"/>
  <c r="F76" i="1" s="1"/>
  <c r="D73" i="1"/>
  <c r="F73" i="1" s="1"/>
  <c r="H73" i="1"/>
  <c r="J73" i="1" s="1"/>
  <c r="F69" i="1"/>
  <c r="H74" i="1"/>
  <c r="J74" i="1" s="1"/>
  <c r="D74" i="1"/>
  <c r="F74" i="1" s="1"/>
  <c r="J69" i="1"/>
  <c r="D75" i="1"/>
  <c r="F75" i="1" s="1"/>
  <c r="H75" i="1"/>
  <c r="J75" i="1" s="1"/>
  <c r="H77" i="1"/>
  <c r="J77" i="1" s="1"/>
  <c r="D77" i="1"/>
  <c r="F77" i="1" s="1"/>
  <c r="D78" i="1"/>
  <c r="F78" i="1" s="1"/>
  <c r="H78" i="1"/>
  <c r="J78" i="1" s="1"/>
  <c r="F79" i="1" l="1"/>
  <c r="K70" i="1"/>
  <c r="E96" i="1" s="1"/>
  <c r="J79" i="1"/>
  <c r="J88" i="1" s="1"/>
  <c r="J90" i="1" s="1"/>
  <c r="K80" i="1" l="1"/>
  <c r="E99" i="1" s="1"/>
  <c r="F88" i="1"/>
  <c r="F89" i="1" l="1"/>
  <c r="K89" i="1" s="1"/>
  <c r="E101" i="1" s="1"/>
  <c r="E102" i="1" s="1"/>
  <c r="K88" i="1"/>
  <c r="K90" i="1" s="1"/>
  <c r="F90" i="1"/>
  <c r="E10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Birgit Armstrong</author>
  </authors>
  <commentList>
    <comment ref="B21" authorId="0" shapeId="0" xr:uid="{00000000-0006-0000-0100-000001000000}">
      <text>
        <r>
          <rPr>
            <b/>
            <sz val="9"/>
            <color indexed="81"/>
            <rFont val="Tahoma"/>
            <family val="2"/>
          </rPr>
          <t>Birgit Armstrong:</t>
        </r>
        <r>
          <rPr>
            <sz val="9"/>
            <color indexed="81"/>
            <rFont val="Tahoma"/>
            <family val="2"/>
          </rPr>
          <t xml:space="preserve">
Add drop-down menu
</t>
        </r>
      </text>
    </comment>
  </commentList>
</comments>
</file>

<file path=xl/sharedStrings.xml><?xml version="1.0" encoding="utf-8"?>
<sst xmlns="http://schemas.openxmlformats.org/spreadsheetml/2006/main" count="266" uniqueCount="105">
  <si>
    <t>Cost of Power Calculation</t>
  </si>
  <si>
    <t>RPP</t>
  </si>
  <si>
    <t>non-RPP</t>
  </si>
  <si>
    <t>Transmission - Network</t>
  </si>
  <si>
    <t>kWh</t>
  </si>
  <si>
    <t>kW</t>
  </si>
  <si>
    <t>Rate</t>
  </si>
  <si>
    <t xml:space="preserve">$ </t>
  </si>
  <si>
    <t>Transmission - Connection</t>
  </si>
  <si>
    <t>Wholesale Market Service</t>
  </si>
  <si>
    <t>RRRP</t>
  </si>
  <si>
    <t>Smart Meter Entity Charge</t>
  </si>
  <si>
    <t>Customers</t>
  </si>
  <si>
    <t>TOTAL</t>
  </si>
  <si>
    <t>Volume</t>
  </si>
  <si>
    <t xml:space="preserve"> Volume</t>
  </si>
  <si>
    <t>2020 Test Year</t>
  </si>
  <si>
    <t>SUB-TOTAL</t>
  </si>
  <si>
    <t>ORECA CREDIT</t>
  </si>
  <si>
    <t>4705 -Power Purchased</t>
  </si>
  <si>
    <t>4707- Global Adjustment</t>
  </si>
  <si>
    <t>4708-Charges-WMS</t>
  </si>
  <si>
    <t>4714-Charges-NW</t>
  </si>
  <si>
    <t>4716-Charges-CN</t>
  </si>
  <si>
    <t>4750-Charges-LV</t>
  </si>
  <si>
    <t>4751-IESO SME</t>
  </si>
  <si>
    <t>2020 Test Year - CoP</t>
  </si>
  <si>
    <t>Electricity Commodity</t>
  </si>
  <si>
    <t>Class per Load Forecast</t>
  </si>
  <si>
    <t xml:space="preserve">Class per Load Forecast </t>
  </si>
  <si>
    <t>Low Voltage - No TLF adjustment</t>
  </si>
  <si>
    <t>SUB- TOTAL</t>
  </si>
  <si>
    <t xml:space="preserve">Commodity Expense </t>
  </si>
  <si>
    <t>Step 1:</t>
  </si>
  <si>
    <t> </t>
  </si>
  <si>
    <t>Step 2:</t>
  </si>
  <si>
    <t>Forecasted Commodity Prices</t>
  </si>
  <si>
    <t xml:space="preserve"> Table 1: Average RPP Supply Cost Summary*</t>
  </si>
  <si>
    <t>HOEP ($/MWh)</t>
  </si>
  <si>
    <t>Load-Weighted Price for RPP Consumers</t>
  </si>
  <si>
    <t>Global Adjustment ($/MWh)</t>
  </si>
  <si>
    <t>Impact of the Global Adjustment</t>
  </si>
  <si>
    <t>Adjustments ($/MWh)</t>
  </si>
  <si>
    <t>TOTAL ($/MWh)</t>
  </si>
  <si>
    <t>Average Supply Cost for RPP Consumers</t>
  </si>
  <si>
    <t>Commodity Expense</t>
  </si>
  <si>
    <t>(volumes for the bridge and test year are loss adjusted)</t>
  </si>
  <si>
    <t>Customer</t>
  </si>
  <si>
    <t>Revenue</t>
  </si>
  <si>
    <t>Expense</t>
  </si>
  <si>
    <t>kWh Volume</t>
  </si>
  <si>
    <t>Amount</t>
  </si>
  <si>
    <t>Class Name</t>
  </si>
  <si>
    <t>UoM</t>
  </si>
  <si>
    <t>USA #</t>
  </si>
  <si>
    <t>*Regulated Price Plan Prices for the Period November 1, 2019 – October 31, 2020</t>
  </si>
  <si>
    <t>Commodity</t>
  </si>
  <si>
    <t>Class B Non-RPP Volume</t>
  </si>
  <si>
    <t>Average HOEP</t>
  </si>
  <si>
    <t>Average RPP Rate</t>
  </si>
  <si>
    <t>GA Rate/kWh</t>
  </si>
  <si>
    <t>Class B - non-RPP Global Adjustment</t>
  </si>
  <si>
    <t>Class A - non-RPP Global Adjustment</t>
  </si>
  <si>
    <t>Global Adjustment non-RPP</t>
  </si>
  <si>
    <t>All Volume should be loss adjusted with the exception of:</t>
  </si>
  <si>
    <t>kWh*</t>
  </si>
  <si>
    <t>* Volume loss adjusted less WMP</t>
  </si>
  <si>
    <t>** No loss adjustment for kWh</t>
  </si>
  <si>
    <t>Units</t>
  </si>
  <si>
    <t>File Number:</t>
  </si>
  <si>
    <t>Exhibit:</t>
  </si>
  <si>
    <t>Tab:</t>
  </si>
  <si>
    <t>Schedule:</t>
  </si>
  <si>
    <t>Page:</t>
  </si>
  <si>
    <t>Date:</t>
  </si>
  <si>
    <t>Class A Non-RPP Volume**</t>
  </si>
  <si>
    <t>Class B Non-RPP Volume**</t>
  </si>
  <si>
    <t>Class B RPP Volume**</t>
  </si>
  <si>
    <t>Total</t>
  </si>
  <si>
    <t>$</t>
  </si>
  <si>
    <t>** Enter 2020 load forecast data by class based on the most recent 12-month historic Class A and Class B RPP/Non-RPP proportions</t>
  </si>
  <si>
    <t>Hist. Avg GA/kWh ***</t>
  </si>
  <si>
    <t>*** Based on average $ GA per kWh billed to class A customers for most recent 12-month historical year.</t>
  </si>
  <si>
    <t xml:space="preserve">***The ORRECA Credit of 31.8% will only apply to RPP proportion of the listed components. Impacts on distribution charges are excluded for the purpose of calculating the cost of power. </t>
  </si>
  <si>
    <t>2020 Forecasted Commodity Prices</t>
  </si>
  <si>
    <t>Total Volume</t>
  </si>
  <si>
    <t>Misc A/R or A/P</t>
  </si>
  <si>
    <t>General Service 50 to 2999 kW</t>
  </si>
  <si>
    <t>Residential</t>
  </si>
  <si>
    <t>General Service &lt; 50 kW</t>
  </si>
  <si>
    <t>Unmetered Scattered Load</t>
  </si>
  <si>
    <t>Sentinel Lighting</t>
  </si>
  <si>
    <t xml:space="preserve">Street Lighting </t>
  </si>
  <si>
    <t>EB-2019-0037</t>
  </si>
  <si>
    <t>Customers / Connections</t>
  </si>
  <si>
    <t>2020 Load Forecast</t>
  </si>
  <si>
    <t>Loss Factor</t>
  </si>
  <si>
    <t>kWh Loss Adjusted</t>
  </si>
  <si>
    <t>Metered kWh</t>
  </si>
  <si>
    <t>Non-RPP Class A kWh</t>
  </si>
  <si>
    <t>Non-RPP Class B kWh</t>
  </si>
  <si>
    <t>RPP kWh</t>
  </si>
  <si>
    <t>Class A kWh</t>
  </si>
  <si>
    <t>Check</t>
  </si>
  <si>
    <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</si>
</sst>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_(* #,##0_);_(* \(#,##0\);_(* &quot;-&quot;??_);_(@_)"/>
    <numFmt numFmtId="165" formatCode="_-* #,##0.00_-;\-* #,##0.00_-;_-* \-??_-;_-@_-"/>
    <numFmt numFmtId="166" formatCode="\$#,##0.0000_);&quot;($&quot;#,##0.0000\)"/>
    <numFmt numFmtId="167" formatCode="_-* #,##0_-;\-* #,##0_-;_-* \-??_-;_-@_-"/>
    <numFmt numFmtId="168" formatCode="\$#,##0.00_);&quot;($&quot;#,##0.00\)"/>
    <numFmt numFmtId="169" formatCode="\$#,##0"/>
    <numFmt numFmtId="170" formatCode="_(&quot;$&quot;* #,##0.00000_);_(&quot;$&quot;* \(#,##0.00000\);_(&quot;$&quot;* &quot;-&quot;??_);_(@_)"/>
    <numFmt numFmtId="171" formatCode="_(* #,##0.0000_);_(* \(#,##0.0000\);_(* &quot;-&quot;??_);_(@_)"/>
    <numFmt numFmtId="172" formatCode="_(&quot;$&quot;* #,##0_);_(&quot;$&quot;* \(#,##0\);_(&quot;$&quot;* &quot;-&quot;??_);_(@_)"/>
    <numFmt numFmtId="173" formatCode="[$-409]d\-mmm\-yy;@"/>
    <numFmt numFmtId="174" formatCode="0.0000"/>
    <numFmt numFmtId="175" formatCode="\$#,##0.00000_);&quot;($&quot;#,##0.00000\)"/>
  </numFmts>
  <fonts count="24"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i/>
      <sz val="8"/>
      <color indexed="22"/>
      <name val="Arial"/>
      <family val="2"/>
    </font>
    <font>
      <b/>
      <sz val="10"/>
      <name val="Arial"/>
      <family val="2"/>
    </font>
    <font>
      <sz val="8"/>
      <name val="Arial"/>
      <family val="2"/>
    </font>
    <font>
      <b/>
      <sz val="14"/>
      <name val="Arial"/>
      <family val="2"/>
      <charset val="1"/>
    </font>
    <font>
      <b/>
      <u/>
      <sz val="12"/>
      <name val="Arial"/>
      <family val="2"/>
      <charset val="1"/>
    </font>
    <font>
      <b/>
      <sz val="12"/>
      <name val="Arial"/>
      <family val="2"/>
    </font>
    <font>
      <b/>
      <u/>
      <sz val="10"/>
      <name val="Arial"/>
      <family val="2"/>
      <charset val="1"/>
    </font>
    <font>
      <sz val="10"/>
      <name val="Mangal"/>
      <family val="2"/>
      <charset val="1"/>
    </font>
    <font>
      <b/>
      <sz val="10"/>
      <name val="Arial"/>
      <family val="2"/>
      <charset val="1"/>
    </font>
    <font>
      <sz val="11"/>
      <name val="Arial"/>
      <family val="2"/>
      <charset val="1"/>
    </font>
    <font>
      <sz val="10"/>
      <name val="Arial"/>
      <family val="2"/>
      <charset val="1"/>
    </font>
    <font>
      <i/>
      <sz val="10"/>
      <name val="Arial"/>
      <family val="2"/>
      <charset val="1"/>
    </font>
    <font>
      <b/>
      <i/>
      <sz val="11"/>
      <name val="Arial"/>
      <family val="2"/>
    </font>
    <font>
      <b/>
      <sz val="11"/>
      <name val="Arial"/>
      <family val="2"/>
      <charset val="1"/>
    </font>
    <font>
      <b/>
      <u/>
      <sz val="11"/>
      <name val="Arial"/>
      <family val="2"/>
      <charset val="1"/>
    </font>
    <font>
      <b/>
      <sz val="11"/>
      <name val="Arial"/>
      <family val="2"/>
    </font>
    <font>
      <i/>
      <sz val="10"/>
      <color rgb="FFFF0000"/>
      <name val="Arial"/>
      <family val="2"/>
      <charset val="1"/>
    </font>
    <font>
      <strike/>
      <sz val="11"/>
      <color rgb="FFFF0000"/>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9" tint="0.79998168889431442"/>
        <bgColor indexed="58"/>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style="thin">
        <color indexed="64"/>
      </top>
      <bottom style="double">
        <color indexed="64"/>
      </bottom>
      <diagonal/>
    </border>
  </borders>
  <cellStyleXfs count="6">
    <xf numFmtId="0" fontId="0" fillId="0" borderId="0"/>
    <xf numFmtId="43" fontId="3" fillId="0" borderId="0" applyFont="0" applyFill="0" applyBorder="0" applyAlignment="0" applyProtection="0"/>
    <xf numFmtId="44" fontId="3" fillId="0" borderId="0" applyFont="0" applyFill="0" applyBorder="0" applyAlignment="0" applyProtection="0"/>
    <xf numFmtId="165" fontId="11" fillId="0" borderId="0" applyFill="0" applyBorder="0" applyAlignment="0" applyProtection="0"/>
    <xf numFmtId="9" fontId="11" fillId="0" borderId="0" applyFill="0" applyBorder="0" applyAlignment="0" applyProtection="0"/>
    <xf numFmtId="9" fontId="3" fillId="0" borderId="0" applyFont="0" applyFill="0" applyBorder="0" applyAlignment="0" applyProtection="0"/>
  </cellStyleXfs>
  <cellXfs count="260">
    <xf numFmtId="0" fontId="0" fillId="0" borderId="0" xfId="0"/>
    <xf numFmtId="0" fontId="0" fillId="0" borderId="0" xfId="0" applyAlignment="1">
      <alignment horizontal="center"/>
    </xf>
    <xf numFmtId="0" fontId="0" fillId="0" borderId="1" xfId="0" applyBorder="1"/>
    <xf numFmtId="0" fontId="2" fillId="0" borderId="1" xfId="0" applyFont="1" applyBorder="1"/>
    <xf numFmtId="0" fontId="1" fillId="0" borderId="1" xfId="0" applyFont="1" applyBorder="1"/>
    <xf numFmtId="0" fontId="0" fillId="0" borderId="0" xfId="0" applyBorder="1"/>
    <xf numFmtId="0" fontId="0" fillId="0" borderId="1" xfId="0" applyBorder="1" applyAlignment="1">
      <alignment horizontal="center"/>
    </xf>
    <xf numFmtId="0" fontId="0" fillId="0" borderId="2" xfId="0" applyBorder="1" applyAlignment="1">
      <alignment horizontal="center"/>
    </xf>
    <xf numFmtId="0" fontId="0" fillId="0" borderId="0" xfId="0" applyBorder="1" applyAlignment="1">
      <alignment wrapText="1"/>
    </xf>
    <xf numFmtId="0" fontId="0" fillId="0" borderId="0" xfId="0" applyBorder="1" applyAlignment="1">
      <alignment horizontal="center"/>
    </xf>
    <xf numFmtId="0" fontId="0" fillId="0" borderId="0" xfId="0" applyBorder="1" applyAlignment="1">
      <alignment horizontal="center"/>
    </xf>
    <xf numFmtId="0" fontId="0" fillId="2" borderId="1" xfId="0" applyFill="1" applyBorder="1"/>
    <xf numFmtId="0" fontId="0" fillId="0" borderId="1" xfId="0" applyFill="1" applyBorder="1"/>
    <xf numFmtId="0" fontId="0" fillId="0" borderId="4" xfId="0" applyBorder="1"/>
    <xf numFmtId="0" fontId="0" fillId="0" borderId="4" xfId="0" applyFill="1" applyBorder="1"/>
    <xf numFmtId="0" fontId="0" fillId="2" borderId="4" xfId="0" applyFill="1" applyBorder="1"/>
    <xf numFmtId="0" fontId="0" fillId="0" borderId="10" xfId="0" applyBorder="1"/>
    <xf numFmtId="0" fontId="1" fillId="0" borderId="1" xfId="0" applyFont="1" applyFill="1" applyBorder="1"/>
    <xf numFmtId="0" fontId="0" fillId="0" borderId="1" xfId="0" applyBorder="1" applyAlignment="1">
      <alignment horizontal="center" wrapText="1"/>
    </xf>
    <xf numFmtId="0" fontId="0" fillId="0" borderId="2" xfId="0" applyBorder="1"/>
    <xf numFmtId="0" fontId="1" fillId="0" borderId="0" xfId="0" applyFont="1" applyBorder="1" applyAlignment="1">
      <alignment wrapText="1"/>
    </xf>
    <xf numFmtId="10" fontId="0" fillId="0" borderId="1" xfId="0" applyNumberFormat="1" applyBorder="1"/>
    <xf numFmtId="37" fontId="0" fillId="2" borderId="1" xfId="0" applyNumberFormat="1" applyFill="1" applyBorder="1"/>
    <xf numFmtId="0" fontId="0" fillId="0" borderId="0" xfId="0" applyProtection="1"/>
    <xf numFmtId="0" fontId="4" fillId="0" borderId="0" xfId="0" applyFont="1" applyAlignment="1" applyProtection="1">
      <alignment horizontal="left" vertical="center"/>
    </xf>
    <xf numFmtId="0" fontId="6" fillId="0" borderId="0" xfId="0" applyFont="1" applyAlignment="1" applyProtection="1">
      <alignment horizontal="right" vertical="top"/>
    </xf>
    <xf numFmtId="0" fontId="6" fillId="2" borderId="14" xfId="0" applyFont="1" applyFill="1" applyBorder="1" applyAlignment="1" applyProtection="1">
      <alignment horizontal="right" vertical="top"/>
      <protection locked="0"/>
    </xf>
    <xf numFmtId="0" fontId="0" fillId="0" borderId="0" xfId="0" applyAlignment="1" applyProtection="1">
      <alignment horizontal="center"/>
    </xf>
    <xf numFmtId="0" fontId="6" fillId="2" borderId="0" xfId="0" applyFont="1" applyFill="1" applyAlignment="1" applyProtection="1">
      <alignment horizontal="right" vertical="top"/>
      <protection locked="0"/>
    </xf>
    <xf numFmtId="0" fontId="0" fillId="0" borderId="0" xfId="0" applyBorder="1" applyProtection="1"/>
    <xf numFmtId="0" fontId="8" fillId="0" borderId="0" xfId="0" applyFont="1" applyBorder="1" applyProtection="1"/>
    <xf numFmtId="0" fontId="10" fillId="0" borderId="0" xfId="0" applyFont="1" applyBorder="1" applyProtection="1"/>
    <xf numFmtId="0" fontId="13" fillId="0" borderId="0" xfId="0" applyFont="1" applyProtection="1"/>
    <xf numFmtId="0" fontId="14" fillId="0" borderId="17" xfId="0" applyFont="1" applyFill="1" applyBorder="1" applyAlignment="1" applyProtection="1">
      <alignment vertical="center"/>
    </xf>
    <xf numFmtId="0" fontId="13" fillId="0" borderId="0" xfId="0" applyFont="1" applyBorder="1" applyProtection="1"/>
    <xf numFmtId="0" fontId="13" fillId="0" borderId="20" xfId="0" applyFont="1" applyBorder="1" applyProtection="1"/>
    <xf numFmtId="0" fontId="15" fillId="0" borderId="20" xfId="0" applyFont="1" applyFill="1" applyBorder="1" applyAlignment="1" applyProtection="1">
      <alignment horizontal="left" indent="1"/>
    </xf>
    <xf numFmtId="0" fontId="15" fillId="0" borderId="20" xfId="0" applyFont="1" applyFill="1" applyBorder="1" applyProtection="1"/>
    <xf numFmtId="10" fontId="15" fillId="0" borderId="20" xfId="4" applyNumberFormat="1" applyFont="1" applyFill="1" applyBorder="1" applyAlignment="1" applyProtection="1">
      <alignment horizontal="right"/>
    </xf>
    <xf numFmtId="0" fontId="15" fillId="0" borderId="0" xfId="0" applyFont="1" applyFill="1" applyBorder="1" applyAlignment="1" applyProtection="1">
      <alignment horizontal="left" indent="1"/>
    </xf>
    <xf numFmtId="0" fontId="15" fillId="0" borderId="0" xfId="0" applyFont="1" applyFill="1" applyBorder="1" applyProtection="1"/>
    <xf numFmtId="10" fontId="15" fillId="0" borderId="0" xfId="4" applyNumberFormat="1" applyFont="1" applyFill="1" applyBorder="1" applyAlignment="1" applyProtection="1">
      <alignment horizontal="right"/>
    </xf>
    <xf numFmtId="0" fontId="16" fillId="0" borderId="0" xfId="0" applyFont="1" applyProtection="1"/>
    <xf numFmtId="0" fontId="13" fillId="0" borderId="0" xfId="0" applyFont="1" applyFill="1" applyBorder="1" applyProtection="1"/>
    <xf numFmtId="0" fontId="17" fillId="0" borderId="0" xfId="0" applyFont="1" applyAlignment="1" applyProtection="1">
      <alignment horizontal="center" vertical="top"/>
    </xf>
    <xf numFmtId="0" fontId="18" fillId="0" borderId="0" xfId="0" applyFont="1" applyFill="1" applyBorder="1" applyProtection="1"/>
    <xf numFmtId="0" fontId="10" fillId="0" borderId="0" xfId="0" applyFont="1" applyFill="1" applyBorder="1" applyProtection="1"/>
    <xf numFmtId="0" fontId="14" fillId="0" borderId="18" xfId="0" applyFont="1" applyFill="1" applyBorder="1" applyProtection="1"/>
    <xf numFmtId="168" fontId="14" fillId="4" borderId="3" xfId="0" applyNumberFormat="1" applyFont="1" applyFill="1" applyBorder="1" applyProtection="1">
      <protection locked="0"/>
    </xf>
    <xf numFmtId="168" fontId="14" fillId="4" borderId="1" xfId="0" applyNumberFormat="1" applyFont="1" applyFill="1" applyBorder="1" applyProtection="1">
      <protection locked="0"/>
    </xf>
    <xf numFmtId="0" fontId="12" fillId="0" borderId="18" xfId="0" applyFont="1" applyFill="1" applyBorder="1" applyAlignment="1" applyProtection="1">
      <alignment horizontal="left" indent="1"/>
    </xf>
    <xf numFmtId="168" fontId="12" fillId="0" borderId="1" xfId="0" applyNumberFormat="1" applyFont="1" applyFill="1" applyBorder="1" applyProtection="1"/>
    <xf numFmtId="0" fontId="20" fillId="0" borderId="0" xfId="0" applyFont="1" applyBorder="1" applyProtection="1"/>
    <xf numFmtId="0" fontId="9" fillId="0" borderId="0" xfId="0" applyFont="1" applyProtection="1"/>
    <xf numFmtId="0" fontId="12" fillId="0" borderId="17" xfId="0" applyFont="1" applyBorder="1" applyProtection="1"/>
    <xf numFmtId="0" fontId="0" fillId="0" borderId="17" xfId="0" applyBorder="1" applyAlignment="1" applyProtection="1">
      <alignment horizontal="center"/>
    </xf>
    <xf numFmtId="0" fontId="12" fillId="0" borderId="17" xfId="0" applyFont="1" applyBorder="1" applyAlignment="1" applyProtection="1">
      <alignment horizontal="center"/>
    </xf>
    <xf numFmtId="0" fontId="0" fillId="7" borderId="17" xfId="0" applyFill="1" applyBorder="1" applyAlignment="1" applyProtection="1">
      <alignment horizontal="center"/>
      <protection locked="0"/>
    </xf>
    <xf numFmtId="169" fontId="0" fillId="0" borderId="17" xfId="0" applyNumberFormat="1" applyFill="1" applyBorder="1" applyAlignment="1" applyProtection="1">
      <alignment horizontal="right"/>
    </xf>
    <xf numFmtId="167" fontId="0" fillId="7" borderId="17" xfId="0" applyNumberFormat="1" applyFill="1" applyBorder="1" applyAlignment="1" applyProtection="1">
      <alignment horizontal="center"/>
      <protection locked="0"/>
    </xf>
    <xf numFmtId="0" fontId="12" fillId="0" borderId="0" xfId="0" applyFont="1" applyProtection="1"/>
    <xf numFmtId="0" fontId="12" fillId="0" borderId="18" xfId="0" applyFont="1" applyBorder="1" applyAlignment="1" applyProtection="1">
      <alignment horizontal="center"/>
    </xf>
    <xf numFmtId="0" fontId="12" fillId="0" borderId="1" xfId="0" applyFont="1" applyBorder="1" applyAlignment="1" applyProtection="1">
      <alignment horizontal="center"/>
    </xf>
    <xf numFmtId="0" fontId="0" fillId="0" borderId="17" xfId="0" applyFont="1" applyBorder="1" applyProtection="1"/>
    <xf numFmtId="0" fontId="0" fillId="0" borderId="18" xfId="0" applyBorder="1" applyAlignment="1" applyProtection="1">
      <alignment horizontal="center"/>
    </xf>
    <xf numFmtId="0" fontId="0" fillId="0" borderId="1" xfId="0" applyBorder="1" applyAlignment="1" applyProtection="1">
      <alignment horizontal="center"/>
    </xf>
    <xf numFmtId="0" fontId="14" fillId="0" borderId="1" xfId="0" applyFont="1" applyBorder="1" applyAlignment="1" applyProtection="1">
      <alignment horizontal="center"/>
    </xf>
    <xf numFmtId="0" fontId="0" fillId="7" borderId="18" xfId="0" applyFill="1" applyBorder="1" applyAlignment="1" applyProtection="1">
      <alignment horizontal="center"/>
      <protection locked="0"/>
    </xf>
    <xf numFmtId="169" fontId="0" fillId="0" borderId="1" xfId="0" applyNumberFormat="1" applyFill="1" applyBorder="1" applyAlignment="1" applyProtection="1">
      <alignment horizontal="right"/>
    </xf>
    <xf numFmtId="0" fontId="0" fillId="0" borderId="0" xfId="0" quotePrefix="1" applyProtection="1"/>
    <xf numFmtId="37" fontId="12" fillId="0" borderId="1" xfId="0" applyNumberFormat="1" applyFont="1" applyBorder="1" applyAlignment="1" applyProtection="1">
      <alignment horizontal="right"/>
    </xf>
    <xf numFmtId="169" fontId="12" fillId="0" borderId="1" xfId="0" applyNumberFormat="1" applyFont="1" applyBorder="1" applyAlignment="1" applyProtection="1">
      <alignment horizontal="right"/>
    </xf>
    <xf numFmtId="0" fontId="0" fillId="0" borderId="0" xfId="0" applyBorder="1" applyAlignment="1" applyProtection="1">
      <alignment horizontal="center"/>
    </xf>
    <xf numFmtId="167" fontId="11" fillId="0" borderId="0" xfId="3" applyNumberFormat="1" applyProtection="1"/>
    <xf numFmtId="43" fontId="0" fillId="0" borderId="0" xfId="0" applyNumberFormat="1" applyProtection="1"/>
    <xf numFmtId="37" fontId="0" fillId="0" borderId="1" xfId="0" applyNumberFormat="1" applyFill="1" applyBorder="1"/>
    <xf numFmtId="164" fontId="0" fillId="0" borderId="1" xfId="1" applyNumberFormat="1" applyFont="1" applyFill="1" applyBorder="1"/>
    <xf numFmtId="0" fontId="0" fillId="0" borderId="0" xfId="0" applyFill="1" applyBorder="1"/>
    <xf numFmtId="0" fontId="14" fillId="0" borderId="1" xfId="0" applyFont="1" applyBorder="1" applyAlignment="1" applyProtection="1">
      <alignment horizontal="center" wrapText="1"/>
    </xf>
    <xf numFmtId="170" fontId="0" fillId="0" borderId="1" xfId="2" quotePrefix="1" applyNumberFormat="1" applyFont="1" applyFill="1" applyBorder="1" applyAlignment="1" applyProtection="1">
      <alignment horizontal="right"/>
    </xf>
    <xf numFmtId="0" fontId="2" fillId="0" borderId="1" xfId="0" applyFont="1" applyFill="1" applyBorder="1"/>
    <xf numFmtId="0" fontId="0" fillId="8" borderId="0" xfId="0" applyFill="1"/>
    <xf numFmtId="37" fontId="0" fillId="2" borderId="1" xfId="0" quotePrefix="1" applyNumberFormat="1" applyFill="1" applyBorder="1" applyAlignment="1" applyProtection="1">
      <alignment horizontal="right"/>
    </xf>
    <xf numFmtId="171" fontId="13" fillId="0" borderId="0" xfId="0" applyNumberFormat="1" applyFont="1" applyProtection="1"/>
    <xf numFmtId="0" fontId="1" fillId="0" borderId="0" xfId="0" applyFont="1" applyAlignment="1">
      <alignment horizontal="center"/>
    </xf>
    <xf numFmtId="0" fontId="0" fillId="0" borderId="3" xfId="0" applyFill="1" applyBorder="1"/>
    <xf numFmtId="0" fontId="0" fillId="0" borderId="13" xfId="0" applyBorder="1" applyAlignment="1">
      <alignment horizontal="center"/>
    </xf>
    <xf numFmtId="0" fontId="0" fillId="0" borderId="21" xfId="0" applyBorder="1"/>
    <xf numFmtId="0" fontId="0" fillId="0" borderId="6" xfId="0" applyBorder="1"/>
    <xf numFmtId="0" fontId="0" fillId="8" borderId="0" xfId="0" applyFill="1" applyBorder="1"/>
    <xf numFmtId="164" fontId="0" fillId="0" borderId="21" xfId="1" applyNumberFormat="1" applyFont="1" applyBorder="1"/>
    <xf numFmtId="0" fontId="0" fillId="0" borderId="3" xfId="0" applyBorder="1"/>
    <xf numFmtId="37" fontId="0" fillId="8" borderId="0" xfId="0" applyNumberFormat="1" applyFill="1" applyBorder="1"/>
    <xf numFmtId="37" fontId="0" fillId="2" borderId="2" xfId="0" quotePrefix="1" applyNumberFormat="1" applyFill="1" applyBorder="1" applyAlignment="1" applyProtection="1">
      <alignment horizontal="right"/>
    </xf>
    <xf numFmtId="37" fontId="0" fillId="2" borderId="21" xfId="0" quotePrefix="1" applyNumberFormat="1" applyFill="1" applyBorder="1" applyAlignment="1" applyProtection="1">
      <alignment horizontal="right"/>
    </xf>
    <xf numFmtId="37" fontId="12" fillId="0" borderId="21" xfId="0" applyNumberFormat="1" applyFont="1" applyBorder="1" applyAlignment="1" applyProtection="1">
      <alignment horizontal="right"/>
    </xf>
    <xf numFmtId="0" fontId="14" fillId="5" borderId="4" xfId="0" applyFont="1" applyFill="1" applyBorder="1" applyAlignment="1" applyProtection="1">
      <alignment horizontal="center" wrapText="1"/>
    </xf>
    <xf numFmtId="0" fontId="14" fillId="5" borderId="13" xfId="0" applyFont="1" applyFill="1" applyBorder="1" applyAlignment="1" applyProtection="1">
      <alignment horizontal="center" wrapText="1"/>
    </xf>
    <xf numFmtId="44" fontId="5" fillId="0" borderId="15" xfId="0" applyNumberFormat="1" applyFont="1" applyFill="1" applyBorder="1" applyAlignment="1" applyProtection="1">
      <alignment horizontal="center"/>
    </xf>
    <xf numFmtId="44" fontId="5" fillId="0" borderId="16" xfId="0" applyNumberFormat="1"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27" xfId="0" applyFont="1" applyFill="1" applyBorder="1" applyAlignment="1" applyProtection="1">
      <alignment horizontal="center"/>
    </xf>
    <xf numFmtId="1" fontId="12" fillId="6" borderId="21" xfId="0" applyNumberFormat="1" applyFont="1" applyFill="1" applyBorder="1" applyAlignment="1" applyProtection="1">
      <alignment horizontal="center"/>
      <protection locked="0"/>
    </xf>
    <xf numFmtId="1" fontId="12" fillId="6" borderId="25" xfId="0" applyNumberFormat="1" applyFont="1" applyFill="1" applyBorder="1" applyAlignment="1" applyProtection="1">
      <alignment horizontal="center"/>
      <protection locked="0"/>
    </xf>
    <xf numFmtId="44" fontId="5" fillId="0" borderId="0" xfId="0" applyNumberFormat="1" applyFont="1" applyFill="1" applyBorder="1" applyAlignment="1" applyProtection="1">
      <alignment horizontal="center"/>
    </xf>
    <xf numFmtId="0" fontId="19" fillId="0" borderId="0" xfId="0" applyFont="1" applyFill="1" applyBorder="1" applyAlignment="1" applyProtection="1">
      <alignment horizontal="center"/>
    </xf>
    <xf numFmtId="168" fontId="12" fillId="0" borderId="0" xfId="0" applyNumberFormat="1" applyFont="1" applyFill="1" applyBorder="1" applyProtection="1"/>
    <xf numFmtId="168" fontId="14" fillId="0" borderId="0" xfId="0" applyNumberFormat="1" applyFont="1" applyFill="1" applyBorder="1" applyProtection="1">
      <protection locked="0"/>
    </xf>
    <xf numFmtId="168" fontId="14" fillId="0" borderId="0" xfId="0" applyNumberFormat="1" applyFont="1" applyFill="1" applyBorder="1" applyProtection="1"/>
    <xf numFmtId="168" fontId="13" fillId="0" borderId="0" xfId="0" applyNumberFormat="1" applyFont="1" applyFill="1" applyBorder="1" applyProtection="1">
      <protection locked="0"/>
    </xf>
    <xf numFmtId="0" fontId="19" fillId="0" borderId="28" xfId="0" applyFont="1" applyFill="1" applyBorder="1" applyAlignment="1" applyProtection="1">
      <alignment horizontal="center"/>
    </xf>
    <xf numFmtId="0" fontId="19" fillId="0" borderId="29" xfId="0" applyFont="1" applyFill="1" applyBorder="1" applyAlignment="1" applyProtection="1">
      <alignment horizontal="center"/>
    </xf>
    <xf numFmtId="168" fontId="14" fillId="2" borderId="30" xfId="0" applyNumberFormat="1" applyFont="1" applyFill="1" applyBorder="1" applyProtection="1"/>
    <xf numFmtId="168" fontId="14" fillId="2" borderId="31" xfId="0" applyNumberFormat="1" applyFont="1" applyFill="1" applyBorder="1" applyProtection="1"/>
    <xf numFmtId="168" fontId="12" fillId="0" borderId="31" xfId="0" applyNumberFormat="1" applyFont="1" applyFill="1" applyBorder="1" applyProtection="1"/>
    <xf numFmtId="0" fontId="21" fillId="0" borderId="0" xfId="0" applyFont="1" applyAlignment="1" applyProtection="1">
      <alignment wrapText="1"/>
    </xf>
    <xf numFmtId="0" fontId="13" fillId="0" borderId="0" xfId="0" applyFont="1" applyFill="1" applyProtection="1"/>
    <xf numFmtId="37" fontId="12" fillId="0" borderId="3" xfId="0" applyNumberFormat="1" applyFont="1" applyBorder="1" applyAlignment="1" applyProtection="1">
      <alignment horizontal="right"/>
    </xf>
    <xf numFmtId="164" fontId="1" fillId="0" borderId="1" xfId="1" applyNumberFormat="1" applyFont="1" applyBorder="1"/>
    <xf numFmtId="0" fontId="14" fillId="2" borderId="17" xfId="0" applyFont="1" applyFill="1" applyBorder="1" applyAlignment="1" applyProtection="1">
      <alignment vertical="center"/>
    </xf>
    <xf numFmtId="166" fontId="0" fillId="2" borderId="19" xfId="0" applyNumberFormat="1" applyFill="1" applyBorder="1" applyAlignment="1" applyProtection="1">
      <alignment horizontal="center"/>
      <protection locked="0"/>
    </xf>
    <xf numFmtId="0" fontId="0" fillId="7" borderId="19" xfId="0" applyFill="1" applyBorder="1" applyAlignment="1" applyProtection="1">
      <alignment horizontal="center"/>
      <protection locked="0"/>
    </xf>
    <xf numFmtId="164" fontId="0" fillId="8" borderId="0" xfId="1" applyNumberFormat="1" applyFont="1" applyFill="1" applyBorder="1" applyAlignment="1" applyProtection="1">
      <alignment horizontal="center"/>
      <protection locked="0"/>
    </xf>
    <xf numFmtId="43" fontId="0" fillId="8" borderId="0" xfId="1" applyFont="1" applyFill="1" applyBorder="1" applyAlignment="1" applyProtection="1">
      <alignment horizontal="center"/>
      <protection locked="0"/>
    </xf>
    <xf numFmtId="167" fontId="0" fillId="8" borderId="0" xfId="0" applyNumberFormat="1" applyFill="1" applyBorder="1" applyAlignment="1" applyProtection="1">
      <alignment horizontal="center"/>
      <protection locked="0"/>
    </xf>
    <xf numFmtId="0" fontId="14" fillId="0" borderId="4" xfId="0" applyFont="1" applyBorder="1" applyAlignment="1" applyProtection="1">
      <alignment horizontal="center"/>
    </xf>
    <xf numFmtId="37" fontId="0" fillId="8" borderId="0" xfId="0" quotePrefix="1" applyNumberFormat="1" applyFill="1" applyBorder="1" applyAlignment="1" applyProtection="1">
      <alignment horizontal="right"/>
      <protection locked="0"/>
    </xf>
    <xf numFmtId="37" fontId="12" fillId="0" borderId="3" xfId="0" applyNumberFormat="1" applyFont="1" applyFill="1" applyBorder="1" applyAlignment="1" applyProtection="1">
      <alignment horizontal="right"/>
    </xf>
    <xf numFmtId="0" fontId="0" fillId="0" borderId="32" xfId="0" applyBorder="1" applyProtection="1"/>
    <xf numFmtId="49" fontId="0" fillId="0" borderId="17" xfId="0" applyNumberFormat="1" applyFill="1" applyBorder="1" applyAlignment="1" applyProtection="1">
      <alignment horizontal="center"/>
      <protection locked="0"/>
    </xf>
    <xf numFmtId="0" fontId="12" fillId="0" borderId="17" xfId="0" applyFont="1" applyFill="1" applyBorder="1" applyAlignment="1" applyProtection="1">
      <alignment horizontal="center"/>
      <protection locked="0"/>
    </xf>
    <xf numFmtId="0" fontId="12" fillId="0" borderId="18" xfId="0" applyFont="1" applyFill="1" applyBorder="1" applyAlignment="1" applyProtection="1">
      <alignment horizontal="center"/>
      <protection locked="0"/>
    </xf>
    <xf numFmtId="168" fontId="0" fillId="2" borderId="19" xfId="0" applyNumberFormat="1" applyFill="1" applyBorder="1" applyAlignment="1" applyProtection="1">
      <alignment horizontal="center"/>
      <protection locked="0"/>
    </xf>
    <xf numFmtId="0" fontId="12" fillId="8" borderId="9" xfId="0" applyFont="1" applyFill="1" applyBorder="1" applyAlignment="1" applyProtection="1">
      <alignment horizontal="center"/>
    </xf>
    <xf numFmtId="37" fontId="0" fillId="0" borderId="1" xfId="0" applyNumberFormat="1" applyBorder="1"/>
    <xf numFmtId="172" fontId="0" fillId="0" borderId="1" xfId="0" applyNumberFormat="1" applyBorder="1"/>
    <xf numFmtId="172" fontId="0" fillId="0" borderId="1" xfId="2" applyNumberFormat="1" applyFont="1" applyBorder="1"/>
    <xf numFmtId="164" fontId="0" fillId="0" borderId="21" xfId="1" applyNumberFormat="1" applyFont="1" applyFill="1" applyBorder="1"/>
    <xf numFmtId="0" fontId="7" fillId="0" borderId="0" xfId="0" applyFont="1" applyBorder="1" applyAlignment="1" applyProtection="1">
      <alignment vertical="top"/>
    </xf>
    <xf numFmtId="0" fontId="5" fillId="0" borderId="0" xfId="0" applyFont="1" applyAlignment="1" applyProtection="1">
      <alignment horizontal="left"/>
    </xf>
    <xf numFmtId="0" fontId="6" fillId="2" borderId="0" xfId="0" applyFont="1" applyFill="1" applyAlignment="1" applyProtection="1">
      <alignment horizontal="right" vertical="top"/>
    </xf>
    <xf numFmtId="173" fontId="6" fillId="2" borderId="0" xfId="0" applyNumberFormat="1" applyFont="1" applyFill="1" applyAlignment="1" applyProtection="1">
      <alignment horizontal="right" vertical="top"/>
      <protection locked="0"/>
    </xf>
    <xf numFmtId="0" fontId="12" fillId="0" borderId="33" xfId="0" applyFont="1" applyBorder="1" applyProtection="1"/>
    <xf numFmtId="49" fontId="0" fillId="0" borderId="33" xfId="0" applyNumberFormat="1" applyBorder="1" applyAlignment="1" applyProtection="1">
      <alignment horizontal="center"/>
    </xf>
    <xf numFmtId="0" fontId="12" fillId="0" borderId="33" xfId="0" applyFont="1" applyBorder="1" applyAlignment="1" applyProtection="1">
      <alignment horizontal="center"/>
    </xf>
    <xf numFmtId="0" fontId="12" fillId="0" borderId="34" xfId="0" applyFont="1" applyBorder="1" applyAlignment="1" applyProtection="1">
      <alignment horizontal="center"/>
    </xf>
    <xf numFmtId="0" fontId="0" fillId="0" borderId="21" xfId="0" applyBorder="1" applyAlignment="1">
      <alignment horizontal="center"/>
    </xf>
    <xf numFmtId="172" fontId="1" fillId="0" borderId="1" xfId="0" applyNumberFormat="1" applyFont="1" applyBorder="1"/>
    <xf numFmtId="0" fontId="0" fillId="0" borderId="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12" fillId="0" borderId="19" xfId="0" applyFont="1" applyBorder="1" applyAlignment="1" applyProtection="1">
      <alignment horizontal="center" wrapText="1"/>
    </xf>
    <xf numFmtId="0" fontId="0" fillId="0" borderId="13" xfId="0" applyFill="1" applyBorder="1"/>
    <xf numFmtId="0" fontId="0" fillId="0" borderId="13" xfId="0" applyBorder="1"/>
    <xf numFmtId="0" fontId="0" fillId="0" borderId="12" xfId="0" applyBorder="1"/>
    <xf numFmtId="0" fontId="0" fillId="0" borderId="5" xfId="0" applyFill="1" applyBorder="1"/>
    <xf numFmtId="0" fontId="0" fillId="0" borderId="11" xfId="0" applyBorder="1"/>
    <xf numFmtId="0" fontId="0" fillId="0" borderId="8" xfId="0" applyFill="1" applyBorder="1"/>
    <xf numFmtId="0" fontId="0" fillId="0" borderId="21" xfId="0" applyFill="1" applyBorder="1"/>
    <xf numFmtId="0" fontId="0" fillId="0" borderId="12" xfId="0" applyFill="1" applyBorder="1"/>
    <xf numFmtId="0" fontId="0" fillId="8" borderId="13" xfId="0" applyFill="1" applyBorder="1"/>
    <xf numFmtId="0" fontId="1" fillId="0" borderId="0" xfId="0" applyFont="1" applyFill="1" applyBorder="1"/>
    <xf numFmtId="0" fontId="0" fillId="0" borderId="13" xfId="0" applyFont="1" applyFill="1" applyBorder="1"/>
    <xf numFmtId="0" fontId="1" fillId="0" borderId="1" xfId="0" applyFont="1" applyBorder="1" applyAlignment="1">
      <alignment horizontal="center"/>
    </xf>
    <xf numFmtId="0" fontId="1" fillId="0" borderId="0" xfId="0" applyFont="1" applyBorder="1" applyAlignment="1"/>
    <xf numFmtId="0" fontId="1" fillId="0" borderId="21" xfId="0" applyFont="1" applyBorder="1" applyAlignment="1">
      <alignment horizontal="center" vertical="center"/>
    </xf>
    <xf numFmtId="167" fontId="11" fillId="2" borderId="17" xfId="3" applyNumberFormat="1" applyFill="1" applyBorder="1" applyAlignment="1" applyProtection="1">
      <alignment horizontal="center"/>
      <protection locked="0"/>
    </xf>
    <xf numFmtId="37" fontId="0" fillId="9" borderId="24" xfId="0" quotePrefix="1" applyNumberFormat="1" applyFill="1" applyBorder="1" applyAlignment="1" applyProtection="1">
      <alignment horizontal="right"/>
      <protection locked="0"/>
    </xf>
    <xf numFmtId="170" fontId="0" fillId="9" borderId="21" xfId="2" quotePrefix="1" applyNumberFormat="1" applyFont="1" applyFill="1" applyBorder="1" applyAlignment="1" applyProtection="1">
      <alignment horizontal="right"/>
      <protection locked="0"/>
    </xf>
    <xf numFmtId="37" fontId="0" fillId="9" borderId="21" xfId="0" quotePrefix="1" applyNumberFormat="1" applyFill="1" applyBorder="1" applyAlignment="1" applyProtection="1">
      <alignment horizontal="right"/>
      <protection locked="0"/>
    </xf>
    <xf numFmtId="164" fontId="0" fillId="2" borderId="17" xfId="1" applyNumberFormat="1" applyFont="1" applyFill="1" applyBorder="1" applyAlignment="1" applyProtection="1">
      <alignment horizontal="center"/>
      <protection locked="0"/>
    </xf>
    <xf numFmtId="164" fontId="0" fillId="7" borderId="17" xfId="0" applyNumberFormat="1" applyFill="1" applyBorder="1" applyAlignment="1" applyProtection="1">
      <alignment horizontal="center"/>
      <protection locked="0"/>
    </xf>
    <xf numFmtId="169" fontId="1" fillId="0" borderId="17" xfId="0" applyNumberFormat="1" applyFont="1" applyFill="1" applyBorder="1" applyAlignment="1" applyProtection="1">
      <alignment horizontal="right"/>
    </xf>
    <xf numFmtId="0" fontId="12" fillId="0" borderId="0" xfId="0" applyFont="1" applyBorder="1" applyProtection="1"/>
    <xf numFmtId="49" fontId="0" fillId="0" borderId="0" xfId="0" applyNumberForma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37" fontId="12" fillId="0" borderId="0" xfId="0" applyNumberFormat="1" applyFont="1" applyBorder="1" applyAlignment="1" applyProtection="1">
      <alignment horizontal="right"/>
    </xf>
    <xf numFmtId="37" fontId="12" fillId="0" borderId="0" xfId="0" applyNumberFormat="1" applyFont="1" applyFill="1" applyBorder="1" applyAlignment="1" applyProtection="1">
      <alignment horizontal="right"/>
    </xf>
    <xf numFmtId="0" fontId="0" fillId="0" borderId="17" xfId="0" applyFill="1" applyBorder="1" applyAlignment="1" applyProtection="1">
      <alignment horizontal="center"/>
      <protection locked="0"/>
    </xf>
    <xf numFmtId="169" fontId="1" fillId="0" borderId="1" xfId="0" applyNumberFormat="1" applyFont="1" applyBorder="1" applyAlignment="1" applyProtection="1">
      <alignment horizontal="right"/>
    </xf>
    <xf numFmtId="164" fontId="0" fillId="2" borderId="21" xfId="1" applyNumberFormat="1" applyFont="1" applyFill="1" applyBorder="1"/>
    <xf numFmtId="164" fontId="0" fillId="2" borderId="6" xfId="1" applyNumberFormat="1" applyFont="1" applyFill="1" applyBorder="1"/>
    <xf numFmtId="0" fontId="0" fillId="0" borderId="18" xfId="0" applyFill="1" applyBorder="1" applyAlignment="1" applyProtection="1">
      <alignment horizontal="center"/>
      <protection locked="0"/>
    </xf>
    <xf numFmtId="37" fontId="0" fillId="9" borderId="9" xfId="0" quotePrefix="1" applyNumberFormat="1" applyFill="1" applyBorder="1" applyAlignment="1" applyProtection="1">
      <alignment horizontal="right"/>
      <protection locked="0"/>
    </xf>
    <xf numFmtId="37" fontId="0" fillId="0" borderId="1" xfId="0" quotePrefix="1" applyNumberFormat="1" applyFill="1" applyBorder="1" applyAlignment="1" applyProtection="1">
      <alignment horizontal="right"/>
      <protection locked="0"/>
    </xf>
    <xf numFmtId="37" fontId="1" fillId="9" borderId="1" xfId="0" quotePrefix="1" applyNumberFormat="1" applyFont="1" applyFill="1" applyBorder="1" applyAlignment="1" applyProtection="1">
      <alignment horizontal="right"/>
      <protection locked="0"/>
    </xf>
    <xf numFmtId="164" fontId="0" fillId="2" borderId="1" xfId="1" applyNumberFormat="1" applyFont="1" applyFill="1" applyBorder="1"/>
    <xf numFmtId="164" fontId="0" fillId="0" borderId="1" xfId="1" applyNumberFormat="1" applyFont="1" applyBorder="1"/>
    <xf numFmtId="172" fontId="0" fillId="0" borderId="0" xfId="0" applyNumberFormat="1"/>
    <xf numFmtId="169" fontId="0" fillId="0" borderId="0" xfId="0" applyNumberFormat="1" applyProtection="1"/>
    <xf numFmtId="174" fontId="0" fillId="2" borderId="1" xfId="0" applyNumberFormat="1" applyFill="1" applyBorder="1"/>
    <xf numFmtId="43" fontId="0" fillId="2" borderId="1" xfId="1" applyNumberFormat="1" applyFont="1" applyFill="1" applyBorder="1"/>
    <xf numFmtId="43" fontId="0" fillId="2" borderId="4" xfId="1" applyNumberFormat="1" applyFont="1" applyFill="1" applyBorder="1"/>
    <xf numFmtId="164" fontId="0" fillId="0" borderId="1" xfId="0" applyNumberFormat="1" applyBorder="1"/>
    <xf numFmtId="164" fontId="0" fillId="0" borderId="35" xfId="1" applyNumberFormat="1" applyFont="1" applyBorder="1"/>
    <xf numFmtId="43" fontId="0" fillId="0" borderId="0" xfId="0" applyNumberFormat="1"/>
    <xf numFmtId="168" fontId="13" fillId="0" borderId="1" xfId="0" applyNumberFormat="1" applyFont="1" applyFill="1" applyBorder="1" applyProtection="1">
      <protection locked="0"/>
    </xf>
    <xf numFmtId="10" fontId="1" fillId="0" borderId="1" xfId="0" applyNumberFormat="1" applyFont="1" applyBorder="1"/>
    <xf numFmtId="0" fontId="1" fillId="0" borderId="13" xfId="0" applyFont="1" applyBorder="1"/>
    <xf numFmtId="164" fontId="1" fillId="0" borderId="36" xfId="1" applyNumberFormat="1" applyFont="1" applyBorder="1"/>
    <xf numFmtId="172" fontId="0" fillId="2" borderId="17" xfId="2" applyNumberFormat="1" applyFont="1" applyFill="1" applyBorder="1" applyAlignment="1" applyProtection="1">
      <alignment horizontal="center"/>
      <protection locked="0"/>
    </xf>
    <xf numFmtId="175" fontId="0" fillId="2" borderId="19" xfId="0" applyNumberFormat="1" applyFill="1" applyBorder="1" applyAlignment="1" applyProtection="1">
      <alignment horizontal="center"/>
      <protection locked="0"/>
    </xf>
    <xf numFmtId="0" fontId="0" fillId="0" borderId="1" xfId="0" applyBorder="1" applyAlignment="1">
      <alignment horizontal="center"/>
    </xf>
    <xf numFmtId="0" fontId="1" fillId="0" borderId="0" xfId="0" applyFont="1" applyAlignment="1">
      <alignment horizontal="center"/>
    </xf>
    <xf numFmtId="0" fontId="0" fillId="0" borderId="4" xfId="0" applyFont="1" applyBorder="1" applyAlignment="1">
      <alignment horizontal="center"/>
    </xf>
    <xf numFmtId="0" fontId="0" fillId="0" borderId="3" xfId="0" applyFont="1" applyBorder="1" applyAlignment="1">
      <alignment horizontal="center"/>
    </xf>
    <xf numFmtId="164" fontId="0" fillId="0" borderId="0" xfId="1" applyNumberFormat="1" applyFont="1"/>
    <xf numFmtId="0" fontId="1" fillId="0" borderId="0" xfId="0" applyFont="1"/>
    <xf numFmtId="0" fontId="1" fillId="0" borderId="0" xfId="0" applyFont="1" applyAlignment="1">
      <alignment horizontal="center" wrapText="1"/>
    </xf>
    <xf numFmtId="164" fontId="0" fillId="0" borderId="9" xfId="1" applyNumberFormat="1" applyFont="1" applyBorder="1"/>
    <xf numFmtId="0" fontId="0" fillId="0" borderId="7" xfId="0" applyBorder="1"/>
    <xf numFmtId="164" fontId="0" fillId="0" borderId="0" xfId="0" applyNumberFormat="1"/>
    <xf numFmtId="164" fontId="0" fillId="0" borderId="9" xfId="0" applyNumberFormat="1" applyBorder="1"/>
    <xf numFmtId="10" fontId="0" fillId="0" borderId="0" xfId="0" applyNumberFormat="1"/>
    <xf numFmtId="10" fontId="0" fillId="0" borderId="0" xfId="5" applyNumberFormat="1" applyFont="1"/>
    <xf numFmtId="10" fontId="1" fillId="0" borderId="37" xfId="0" applyNumberFormat="1" applyFont="1" applyBorder="1"/>
    <xf numFmtId="10" fontId="1" fillId="0" borderId="37" xfId="5" applyNumberFormat="1" applyFont="1" applyBorder="1"/>
    <xf numFmtId="164" fontId="1" fillId="0" borderId="37" xfId="0" applyNumberFormat="1" applyFont="1" applyBorder="1"/>
    <xf numFmtId="0" fontId="0" fillId="0" borderId="0" xfId="0" applyAlignment="1">
      <alignment horizontal="right"/>
    </xf>
    <xf numFmtId="0" fontId="0" fillId="0" borderId="0" xfId="0" applyFont="1" applyAlignment="1">
      <alignment horizontal="right"/>
    </xf>
    <xf numFmtId="0" fontId="1" fillId="0" borderId="0" xfId="0" applyFont="1" applyAlignment="1"/>
    <xf numFmtId="172" fontId="0" fillId="0" borderId="21" xfId="2" applyNumberFormat="1" applyFont="1" applyBorder="1"/>
    <xf numFmtId="172" fontId="0" fillId="0" borderId="1" xfId="2" applyNumberFormat="1" applyFont="1" applyFill="1" applyBorder="1"/>
    <xf numFmtId="44" fontId="13" fillId="0" borderId="0" xfId="0" applyNumberFormat="1" applyFont="1" applyProtection="1"/>
    <xf numFmtId="37" fontId="0" fillId="0" borderId="0" xfId="0" applyNumberFormat="1"/>
    <xf numFmtId="164" fontId="0" fillId="0" borderId="3" xfId="1" applyNumberFormat="1" applyFont="1" applyBorder="1"/>
    <xf numFmtId="0" fontId="0" fillId="9" borderId="3" xfId="0" applyFill="1" applyBorder="1" applyAlignment="1">
      <alignment horizontal="center"/>
    </xf>
    <xf numFmtId="0" fontId="7" fillId="0" borderId="0" xfId="0" applyFont="1" applyBorder="1" applyAlignment="1" applyProtection="1">
      <alignment horizontal="center" vertical="top"/>
    </xf>
    <xf numFmtId="1" fontId="12" fillId="6" borderId="22" xfId="0" applyNumberFormat="1" applyFont="1" applyFill="1" applyBorder="1" applyAlignment="1" applyProtection="1">
      <alignment horizontal="center"/>
      <protection locked="0"/>
    </xf>
    <xf numFmtId="1" fontId="12" fillId="6" borderId="23" xfId="0" applyNumberFormat="1" applyFont="1" applyFill="1" applyBorder="1" applyAlignment="1" applyProtection="1">
      <alignment horizontal="center"/>
      <protection locked="0"/>
    </xf>
    <xf numFmtId="1" fontId="12" fillId="6" borderId="9" xfId="0" applyNumberFormat="1" applyFont="1" applyFill="1" applyBorder="1" applyAlignment="1" applyProtection="1">
      <alignment horizontal="center"/>
      <protection locked="0"/>
    </xf>
    <xf numFmtId="1" fontId="12" fillId="6" borderId="1" xfId="0" applyNumberFormat="1" applyFont="1" applyFill="1" applyBorder="1" applyAlignment="1" applyProtection="1">
      <alignment horizontal="center"/>
      <protection locked="0"/>
    </xf>
    <xf numFmtId="0" fontId="14" fillId="0" borderId="2"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0" fillId="0" borderId="1" xfId="0" applyBorder="1" applyAlignment="1">
      <alignment horizontal="center"/>
    </xf>
    <xf numFmtId="0" fontId="0" fillId="9" borderId="4" xfId="0" applyFill="1" applyBorder="1" applyAlignment="1">
      <alignment horizontal="center"/>
    </xf>
    <xf numFmtId="0" fontId="0" fillId="9" borderId="13" xfId="0" applyFill="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1" fillId="0" borderId="0" xfId="0" applyFont="1" applyAlignment="1">
      <alignment horizontal="center"/>
    </xf>
    <xf numFmtId="0" fontId="0" fillId="0" borderId="0" xfId="0"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2" xfId="0" applyBorder="1" applyAlignment="1">
      <alignment horizontal="center"/>
    </xf>
    <xf numFmtId="0" fontId="0" fillId="0" borderId="11" xfId="0" applyBorder="1" applyAlignment="1">
      <alignment horizontal="center"/>
    </xf>
    <xf numFmtId="0" fontId="0" fillId="0" borderId="4" xfId="0" applyBorder="1" applyAlignment="1">
      <alignment horizontal="center" wrapText="1"/>
    </xf>
    <xf numFmtId="0" fontId="0" fillId="0" borderId="3" xfId="0" applyBorder="1" applyAlignment="1">
      <alignment horizontal="center" wrapText="1"/>
    </xf>
    <xf numFmtId="0" fontId="0" fillId="0" borderId="13" xfId="0" applyBorder="1" applyAlignment="1">
      <alignment horizontal="center" wrapText="1"/>
    </xf>
    <xf numFmtId="0" fontId="0" fillId="3" borderId="1" xfId="0" applyFill="1" applyBorder="1" applyAlignment="1">
      <alignment horizontal="center"/>
    </xf>
  </cellXfs>
  <cellStyles count="6">
    <cellStyle name="Comma" xfId="1" builtinId="3"/>
    <cellStyle name="Comma 6" xfId="3" xr:uid="{00000000-0005-0000-0000-000001000000}"/>
    <cellStyle name="Currency" xfId="2" builtinId="4"/>
    <cellStyle name="Normal" xfId="0" builtinId="0"/>
    <cellStyle name="Percent" xfId="5" builtinId="5"/>
    <cellStyle name="Percent 6" xfId="4" xr:uid="{00000000-0005-0000-0000-000004000000}"/>
  </cellStyles>
  <dxfs count="1">
    <dxf>
      <font>
        <b/>
        <i val="0"/>
        <condense val="0"/>
        <extend val="0"/>
        <color auto="1"/>
      </font>
      <fill>
        <patternFill>
          <bgColor indexed="1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gibson\AppData\Local\Microsoft\Windows\Temporary%20Internet%20Files\Content.IE5\7YQTJQXW\2020_Filing_Requirements_%20App.%202-Z_Commodity%20Expens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H1" t="str">
            <v>EB-2019-0048</v>
          </cell>
        </row>
      </sheetData>
      <sheetData sheetId="47"/>
      <sheetData sheetId="48"/>
      <sheetData sheetId="49"/>
      <sheetData sheetId="50"/>
      <sheetData sheetId="5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5"/>
  <sheetViews>
    <sheetView tabSelected="1" zoomScaleNormal="100" workbookViewId="0"/>
  </sheetViews>
  <sheetFormatPr defaultRowHeight="15" outlineLevelRow="1" x14ac:dyDescent="0.25"/>
  <cols>
    <col min="1" max="1" width="9.28515625" customWidth="1"/>
    <col min="2" max="2" width="43.28515625" customWidth="1"/>
    <col min="3" max="3" width="8.140625" customWidth="1"/>
    <col min="4" max="4" width="14.140625" customWidth="1"/>
    <col min="5" max="5" width="9" bestFit="1" customWidth="1"/>
    <col min="6" max="6" width="20.28515625" customWidth="1"/>
    <col min="7" max="7" width="15.28515625" bestFit="1" customWidth="1"/>
    <col min="8" max="10" width="17.42578125" customWidth="1"/>
    <col min="11" max="11" width="21.140625" customWidth="1"/>
    <col min="12" max="12" width="16.5703125" customWidth="1"/>
    <col min="13" max="13" width="12.42578125" bestFit="1" customWidth="1"/>
    <col min="14" max="14" width="12" bestFit="1" customWidth="1"/>
  </cols>
  <sheetData>
    <row r="1" spans="1:27" x14ac:dyDescent="0.25">
      <c r="A1" s="23"/>
      <c r="B1" s="24"/>
      <c r="C1" s="23"/>
      <c r="D1" s="23"/>
      <c r="E1" s="23"/>
      <c r="F1" s="23"/>
      <c r="G1" s="23"/>
      <c r="H1" s="23"/>
      <c r="I1" s="23"/>
      <c r="J1" s="23"/>
      <c r="K1" s="23"/>
      <c r="L1" s="23"/>
      <c r="M1" s="23"/>
      <c r="N1" s="23"/>
      <c r="O1" s="23"/>
      <c r="P1" s="23"/>
    </row>
    <row r="2" spans="1:27" x14ac:dyDescent="0.25">
      <c r="A2" s="115"/>
      <c r="B2" s="115"/>
      <c r="C2" s="115"/>
      <c r="D2" s="115"/>
      <c r="E2" s="115"/>
      <c r="F2" s="23"/>
      <c r="G2" s="23"/>
      <c r="H2" s="23"/>
      <c r="I2" s="23"/>
      <c r="J2" s="23"/>
      <c r="K2" s="139" t="s">
        <v>69</v>
      </c>
      <c r="L2" s="140" t="s">
        <v>93</v>
      </c>
      <c r="N2" s="23"/>
      <c r="O2" s="23"/>
      <c r="P2" s="23"/>
    </row>
    <row r="3" spans="1:27" ht="18" x14ac:dyDescent="0.25">
      <c r="A3" s="115"/>
      <c r="C3" s="138"/>
      <c r="D3" s="138"/>
      <c r="E3" s="138"/>
      <c r="F3" s="138"/>
      <c r="G3" s="138"/>
      <c r="H3" s="138"/>
      <c r="I3" s="138"/>
      <c r="J3" s="138"/>
      <c r="K3" s="139" t="s">
        <v>70</v>
      </c>
      <c r="L3" s="26"/>
      <c r="N3" s="23"/>
      <c r="O3" s="23"/>
      <c r="P3" s="23"/>
    </row>
    <row r="4" spans="1:27" x14ac:dyDescent="0.25">
      <c r="A4" s="23"/>
      <c r="B4" s="228" t="s">
        <v>32</v>
      </c>
      <c r="C4" s="228"/>
      <c r="D4" s="228"/>
      <c r="E4" s="228"/>
      <c r="F4" s="228"/>
      <c r="G4" s="228"/>
      <c r="H4" s="228"/>
      <c r="I4" s="228"/>
      <c r="J4" s="23"/>
      <c r="K4" s="139" t="s">
        <v>71</v>
      </c>
      <c r="L4" s="26"/>
      <c r="N4" s="23"/>
      <c r="O4" s="23"/>
      <c r="P4" s="23"/>
    </row>
    <row r="5" spans="1:27" ht="18" customHeight="1" x14ac:dyDescent="0.25">
      <c r="A5" s="23"/>
      <c r="B5" s="228"/>
      <c r="C5" s="228"/>
      <c r="D5" s="228"/>
      <c r="E5" s="228"/>
      <c r="F5" s="228"/>
      <c r="G5" s="228"/>
      <c r="H5" s="228"/>
      <c r="I5" s="228"/>
      <c r="J5" s="138"/>
      <c r="K5" s="139" t="s">
        <v>72</v>
      </c>
      <c r="L5" s="26"/>
      <c r="N5" s="23"/>
      <c r="O5" s="23"/>
      <c r="P5" s="23"/>
    </row>
    <row r="6" spans="1:27" ht="15" customHeight="1" x14ac:dyDescent="0.25">
      <c r="A6" s="23"/>
      <c r="B6" s="228"/>
      <c r="C6" s="228"/>
      <c r="D6" s="228"/>
      <c r="E6" s="228"/>
      <c r="F6" s="228"/>
      <c r="G6" s="228"/>
      <c r="H6" s="228"/>
      <c r="I6" s="228"/>
      <c r="J6" s="138"/>
      <c r="K6" s="139" t="s">
        <v>73</v>
      </c>
      <c r="L6" s="28" t="s">
        <v>104</v>
      </c>
      <c r="N6" s="23"/>
      <c r="O6" s="23"/>
      <c r="P6" s="23"/>
    </row>
    <row r="7" spans="1:27" x14ac:dyDescent="0.25">
      <c r="A7" s="23"/>
      <c r="B7" s="27"/>
      <c r="C7" s="23"/>
      <c r="D7" s="23"/>
      <c r="E7" s="23"/>
      <c r="F7" s="23"/>
      <c r="G7" s="23"/>
      <c r="H7" s="23"/>
      <c r="I7" s="23"/>
      <c r="J7" s="23"/>
      <c r="K7" s="139"/>
      <c r="L7" s="25"/>
      <c r="N7" s="23"/>
      <c r="O7" s="23"/>
      <c r="P7" s="23"/>
    </row>
    <row r="8" spans="1:27" x14ac:dyDescent="0.25">
      <c r="A8" s="23"/>
      <c r="B8" s="27"/>
      <c r="C8" s="23"/>
      <c r="D8" s="23"/>
      <c r="E8" s="23"/>
      <c r="F8" s="23"/>
      <c r="G8" s="23"/>
      <c r="H8" s="23"/>
      <c r="I8" s="23"/>
      <c r="J8" s="23"/>
      <c r="K8" s="139" t="s">
        <v>74</v>
      </c>
      <c r="L8" s="141">
        <v>43900</v>
      </c>
      <c r="N8" s="23"/>
      <c r="O8" s="23"/>
      <c r="P8" s="23"/>
    </row>
    <row r="9" spans="1:27" x14ac:dyDescent="0.25">
      <c r="A9" s="23"/>
      <c r="B9" s="27"/>
      <c r="C9" s="23"/>
      <c r="D9" s="23"/>
      <c r="E9" s="23"/>
      <c r="F9" s="23"/>
      <c r="G9" s="23"/>
      <c r="H9" s="23"/>
      <c r="I9" s="23"/>
      <c r="J9" s="23"/>
      <c r="K9" s="29"/>
      <c r="L9" s="23"/>
      <c r="N9" s="23"/>
      <c r="O9" s="23"/>
      <c r="P9" s="23"/>
    </row>
    <row r="10" spans="1:27" ht="15.75" thickBot="1" x14ac:dyDescent="0.3">
      <c r="A10" s="35"/>
      <c r="B10" s="36"/>
      <c r="C10" s="37"/>
      <c r="D10" s="38"/>
      <c r="E10" s="38"/>
      <c r="F10" s="38"/>
      <c r="G10" s="35"/>
      <c r="H10" s="35"/>
      <c r="I10" s="35"/>
      <c r="J10" s="35"/>
      <c r="K10" s="35"/>
      <c r="L10" s="38"/>
      <c r="Q10" s="41"/>
      <c r="R10" s="41"/>
      <c r="S10" s="41"/>
      <c r="T10" s="41"/>
      <c r="U10" s="41"/>
      <c r="V10" s="41"/>
      <c r="Y10" s="32"/>
      <c r="Z10" s="32"/>
      <c r="AA10" s="32"/>
    </row>
    <row r="11" spans="1:27" ht="15.75" x14ac:dyDescent="0.25">
      <c r="A11" s="39"/>
      <c r="B11" s="40"/>
      <c r="C11" s="41"/>
      <c r="D11" s="41"/>
      <c r="E11" s="41"/>
      <c r="F11" s="41"/>
      <c r="G11" s="32"/>
      <c r="H11" s="41"/>
      <c r="I11" s="41"/>
      <c r="J11" s="41"/>
      <c r="K11" s="41"/>
      <c r="L11" s="42"/>
      <c r="M11" s="30"/>
      <c r="N11" s="40"/>
      <c r="O11" s="41"/>
      <c r="P11" s="41"/>
      <c r="Q11" s="41"/>
      <c r="R11" s="41"/>
      <c r="S11" s="41"/>
      <c r="T11" s="41"/>
      <c r="U11" s="41"/>
      <c r="V11" s="41"/>
      <c r="Y11" s="32"/>
      <c r="Z11" s="32"/>
      <c r="AA11" s="32"/>
    </row>
    <row r="12" spans="1:27" ht="15.75" x14ac:dyDescent="0.25">
      <c r="A12" s="42" t="s">
        <v>33</v>
      </c>
      <c r="B12" s="30" t="s">
        <v>84</v>
      </c>
      <c r="C12" s="40"/>
      <c r="D12" s="41"/>
      <c r="E12" s="41"/>
      <c r="F12" s="41"/>
      <c r="G12" s="32"/>
      <c r="H12" s="41"/>
      <c r="I12" s="41"/>
      <c r="J12" s="41"/>
      <c r="K12" s="41"/>
      <c r="L12" s="42"/>
      <c r="M12" s="30"/>
      <c r="N12" s="40"/>
      <c r="O12" s="41"/>
      <c r="P12" s="41"/>
      <c r="Q12" s="41"/>
      <c r="R12" s="41"/>
      <c r="S12" s="41"/>
      <c r="T12" s="41"/>
      <c r="U12" s="41"/>
      <c r="V12" s="41"/>
      <c r="Y12" s="32"/>
      <c r="Z12" s="32"/>
      <c r="AA12" s="32"/>
    </row>
    <row r="13" spans="1:27" ht="16.5" thickBot="1" x14ac:dyDescent="0.3">
      <c r="A13" s="39"/>
      <c r="B13" s="40"/>
      <c r="C13" s="41"/>
      <c r="D13" s="41"/>
      <c r="E13" s="41"/>
      <c r="F13" s="41"/>
      <c r="G13" s="32"/>
      <c r="H13" s="41"/>
      <c r="I13" s="41"/>
      <c r="J13" s="41"/>
      <c r="K13" s="41"/>
      <c r="L13" s="42"/>
      <c r="M13" s="30"/>
      <c r="N13" s="40"/>
      <c r="O13" s="41"/>
      <c r="P13" s="41"/>
      <c r="Q13" s="41"/>
      <c r="R13" s="41"/>
      <c r="S13" s="41"/>
      <c r="T13" s="41"/>
      <c r="U13" s="41"/>
      <c r="V13" s="41"/>
      <c r="Y13" s="32"/>
      <c r="Z13" s="32"/>
      <c r="AA13" s="32"/>
    </row>
    <row r="14" spans="1:27" ht="15.75" thickBot="1" x14ac:dyDescent="0.3">
      <c r="A14" s="32"/>
      <c r="B14" s="43" t="s">
        <v>34</v>
      </c>
      <c r="C14" s="43"/>
      <c r="D14" s="43"/>
      <c r="E14" s="43"/>
      <c r="F14" s="32"/>
      <c r="G14" s="98"/>
      <c r="H14" s="99"/>
      <c r="J14" s="104"/>
      <c r="K14" s="104"/>
      <c r="L14" s="5"/>
      <c r="N14" s="44"/>
      <c r="O14" s="44"/>
      <c r="P14" s="32"/>
    </row>
    <row r="15" spans="1:27" x14ac:dyDescent="0.25">
      <c r="A15" s="42"/>
      <c r="B15" s="45" t="s">
        <v>36</v>
      </c>
      <c r="C15" s="43" t="s">
        <v>37</v>
      </c>
      <c r="D15" s="43"/>
      <c r="E15" s="43"/>
      <c r="F15" s="34"/>
      <c r="G15" s="100" t="s">
        <v>2</v>
      </c>
      <c r="H15" s="110" t="s">
        <v>1</v>
      </c>
      <c r="J15" s="105"/>
      <c r="K15" s="105"/>
      <c r="L15" s="5"/>
      <c r="N15" s="44"/>
      <c r="O15" s="44"/>
      <c r="P15" s="32"/>
    </row>
    <row r="16" spans="1:27" ht="15.75" thickBot="1" x14ac:dyDescent="0.3">
      <c r="A16" s="32"/>
      <c r="B16" s="46"/>
      <c r="C16" s="32"/>
      <c r="D16" s="43"/>
      <c r="E16" s="43"/>
      <c r="F16" s="32"/>
      <c r="G16" s="101"/>
      <c r="H16" s="111"/>
      <c r="J16" s="105"/>
      <c r="K16" s="105"/>
      <c r="L16" s="5"/>
      <c r="N16" s="44"/>
      <c r="O16" s="44"/>
      <c r="P16" s="32"/>
    </row>
    <row r="17" spans="1:16" ht="29.25" customHeight="1" x14ac:dyDescent="0.25">
      <c r="A17" s="32"/>
      <c r="B17" s="47" t="s">
        <v>38</v>
      </c>
      <c r="C17" s="233" t="s">
        <v>39</v>
      </c>
      <c r="D17" s="234"/>
      <c r="E17" s="235"/>
      <c r="F17" s="96"/>
      <c r="G17" s="48">
        <v>20.09</v>
      </c>
      <c r="H17" s="112">
        <v>20.09</v>
      </c>
      <c r="J17" s="107"/>
      <c r="K17" s="108"/>
      <c r="L17" s="5"/>
      <c r="N17" s="32"/>
      <c r="O17" s="32"/>
      <c r="P17" s="32"/>
    </row>
    <row r="18" spans="1:16" ht="32.25" customHeight="1" x14ac:dyDescent="0.25">
      <c r="A18" s="32"/>
      <c r="B18" s="47" t="s">
        <v>40</v>
      </c>
      <c r="C18" s="233" t="s">
        <v>41</v>
      </c>
      <c r="D18" s="234"/>
      <c r="E18" s="235"/>
      <c r="F18" s="97"/>
      <c r="G18" s="49">
        <v>106.94</v>
      </c>
      <c r="H18" s="113">
        <v>106.94</v>
      </c>
      <c r="J18" s="107"/>
      <c r="K18" s="108"/>
      <c r="L18" s="5"/>
      <c r="N18" s="32"/>
      <c r="O18" s="32"/>
      <c r="P18" s="32"/>
    </row>
    <row r="19" spans="1:16" x14ac:dyDescent="0.25">
      <c r="A19" s="32"/>
      <c r="B19" s="47" t="s">
        <v>42</v>
      </c>
      <c r="C19" s="236"/>
      <c r="D19" s="237"/>
      <c r="E19" s="238"/>
      <c r="F19" s="97"/>
      <c r="G19" s="197"/>
      <c r="H19" s="113">
        <v>1</v>
      </c>
      <c r="J19" s="109"/>
      <c r="K19" s="108"/>
      <c r="L19" s="5"/>
      <c r="N19" s="32"/>
      <c r="O19" s="32"/>
      <c r="P19" s="32"/>
    </row>
    <row r="20" spans="1:16" ht="40.5" customHeight="1" x14ac:dyDescent="0.25">
      <c r="A20" s="32"/>
      <c r="B20" s="50" t="s">
        <v>43</v>
      </c>
      <c r="C20" s="233" t="s">
        <v>44</v>
      </c>
      <c r="D20" s="234"/>
      <c r="E20" s="235"/>
      <c r="F20" s="97"/>
      <c r="G20" s="51"/>
      <c r="H20" s="114">
        <f>SUM(H17:H19)</f>
        <v>128.03</v>
      </c>
      <c r="J20" s="106"/>
      <c r="K20" s="106"/>
      <c r="L20" s="5"/>
      <c r="N20" s="32"/>
      <c r="O20" s="32"/>
      <c r="P20" s="32"/>
    </row>
    <row r="21" spans="1:16" ht="15.75" thickBot="1" x14ac:dyDescent="0.3">
      <c r="A21" s="35"/>
      <c r="B21" s="35"/>
      <c r="C21" s="35"/>
      <c r="D21" s="35"/>
      <c r="E21" s="35"/>
      <c r="F21" s="35"/>
      <c r="G21" s="35"/>
      <c r="H21" s="35"/>
      <c r="I21" s="35"/>
      <c r="J21" s="35"/>
      <c r="K21" s="35"/>
      <c r="L21" s="35"/>
      <c r="M21" s="32"/>
      <c r="N21" s="32"/>
      <c r="O21" s="32"/>
      <c r="P21" s="32"/>
    </row>
    <row r="22" spans="1:16" x14ac:dyDescent="0.25">
      <c r="A22" s="32"/>
      <c r="B22" s="32"/>
      <c r="C22" s="32"/>
      <c r="D22" s="32"/>
      <c r="E22" s="32"/>
      <c r="F22" s="32"/>
      <c r="G22" s="32"/>
      <c r="H22" s="32"/>
      <c r="I22" s="32"/>
      <c r="J22" s="32"/>
      <c r="K22" s="32"/>
      <c r="L22" s="32"/>
      <c r="M22" s="32"/>
      <c r="N22" s="32"/>
      <c r="O22" s="32"/>
      <c r="P22" s="32"/>
    </row>
    <row r="23" spans="1:16" ht="15.75" customHeight="1" outlineLevel="1" x14ac:dyDescent="0.25">
      <c r="A23" s="42" t="s">
        <v>35</v>
      </c>
      <c r="B23" s="30" t="s">
        <v>45</v>
      </c>
      <c r="C23" s="32"/>
      <c r="D23" s="32"/>
      <c r="E23" s="32"/>
      <c r="F23" s="32"/>
      <c r="G23" s="32"/>
      <c r="H23" s="32"/>
      <c r="I23" s="32"/>
      <c r="J23" s="32"/>
      <c r="K23" s="32"/>
      <c r="L23" s="32"/>
      <c r="M23" s="32"/>
      <c r="N23" s="32"/>
      <c r="O23" s="32"/>
      <c r="P23" s="32"/>
    </row>
    <row r="24" spans="1:16" ht="15" customHeight="1" outlineLevel="1" x14ac:dyDescent="0.25">
      <c r="A24" s="32"/>
      <c r="B24" s="52" t="s">
        <v>46</v>
      </c>
      <c r="C24" s="32"/>
      <c r="D24" s="32"/>
      <c r="E24" s="32"/>
      <c r="F24" s="32"/>
      <c r="G24" s="32"/>
      <c r="H24" s="32"/>
      <c r="I24" s="32"/>
      <c r="J24" s="32"/>
      <c r="K24" s="224"/>
      <c r="L24" s="32"/>
      <c r="M24" s="32"/>
      <c r="N24" s="32"/>
      <c r="O24" s="32"/>
      <c r="P24" s="32"/>
    </row>
    <row r="25" spans="1:16" ht="15" customHeight="1" outlineLevel="1" x14ac:dyDescent="0.25">
      <c r="A25" s="32"/>
      <c r="B25" s="52"/>
      <c r="C25" s="32"/>
      <c r="D25" s="32"/>
      <c r="E25" s="32"/>
      <c r="F25" s="32"/>
      <c r="G25" s="32"/>
      <c r="H25" s="32"/>
      <c r="I25" s="32"/>
      <c r="J25" s="32"/>
      <c r="K25" s="32"/>
      <c r="L25" s="32"/>
      <c r="M25" s="32"/>
      <c r="N25" s="32"/>
      <c r="O25" s="32"/>
      <c r="P25" s="32"/>
    </row>
    <row r="26" spans="1:16" ht="15" customHeight="1" outlineLevel="1" x14ac:dyDescent="0.25">
      <c r="A26" s="32"/>
      <c r="B26" s="53" t="s">
        <v>56</v>
      </c>
      <c r="C26" s="23"/>
      <c r="D26" s="23"/>
      <c r="E26" s="128"/>
      <c r="F26" s="102"/>
      <c r="G26" s="232" t="s">
        <v>16</v>
      </c>
      <c r="H26" s="232"/>
      <c r="I26" s="232"/>
      <c r="J26" s="232"/>
      <c r="K26" s="232"/>
      <c r="L26" s="232"/>
      <c r="M26" s="32"/>
      <c r="N26" s="32"/>
      <c r="O26" s="32"/>
      <c r="P26" s="32"/>
    </row>
    <row r="27" spans="1:16" ht="15" customHeight="1" outlineLevel="1" x14ac:dyDescent="0.25">
      <c r="A27" s="32"/>
      <c r="B27" s="54" t="s">
        <v>47</v>
      </c>
      <c r="C27" s="56"/>
      <c r="D27" s="56" t="s">
        <v>48</v>
      </c>
      <c r="E27" s="61" t="s">
        <v>49</v>
      </c>
      <c r="F27" s="62"/>
      <c r="G27" s="62"/>
      <c r="H27" s="62"/>
      <c r="I27" s="62"/>
      <c r="J27" s="62"/>
      <c r="K27" s="62"/>
      <c r="L27" s="62"/>
      <c r="M27" s="32"/>
      <c r="N27" s="32"/>
      <c r="O27" s="32"/>
      <c r="P27" s="32"/>
    </row>
    <row r="28" spans="1:16" ht="42.75" customHeight="1" outlineLevel="1" x14ac:dyDescent="0.25">
      <c r="A28" s="32"/>
      <c r="B28" s="63" t="s">
        <v>52</v>
      </c>
      <c r="C28" s="55" t="s">
        <v>53</v>
      </c>
      <c r="D28" s="55" t="s">
        <v>54</v>
      </c>
      <c r="E28" s="64" t="s">
        <v>54</v>
      </c>
      <c r="F28" s="78" t="s">
        <v>75</v>
      </c>
      <c r="G28" s="78"/>
      <c r="H28" s="78" t="s">
        <v>76</v>
      </c>
      <c r="I28" s="78" t="s">
        <v>77</v>
      </c>
      <c r="J28" s="78" t="s">
        <v>58</v>
      </c>
      <c r="K28" s="78" t="s">
        <v>59</v>
      </c>
      <c r="L28" s="65" t="s">
        <v>51</v>
      </c>
      <c r="M28" s="32"/>
      <c r="N28" s="32"/>
      <c r="O28" s="32"/>
      <c r="P28" s="32"/>
    </row>
    <row r="29" spans="1:16" ht="15" customHeight="1" outlineLevel="1" x14ac:dyDescent="0.25">
      <c r="A29" s="32"/>
      <c r="B29" s="119" t="s">
        <v>88</v>
      </c>
      <c r="C29" s="57" t="s">
        <v>4</v>
      </c>
      <c r="D29" s="57">
        <v>4006</v>
      </c>
      <c r="E29" s="67">
        <v>4705</v>
      </c>
      <c r="F29" s="93"/>
      <c r="G29" s="81"/>
      <c r="H29" s="94">
        <v>8176664.1375179235</v>
      </c>
      <c r="I29" s="82">
        <v>376916478.47939789</v>
      </c>
      <c r="J29" s="79">
        <f t="shared" ref="J29:J36" si="0">+$G$17/1000</f>
        <v>2.009E-2</v>
      </c>
      <c r="K29" s="79">
        <f>+$H$20/1000</f>
        <v>0.12803</v>
      </c>
      <c r="L29" s="68">
        <f>(+F29+H29)*J29+(I29*K29)</f>
        <v>48420885.922240049</v>
      </c>
      <c r="M29" s="32"/>
      <c r="N29" s="32"/>
      <c r="O29" s="32"/>
      <c r="P29" s="32"/>
    </row>
    <row r="30" spans="1:16" ht="15" customHeight="1" outlineLevel="1" x14ac:dyDescent="0.25">
      <c r="A30" s="32"/>
      <c r="B30" s="119" t="s">
        <v>89</v>
      </c>
      <c r="C30" s="57" t="s">
        <v>4</v>
      </c>
      <c r="D30" s="57">
        <v>4010</v>
      </c>
      <c r="E30" s="67">
        <v>4705</v>
      </c>
      <c r="F30" s="93"/>
      <c r="G30" s="81"/>
      <c r="H30" s="94">
        <v>24613701.891836312</v>
      </c>
      <c r="I30" s="82">
        <v>118296210.45586453</v>
      </c>
      <c r="J30" s="79">
        <f t="shared" si="0"/>
        <v>2.009E-2</v>
      </c>
      <c r="K30" s="79">
        <f t="shared" ref="K30:K36" si="1">+$H$20/1000</f>
        <v>0.12803</v>
      </c>
      <c r="L30" s="68">
        <f t="shared" ref="L30:L36" si="2">(+F30+H30)*J30+(I30*K30)</f>
        <v>15639953.09567133</v>
      </c>
      <c r="M30" s="32"/>
      <c r="N30" s="32"/>
      <c r="O30" s="32"/>
      <c r="P30" s="32"/>
    </row>
    <row r="31" spans="1:16" ht="15" customHeight="1" outlineLevel="1" x14ac:dyDescent="0.25">
      <c r="A31" s="32"/>
      <c r="B31" s="119" t="s">
        <v>87</v>
      </c>
      <c r="C31" s="57" t="s">
        <v>4</v>
      </c>
      <c r="D31" s="57">
        <v>4035</v>
      </c>
      <c r="E31" s="67">
        <v>4705</v>
      </c>
      <c r="F31" s="93">
        <v>71221283.378306299</v>
      </c>
      <c r="G31" s="81"/>
      <c r="H31" s="94">
        <v>226113687.25260398</v>
      </c>
      <c r="I31" s="82">
        <v>63640296.996101357</v>
      </c>
      <c r="J31" s="79">
        <f t="shared" si="0"/>
        <v>2.009E-2</v>
      </c>
      <c r="K31" s="79">
        <f t="shared" si="1"/>
        <v>0.12803</v>
      </c>
      <c r="L31" s="68">
        <f>(+F31+H31)*J31+(I31*K31)</f>
        <v>14121326.784385845</v>
      </c>
      <c r="M31" s="32"/>
      <c r="N31" s="32"/>
      <c r="O31" s="32"/>
      <c r="P31" s="32"/>
    </row>
    <row r="32" spans="1:16" ht="15" customHeight="1" outlineLevel="1" x14ac:dyDescent="0.25">
      <c r="A32" s="32"/>
      <c r="B32" s="119" t="s">
        <v>90</v>
      </c>
      <c r="C32" s="57" t="s">
        <v>4</v>
      </c>
      <c r="D32" s="57">
        <v>4025</v>
      </c>
      <c r="E32" s="67">
        <v>4705</v>
      </c>
      <c r="F32" s="93"/>
      <c r="G32" s="81"/>
      <c r="H32" s="94">
        <v>10329.632717831306</v>
      </c>
      <c r="I32" s="82">
        <v>1152328.7877554449</v>
      </c>
      <c r="J32" s="79">
        <f t="shared" si="0"/>
        <v>2.009E-2</v>
      </c>
      <c r="K32" s="79">
        <f t="shared" si="1"/>
        <v>0.12803</v>
      </c>
      <c r="L32" s="68">
        <f t="shared" si="2"/>
        <v>147740.17701763083</v>
      </c>
      <c r="M32" s="32"/>
      <c r="N32" s="32"/>
      <c r="O32" s="32"/>
      <c r="P32" s="32"/>
    </row>
    <row r="33" spans="1:16" ht="15" customHeight="1" outlineLevel="1" x14ac:dyDescent="0.25">
      <c r="A33" s="32"/>
      <c r="B33" s="119" t="s">
        <v>91</v>
      </c>
      <c r="C33" s="57" t="s">
        <v>4</v>
      </c>
      <c r="D33" s="57">
        <v>4025</v>
      </c>
      <c r="E33" s="67">
        <v>4705</v>
      </c>
      <c r="F33" s="93"/>
      <c r="G33" s="81"/>
      <c r="H33" s="94">
        <v>33258.302850226501</v>
      </c>
      <c r="I33" s="82">
        <v>350308.52741439379</v>
      </c>
      <c r="J33" s="79">
        <f t="shared" si="0"/>
        <v>2.009E-2</v>
      </c>
      <c r="K33" s="79">
        <f t="shared" si="1"/>
        <v>0.12803</v>
      </c>
      <c r="L33" s="68">
        <f t="shared" si="2"/>
        <v>45518.160069125886</v>
      </c>
      <c r="M33" s="32"/>
      <c r="N33" s="32"/>
      <c r="O33" s="32"/>
      <c r="P33" s="32"/>
    </row>
    <row r="34" spans="1:16" ht="15" customHeight="1" outlineLevel="1" x14ac:dyDescent="0.25">
      <c r="A34" s="32"/>
      <c r="B34" s="119" t="s">
        <v>92</v>
      </c>
      <c r="C34" s="57" t="s">
        <v>4</v>
      </c>
      <c r="D34" s="57">
        <v>4025</v>
      </c>
      <c r="E34" s="67">
        <v>4705</v>
      </c>
      <c r="F34" s="93"/>
      <c r="G34" s="81"/>
      <c r="H34" s="94">
        <v>7803743.2900162144</v>
      </c>
      <c r="I34" s="82"/>
      <c r="J34" s="79">
        <f t="shared" si="0"/>
        <v>2.009E-2</v>
      </c>
      <c r="K34" s="79">
        <f t="shared" si="1"/>
        <v>0.12803</v>
      </c>
      <c r="L34" s="68">
        <f t="shared" si="2"/>
        <v>156777.20269642575</v>
      </c>
      <c r="M34" s="32"/>
      <c r="N34" s="32"/>
      <c r="O34" s="32"/>
      <c r="P34" s="32"/>
    </row>
    <row r="35" spans="1:16" ht="15" customHeight="1" outlineLevel="1" x14ac:dyDescent="0.25">
      <c r="A35" s="32"/>
      <c r="B35" s="119"/>
      <c r="C35" s="57" t="s">
        <v>4</v>
      </c>
      <c r="D35" s="57">
        <v>4025</v>
      </c>
      <c r="E35" s="67">
        <v>4705</v>
      </c>
      <c r="F35" s="93"/>
      <c r="G35" s="81"/>
      <c r="H35" s="94"/>
      <c r="I35" s="82"/>
      <c r="J35" s="79">
        <f t="shared" si="0"/>
        <v>2.009E-2</v>
      </c>
      <c r="K35" s="79">
        <f t="shared" si="1"/>
        <v>0.12803</v>
      </c>
      <c r="L35" s="68">
        <f t="shared" si="2"/>
        <v>0</v>
      </c>
      <c r="M35" s="32"/>
      <c r="N35" s="32"/>
      <c r="O35" s="32"/>
      <c r="P35" s="32"/>
    </row>
    <row r="36" spans="1:16" ht="15" customHeight="1" outlineLevel="1" x14ac:dyDescent="0.25">
      <c r="A36" s="32"/>
      <c r="B36" s="119"/>
      <c r="C36" s="57" t="s">
        <v>4</v>
      </c>
      <c r="D36" s="57">
        <v>4025</v>
      </c>
      <c r="E36" s="67">
        <v>4705</v>
      </c>
      <c r="F36" s="93"/>
      <c r="G36" s="81"/>
      <c r="H36" s="94"/>
      <c r="I36" s="82"/>
      <c r="J36" s="79">
        <f t="shared" si="0"/>
        <v>2.009E-2</v>
      </c>
      <c r="K36" s="79">
        <f t="shared" si="1"/>
        <v>0.12803</v>
      </c>
      <c r="L36" s="68">
        <f t="shared" si="2"/>
        <v>0</v>
      </c>
      <c r="M36" s="32"/>
      <c r="N36" s="32"/>
      <c r="O36" s="32"/>
      <c r="P36" s="32"/>
    </row>
    <row r="37" spans="1:16" ht="15" customHeight="1" outlineLevel="1" x14ac:dyDescent="0.25">
      <c r="A37" s="32"/>
      <c r="B37" s="142" t="s">
        <v>13</v>
      </c>
      <c r="C37" s="143"/>
      <c r="D37" s="144"/>
      <c r="E37" s="145"/>
      <c r="F37" s="70">
        <f>SUM(F29:F36)</f>
        <v>71221283.378306299</v>
      </c>
      <c r="G37" s="118"/>
      <c r="H37" s="70">
        <f>SUM(H29:H36)</f>
        <v>266751384.50754246</v>
      </c>
      <c r="I37" s="95">
        <f>SUM(I29:I36)</f>
        <v>560355623.24653375</v>
      </c>
      <c r="J37" s="95"/>
      <c r="K37" s="70"/>
      <c r="L37" s="71">
        <f>SUM(L29:L36)</f>
        <v>78532201.342080399</v>
      </c>
      <c r="M37" s="32"/>
      <c r="N37" s="32"/>
      <c r="O37" s="32"/>
      <c r="P37" s="32"/>
    </row>
    <row r="38" spans="1:16" ht="15" customHeight="1" outlineLevel="1" x14ac:dyDescent="0.25">
      <c r="A38" s="32"/>
      <c r="B38" s="52"/>
      <c r="C38" s="32"/>
      <c r="D38" s="32"/>
      <c r="E38" s="32"/>
      <c r="F38" s="32"/>
      <c r="G38" s="32"/>
      <c r="H38" s="32"/>
      <c r="I38" s="32"/>
      <c r="J38" s="32"/>
      <c r="K38" s="32"/>
      <c r="L38" s="32"/>
      <c r="M38" s="32"/>
      <c r="N38" s="32"/>
      <c r="O38" s="32"/>
      <c r="P38" s="32"/>
    </row>
    <row r="39" spans="1:16" ht="15" customHeight="1" outlineLevel="1" x14ac:dyDescent="0.25">
      <c r="A39" s="32"/>
      <c r="B39" s="31"/>
      <c r="C39" s="32"/>
      <c r="D39" s="32"/>
      <c r="E39" s="32"/>
      <c r="F39" s="83"/>
      <c r="G39" s="83"/>
      <c r="H39" s="32"/>
      <c r="I39" s="32"/>
      <c r="J39" s="32"/>
      <c r="K39" s="32"/>
      <c r="L39" s="32"/>
      <c r="M39" s="32"/>
      <c r="N39" s="32"/>
      <c r="O39" s="32"/>
      <c r="P39" s="32"/>
    </row>
    <row r="40" spans="1:16" ht="15" customHeight="1" outlineLevel="1" x14ac:dyDescent="0.25">
      <c r="A40" s="32"/>
      <c r="B40" s="53" t="s">
        <v>62</v>
      </c>
      <c r="C40" s="23"/>
      <c r="D40" s="23"/>
      <c r="E40" s="128"/>
      <c r="F40" s="103"/>
      <c r="G40" s="229">
        <v>2020</v>
      </c>
      <c r="H40" s="230"/>
      <c r="I40" s="230"/>
      <c r="J40" s="231"/>
      <c r="K40" s="230"/>
      <c r="L40" s="230"/>
      <c r="M40" s="32"/>
      <c r="N40" s="32"/>
      <c r="O40" s="32"/>
      <c r="P40" s="32"/>
    </row>
    <row r="41" spans="1:16" ht="15.75" customHeight="1" outlineLevel="1" x14ac:dyDescent="0.25">
      <c r="A41" s="32"/>
      <c r="B41" s="54" t="s">
        <v>47</v>
      </c>
      <c r="C41" s="55"/>
      <c r="D41" s="56" t="s">
        <v>48</v>
      </c>
      <c r="E41" s="56" t="s">
        <v>49</v>
      </c>
      <c r="F41" s="56" t="s">
        <v>51</v>
      </c>
      <c r="G41" s="56" t="s">
        <v>50</v>
      </c>
      <c r="H41" s="81"/>
      <c r="I41" s="81"/>
      <c r="J41" s="133"/>
      <c r="K41" s="152" t="s">
        <v>81</v>
      </c>
      <c r="L41" s="56" t="s">
        <v>51</v>
      </c>
      <c r="M41" s="32"/>
      <c r="N41" s="32"/>
      <c r="O41" s="32"/>
      <c r="P41" s="32"/>
    </row>
    <row r="42" spans="1:16" ht="21" outlineLevel="1" x14ac:dyDescent="0.55000000000000004">
      <c r="A42" s="32"/>
      <c r="B42" s="119" t="s">
        <v>87</v>
      </c>
      <c r="C42" s="57"/>
      <c r="D42" s="57">
        <v>4035</v>
      </c>
      <c r="E42" s="57">
        <v>4707</v>
      </c>
      <c r="F42" s="201"/>
      <c r="G42" s="167">
        <f>F31</f>
        <v>71221283.378306299</v>
      </c>
      <c r="H42" s="81"/>
      <c r="I42" s="81"/>
      <c r="J42" s="122"/>
      <c r="K42" s="202">
        <v>5.7270000000000001E-2</v>
      </c>
      <c r="L42" s="58">
        <f>+K42*G42</f>
        <v>4078842.8990756017</v>
      </c>
      <c r="M42" s="32"/>
      <c r="N42" s="32"/>
      <c r="O42" s="32"/>
      <c r="P42" s="32"/>
    </row>
    <row r="43" spans="1:16" ht="18" customHeight="1" outlineLevel="1" x14ac:dyDescent="0.55000000000000004">
      <c r="A43" s="32"/>
      <c r="B43" s="119"/>
      <c r="C43" s="57"/>
      <c r="D43" s="57">
        <v>4010</v>
      </c>
      <c r="E43" s="57">
        <v>4707</v>
      </c>
      <c r="F43" s="171"/>
      <c r="G43" s="167"/>
      <c r="H43" s="81"/>
      <c r="I43" s="81"/>
      <c r="J43" s="122"/>
      <c r="K43" s="120"/>
      <c r="L43" s="58">
        <f>+K43*G43</f>
        <v>0</v>
      </c>
      <c r="M43" s="32"/>
      <c r="N43" s="32"/>
      <c r="O43" s="32"/>
      <c r="P43" s="32"/>
    </row>
    <row r="44" spans="1:16" ht="15" customHeight="1" outlineLevel="1" x14ac:dyDescent="0.55000000000000004">
      <c r="A44" s="32"/>
      <c r="B44" s="119"/>
      <c r="C44" s="57"/>
      <c r="D44" s="57">
        <v>4010</v>
      </c>
      <c r="E44" s="57">
        <v>4707</v>
      </c>
      <c r="F44" s="171"/>
      <c r="G44" s="167"/>
      <c r="H44" s="81"/>
      <c r="I44" s="81"/>
      <c r="J44" s="123"/>
      <c r="K44" s="132"/>
      <c r="L44" s="58"/>
      <c r="M44" s="32"/>
      <c r="N44" s="32"/>
      <c r="O44" s="32"/>
      <c r="P44" s="32"/>
    </row>
    <row r="45" spans="1:16" ht="15" customHeight="1" outlineLevel="1" x14ac:dyDescent="0.25">
      <c r="A45" s="32"/>
      <c r="B45" s="23"/>
      <c r="C45" s="23"/>
      <c r="D45" s="23"/>
      <c r="E45" s="23"/>
      <c r="F45" s="172">
        <f>+F42+F43</f>
        <v>0</v>
      </c>
      <c r="G45" s="59">
        <f>SUM(G42:G44)</f>
        <v>71221283.378306299</v>
      </c>
      <c r="H45" s="81"/>
      <c r="I45" s="81"/>
      <c r="J45" s="124"/>
      <c r="K45" s="121"/>
      <c r="L45" s="173">
        <f>SUM(L42:L44)</f>
        <v>4078842.8990756017</v>
      </c>
      <c r="M45" s="32"/>
      <c r="N45" s="32"/>
      <c r="O45" s="32"/>
      <c r="P45" s="32"/>
    </row>
    <row r="46" spans="1:16" ht="15" customHeight="1" outlineLevel="1" x14ac:dyDescent="0.25">
      <c r="A46" s="32"/>
      <c r="B46" s="32"/>
      <c r="C46" s="32"/>
      <c r="D46" s="32"/>
      <c r="E46" s="32"/>
      <c r="F46" s="32"/>
      <c r="G46" s="32"/>
      <c r="H46" s="32"/>
      <c r="I46" s="32"/>
      <c r="J46" s="116"/>
      <c r="K46" s="32"/>
      <c r="L46" s="32"/>
      <c r="M46" s="32"/>
      <c r="N46" s="32"/>
      <c r="O46" s="32"/>
      <c r="P46" s="32"/>
    </row>
    <row r="47" spans="1:16" ht="15" customHeight="1" outlineLevel="1" x14ac:dyDescent="0.25">
      <c r="A47" s="32"/>
      <c r="B47" s="53" t="s">
        <v>61</v>
      </c>
      <c r="C47" s="23"/>
      <c r="D47" s="23"/>
      <c r="E47" s="128"/>
      <c r="F47" s="102"/>
      <c r="G47" s="232">
        <f>G40</f>
        <v>2020</v>
      </c>
      <c r="H47" s="232"/>
      <c r="I47" s="232"/>
      <c r="J47" s="232"/>
      <c r="K47" s="232"/>
      <c r="L47" s="232"/>
      <c r="M47" s="32"/>
      <c r="N47" s="32"/>
      <c r="O47" s="32"/>
      <c r="P47" s="32"/>
    </row>
    <row r="48" spans="1:16" ht="15.75" customHeight="1" outlineLevel="1" x14ac:dyDescent="0.25">
      <c r="A48" s="23"/>
      <c r="B48" s="54" t="s">
        <v>47</v>
      </c>
      <c r="C48" s="56"/>
      <c r="D48" s="56" t="s">
        <v>48</v>
      </c>
      <c r="E48" s="61" t="s">
        <v>49</v>
      </c>
      <c r="F48" s="62"/>
      <c r="G48" s="62"/>
      <c r="H48" s="62"/>
      <c r="I48" s="62"/>
      <c r="J48" s="62"/>
      <c r="K48" s="62"/>
      <c r="L48" s="65" t="s">
        <v>51</v>
      </c>
      <c r="M48" s="23"/>
      <c r="N48" s="23"/>
      <c r="O48" s="23"/>
      <c r="P48" s="23"/>
    </row>
    <row r="49" spans="1:16" ht="15" customHeight="1" outlineLevel="1" x14ac:dyDescent="0.25">
      <c r="A49" s="60"/>
      <c r="B49" s="63" t="s">
        <v>52</v>
      </c>
      <c r="C49" s="55" t="s">
        <v>53</v>
      </c>
      <c r="D49" s="55" t="s">
        <v>54</v>
      </c>
      <c r="E49" s="64" t="s">
        <v>54</v>
      </c>
      <c r="F49" s="66"/>
      <c r="G49" s="66"/>
      <c r="H49" s="78" t="s">
        <v>57</v>
      </c>
      <c r="I49" s="125"/>
      <c r="J49" s="125"/>
      <c r="K49" s="66" t="s">
        <v>60</v>
      </c>
      <c r="M49" s="60"/>
      <c r="N49" s="60"/>
      <c r="O49" s="60"/>
      <c r="P49" s="60"/>
    </row>
    <row r="50" spans="1:16" ht="30.6" customHeight="1" outlineLevel="1" x14ac:dyDescent="0.25">
      <c r="A50" s="23"/>
      <c r="B50" s="33" t="str">
        <f>IF(B29=0,"",B29)</f>
        <v>Residential</v>
      </c>
      <c r="C50" s="57" t="s">
        <v>4</v>
      </c>
      <c r="D50" s="57">
        <v>4006</v>
      </c>
      <c r="E50" s="57">
        <v>4707</v>
      </c>
      <c r="F50" s="126"/>
      <c r="G50" s="126"/>
      <c r="H50" s="168">
        <f t="shared" ref="H50:H55" si="3">+H29</f>
        <v>8176664.1375179235</v>
      </c>
      <c r="I50" s="126"/>
      <c r="J50" s="126"/>
      <c r="K50" s="169">
        <f t="shared" ref="K50:K55" si="4">+$G$18/1000</f>
        <v>0.10693999999999999</v>
      </c>
      <c r="L50" s="68">
        <f t="shared" ref="L50:L55" si="5">+K50*H50</f>
        <v>874412.46286616672</v>
      </c>
      <c r="M50" s="23"/>
      <c r="N50" s="23"/>
      <c r="O50" s="23"/>
      <c r="P50" s="23"/>
    </row>
    <row r="51" spans="1:16" ht="15" customHeight="1" outlineLevel="1" x14ac:dyDescent="0.25">
      <c r="A51" s="23"/>
      <c r="B51" s="33" t="str">
        <f>IF(B30=0,"",B30)</f>
        <v>General Service &lt; 50 kW</v>
      </c>
      <c r="C51" s="57" t="s">
        <v>4</v>
      </c>
      <c r="D51" s="57">
        <v>4010</v>
      </c>
      <c r="E51" s="57">
        <v>4707</v>
      </c>
      <c r="F51" s="126"/>
      <c r="G51" s="126"/>
      <c r="H51" s="168">
        <f t="shared" si="3"/>
        <v>24613701.891836312</v>
      </c>
      <c r="I51" s="126"/>
      <c r="J51" s="126"/>
      <c r="K51" s="169">
        <f t="shared" si="4"/>
        <v>0.10693999999999999</v>
      </c>
      <c r="L51" s="68">
        <f t="shared" si="5"/>
        <v>2632189.2803129749</v>
      </c>
      <c r="M51" s="23"/>
      <c r="N51" s="23"/>
      <c r="O51" s="23"/>
      <c r="P51" s="23"/>
    </row>
    <row r="52" spans="1:16" ht="15" customHeight="1" outlineLevel="1" x14ac:dyDescent="0.25">
      <c r="A52" s="23"/>
      <c r="B52" s="33" t="str">
        <f>IF(B31=0,"",B31)</f>
        <v>General Service 50 to 2999 kW</v>
      </c>
      <c r="C52" s="57" t="s">
        <v>4</v>
      </c>
      <c r="D52" s="57">
        <v>4035</v>
      </c>
      <c r="E52" s="57">
        <v>4707</v>
      </c>
      <c r="F52" s="126"/>
      <c r="G52" s="126"/>
      <c r="H52" s="168">
        <f t="shared" si="3"/>
        <v>226113687.25260398</v>
      </c>
      <c r="I52" s="126"/>
      <c r="J52" s="126"/>
      <c r="K52" s="169">
        <f t="shared" si="4"/>
        <v>0.10693999999999999</v>
      </c>
      <c r="L52" s="68">
        <f t="shared" si="5"/>
        <v>24180597.71479347</v>
      </c>
      <c r="M52" s="23"/>
      <c r="N52" s="23"/>
      <c r="O52" s="23"/>
      <c r="P52" s="23"/>
    </row>
    <row r="53" spans="1:16" ht="15" customHeight="1" outlineLevel="1" x14ac:dyDescent="0.25">
      <c r="A53" s="23"/>
      <c r="B53" s="33" t="str">
        <f t="shared" ref="B53:B56" si="6">IF(B32=0,"",B32)</f>
        <v>Unmetered Scattered Load</v>
      </c>
      <c r="C53" s="57" t="s">
        <v>4</v>
      </c>
      <c r="D53" s="57">
        <v>4025</v>
      </c>
      <c r="E53" s="57">
        <v>4707</v>
      </c>
      <c r="F53" s="126"/>
      <c r="G53" s="126"/>
      <c r="H53" s="168">
        <f t="shared" si="3"/>
        <v>10329.632717831306</v>
      </c>
      <c r="I53" s="126"/>
      <c r="J53" s="126"/>
      <c r="K53" s="169">
        <f t="shared" si="4"/>
        <v>0.10693999999999999</v>
      </c>
      <c r="L53" s="68">
        <f t="shared" si="5"/>
        <v>1104.6509228448797</v>
      </c>
      <c r="M53" s="23"/>
      <c r="N53" s="23"/>
      <c r="O53" s="23"/>
      <c r="P53" s="23"/>
    </row>
    <row r="54" spans="1:16" ht="15" customHeight="1" outlineLevel="1" x14ac:dyDescent="0.25">
      <c r="A54" s="23"/>
      <c r="B54" s="33" t="str">
        <f t="shared" si="6"/>
        <v>Sentinel Lighting</v>
      </c>
      <c r="C54" s="57" t="s">
        <v>4</v>
      </c>
      <c r="D54" s="57">
        <v>4025</v>
      </c>
      <c r="E54" s="57">
        <v>4707</v>
      </c>
      <c r="F54" s="126"/>
      <c r="G54" s="126"/>
      <c r="H54" s="168">
        <f t="shared" si="3"/>
        <v>33258.302850226501</v>
      </c>
      <c r="I54" s="126"/>
      <c r="J54" s="126"/>
      <c r="K54" s="169">
        <f>+$G$18/1000</f>
        <v>0.10693999999999999</v>
      </c>
      <c r="L54" s="68">
        <f t="shared" si="5"/>
        <v>3556.6429068032216</v>
      </c>
      <c r="M54" s="23"/>
      <c r="N54" s="23"/>
      <c r="O54" s="23"/>
      <c r="P54" s="23"/>
    </row>
    <row r="55" spans="1:16" ht="15" customHeight="1" outlineLevel="1" x14ac:dyDescent="0.25">
      <c r="A55" s="23"/>
      <c r="B55" s="33" t="str">
        <f t="shared" si="6"/>
        <v xml:space="preserve">Street Lighting </v>
      </c>
      <c r="C55" s="57" t="s">
        <v>4</v>
      </c>
      <c r="D55" s="57">
        <v>4025</v>
      </c>
      <c r="E55" s="57">
        <v>4707</v>
      </c>
      <c r="F55" s="126"/>
      <c r="G55" s="126"/>
      <c r="H55" s="168">
        <f t="shared" si="3"/>
        <v>7803743.2900162144</v>
      </c>
      <c r="I55" s="126"/>
      <c r="J55" s="126"/>
      <c r="K55" s="169">
        <f t="shared" si="4"/>
        <v>0.10693999999999999</v>
      </c>
      <c r="L55" s="68">
        <f t="shared" si="5"/>
        <v>834532.30743433395</v>
      </c>
      <c r="M55" s="23"/>
      <c r="N55" s="23"/>
      <c r="O55" s="23"/>
      <c r="P55" s="23"/>
    </row>
    <row r="56" spans="1:16" ht="15" customHeight="1" outlineLevel="1" x14ac:dyDescent="0.25">
      <c r="A56" s="23"/>
      <c r="B56" s="33" t="str">
        <f t="shared" si="6"/>
        <v/>
      </c>
      <c r="C56" s="57" t="s">
        <v>4</v>
      </c>
      <c r="D56" s="57">
        <v>4025</v>
      </c>
      <c r="E56" s="57">
        <v>4707</v>
      </c>
      <c r="F56" s="126"/>
      <c r="G56" s="126"/>
      <c r="H56" s="184"/>
      <c r="I56" s="126"/>
      <c r="J56" s="126"/>
      <c r="K56" s="170"/>
      <c r="L56" s="68">
        <f>+K57*H57</f>
        <v>0</v>
      </c>
      <c r="M56" s="23"/>
      <c r="N56" s="23"/>
      <c r="O56" s="23"/>
      <c r="P56" s="23"/>
    </row>
    <row r="57" spans="1:16" ht="15" customHeight="1" outlineLevel="1" x14ac:dyDescent="0.25">
      <c r="A57" s="23"/>
      <c r="B57" s="33" t="s">
        <v>85</v>
      </c>
      <c r="C57" s="179"/>
      <c r="D57" s="179"/>
      <c r="E57" s="183"/>
      <c r="F57" s="185"/>
      <c r="G57" s="185"/>
      <c r="H57" s="186">
        <f>SUM(H50:H56)</f>
        <v>266751384.50754246</v>
      </c>
      <c r="I57" s="185"/>
      <c r="J57" s="185"/>
      <c r="K57" s="170"/>
      <c r="L57" s="71"/>
      <c r="M57" s="23"/>
      <c r="N57" s="23"/>
      <c r="O57" s="23"/>
      <c r="P57" s="23"/>
    </row>
    <row r="58" spans="1:16" ht="15" customHeight="1" outlineLevel="1" x14ac:dyDescent="0.25">
      <c r="A58" s="23"/>
      <c r="B58" s="54" t="s">
        <v>13</v>
      </c>
      <c r="C58" s="129"/>
      <c r="D58" s="130"/>
      <c r="E58" s="131"/>
      <c r="F58" s="117"/>
      <c r="G58" s="127"/>
      <c r="H58" s="117"/>
      <c r="I58" s="117"/>
      <c r="J58" s="117"/>
      <c r="K58" s="70"/>
      <c r="L58" s="180">
        <f>SUM(L50:L56)</f>
        <v>28526393.059236597</v>
      </c>
      <c r="M58" s="23"/>
      <c r="N58" s="23"/>
      <c r="O58" s="23"/>
      <c r="P58" s="23"/>
    </row>
    <row r="59" spans="1:16" ht="15" customHeight="1" outlineLevel="1" x14ac:dyDescent="0.25">
      <c r="A59" s="23"/>
      <c r="B59" s="174"/>
      <c r="C59" s="175"/>
      <c r="D59" s="176"/>
      <c r="E59" s="176"/>
      <c r="F59" s="177"/>
      <c r="G59" s="178"/>
      <c r="H59" s="177"/>
      <c r="I59" s="177"/>
      <c r="J59" s="177"/>
      <c r="K59" s="177"/>
      <c r="L59" s="72"/>
      <c r="M59" s="23"/>
      <c r="N59" s="23"/>
      <c r="O59" s="23"/>
      <c r="P59" s="69"/>
    </row>
    <row r="60" spans="1:16" ht="15" customHeight="1" outlineLevel="1" x14ac:dyDescent="0.25">
      <c r="A60" s="23"/>
      <c r="B60" s="23"/>
      <c r="C60" s="23"/>
      <c r="D60" s="23"/>
      <c r="E60" s="23"/>
      <c r="F60" s="29"/>
      <c r="G60" s="23"/>
      <c r="H60" s="23"/>
      <c r="I60" s="23"/>
      <c r="J60" s="23"/>
      <c r="K60" s="23"/>
      <c r="L60" s="190"/>
      <c r="M60" s="23"/>
      <c r="N60" s="23"/>
      <c r="O60" s="23"/>
      <c r="P60" s="23"/>
    </row>
    <row r="61" spans="1:16" ht="15" customHeight="1" outlineLevel="1" x14ac:dyDescent="0.55000000000000004">
      <c r="A61" s="23"/>
      <c r="B61" s="23"/>
      <c r="C61" s="23"/>
      <c r="D61" s="23"/>
      <c r="E61" s="23"/>
      <c r="F61" s="73"/>
      <c r="G61" s="73"/>
      <c r="H61" s="73"/>
      <c r="I61" s="73"/>
      <c r="J61" s="73"/>
      <c r="K61" s="73"/>
      <c r="L61" s="23"/>
      <c r="M61" s="23"/>
      <c r="N61" s="23"/>
      <c r="O61" s="23"/>
      <c r="P61" s="23"/>
    </row>
    <row r="62" spans="1:16" ht="15" customHeight="1" outlineLevel="1" x14ac:dyDescent="0.25">
      <c r="A62" s="23"/>
      <c r="B62" s="23"/>
      <c r="C62" s="23"/>
      <c r="D62" s="23"/>
      <c r="E62" s="23"/>
      <c r="F62" s="23"/>
      <c r="G62" s="74"/>
      <c r="H62" s="74"/>
      <c r="I62" s="74"/>
      <c r="J62" s="74"/>
      <c r="K62" s="74"/>
      <c r="L62" s="23"/>
      <c r="M62" s="23"/>
      <c r="N62" s="23"/>
      <c r="O62" s="23"/>
      <c r="P62" s="23"/>
    </row>
    <row r="63" spans="1:16" x14ac:dyDescent="0.25">
      <c r="A63" s="23" t="s">
        <v>55</v>
      </c>
      <c r="B63" s="23"/>
      <c r="C63" s="23"/>
      <c r="D63" s="23"/>
      <c r="E63" s="23"/>
      <c r="F63" s="23"/>
      <c r="G63" s="23"/>
      <c r="H63" s="29"/>
      <c r="I63" s="23"/>
      <c r="J63" s="23"/>
      <c r="K63" s="23"/>
      <c r="L63" s="23"/>
      <c r="M63" s="23"/>
      <c r="N63" s="23"/>
      <c r="O63" s="23"/>
      <c r="P63" s="23"/>
    </row>
    <row r="64" spans="1:16" x14ac:dyDescent="0.25">
      <c r="A64" s="23" t="s">
        <v>80</v>
      </c>
      <c r="H64" s="5"/>
      <c r="M64" s="23"/>
      <c r="N64" s="23"/>
      <c r="O64" s="23"/>
      <c r="P64" s="23"/>
    </row>
    <row r="65" spans="1:16" x14ac:dyDescent="0.25">
      <c r="A65" s="23" t="s">
        <v>82</v>
      </c>
      <c r="M65" s="23"/>
      <c r="N65" s="23"/>
      <c r="O65" s="23"/>
      <c r="P65" s="23"/>
    </row>
  </sheetData>
  <mergeCells count="8">
    <mergeCell ref="B4:I6"/>
    <mergeCell ref="G40:L40"/>
    <mergeCell ref="G47:L47"/>
    <mergeCell ref="C17:E17"/>
    <mergeCell ref="C18:E18"/>
    <mergeCell ref="C20:E20"/>
    <mergeCell ref="C19:E19"/>
    <mergeCell ref="G26:L26"/>
  </mergeCells>
  <conditionalFormatting sqref="B1">
    <cfRule type="expression" dxfId="0" priority="1" stopIfTrue="1">
      <formula>LEFT($C1,6)="Macros"</formula>
    </cfRule>
  </conditionalFormatting>
  <pageMargins left="0.7" right="0.7" top="0.75" bottom="0.75" header="0.3" footer="0.3"/>
  <pageSetup paperSize="5"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3"/>
  <sheetViews>
    <sheetView zoomScaleNormal="100" workbookViewId="0">
      <selection sqref="A1:J1"/>
    </sheetView>
  </sheetViews>
  <sheetFormatPr defaultRowHeight="15" x14ac:dyDescent="0.25"/>
  <cols>
    <col min="1" max="1" width="29.85546875" customWidth="1"/>
    <col min="2" max="2" width="8" bestFit="1" customWidth="1"/>
    <col min="3" max="3" width="1.5703125" customWidth="1"/>
    <col min="4" max="4" width="23.140625" bestFit="1" customWidth="1"/>
    <col min="5" max="5" width="15.28515625" bestFit="1" customWidth="1"/>
    <col min="6" max="6" width="12.28515625" customWidth="1"/>
    <col min="7" max="7" width="2.140625" customWidth="1"/>
    <col min="8" max="8" width="19.28515625" customWidth="1"/>
    <col min="9" max="9" width="11.28515625" customWidth="1"/>
    <col min="10" max="10" width="13.140625" customWidth="1"/>
    <col min="11" max="11" width="16.28515625" bestFit="1" customWidth="1"/>
    <col min="12" max="12" width="12" bestFit="1" customWidth="1"/>
    <col min="13" max="13" width="12.5703125" bestFit="1" customWidth="1"/>
  </cols>
  <sheetData>
    <row r="1" spans="1:13" x14ac:dyDescent="0.25">
      <c r="A1" s="249" t="s">
        <v>0</v>
      </c>
      <c r="B1" s="249"/>
      <c r="C1" s="249"/>
      <c r="D1" s="249"/>
      <c r="E1" s="249"/>
      <c r="F1" s="249"/>
      <c r="G1" s="249"/>
      <c r="H1" s="249"/>
      <c r="I1" s="249"/>
      <c r="J1" s="249"/>
    </row>
    <row r="2" spans="1:13" x14ac:dyDescent="0.25">
      <c r="A2" s="84"/>
      <c r="B2" s="84"/>
      <c r="C2" s="84"/>
      <c r="D2" s="84"/>
      <c r="E2" s="84"/>
      <c r="F2" s="84"/>
      <c r="G2" s="84"/>
      <c r="H2" s="84"/>
      <c r="I2" s="84"/>
      <c r="J2" s="139" t="s">
        <v>69</v>
      </c>
      <c r="K2" s="140" t="s">
        <v>93</v>
      </c>
    </row>
    <row r="3" spans="1:13" x14ac:dyDescent="0.25">
      <c r="A3" s="84"/>
      <c r="B3" s="84"/>
      <c r="C3" s="84"/>
      <c r="D3" s="84"/>
      <c r="E3" s="84"/>
      <c r="F3" s="84"/>
      <c r="G3" s="84"/>
      <c r="H3" s="84"/>
      <c r="I3" s="84"/>
      <c r="J3" s="139" t="s">
        <v>70</v>
      </c>
      <c r="K3" s="26"/>
    </row>
    <row r="4" spans="1:13" x14ac:dyDescent="0.25">
      <c r="A4" s="84"/>
      <c r="B4" s="84"/>
      <c r="C4" s="84"/>
      <c r="D4" s="84"/>
      <c r="E4" s="84"/>
      <c r="F4" s="84"/>
      <c r="G4" s="84"/>
      <c r="H4" s="84"/>
      <c r="I4" s="84"/>
      <c r="J4" s="139" t="s">
        <v>71</v>
      </c>
      <c r="K4" s="26"/>
    </row>
    <row r="5" spans="1:13" x14ac:dyDescent="0.25">
      <c r="A5" s="84"/>
      <c r="B5" s="84"/>
      <c r="C5" s="84"/>
      <c r="D5" s="84"/>
      <c r="E5" s="84"/>
      <c r="F5" s="84"/>
      <c r="G5" s="84"/>
      <c r="H5" s="84"/>
      <c r="I5" s="84"/>
      <c r="J5" s="139" t="s">
        <v>72</v>
      </c>
      <c r="K5" s="26"/>
    </row>
    <row r="6" spans="1:13" x14ac:dyDescent="0.25">
      <c r="A6" s="84"/>
      <c r="B6" s="84"/>
      <c r="C6" s="84"/>
      <c r="D6" s="84"/>
      <c r="E6" s="84"/>
      <c r="F6" s="84"/>
      <c r="G6" s="84"/>
      <c r="H6" s="84"/>
      <c r="I6" s="84"/>
      <c r="J6" s="139" t="s">
        <v>73</v>
      </c>
      <c r="K6" s="28" t="s">
        <v>104</v>
      </c>
    </row>
    <row r="7" spans="1:13" x14ac:dyDescent="0.25">
      <c r="A7" t="s">
        <v>64</v>
      </c>
      <c r="J7" s="139"/>
      <c r="K7" s="25"/>
    </row>
    <row r="8" spans="1:13" x14ac:dyDescent="0.25">
      <c r="A8" t="s">
        <v>66</v>
      </c>
      <c r="J8" s="139" t="s">
        <v>74</v>
      </c>
      <c r="K8" s="141">
        <v>43900</v>
      </c>
    </row>
    <row r="9" spans="1:13" x14ac:dyDescent="0.25">
      <c r="A9" s="5" t="s">
        <v>67</v>
      </c>
      <c r="E9" s="250"/>
      <c r="F9" s="250"/>
      <c r="G9" s="9"/>
      <c r="H9" s="10"/>
      <c r="I9" s="250"/>
      <c r="J9" s="250"/>
    </row>
    <row r="10" spans="1:13" x14ac:dyDescent="0.25">
      <c r="A10" s="5"/>
      <c r="B10" s="8"/>
      <c r="C10" s="20"/>
      <c r="D10" s="164" t="s">
        <v>16</v>
      </c>
      <c r="E10" s="251" t="s">
        <v>1</v>
      </c>
      <c r="F10" s="251"/>
      <c r="G10" s="165"/>
      <c r="H10" s="164" t="s">
        <v>16</v>
      </c>
      <c r="I10" s="251" t="s">
        <v>2</v>
      </c>
      <c r="J10" s="251"/>
      <c r="K10" s="166" t="s">
        <v>78</v>
      </c>
    </row>
    <row r="11" spans="1:13" x14ac:dyDescent="0.25">
      <c r="A11" s="3" t="s">
        <v>27</v>
      </c>
      <c r="B11" s="252" t="s">
        <v>68</v>
      </c>
      <c r="C11" s="86"/>
      <c r="D11" s="18" t="s">
        <v>14</v>
      </c>
      <c r="E11" s="18" t="s">
        <v>6</v>
      </c>
      <c r="F11" s="6" t="s">
        <v>7</v>
      </c>
      <c r="G11" s="9"/>
      <c r="H11" s="18" t="s">
        <v>14</v>
      </c>
      <c r="I11" s="18" t="s">
        <v>6</v>
      </c>
      <c r="J11" s="6" t="s">
        <v>7</v>
      </c>
      <c r="K11" s="146" t="s">
        <v>79</v>
      </c>
    </row>
    <row r="12" spans="1:13" x14ac:dyDescent="0.25">
      <c r="A12" s="4" t="s">
        <v>28</v>
      </c>
      <c r="B12" s="253"/>
      <c r="C12" s="153"/>
      <c r="D12" s="75"/>
      <c r="E12" s="14"/>
      <c r="F12" s="137">
        <f>D12*E12</f>
        <v>0</v>
      </c>
      <c r="G12" s="77"/>
      <c r="H12" s="75"/>
      <c r="I12" s="14"/>
      <c r="J12" s="137"/>
      <c r="K12" s="239"/>
    </row>
    <row r="13" spans="1:13" x14ac:dyDescent="0.25">
      <c r="A13" s="2" t="str">
        <f>IF('2020 Commodity Expense Forecast'!B50=0,"",'2020 Commodity Expense Forecast'!B29)</f>
        <v>Residential</v>
      </c>
      <c r="B13" s="12" t="s">
        <v>4</v>
      </c>
      <c r="C13" s="154"/>
      <c r="D13" s="75">
        <f>'2020 Commodity Expense Forecast'!I29</f>
        <v>376916478.47939789</v>
      </c>
      <c r="E13" s="161"/>
      <c r="F13" s="90">
        <f>D13*'2020 Commodity Expense Forecast'!K29</f>
        <v>48256616.739717312</v>
      </c>
      <c r="G13" s="5"/>
      <c r="H13" s="75">
        <f>'2020 Commodity Expense Forecast'!F29+'2020 Commodity Expense Forecast'!H29</f>
        <v>8176664.1375179235</v>
      </c>
      <c r="I13" s="161"/>
      <c r="J13" s="137">
        <f>H13*'2020 Commodity Expense Forecast'!J29</f>
        <v>164269.18252273509</v>
      </c>
      <c r="K13" s="239"/>
      <c r="M13" s="225"/>
    </row>
    <row r="14" spans="1:13" x14ac:dyDescent="0.25">
      <c r="A14" s="2" t="str">
        <f>IF('2020 Commodity Expense Forecast'!B51=0,"",'2020 Commodity Expense Forecast'!B30)</f>
        <v>General Service &lt; 50 kW</v>
      </c>
      <c r="B14" s="12" t="s">
        <v>4</v>
      </c>
      <c r="C14" s="154"/>
      <c r="D14" s="75">
        <f>'2020 Commodity Expense Forecast'!I30</f>
        <v>118296210.45586453</v>
      </c>
      <c r="E14" s="161"/>
      <c r="F14" s="90">
        <f>D14*'2020 Commodity Expense Forecast'!K30</f>
        <v>15145463.824664338</v>
      </c>
      <c r="G14" s="5"/>
      <c r="H14" s="75">
        <f>'2020 Commodity Expense Forecast'!F30+'2020 Commodity Expense Forecast'!H30</f>
        <v>24613701.891836312</v>
      </c>
      <c r="I14" s="161"/>
      <c r="J14" s="137">
        <f>H14*'2020 Commodity Expense Forecast'!J30</f>
        <v>494489.2710069915</v>
      </c>
      <c r="K14" s="239"/>
      <c r="M14" s="225"/>
    </row>
    <row r="15" spans="1:13" x14ac:dyDescent="0.25">
      <c r="A15" s="2" t="str">
        <f>IF('2020 Commodity Expense Forecast'!B52=0,"",'2020 Commodity Expense Forecast'!B31)</f>
        <v>General Service 50 to 2999 kW</v>
      </c>
      <c r="B15" s="12" t="s">
        <v>65</v>
      </c>
      <c r="C15" s="154"/>
      <c r="D15" s="75">
        <f>'2020 Commodity Expense Forecast'!I31</f>
        <v>63640296.996101357</v>
      </c>
      <c r="E15" s="161"/>
      <c r="F15" s="90">
        <f>D15*'2020 Commodity Expense Forecast'!K31</f>
        <v>8147867.2244108571</v>
      </c>
      <c r="G15" s="5"/>
      <c r="H15" s="75">
        <f>'2020 Commodity Expense Forecast'!F31+'2020 Commodity Expense Forecast'!H31</f>
        <v>297334970.63091028</v>
      </c>
      <c r="I15" s="161"/>
      <c r="J15" s="137">
        <f>H15*'2020 Commodity Expense Forecast'!J31</f>
        <v>5973459.559974988</v>
      </c>
      <c r="K15" s="239"/>
      <c r="M15" s="225"/>
    </row>
    <row r="16" spans="1:13" x14ac:dyDescent="0.25">
      <c r="A16" s="2" t="str">
        <f>IF('2020 Commodity Expense Forecast'!B53=0,"",'2020 Commodity Expense Forecast'!B32)</f>
        <v>Unmetered Scattered Load</v>
      </c>
      <c r="B16" s="12" t="s">
        <v>4</v>
      </c>
      <c r="C16" s="154"/>
      <c r="D16" s="75">
        <f>'2020 Commodity Expense Forecast'!I32</f>
        <v>1152328.7877554449</v>
      </c>
      <c r="E16" s="161"/>
      <c r="F16" s="90">
        <f>D16*'2020 Commodity Expense Forecast'!K32</f>
        <v>147532.65469632961</v>
      </c>
      <c r="G16" s="5"/>
      <c r="H16" s="75">
        <f>'2020 Commodity Expense Forecast'!F32+'2020 Commodity Expense Forecast'!H32</f>
        <v>10329.632717831306</v>
      </c>
      <c r="I16" s="161"/>
      <c r="J16" s="137">
        <f>H16*'2020 Commodity Expense Forecast'!J32</f>
        <v>207.52232130123093</v>
      </c>
      <c r="K16" s="239"/>
      <c r="M16" s="225"/>
    </row>
    <row r="17" spans="1:13" x14ac:dyDescent="0.25">
      <c r="A17" s="2" t="str">
        <f>IF('2020 Commodity Expense Forecast'!B54=0,"",'2020 Commodity Expense Forecast'!B33)</f>
        <v>Sentinel Lighting</v>
      </c>
      <c r="B17" s="12" t="s">
        <v>4</v>
      </c>
      <c r="C17" s="155"/>
      <c r="D17" s="75">
        <f>'2020 Commodity Expense Forecast'!I33</f>
        <v>350308.52741439379</v>
      </c>
      <c r="E17" s="161"/>
      <c r="F17" s="90">
        <f>D17*'2020 Commodity Expense Forecast'!K33</f>
        <v>44850.000764864839</v>
      </c>
      <c r="G17" s="5"/>
      <c r="H17" s="75">
        <f>'2020 Commodity Expense Forecast'!F33+'2020 Commodity Expense Forecast'!H33</f>
        <v>33258.302850226501</v>
      </c>
      <c r="I17" s="161"/>
      <c r="J17" s="137">
        <f>H17*'2020 Commodity Expense Forecast'!J33</f>
        <v>668.15930426105035</v>
      </c>
      <c r="K17" s="239"/>
      <c r="M17" s="225"/>
    </row>
    <row r="18" spans="1:13" x14ac:dyDescent="0.25">
      <c r="A18" s="2" t="str">
        <f>IF('2020 Commodity Expense Forecast'!B55=0,"",'2020 Commodity Expense Forecast'!B34)</f>
        <v xml:space="preserve">Street Lighting </v>
      </c>
      <c r="B18" s="14" t="s">
        <v>4</v>
      </c>
      <c r="C18" s="154"/>
      <c r="D18" s="75">
        <f>'2020 Commodity Expense Forecast'!I34</f>
        <v>0</v>
      </c>
      <c r="E18" s="161"/>
      <c r="F18" s="90">
        <f>D18*'2020 Commodity Expense Forecast'!K34</f>
        <v>0</v>
      </c>
      <c r="G18" s="5"/>
      <c r="H18" s="75">
        <f>'2020 Commodity Expense Forecast'!F34+'2020 Commodity Expense Forecast'!H34</f>
        <v>7803743.2900162144</v>
      </c>
      <c r="I18" s="161"/>
      <c r="J18" s="137">
        <f>H18*'2020 Commodity Expense Forecast'!J34</f>
        <v>156777.20269642575</v>
      </c>
      <c r="K18" s="239"/>
      <c r="M18" s="225"/>
    </row>
    <row r="19" spans="1:13" x14ac:dyDescent="0.25">
      <c r="A19" s="4" t="s">
        <v>17</v>
      </c>
      <c r="B19" s="12"/>
      <c r="C19" s="154"/>
      <c r="D19" s="75">
        <f>SUM(D13:D18)</f>
        <v>560355623.24653375</v>
      </c>
      <c r="E19" s="85"/>
      <c r="F19" s="222">
        <f>SUM(F13:F18)</f>
        <v>71742330.444253698</v>
      </c>
      <c r="G19" s="2"/>
      <c r="H19" s="134">
        <f>SUM(H13:H18)</f>
        <v>337972667.88584882</v>
      </c>
      <c r="I19" s="158"/>
      <c r="J19" s="223">
        <f>SUM(J13:J18)</f>
        <v>6789870.8978267033</v>
      </c>
      <c r="K19" s="239"/>
      <c r="L19" s="5"/>
    </row>
    <row r="20" spans="1:13" x14ac:dyDescent="0.25">
      <c r="D20" s="16"/>
      <c r="G20" s="5"/>
      <c r="H20" s="5"/>
      <c r="I20" s="255"/>
      <c r="J20" s="254"/>
      <c r="K20" s="136">
        <f>ROUND(F19+J19,0)</f>
        <v>78532201</v>
      </c>
      <c r="L20" s="5" t="str">
        <f>IF(K20=ROUND('2020 Commodity Expense Forecast'!L37,0),"OK", "ERROR")</f>
        <v>OK</v>
      </c>
    </row>
    <row r="21" spans="1:13" x14ac:dyDescent="0.25">
      <c r="A21" s="3" t="s">
        <v>63</v>
      </c>
      <c r="B21" s="252" t="s">
        <v>68</v>
      </c>
      <c r="C21" s="86"/>
      <c r="D21" s="242" t="s">
        <v>14</v>
      </c>
      <c r="E21" s="245" t="s">
        <v>6</v>
      </c>
      <c r="F21" s="247" t="s">
        <v>7</v>
      </c>
      <c r="G21" s="9"/>
      <c r="H21" s="256" t="s">
        <v>14</v>
      </c>
      <c r="I21" s="245" t="s">
        <v>6</v>
      </c>
      <c r="J21" s="247" t="s">
        <v>7</v>
      </c>
      <c r="K21" s="205" t="s">
        <v>78</v>
      </c>
    </row>
    <row r="22" spans="1:13" x14ac:dyDescent="0.25">
      <c r="A22" s="4" t="s">
        <v>29</v>
      </c>
      <c r="B22" s="253"/>
      <c r="C22" s="150"/>
      <c r="D22" s="255"/>
      <c r="E22" s="254"/>
      <c r="F22" s="248"/>
      <c r="G22" s="1"/>
      <c r="H22" s="258"/>
      <c r="I22" s="254"/>
      <c r="J22" s="248"/>
      <c r="K22" s="206"/>
    </row>
    <row r="23" spans="1:13" x14ac:dyDescent="0.25">
      <c r="A23" s="2" t="str">
        <f t="shared" ref="A23:A28" si="0">IF(A13=0,"",A13)</f>
        <v>Residential</v>
      </c>
      <c r="B23" s="7"/>
      <c r="C23" s="154"/>
      <c r="D23" s="11"/>
      <c r="E23" s="11"/>
      <c r="F23" s="87">
        <f>D23*E23</f>
        <v>0</v>
      </c>
      <c r="H23" s="92"/>
      <c r="I23" s="89"/>
      <c r="J23" s="181">
        <f>'2020 Commodity Expense Forecast'!L50</f>
        <v>874412.46286616672</v>
      </c>
      <c r="K23" s="203"/>
    </row>
    <row r="24" spans="1:13" x14ac:dyDescent="0.25">
      <c r="A24" s="2" t="str">
        <f t="shared" si="0"/>
        <v>General Service &lt; 50 kW</v>
      </c>
      <c r="B24" s="7"/>
      <c r="C24" s="154"/>
      <c r="D24" s="11"/>
      <c r="E24" s="11"/>
      <c r="F24" s="87">
        <f t="shared" ref="F24:F28" si="1">D24*E24</f>
        <v>0</v>
      </c>
      <c r="H24" s="92"/>
      <c r="I24" s="89"/>
      <c r="J24" s="181">
        <f>'2020 Commodity Expense Forecast'!L51</f>
        <v>2632189.2803129749</v>
      </c>
      <c r="K24" s="203"/>
    </row>
    <row r="25" spans="1:13" x14ac:dyDescent="0.25">
      <c r="A25" s="2" t="str">
        <f t="shared" si="0"/>
        <v>General Service 50 to 2999 kW</v>
      </c>
      <c r="B25" s="7"/>
      <c r="C25" s="154"/>
      <c r="D25" s="11"/>
      <c r="E25" s="11"/>
      <c r="F25" s="87">
        <f t="shared" si="1"/>
        <v>0</v>
      </c>
      <c r="H25" s="92"/>
      <c r="I25" s="89"/>
      <c r="J25" s="181">
        <f>'2020 Commodity Expense Forecast'!L52+'2020 Commodity Expense Forecast'!L42</f>
        <v>28259440.613869071</v>
      </c>
      <c r="K25" s="203"/>
      <c r="L25" s="5"/>
      <c r="M25" s="5"/>
    </row>
    <row r="26" spans="1:13" x14ac:dyDescent="0.25">
      <c r="A26" s="2" t="str">
        <f t="shared" si="0"/>
        <v>Unmetered Scattered Load</v>
      </c>
      <c r="B26" s="7"/>
      <c r="C26" s="154"/>
      <c r="D26" s="11"/>
      <c r="E26" s="11"/>
      <c r="F26" s="87">
        <f t="shared" si="1"/>
        <v>0</v>
      </c>
      <c r="H26" s="92"/>
      <c r="I26" s="89"/>
      <c r="J26" s="181">
        <f>'2020 Commodity Expense Forecast'!L53</f>
        <v>1104.6509228448797</v>
      </c>
      <c r="K26" s="203"/>
    </row>
    <row r="27" spans="1:13" x14ac:dyDescent="0.25">
      <c r="A27" s="2" t="str">
        <f t="shared" si="0"/>
        <v>Sentinel Lighting</v>
      </c>
      <c r="B27" s="7"/>
      <c r="C27" s="154"/>
      <c r="D27" s="11"/>
      <c r="E27" s="11"/>
      <c r="F27" s="87">
        <f t="shared" si="1"/>
        <v>0</v>
      </c>
      <c r="H27" s="92"/>
      <c r="I27" s="89"/>
      <c r="J27" s="181">
        <f>'2020 Commodity Expense Forecast'!L54</f>
        <v>3556.6429068032216</v>
      </c>
      <c r="K27" s="203"/>
      <c r="L27" s="1"/>
    </row>
    <row r="28" spans="1:13" x14ac:dyDescent="0.25">
      <c r="A28" s="2" t="str">
        <f t="shared" si="0"/>
        <v xml:space="preserve">Street Lighting </v>
      </c>
      <c r="B28" s="7"/>
      <c r="C28" s="154"/>
      <c r="D28" s="11"/>
      <c r="E28" s="11"/>
      <c r="F28" s="88">
        <f t="shared" si="1"/>
        <v>0</v>
      </c>
      <c r="H28" s="92"/>
      <c r="I28" s="89"/>
      <c r="J28" s="182">
        <f>'2020 Commodity Expense Forecast'!L55</f>
        <v>834532.30743433395</v>
      </c>
      <c r="K28" s="203"/>
      <c r="M28" s="5"/>
    </row>
    <row r="29" spans="1:13" x14ac:dyDescent="0.25">
      <c r="A29" s="4" t="s">
        <v>17</v>
      </c>
      <c r="B29" s="7"/>
      <c r="C29" s="153"/>
      <c r="D29" s="158">
        <f>SUM(D23:D28)</f>
        <v>0</v>
      </c>
      <c r="E29" s="85"/>
      <c r="F29" s="12">
        <f>SUM(F23:F28)</f>
        <v>0</v>
      </c>
      <c r="G29" s="12"/>
      <c r="H29" s="91"/>
      <c r="I29" s="85"/>
      <c r="J29" s="223">
        <f>SUM(J23:J28)</f>
        <v>32605235.958312199</v>
      </c>
      <c r="K29" s="203"/>
    </row>
    <row r="30" spans="1:13" x14ac:dyDescent="0.25">
      <c r="B30" s="16"/>
      <c r="C30" s="5"/>
      <c r="D30" s="16"/>
      <c r="K30" s="136">
        <f>ROUND(F29+J29,0)</f>
        <v>32605236</v>
      </c>
      <c r="L30" s="189" t="str">
        <f>IF(K30=ROUND(('2020 Commodity Expense Forecast'!L45+'2020 Commodity Expense Forecast'!L58),0), "OK","ERROR")</f>
        <v>OK</v>
      </c>
    </row>
    <row r="31" spans="1:13" x14ac:dyDescent="0.25">
      <c r="A31" s="80" t="s">
        <v>3</v>
      </c>
      <c r="B31" s="254"/>
      <c r="C31" s="150"/>
      <c r="D31" s="255" t="s">
        <v>15</v>
      </c>
      <c r="E31" s="239" t="s">
        <v>6</v>
      </c>
      <c r="F31" s="247" t="s">
        <v>7</v>
      </c>
      <c r="G31" s="9"/>
      <c r="H31" s="256" t="s">
        <v>14</v>
      </c>
      <c r="I31" s="239" t="s">
        <v>6</v>
      </c>
      <c r="J31" s="247" t="s">
        <v>7</v>
      </c>
      <c r="K31" s="242" t="s">
        <v>78</v>
      </c>
    </row>
    <row r="32" spans="1:13" x14ac:dyDescent="0.25">
      <c r="A32" s="4" t="s">
        <v>29</v>
      </c>
      <c r="B32" s="246"/>
      <c r="C32" s="149"/>
      <c r="D32" s="243"/>
      <c r="E32" s="239"/>
      <c r="F32" s="248"/>
      <c r="G32" s="1"/>
      <c r="H32" s="257"/>
      <c r="I32" s="239"/>
      <c r="J32" s="248"/>
      <c r="K32" s="243"/>
    </row>
    <row r="33" spans="1:14" x14ac:dyDescent="0.25">
      <c r="A33" s="2" t="str">
        <f t="shared" ref="A33:A38" si="2">IF(A23=0,"",A23)</f>
        <v>Residential</v>
      </c>
      <c r="B33" s="7" t="s">
        <v>4</v>
      </c>
      <c r="C33" s="154"/>
      <c r="D33" s="187">
        <f>IF(B33="kWh",VLOOKUP(A33,'Load Forecast Data'!$B$15:$K$20,10,FALSE),IF(B33="kW",VLOOKUP(A33,'Load Forecast Data'!$B$24:$K$29,10,FALSE)))</f>
        <v>376916478.47939789</v>
      </c>
      <c r="E33" s="11">
        <f>ROUND(0.00623009193490494,4)</f>
        <v>6.1999999999999998E-3</v>
      </c>
      <c r="F33" s="188">
        <f>D33*E33</f>
        <v>2336882.1665722667</v>
      </c>
      <c r="H33" s="187">
        <f>IF(B33="kWh",VLOOKUP(A33,'Load Forecast Data'!$B$15:$K$20,9,FALSE),IF(B33="kW",VLOOKUP(A33,'Load Forecast Data'!$B$24:$J$29,9,FALSE)))</f>
        <v>8176664.1375179235</v>
      </c>
      <c r="I33" s="11">
        <f>ROUND(0.00623009193490494,4)</f>
        <v>6.1999999999999998E-3</v>
      </c>
      <c r="J33" s="188">
        <f>H33*I33</f>
        <v>50695.317652611127</v>
      </c>
      <c r="K33" s="239"/>
      <c r="M33" s="212"/>
      <c r="N33" s="212"/>
    </row>
    <row r="34" spans="1:14" x14ac:dyDescent="0.25">
      <c r="A34" s="2" t="str">
        <f t="shared" si="2"/>
        <v>General Service &lt; 50 kW</v>
      </c>
      <c r="B34" s="7" t="s">
        <v>4</v>
      </c>
      <c r="C34" s="155"/>
      <c r="D34" s="187">
        <f>IF(B34="kWh",VLOOKUP(A34,'Load Forecast Data'!$B$15:$K$20,10,FALSE),IF(B34="kW",VLOOKUP(A34,'Load Forecast Data'!$B$24:$K$29,10,FALSE)))</f>
        <v>118296210.45586453</v>
      </c>
      <c r="E34" s="11">
        <f>ROUND(0.00472627665067695,4)</f>
        <v>4.7000000000000002E-3</v>
      </c>
      <c r="F34" s="188">
        <f t="shared" ref="F34:F38" si="3">D34*E34</f>
        <v>555992.18914256338</v>
      </c>
      <c r="H34" s="187">
        <f>IF(B34="kWh",VLOOKUP(A34,'Load Forecast Data'!$B$15:$K$20,9,FALSE),IF(B34="kW",VLOOKUP(A34,'Load Forecast Data'!$B$24:$J$29,9,FALSE)))</f>
        <v>24613701.891836312</v>
      </c>
      <c r="I34" s="11">
        <f>ROUND(0.00472627665067695,4)</f>
        <v>4.7000000000000002E-3</v>
      </c>
      <c r="J34" s="188">
        <f t="shared" ref="J34:J38" si="4">H34*I34</f>
        <v>115684.39889163067</v>
      </c>
      <c r="K34" s="239"/>
      <c r="M34" s="212"/>
      <c r="N34" s="212"/>
    </row>
    <row r="35" spans="1:14" x14ac:dyDescent="0.25">
      <c r="A35" s="2" t="str">
        <f t="shared" si="2"/>
        <v>General Service 50 to 2999 kW</v>
      </c>
      <c r="B35" s="7" t="s">
        <v>5</v>
      </c>
      <c r="C35" s="154"/>
      <c r="D35" s="187">
        <f>IF(B35="kWh",VLOOKUP(A35,'Load Forecast Data'!$B$15:$K$20,10,FALSE),IF(B35="kW",VLOOKUP(A35,'Load Forecast Data'!$B$24:$K$29,10,FALSE)))</f>
        <v>151245.76079771967</v>
      </c>
      <c r="E35" s="11">
        <f>ROUND(3.49486674817864,4)</f>
        <v>3.4948999999999999</v>
      </c>
      <c r="F35" s="188">
        <f t="shared" si="3"/>
        <v>528588.80941195053</v>
      </c>
      <c r="H35" s="187">
        <f>IF(B35="kWh",VLOOKUP(A35,'Load Forecast Data'!$B$15:$K$20,9,FALSE),IF(B35="kW",VLOOKUP(A35,'Load Forecast Data'!$B$24:$J$29,9,FALSE)))+'Load Forecast Data'!I26</f>
        <v>706638.02602295508</v>
      </c>
      <c r="I35" s="11">
        <f>ROUND(3.49486674817864,4)</f>
        <v>3.4948999999999999</v>
      </c>
      <c r="J35" s="188">
        <f t="shared" si="4"/>
        <v>2469629.2371476255</v>
      </c>
      <c r="K35" s="239"/>
      <c r="M35" s="212"/>
      <c r="N35" s="212"/>
    </row>
    <row r="36" spans="1:14" x14ac:dyDescent="0.25">
      <c r="A36" s="2" t="str">
        <f t="shared" si="2"/>
        <v>Unmetered Scattered Load</v>
      </c>
      <c r="B36" s="7" t="s">
        <v>4</v>
      </c>
      <c r="C36" s="154"/>
      <c r="D36" s="187">
        <f>IF(B36="kWh",VLOOKUP(A36,'Load Forecast Data'!$B$15:$K$20,10,FALSE),IF(B36="kW",VLOOKUP(A36,'Load Forecast Data'!$B$24:$K$29,10,FALSE)))</f>
        <v>1152328.7877554449</v>
      </c>
      <c r="E36" s="11">
        <f>ROUND(0.00472627277745485,4)</f>
        <v>4.7000000000000002E-3</v>
      </c>
      <c r="F36" s="188">
        <f t="shared" si="3"/>
        <v>5415.945302450591</v>
      </c>
      <c r="H36" s="187">
        <f>IF(B36="kWh",VLOOKUP(A36,'Load Forecast Data'!$B$15:$K$20,9,FALSE),IF(B36="kW",VLOOKUP(A36,'Load Forecast Data'!$B$24:$J$29,9,FALSE)))</f>
        <v>10329.632717831306</v>
      </c>
      <c r="I36" s="11">
        <f>ROUND(0.00472627277745485,4)</f>
        <v>4.7000000000000002E-3</v>
      </c>
      <c r="J36" s="188">
        <f t="shared" si="4"/>
        <v>48.549273773807137</v>
      </c>
      <c r="K36" s="239"/>
      <c r="M36" s="212"/>
      <c r="N36" s="212"/>
    </row>
    <row r="37" spans="1:14" x14ac:dyDescent="0.25">
      <c r="A37" s="2" t="str">
        <f t="shared" si="2"/>
        <v>Sentinel Lighting</v>
      </c>
      <c r="B37" s="7" t="s">
        <v>5</v>
      </c>
      <c r="C37" s="154"/>
      <c r="D37" s="187">
        <f>IF(B37="kWh",VLOOKUP(A37,'Load Forecast Data'!$B$15:$K$20,10,FALSE),IF(B37="kW",VLOOKUP(A37,'Load Forecast Data'!$B$24:$K$29,10,FALSE)))</f>
        <v>922.16734709358627</v>
      </c>
      <c r="E37" s="11">
        <f>ROUND(1.87815841658767,4)</f>
        <v>1.8782000000000001</v>
      </c>
      <c r="F37" s="188">
        <f t="shared" si="3"/>
        <v>1732.0147113111739</v>
      </c>
      <c r="H37" s="187">
        <f>IF(B37="kWh",VLOOKUP(A37,'Load Forecast Data'!$B$15:$K$20,9,FALSE),IF(B37="kW",VLOOKUP(A37,'Load Forecast Data'!$B$24:$J$29,9,FALSE)))</f>
        <v>87.550597567806292</v>
      </c>
      <c r="I37" s="11">
        <f>ROUND(1.87815841658767,4)</f>
        <v>1.8782000000000001</v>
      </c>
      <c r="J37" s="188">
        <f t="shared" si="4"/>
        <v>164.43753235185378</v>
      </c>
      <c r="K37" s="239"/>
      <c r="M37" s="212"/>
      <c r="N37" s="212"/>
    </row>
    <row r="38" spans="1:14" x14ac:dyDescent="0.25">
      <c r="A38" s="2" t="str">
        <f t="shared" si="2"/>
        <v xml:space="preserve">Street Lighting </v>
      </c>
      <c r="B38" s="7" t="s">
        <v>5</v>
      </c>
      <c r="C38" s="154"/>
      <c r="D38" s="187">
        <f>IF(B38="kWh",VLOOKUP(A38,'Load Forecast Data'!$B$15:$K$20,10,FALSE),IF(B38="kW",VLOOKUP(A38,'Load Forecast Data'!$B$24:$K$29,10,FALSE)))</f>
        <v>0</v>
      </c>
      <c r="E38" s="11">
        <f>ROUND(1.77407274329854,4)</f>
        <v>1.7741</v>
      </c>
      <c r="F38" s="188">
        <f t="shared" si="3"/>
        <v>0</v>
      </c>
      <c r="H38" s="187">
        <f>IF(B38="kWh",VLOOKUP(A38,'Load Forecast Data'!$B$15:$K$20,9,FALSE),IF(B38="kW",VLOOKUP(A38,'Load Forecast Data'!$B$24:$J$29,9,FALSE)))</f>
        <v>20806.831005660119</v>
      </c>
      <c r="I38" s="11">
        <f>ROUND(1.77407274329854,4)</f>
        <v>1.7741</v>
      </c>
      <c r="J38" s="188">
        <f t="shared" si="4"/>
        <v>36913.398887141615</v>
      </c>
      <c r="K38" s="239"/>
      <c r="M38" s="212"/>
      <c r="N38" s="212"/>
    </row>
    <row r="39" spans="1:14" x14ac:dyDescent="0.25">
      <c r="A39" s="4" t="s">
        <v>17</v>
      </c>
      <c r="B39" s="7"/>
      <c r="C39" s="153"/>
      <c r="D39" s="76"/>
      <c r="E39" s="12"/>
      <c r="F39" s="223">
        <f>SUM(F33:F38)</f>
        <v>3428611.1251405422</v>
      </c>
      <c r="G39" s="12"/>
      <c r="H39" s="134"/>
      <c r="I39" s="12"/>
      <c r="J39" s="223">
        <f>SUM(J33:J38)</f>
        <v>2673135.3393851346</v>
      </c>
      <c r="K39" s="239"/>
      <c r="M39" s="212"/>
    </row>
    <row r="40" spans="1:14" x14ac:dyDescent="0.25">
      <c r="C40" s="5"/>
      <c r="K40" s="136">
        <f>F39+J39</f>
        <v>6101746.4645256773</v>
      </c>
    </row>
    <row r="41" spans="1:14" x14ac:dyDescent="0.25">
      <c r="A41" s="3" t="s">
        <v>8</v>
      </c>
      <c r="B41" s="245"/>
      <c r="C41" s="150"/>
      <c r="D41" s="242" t="s">
        <v>14</v>
      </c>
      <c r="E41" s="239" t="s">
        <v>6</v>
      </c>
      <c r="F41" s="247" t="s">
        <v>7</v>
      </c>
      <c r="G41" s="9"/>
      <c r="H41" s="256" t="s">
        <v>14</v>
      </c>
      <c r="I41" s="239" t="s">
        <v>6</v>
      </c>
      <c r="J41" s="247" t="s">
        <v>7</v>
      </c>
      <c r="K41" s="242" t="s">
        <v>78</v>
      </c>
    </row>
    <row r="42" spans="1:14" x14ac:dyDescent="0.25">
      <c r="A42" s="4" t="s">
        <v>29</v>
      </c>
      <c r="B42" s="246"/>
      <c r="C42" s="149"/>
      <c r="D42" s="243"/>
      <c r="E42" s="239"/>
      <c r="F42" s="248"/>
      <c r="G42" s="1"/>
      <c r="H42" s="257"/>
      <c r="I42" s="239"/>
      <c r="J42" s="248"/>
      <c r="K42" s="243"/>
    </row>
    <row r="43" spans="1:14" x14ac:dyDescent="0.25">
      <c r="A43" s="2" t="str">
        <f t="shared" ref="A43:A48" si="5">IF(A33=0,"",A33)</f>
        <v>Residential</v>
      </c>
      <c r="B43" s="7" t="s">
        <v>4</v>
      </c>
      <c r="C43" s="155"/>
      <c r="D43" s="187">
        <f>IF(B43="kWh",VLOOKUP(A43,'Load Forecast Data'!$B$15:$K$20,10,FALSE),IF(B43="kW",VLOOKUP(A43,'Load Forecast Data'!$B$24:$K$29,10,FALSE)))</f>
        <v>376916478.47939789</v>
      </c>
      <c r="E43" s="191">
        <f>ROUND(0.00495337293678943,4)</f>
        <v>5.0000000000000001E-3</v>
      </c>
      <c r="F43" s="188">
        <f>D43*E43</f>
        <v>1884582.3923969895</v>
      </c>
      <c r="H43" s="187">
        <f>IF(B43="kWh",VLOOKUP(A43,'Load Forecast Data'!$B$15:$K$20,9,FALSE),IF(B43="kW",VLOOKUP(A43,'Load Forecast Data'!$B$24:$J$29,9,FALSE)))</f>
        <v>8176664.1375179235</v>
      </c>
      <c r="I43" s="191">
        <f>ROUND(0.00495337293678943,4)</f>
        <v>5.0000000000000001E-3</v>
      </c>
      <c r="J43" s="188">
        <f>H43*I43</f>
        <v>40883.320687589621</v>
      </c>
      <c r="K43" s="239"/>
    </row>
    <row r="44" spans="1:14" x14ac:dyDescent="0.25">
      <c r="A44" s="2" t="str">
        <f t="shared" si="5"/>
        <v>General Service &lt; 50 kW</v>
      </c>
      <c r="B44" s="7" t="s">
        <v>4</v>
      </c>
      <c r="C44" s="211"/>
      <c r="D44" s="187">
        <f>IF(B44="kWh",VLOOKUP(A44,'Load Forecast Data'!$B$15:$K$20,10,FALSE),IF(B44="kW",VLOOKUP(A44,'Load Forecast Data'!$B$24:$K$29,10,FALSE)))</f>
        <v>118296210.45586453</v>
      </c>
      <c r="E44" s="11">
        <f>ROUND(0.00355350666862872,4)</f>
        <v>3.5999999999999999E-3</v>
      </c>
      <c r="F44" s="188">
        <f t="shared" ref="F44:F48" si="6">D44*E44</f>
        <v>425866.35764111229</v>
      </c>
      <c r="H44" s="187">
        <f>IF(B44="kWh",VLOOKUP(A44,'Load Forecast Data'!$B$15:$K$20,9,FALSE),IF(B44="kW",VLOOKUP(A44,'Load Forecast Data'!$B$24:$J$29,9,FALSE)))</f>
        <v>24613701.891836312</v>
      </c>
      <c r="I44" s="11">
        <f>ROUND(0.00355350666862872,4)</f>
        <v>3.5999999999999999E-3</v>
      </c>
      <c r="J44" s="188">
        <f t="shared" ref="J44:J48" si="7">H44*I44</f>
        <v>88609.326810610713</v>
      </c>
      <c r="K44" s="239"/>
    </row>
    <row r="45" spans="1:14" x14ac:dyDescent="0.25">
      <c r="A45" s="2" t="str">
        <f t="shared" si="5"/>
        <v>General Service 50 to 2999 kW</v>
      </c>
      <c r="B45" s="7" t="s">
        <v>5</v>
      </c>
      <c r="C45" s="19"/>
      <c r="D45" s="187">
        <f>IF(B45="kWh",VLOOKUP(A45,'Load Forecast Data'!$B$15:$K$20,10,FALSE),IF(B45="kW",VLOOKUP(A45,'Load Forecast Data'!$B$24:$K$29,10,FALSE)))</f>
        <v>151245.76079771967</v>
      </c>
      <c r="E45" s="11">
        <f>ROUND(2.70238797780879,4)</f>
        <v>2.7023999999999999</v>
      </c>
      <c r="F45" s="188">
        <f t="shared" si="6"/>
        <v>408726.54397975764</v>
      </c>
      <c r="H45" s="187">
        <f>IF(B45="kWh",VLOOKUP(A45,'Load Forecast Data'!$B$15:$K$20,9,FALSE),IF(B45="kW",VLOOKUP(A45,'Load Forecast Data'!$B$24:$J$29,9,FALSE)))+'Load Forecast Data'!I26</f>
        <v>706638.02602295508</v>
      </c>
      <c r="I45" s="11">
        <f>ROUND(2.70238797780879,4)</f>
        <v>2.7023999999999999</v>
      </c>
      <c r="J45" s="188">
        <f t="shared" si="7"/>
        <v>1909618.6015244338</v>
      </c>
      <c r="K45" s="239"/>
    </row>
    <row r="46" spans="1:14" x14ac:dyDescent="0.25">
      <c r="A46" s="2" t="str">
        <f t="shared" si="5"/>
        <v>Unmetered Scattered Load</v>
      </c>
      <c r="B46" s="7" t="s">
        <v>4</v>
      </c>
      <c r="C46" s="19"/>
      <c r="D46" s="187">
        <f>IF(B46="kWh",VLOOKUP(A46,'Load Forecast Data'!$B$15:$K$20,10,FALSE),IF(B46="kW",VLOOKUP(A46,'Load Forecast Data'!$B$24:$K$29,10,FALSE)))</f>
        <v>1152328.7877554449</v>
      </c>
      <c r="E46" s="11">
        <f>ROUND(0.00355350206859933,4)</f>
        <v>3.5999999999999999E-3</v>
      </c>
      <c r="F46" s="188">
        <f t="shared" si="6"/>
        <v>4148.3836359196011</v>
      </c>
      <c r="H46" s="187">
        <f>IF(B46="kWh",VLOOKUP(A46,'Load Forecast Data'!$B$15:$K$20,9,FALSE),IF(B46="kW",VLOOKUP(A46,'Load Forecast Data'!$B$24:$J$29,9,FALSE)))</f>
        <v>10329.632717831306</v>
      </c>
      <c r="I46" s="11">
        <f>ROUND(0.00355350206859933,4)</f>
        <v>3.5999999999999999E-3</v>
      </c>
      <c r="J46" s="188">
        <f t="shared" si="7"/>
        <v>37.186677784192703</v>
      </c>
      <c r="K46" s="239"/>
    </row>
    <row r="47" spans="1:14" x14ac:dyDescent="0.25">
      <c r="A47" s="2" t="str">
        <f t="shared" si="5"/>
        <v>Sentinel Lighting</v>
      </c>
      <c r="B47" s="7" t="s">
        <v>5</v>
      </c>
      <c r="C47" s="19"/>
      <c r="D47" s="187">
        <f>IF(B47="kWh",VLOOKUP(A47,'Load Forecast Data'!$B$15:$K$20,10,FALSE),IF(B47="kW",VLOOKUP(A47,'Load Forecast Data'!$B$24:$K$29,10,FALSE)))</f>
        <v>922.16734709358627</v>
      </c>
      <c r="E47" s="11">
        <f>ROUND(1.45208733390815,4)</f>
        <v>1.4520999999999999</v>
      </c>
      <c r="F47" s="188">
        <f t="shared" si="6"/>
        <v>1339.0792047145965</v>
      </c>
      <c r="H47" s="187">
        <f>IF(B47="kWh",VLOOKUP(A47,'Load Forecast Data'!$B$15:$K$20,9,FALSE),IF(B47="kW",VLOOKUP(A47,'Load Forecast Data'!$B$24:$J$29,9,FALSE)))</f>
        <v>87.550597567806292</v>
      </c>
      <c r="I47" s="11">
        <f>ROUND(1.45208733390815,4)</f>
        <v>1.4520999999999999</v>
      </c>
      <c r="J47" s="188">
        <f t="shared" si="7"/>
        <v>127.13222272821152</v>
      </c>
      <c r="K47" s="239"/>
    </row>
    <row r="48" spans="1:14" x14ac:dyDescent="0.25">
      <c r="A48" s="2" t="str">
        <f t="shared" si="5"/>
        <v xml:space="preserve">Street Lighting </v>
      </c>
      <c r="B48" s="7" t="s">
        <v>5</v>
      </c>
      <c r="C48" s="19"/>
      <c r="D48" s="187">
        <f>IF(B48="kWh",VLOOKUP(A48,'Load Forecast Data'!$B$15:$K$20,10,FALSE),IF(B48="kW",VLOOKUP(A48,'Load Forecast Data'!$B$24:$K$29,10,FALSE)))</f>
        <v>0</v>
      </c>
      <c r="E48" s="11">
        <f>ROUND(1.371545695452,4)</f>
        <v>1.3714999999999999</v>
      </c>
      <c r="F48" s="188">
        <f t="shared" si="6"/>
        <v>0</v>
      </c>
      <c r="H48" s="187">
        <f>IF(B48="kWh",VLOOKUP(A48,'Load Forecast Data'!$B$15:$K$20,9,FALSE),IF(B48="kW",VLOOKUP(A48,'Load Forecast Data'!$B$24:$J$29,9,FALSE)))</f>
        <v>20806.831005660119</v>
      </c>
      <c r="I48" s="11">
        <f>ROUND(1.371545695452,4)</f>
        <v>1.3714999999999999</v>
      </c>
      <c r="J48" s="188">
        <f t="shared" si="7"/>
        <v>28536.568724262852</v>
      </c>
      <c r="K48" s="239"/>
    </row>
    <row r="49" spans="1:11" x14ac:dyDescent="0.25">
      <c r="A49" s="4" t="s">
        <v>17</v>
      </c>
      <c r="B49" s="7"/>
      <c r="C49" s="156"/>
      <c r="D49" s="76"/>
      <c r="E49" s="12"/>
      <c r="F49" s="223">
        <f>SUM(F43:F48)</f>
        <v>2724662.7568584932</v>
      </c>
      <c r="G49" s="12"/>
      <c r="H49" s="2"/>
      <c r="I49" s="12"/>
      <c r="J49" s="223">
        <f>SUM(J43:J48)</f>
        <v>2067812.1366474093</v>
      </c>
      <c r="K49" s="239"/>
    </row>
    <row r="50" spans="1:11" x14ac:dyDescent="0.25">
      <c r="C50" s="5"/>
      <c r="K50" s="136">
        <f>F49+J49</f>
        <v>4792474.893505903</v>
      </c>
    </row>
    <row r="51" spans="1:11" x14ac:dyDescent="0.25">
      <c r="A51" s="3" t="s">
        <v>9</v>
      </c>
      <c r="B51" s="242"/>
      <c r="C51" s="151"/>
      <c r="D51" s="242" t="s">
        <v>15</v>
      </c>
      <c r="E51" s="239" t="s">
        <v>6</v>
      </c>
      <c r="F51" s="247" t="s">
        <v>7</v>
      </c>
      <c r="G51" s="9"/>
      <c r="H51" s="256" t="s">
        <v>14</v>
      </c>
      <c r="I51" s="239" t="s">
        <v>6</v>
      </c>
      <c r="J51" s="239" t="s">
        <v>7</v>
      </c>
      <c r="K51" s="242" t="s">
        <v>78</v>
      </c>
    </row>
    <row r="52" spans="1:11" x14ac:dyDescent="0.25">
      <c r="A52" s="4" t="s">
        <v>29</v>
      </c>
      <c r="B52" s="243"/>
      <c r="C52" s="148"/>
      <c r="D52" s="243"/>
      <c r="E52" s="239"/>
      <c r="F52" s="248"/>
      <c r="G52" s="1"/>
      <c r="H52" s="257"/>
      <c r="I52" s="239"/>
      <c r="J52" s="239"/>
      <c r="K52" s="243"/>
    </row>
    <row r="53" spans="1:11" x14ac:dyDescent="0.25">
      <c r="A53" s="2" t="str">
        <f t="shared" ref="A53:A58" si="8">IF(A43=0,"",A43)</f>
        <v>Residential</v>
      </c>
      <c r="B53" s="7" t="s">
        <v>4</v>
      </c>
      <c r="C53" s="154"/>
      <c r="D53" s="187">
        <f>VLOOKUP(A53,'Load Forecast Data'!$B$15:$K$20,10,FALSE)</f>
        <v>376916478.47939789</v>
      </c>
      <c r="E53" s="191">
        <f>0.003+0.0004</f>
        <v>3.4000000000000002E-3</v>
      </c>
      <c r="F53" s="188">
        <f>D53*E53</f>
        <v>1281516.0268299528</v>
      </c>
      <c r="H53" s="22">
        <f>VLOOKUP(A53,'Load Forecast Data'!$B$15:$K$20,9,FALSE)</f>
        <v>8176664.1375179235</v>
      </c>
      <c r="I53" s="191">
        <f t="shared" ref="I53:I58" si="9">0.003+0.0004</f>
        <v>3.4000000000000002E-3</v>
      </c>
      <c r="J53" s="188">
        <f>H53*I53</f>
        <v>27800.65806756094</v>
      </c>
      <c r="K53" s="239"/>
    </row>
    <row r="54" spans="1:11" x14ac:dyDescent="0.25">
      <c r="A54" s="2" t="str">
        <f t="shared" si="8"/>
        <v>General Service &lt; 50 kW</v>
      </c>
      <c r="B54" s="7" t="s">
        <v>4</v>
      </c>
      <c r="C54" s="154"/>
      <c r="D54" s="187">
        <f>VLOOKUP(A54,'Load Forecast Data'!$B$15:$K$20,10,FALSE)</f>
        <v>118296210.45586453</v>
      </c>
      <c r="E54" s="191">
        <f t="shared" ref="E54:E58" si="10">0.003+0.0004</f>
        <v>3.4000000000000002E-3</v>
      </c>
      <c r="F54" s="188">
        <f t="shared" ref="F54:F58" si="11">D54*E54</f>
        <v>402207.11554993945</v>
      </c>
      <c r="H54" s="22">
        <f>VLOOKUP(A54,'Load Forecast Data'!$B$15:$K$20,9,FALSE)</f>
        <v>24613701.891836312</v>
      </c>
      <c r="I54" s="191">
        <f t="shared" si="9"/>
        <v>3.4000000000000002E-3</v>
      </c>
      <c r="J54" s="188">
        <f t="shared" ref="J54:J58" si="12">H54*I54</f>
        <v>83686.586432243465</v>
      </c>
      <c r="K54" s="239"/>
    </row>
    <row r="55" spans="1:11" x14ac:dyDescent="0.25">
      <c r="A55" s="2" t="str">
        <f t="shared" si="8"/>
        <v>General Service 50 to 2999 kW</v>
      </c>
      <c r="B55" s="7" t="s">
        <v>4</v>
      </c>
      <c r="C55" s="154"/>
      <c r="D55" s="187">
        <f>VLOOKUP(A55,'Load Forecast Data'!$B$15:$K$20,10,FALSE)</f>
        <v>63640296.996101357</v>
      </c>
      <c r="E55" s="191">
        <f t="shared" si="10"/>
        <v>3.4000000000000002E-3</v>
      </c>
      <c r="F55" s="188">
        <f t="shared" si="11"/>
        <v>216377.00978674463</v>
      </c>
      <c r="H55" s="22">
        <f>VLOOKUP(A55,'Load Forecast Data'!$B$15:$K$20,9,FALSE)+'Load Forecast Data'!I17</f>
        <v>297334970.63091028</v>
      </c>
      <c r="I55" s="191">
        <f t="shared" si="9"/>
        <v>3.4000000000000002E-3</v>
      </c>
      <c r="J55" s="188">
        <f t="shared" si="12"/>
        <v>1010938.900145095</v>
      </c>
      <c r="K55" s="239"/>
    </row>
    <row r="56" spans="1:11" x14ac:dyDescent="0.25">
      <c r="A56" s="2" t="str">
        <f t="shared" si="8"/>
        <v>Unmetered Scattered Load</v>
      </c>
      <c r="B56" s="7" t="s">
        <v>4</v>
      </c>
      <c r="C56" s="154"/>
      <c r="D56" s="187">
        <f>VLOOKUP(A56,'Load Forecast Data'!$B$15:$K$20,10,FALSE)</f>
        <v>1152328.7877554449</v>
      </c>
      <c r="E56" s="191">
        <f t="shared" si="10"/>
        <v>3.4000000000000002E-3</v>
      </c>
      <c r="F56" s="188">
        <f t="shared" si="11"/>
        <v>3917.9178783685129</v>
      </c>
      <c r="H56" s="22">
        <f>VLOOKUP(A56,'Load Forecast Data'!$B$15:$K$20,9,FALSE)</f>
        <v>10329.632717831306</v>
      </c>
      <c r="I56" s="191">
        <f t="shared" si="9"/>
        <v>3.4000000000000002E-3</v>
      </c>
      <c r="J56" s="188">
        <f t="shared" si="12"/>
        <v>35.12075124062644</v>
      </c>
      <c r="K56" s="239"/>
    </row>
    <row r="57" spans="1:11" x14ac:dyDescent="0.25">
      <c r="A57" s="2" t="str">
        <f t="shared" si="8"/>
        <v>Sentinel Lighting</v>
      </c>
      <c r="B57" s="7" t="s">
        <v>4</v>
      </c>
      <c r="C57" s="154"/>
      <c r="D57" s="187">
        <f>VLOOKUP(A57,'Load Forecast Data'!$B$15:$K$20,10,FALSE)</f>
        <v>350308.52741439379</v>
      </c>
      <c r="E57" s="191">
        <f t="shared" si="10"/>
        <v>3.4000000000000002E-3</v>
      </c>
      <c r="F57" s="188">
        <f t="shared" si="11"/>
        <v>1191.048993208939</v>
      </c>
      <c r="H57" s="22">
        <f>VLOOKUP(A57,'Load Forecast Data'!$B$15:$K$20,9,FALSE)</f>
        <v>33258.302850226501</v>
      </c>
      <c r="I57" s="191">
        <f t="shared" si="9"/>
        <v>3.4000000000000002E-3</v>
      </c>
      <c r="J57" s="188">
        <f t="shared" si="12"/>
        <v>113.07822969077012</v>
      </c>
      <c r="K57" s="239"/>
    </row>
    <row r="58" spans="1:11" x14ac:dyDescent="0.25">
      <c r="A58" s="2" t="str">
        <f t="shared" si="8"/>
        <v xml:space="preserve">Street Lighting </v>
      </c>
      <c r="B58" s="7" t="s">
        <v>4</v>
      </c>
      <c r="C58" s="154"/>
      <c r="D58" s="187">
        <f>VLOOKUP(A58,'Load Forecast Data'!$B$15:$K$20,10,FALSE)</f>
        <v>0</v>
      </c>
      <c r="E58" s="191">
        <f t="shared" si="10"/>
        <v>3.4000000000000002E-3</v>
      </c>
      <c r="F58" s="188">
        <f t="shared" si="11"/>
        <v>0</v>
      </c>
      <c r="H58" s="22">
        <f>VLOOKUP(A58,'Load Forecast Data'!$B$15:$K$20,9,FALSE)</f>
        <v>7803743.2900162144</v>
      </c>
      <c r="I58" s="191">
        <f t="shared" si="9"/>
        <v>3.4000000000000002E-3</v>
      </c>
      <c r="J58" s="188">
        <f t="shared" si="12"/>
        <v>26532.72718605513</v>
      </c>
      <c r="K58" s="239"/>
    </row>
    <row r="59" spans="1:11" x14ac:dyDescent="0.25">
      <c r="A59" s="4" t="s">
        <v>17</v>
      </c>
      <c r="B59" s="7"/>
      <c r="C59" s="153"/>
      <c r="D59" s="76"/>
      <c r="E59" s="12"/>
      <c r="F59" s="223">
        <f>SUM(F53:F58)</f>
        <v>1905209.1190382142</v>
      </c>
      <c r="G59" s="12"/>
      <c r="H59" s="2"/>
      <c r="I59" s="12"/>
      <c r="J59" s="223">
        <f>SUM(J53:J58)</f>
        <v>1149107.0708118856</v>
      </c>
      <c r="K59" s="239"/>
    </row>
    <row r="60" spans="1:11" x14ac:dyDescent="0.25">
      <c r="K60" s="136">
        <f>F59+J59</f>
        <v>3054316.1898500999</v>
      </c>
    </row>
    <row r="61" spans="1:11" x14ac:dyDescent="0.25">
      <c r="A61" s="3" t="s">
        <v>10</v>
      </c>
      <c r="B61" s="242"/>
      <c r="C61" s="150"/>
      <c r="D61" s="247" t="s">
        <v>15</v>
      </c>
      <c r="E61" s="245" t="s">
        <v>6</v>
      </c>
      <c r="F61" s="239" t="s">
        <v>7</v>
      </c>
      <c r="G61" s="9"/>
      <c r="H61" s="256" t="s">
        <v>14</v>
      </c>
      <c r="I61" s="245" t="s">
        <v>6</v>
      </c>
      <c r="J61" s="239" t="s">
        <v>7</v>
      </c>
      <c r="K61" s="242" t="s">
        <v>78</v>
      </c>
    </row>
    <row r="62" spans="1:11" x14ac:dyDescent="0.25">
      <c r="A62" s="4" t="s">
        <v>29</v>
      </c>
      <c r="B62" s="243"/>
      <c r="C62" s="150"/>
      <c r="D62" s="248"/>
      <c r="E62" s="246"/>
      <c r="F62" s="239"/>
      <c r="G62" s="1"/>
      <c r="H62" s="257"/>
      <c r="I62" s="246"/>
      <c r="J62" s="239"/>
      <c r="K62" s="243"/>
    </row>
    <row r="63" spans="1:11" x14ac:dyDescent="0.25">
      <c r="A63" s="2" t="str">
        <f t="shared" ref="A63:A68" si="13">IF(A53=0,"",A53)</f>
        <v>Residential</v>
      </c>
      <c r="B63" s="7" t="s">
        <v>4</v>
      </c>
      <c r="C63" s="154"/>
      <c r="D63" s="187">
        <f>VLOOKUP(A63,'Load Forecast Data'!$B$15:$K$20,10,FALSE)</f>
        <v>376916478.47939789</v>
      </c>
      <c r="E63" s="11">
        <v>5.0000000000000001E-4</v>
      </c>
      <c r="F63" s="188">
        <f>D63*E63</f>
        <v>188458.23923969895</v>
      </c>
      <c r="H63" s="22">
        <f>VLOOKUP(A63,'Load Forecast Data'!$B$15:$K$20,9,FALSE)</f>
        <v>8176664.1375179235</v>
      </c>
      <c r="I63" s="11">
        <v>5.0000000000000001E-4</v>
      </c>
      <c r="J63" s="188">
        <f>H63*I63</f>
        <v>4088.3320687589617</v>
      </c>
      <c r="K63" s="239"/>
    </row>
    <row r="64" spans="1:11" x14ac:dyDescent="0.25">
      <c r="A64" s="2" t="str">
        <f t="shared" si="13"/>
        <v>General Service &lt; 50 kW</v>
      </c>
      <c r="B64" s="7" t="s">
        <v>4</v>
      </c>
      <c r="C64" s="154"/>
      <c r="D64" s="187">
        <f>VLOOKUP(A64,'Load Forecast Data'!$B$15:$K$20,10,FALSE)</f>
        <v>118296210.45586453</v>
      </c>
      <c r="E64" s="11">
        <v>5.0000000000000001E-4</v>
      </c>
      <c r="F64" s="188">
        <f t="shared" ref="F64:F68" si="14">D64*E64</f>
        <v>59148.105227932268</v>
      </c>
      <c r="H64" s="22">
        <f>VLOOKUP(A64,'Load Forecast Data'!$B$15:$K$20,9,FALSE)</f>
        <v>24613701.891836312</v>
      </c>
      <c r="I64" s="11">
        <v>5.0000000000000001E-4</v>
      </c>
      <c r="J64" s="188">
        <f t="shared" ref="J64:J68" si="15">H64*I64</f>
        <v>12306.850945918157</v>
      </c>
      <c r="K64" s="239"/>
    </row>
    <row r="65" spans="1:11" x14ac:dyDescent="0.25">
      <c r="A65" s="2" t="str">
        <f t="shared" si="13"/>
        <v>General Service 50 to 2999 kW</v>
      </c>
      <c r="B65" s="7" t="s">
        <v>4</v>
      </c>
      <c r="C65" s="154"/>
      <c r="D65" s="187">
        <f>VLOOKUP(A65,'Load Forecast Data'!$B$15:$K$20,10,FALSE)</f>
        <v>63640296.996101357</v>
      </c>
      <c r="E65" s="11">
        <v>5.0000000000000001E-4</v>
      </c>
      <c r="F65" s="188">
        <f t="shared" si="14"/>
        <v>31820.148498050679</v>
      </c>
      <c r="H65" s="22">
        <f>VLOOKUP(A65,'Load Forecast Data'!$B$15:$K$20,9,FALSE)+'Load Forecast Data'!I17</f>
        <v>297334970.63091028</v>
      </c>
      <c r="I65" s="11">
        <v>5.0000000000000001E-4</v>
      </c>
      <c r="J65" s="188">
        <f t="shared" si="15"/>
        <v>148667.48531545515</v>
      </c>
      <c r="K65" s="239"/>
    </row>
    <row r="66" spans="1:11" x14ac:dyDescent="0.25">
      <c r="A66" s="2" t="str">
        <f t="shared" si="13"/>
        <v>Unmetered Scattered Load</v>
      </c>
      <c r="B66" s="7" t="s">
        <v>4</v>
      </c>
      <c r="C66" s="154"/>
      <c r="D66" s="187">
        <f>VLOOKUP(A66,'Load Forecast Data'!$B$15:$K$20,10,FALSE)</f>
        <v>1152328.7877554449</v>
      </c>
      <c r="E66" s="11">
        <v>5.0000000000000001E-4</v>
      </c>
      <c r="F66" s="188">
        <f t="shared" si="14"/>
        <v>576.16439387772243</v>
      </c>
      <c r="H66" s="22">
        <f>VLOOKUP(A66,'Load Forecast Data'!$B$15:$K$20,9,FALSE)</f>
        <v>10329.632717831306</v>
      </c>
      <c r="I66" s="11">
        <v>5.0000000000000001E-4</v>
      </c>
      <c r="J66" s="188">
        <f t="shared" si="15"/>
        <v>5.1648163589156528</v>
      </c>
      <c r="K66" s="239"/>
    </row>
    <row r="67" spans="1:11" x14ac:dyDescent="0.25">
      <c r="A67" s="2" t="str">
        <f t="shared" si="13"/>
        <v>Sentinel Lighting</v>
      </c>
      <c r="B67" s="7" t="s">
        <v>4</v>
      </c>
      <c r="C67" s="154"/>
      <c r="D67" s="187">
        <f>VLOOKUP(A67,'Load Forecast Data'!$B$15:$K$20,10,FALSE)</f>
        <v>350308.52741439379</v>
      </c>
      <c r="E67" s="11">
        <v>5.0000000000000001E-4</v>
      </c>
      <c r="F67" s="188">
        <f t="shared" si="14"/>
        <v>175.15426370719689</v>
      </c>
      <c r="H67" s="22">
        <f>VLOOKUP(A67,'Load Forecast Data'!$B$15:$K$20,9,FALSE)</f>
        <v>33258.302850226501</v>
      </c>
      <c r="I67" s="11">
        <v>5.0000000000000001E-4</v>
      </c>
      <c r="J67" s="188">
        <f t="shared" si="15"/>
        <v>16.62915142511325</v>
      </c>
      <c r="K67" s="239"/>
    </row>
    <row r="68" spans="1:11" x14ac:dyDescent="0.25">
      <c r="A68" s="2" t="str">
        <f t="shared" si="13"/>
        <v xml:space="preserve">Street Lighting </v>
      </c>
      <c r="B68" s="7" t="s">
        <v>4</v>
      </c>
      <c r="C68" s="154"/>
      <c r="D68" s="187">
        <f>VLOOKUP(A68,'Load Forecast Data'!$B$15:$K$20,10,FALSE)</f>
        <v>0</v>
      </c>
      <c r="E68" s="11">
        <v>5.0000000000000001E-4</v>
      </c>
      <c r="F68" s="188">
        <f t="shared" si="14"/>
        <v>0</v>
      </c>
      <c r="H68" s="22">
        <f>VLOOKUP(A68,'Load Forecast Data'!$B$15:$K$20,9,FALSE)</f>
        <v>7803743.2900162144</v>
      </c>
      <c r="I68" s="11">
        <v>5.0000000000000001E-4</v>
      </c>
      <c r="J68" s="188">
        <f t="shared" si="15"/>
        <v>3901.8716450081074</v>
      </c>
      <c r="K68" s="239"/>
    </row>
    <row r="69" spans="1:11" x14ac:dyDescent="0.25">
      <c r="A69" s="4" t="s">
        <v>17</v>
      </c>
      <c r="B69" s="7"/>
      <c r="C69" s="160"/>
      <c r="D69" s="76"/>
      <c r="E69" s="12"/>
      <c r="F69" s="223">
        <f>SUM(F63:F68)</f>
        <v>280177.81162326678</v>
      </c>
      <c r="G69" s="12"/>
      <c r="H69" s="2"/>
      <c r="I69" s="12"/>
      <c r="J69" s="223">
        <f>SUM(J63:J68)</f>
        <v>168986.33394292439</v>
      </c>
      <c r="K69" s="239"/>
    </row>
    <row r="70" spans="1:11" x14ac:dyDescent="0.25">
      <c r="C70" s="5"/>
      <c r="K70" s="136">
        <f>F69+J69</f>
        <v>449164.14556619118</v>
      </c>
    </row>
    <row r="71" spans="1:11" x14ac:dyDescent="0.25">
      <c r="A71" s="3" t="s">
        <v>30</v>
      </c>
      <c r="B71" s="242"/>
      <c r="C71" s="150"/>
      <c r="D71" s="247" t="s">
        <v>14</v>
      </c>
      <c r="E71" s="245" t="s">
        <v>6</v>
      </c>
      <c r="F71" s="239" t="s">
        <v>7</v>
      </c>
      <c r="G71" s="9"/>
      <c r="H71" s="256" t="s">
        <v>14</v>
      </c>
      <c r="I71" s="245" t="s">
        <v>6</v>
      </c>
      <c r="J71" s="239" t="s">
        <v>7</v>
      </c>
      <c r="K71" s="242" t="s">
        <v>78</v>
      </c>
    </row>
    <row r="72" spans="1:11" x14ac:dyDescent="0.25">
      <c r="A72" s="4" t="s">
        <v>29</v>
      </c>
      <c r="B72" s="243"/>
      <c r="C72" s="150"/>
      <c r="D72" s="248"/>
      <c r="E72" s="246"/>
      <c r="F72" s="239"/>
      <c r="G72" s="1"/>
      <c r="H72" s="257"/>
      <c r="I72" s="246"/>
      <c r="J72" s="239"/>
      <c r="K72" s="243"/>
    </row>
    <row r="73" spans="1:11" x14ac:dyDescent="0.25">
      <c r="A73" s="2" t="str">
        <f>IF(A63=0,"",A63)</f>
        <v>Residential</v>
      </c>
      <c r="B73" s="7" t="s">
        <v>4</v>
      </c>
      <c r="C73" s="154"/>
      <c r="D73" s="187">
        <f>VLOOKUP(A73,'Load Forecast Data'!$B$15:$K$20,10,FALSE)/'Load Forecast Data'!F5</f>
        <v>359756111.93986624</v>
      </c>
      <c r="E73" s="11">
        <v>4.0000000000000002E-4</v>
      </c>
      <c r="F73" s="188">
        <f>D73*E73</f>
        <v>143902.4447759465</v>
      </c>
      <c r="H73" s="22">
        <f>VLOOKUP(A73,'Load Forecast Data'!$B$15:$K$20,9,FALSE)/'Load Forecast Data'!F5</f>
        <v>7804394.5189633705</v>
      </c>
      <c r="I73" s="11">
        <v>4.0000000000000002E-4</v>
      </c>
      <c r="J73" s="188">
        <f>H73*I73</f>
        <v>3121.7578075853485</v>
      </c>
      <c r="K73" s="239"/>
    </row>
    <row r="74" spans="1:11" x14ac:dyDescent="0.25">
      <c r="A74" s="2" t="str">
        <f>IF(A64=0,"",A64)</f>
        <v>General Service &lt; 50 kW</v>
      </c>
      <c r="B74" s="7" t="s">
        <v>4</v>
      </c>
      <c r="C74" s="154"/>
      <c r="D74" s="187">
        <f>VLOOKUP(A74,'Load Forecast Data'!$B$15:$K$20,10,FALSE)/'Load Forecast Data'!F6</f>
        <v>112910385.08720486</v>
      </c>
      <c r="E74" s="11">
        <v>2.9999999999999997E-4</v>
      </c>
      <c r="F74" s="188">
        <f t="shared" ref="F74:F78" si="16">D74*E74</f>
        <v>33873.115526161455</v>
      </c>
      <c r="H74" s="22">
        <f>VLOOKUP(A74,'Load Forecast Data'!$B$15:$K$20,9,FALSE)/'Load Forecast Data'!F6</f>
        <v>23493081.885879841</v>
      </c>
      <c r="I74" s="11">
        <v>2.9999999999999997E-4</v>
      </c>
      <c r="J74" s="188">
        <f t="shared" ref="J74:J78" si="17">H74*I74</f>
        <v>7047.9245657639513</v>
      </c>
      <c r="K74" s="239"/>
    </row>
    <row r="75" spans="1:11" x14ac:dyDescent="0.25">
      <c r="A75" s="2" t="str">
        <f>IF(A65=0,"",A65)</f>
        <v>General Service 50 to 2999 kW</v>
      </c>
      <c r="B75" s="203" t="s">
        <v>5</v>
      </c>
      <c r="C75" s="157"/>
      <c r="D75" s="187">
        <f>IF(B75="kWh",VLOOKUP(A75,'Load Forecast Data'!$B$15:$K$20,10,FALSE),IF(B75="kW",VLOOKUP(A75,'Load Forecast Data'!$B$24:$K$29,10,FALSE)))</f>
        <v>151245.76079771967</v>
      </c>
      <c r="E75" s="11">
        <v>0.22439999999999999</v>
      </c>
      <c r="F75" s="188">
        <f t="shared" si="16"/>
        <v>33939.548723008294</v>
      </c>
      <c r="H75" s="22">
        <f>IF(B75="kWh",VLOOKUP(A75,'Load Forecast Data'!$B$15:$K$20,9,FALSE),IF(B75="kW",VLOOKUP(A75,'Load Forecast Data'!$B$24:$J$29,9,FALSE)))+'Load Forecast Data'!I26</f>
        <v>706638.02602295508</v>
      </c>
      <c r="I75" s="11">
        <v>0.22439999999999999</v>
      </c>
      <c r="J75" s="188">
        <f t="shared" si="17"/>
        <v>158569.57303955112</v>
      </c>
      <c r="K75" s="239"/>
    </row>
    <row r="76" spans="1:11" x14ac:dyDescent="0.25">
      <c r="A76" s="2" t="str">
        <f t="shared" ref="A76:A78" si="18">IF(A66=0,"",A66)</f>
        <v>Unmetered Scattered Load</v>
      </c>
      <c r="B76" s="203" t="s">
        <v>4</v>
      </c>
      <c r="C76" s="157"/>
      <c r="D76" s="187">
        <f>VLOOKUP(A76,'Load Forecast Data'!$B$15:$K$20,10,FALSE)/'Load Forecast Data'!F8</f>
        <v>1099865.2169088908</v>
      </c>
      <c r="E76" s="11">
        <v>2.9999999999999997E-4</v>
      </c>
      <c r="F76" s="188">
        <f t="shared" si="16"/>
        <v>329.9595650726672</v>
      </c>
      <c r="H76" s="22">
        <f>VLOOKUP(A76,'Load Forecast Data'!$B$15:$K$20,9,FALSE)/'Load Forecast Data'!F8</f>
        <v>9859.3420996767254</v>
      </c>
      <c r="I76" s="11">
        <v>2.9999999999999997E-4</v>
      </c>
      <c r="J76" s="188">
        <f t="shared" si="17"/>
        <v>2.9578026299030173</v>
      </c>
      <c r="K76" s="239"/>
    </row>
    <row r="77" spans="1:11" x14ac:dyDescent="0.25">
      <c r="A77" s="2" t="str">
        <f t="shared" si="18"/>
        <v>Sentinel Lighting</v>
      </c>
      <c r="B77" s="7" t="s">
        <v>5</v>
      </c>
      <c r="C77" s="154"/>
      <c r="D77" s="187">
        <f>IF(B77="kWh",VLOOKUP(A77,'Load Forecast Data'!$B$15:$K$20,10,FALSE),IF(B77="kW",VLOOKUP(A77,'Load Forecast Data'!$B$24:$K$29,10,FALSE)))</f>
        <v>922.16734709358627</v>
      </c>
      <c r="E77" s="11">
        <v>0.1206</v>
      </c>
      <c r="F77" s="188">
        <f t="shared" si="16"/>
        <v>111.21338205948651</v>
      </c>
      <c r="H77" s="22">
        <f>IF(B77="kWh",VLOOKUP(A77,'Load Forecast Data'!$B$15:$K$20,9,FALSE),IF(B77="kW",VLOOKUP(A77,'Load Forecast Data'!$B$24:$J$29,9,FALSE)))</f>
        <v>87.550597567806292</v>
      </c>
      <c r="I77" s="11">
        <v>0.1206</v>
      </c>
      <c r="J77" s="188">
        <f t="shared" si="17"/>
        <v>10.558602066677439</v>
      </c>
      <c r="K77" s="239"/>
    </row>
    <row r="78" spans="1:11" x14ac:dyDescent="0.25">
      <c r="A78" s="2" t="str">
        <f t="shared" si="18"/>
        <v xml:space="preserve">Street Lighting </v>
      </c>
      <c r="B78" s="7" t="s">
        <v>5</v>
      </c>
      <c r="C78" s="154"/>
      <c r="D78" s="187">
        <f>IF(B78="kWh",VLOOKUP(A78,'Load Forecast Data'!$B$15:$K$20,10,FALSE),IF(B78="kW",VLOOKUP(A78,'Load Forecast Data'!$B$24:$K$29,10,FALSE)))</f>
        <v>0</v>
      </c>
      <c r="E78" s="11">
        <v>0.1139</v>
      </c>
      <c r="F78" s="188">
        <f t="shared" si="16"/>
        <v>0</v>
      </c>
      <c r="H78" s="22">
        <f>IF(B78="kWh",VLOOKUP(A78,'Load Forecast Data'!$B$15:$K$20,9,FALSE),IF(B78="kW",VLOOKUP(A78,'Load Forecast Data'!$B$24:$J$29,9,FALSE)))</f>
        <v>20806.831005660119</v>
      </c>
      <c r="I78" s="11">
        <v>0.1139</v>
      </c>
      <c r="J78" s="188">
        <f t="shared" si="17"/>
        <v>2369.8980515446874</v>
      </c>
      <c r="K78" s="239"/>
    </row>
    <row r="79" spans="1:11" x14ac:dyDescent="0.25">
      <c r="A79" s="4" t="s">
        <v>17</v>
      </c>
      <c r="B79" s="7"/>
      <c r="C79" s="153"/>
      <c r="D79" s="159"/>
      <c r="E79" s="12"/>
      <c r="F79" s="223">
        <f>SUM(F73:F78)</f>
        <v>212156.2819722484</v>
      </c>
      <c r="G79" s="12"/>
      <c r="H79" s="2"/>
      <c r="I79" s="12"/>
      <c r="J79" s="223">
        <f>SUM(J73:J78)</f>
        <v>171122.66986914168</v>
      </c>
      <c r="K79" s="239"/>
    </row>
    <row r="80" spans="1:11" x14ac:dyDescent="0.25">
      <c r="C80" s="5"/>
      <c r="J80" s="207"/>
      <c r="K80" s="136">
        <f>F79+J79</f>
        <v>383278.95184139011</v>
      </c>
    </row>
    <row r="81" spans="1:11" x14ac:dyDescent="0.25">
      <c r="A81" s="3" t="s">
        <v>11</v>
      </c>
      <c r="B81" s="245"/>
      <c r="C81" s="150"/>
      <c r="D81" s="247" t="s">
        <v>12</v>
      </c>
      <c r="E81" s="245" t="s">
        <v>6</v>
      </c>
      <c r="F81" s="239" t="s">
        <v>7</v>
      </c>
      <c r="G81" s="9"/>
      <c r="H81" s="242" t="s">
        <v>12</v>
      </c>
      <c r="I81" s="245" t="s">
        <v>6</v>
      </c>
      <c r="J81" s="239" t="s">
        <v>7</v>
      </c>
      <c r="K81" s="242" t="s">
        <v>78</v>
      </c>
    </row>
    <row r="82" spans="1:11" x14ac:dyDescent="0.25">
      <c r="A82" s="4" t="s">
        <v>29</v>
      </c>
      <c r="B82" s="246"/>
      <c r="C82" s="150"/>
      <c r="D82" s="248"/>
      <c r="E82" s="246"/>
      <c r="F82" s="239"/>
      <c r="G82" s="1"/>
      <c r="H82" s="243"/>
      <c r="I82" s="246"/>
      <c r="J82" s="239"/>
      <c r="K82" s="244"/>
    </row>
    <row r="83" spans="1:11" x14ac:dyDescent="0.25">
      <c r="A83" s="2" t="str">
        <f>A13</f>
        <v>Residential</v>
      </c>
      <c r="B83" s="7"/>
      <c r="C83" s="154"/>
      <c r="D83" s="181">
        <f>'Load Forecast Data'!C5</f>
        <v>43121.308184279384</v>
      </c>
      <c r="E83" s="192">
        <v>0.56999999999999995</v>
      </c>
      <c r="F83" s="188">
        <f>D83*E83*12</f>
        <v>294949.74798047094</v>
      </c>
      <c r="H83" s="11"/>
      <c r="I83" s="11"/>
      <c r="J83" s="19">
        <f>H83*I83</f>
        <v>0</v>
      </c>
      <c r="K83" s="240"/>
    </row>
    <row r="84" spans="1:11" x14ac:dyDescent="0.25">
      <c r="A84" s="13" t="str">
        <f>A14</f>
        <v>General Service &lt; 50 kW</v>
      </c>
      <c r="B84" s="7"/>
      <c r="C84" s="154"/>
      <c r="D84" s="182">
        <f>'Load Forecast Data'!C6</f>
        <v>4193.5040704843168</v>
      </c>
      <c r="E84" s="193">
        <v>0.56999999999999995</v>
      </c>
      <c r="F84" s="188">
        <f>D84*E84*12</f>
        <v>28683.567842112727</v>
      </c>
      <c r="H84" s="15"/>
      <c r="I84" s="15"/>
      <c r="J84" s="19">
        <f>H84*I84</f>
        <v>0</v>
      </c>
      <c r="K84" s="241"/>
    </row>
    <row r="85" spans="1:11" x14ac:dyDescent="0.25">
      <c r="A85" s="13"/>
      <c r="B85" s="7"/>
      <c r="C85" s="154"/>
      <c r="D85" s="182"/>
      <c r="E85" s="193"/>
      <c r="F85" s="188">
        <f>D85*E85*12</f>
        <v>0</v>
      </c>
      <c r="H85" s="15"/>
      <c r="I85" s="15"/>
      <c r="J85" s="19">
        <f>H85*I85</f>
        <v>0</v>
      </c>
      <c r="K85" s="227"/>
    </row>
    <row r="86" spans="1:11" x14ac:dyDescent="0.25">
      <c r="A86" s="17" t="s">
        <v>17</v>
      </c>
      <c r="B86" s="7"/>
      <c r="C86" s="154"/>
      <c r="D86" s="2"/>
      <c r="E86" s="2"/>
      <c r="F86" s="188">
        <f>SUM(F83:F85)</f>
        <v>323633.31582258368</v>
      </c>
      <c r="G86" s="2"/>
      <c r="H86" s="2"/>
      <c r="I86" s="2"/>
      <c r="J86" s="2">
        <f>SUM(J83:J84)</f>
        <v>0</v>
      </c>
      <c r="K86" s="226">
        <f>F86+J86</f>
        <v>323633.31582258368</v>
      </c>
    </row>
    <row r="87" spans="1:11" x14ac:dyDescent="0.25">
      <c r="A87" s="2"/>
      <c r="B87" s="2"/>
      <c r="C87" s="154"/>
      <c r="D87" s="2"/>
      <c r="E87" s="2"/>
      <c r="F87" s="2"/>
      <c r="G87" s="2"/>
      <c r="H87" s="2"/>
      <c r="I87" s="2"/>
      <c r="J87" s="2"/>
    </row>
    <row r="88" spans="1:11" x14ac:dyDescent="0.25">
      <c r="A88" s="4" t="s">
        <v>31</v>
      </c>
      <c r="B88" s="2"/>
      <c r="C88" s="154"/>
      <c r="D88" s="2"/>
      <c r="E88" s="2"/>
      <c r="F88" s="188">
        <f>SUM(F19+F39+F49+F59+F69+F79+F86)</f>
        <v>80616780.854709044</v>
      </c>
      <c r="G88" s="2"/>
      <c r="H88" s="2"/>
      <c r="I88" s="2"/>
      <c r="J88" s="188">
        <f>J19+J29+J39+J49+J59+J69+J79</f>
        <v>45625270.406795397</v>
      </c>
      <c r="K88" s="194">
        <f>+F88+J88</f>
        <v>126242051.26150444</v>
      </c>
    </row>
    <row r="89" spans="1:11" ht="15.75" thickBot="1" x14ac:dyDescent="0.3">
      <c r="A89" s="4" t="s">
        <v>18</v>
      </c>
      <c r="B89" s="21">
        <v>0.318</v>
      </c>
      <c r="C89" s="154"/>
      <c r="D89" s="2"/>
      <c r="E89" s="2"/>
      <c r="F89" s="195">
        <f>-F88*B89</f>
        <v>-25636136.311797477</v>
      </c>
      <c r="G89" s="2"/>
      <c r="H89" s="2"/>
      <c r="I89" s="2"/>
      <c r="J89" s="2">
        <v>0</v>
      </c>
      <c r="K89" s="194">
        <f>+F89+J89</f>
        <v>-25636136.311797477</v>
      </c>
    </row>
    <row r="90" spans="1:11" ht="15.75" thickBot="1" x14ac:dyDescent="0.3">
      <c r="A90" s="4" t="s">
        <v>13</v>
      </c>
      <c r="B90" s="198"/>
      <c r="C90" s="199"/>
      <c r="D90" s="4"/>
      <c r="E90" s="4"/>
      <c r="F90" s="200">
        <f>+F88+F89</f>
        <v>54980644.542911567</v>
      </c>
      <c r="G90" s="4"/>
      <c r="H90" s="4"/>
      <c r="I90" s="4"/>
      <c r="J90" s="200">
        <f>+J88+J89</f>
        <v>45625270.406795397</v>
      </c>
      <c r="K90" s="200">
        <f>+K88+K89</f>
        <v>100605914.94970697</v>
      </c>
    </row>
    <row r="91" spans="1:11" ht="15.75" thickTop="1" x14ac:dyDescent="0.25">
      <c r="A91" s="163" t="s">
        <v>83</v>
      </c>
    </row>
    <row r="92" spans="1:11" x14ac:dyDescent="0.25">
      <c r="A92" s="162"/>
    </row>
    <row r="93" spans="1:11" x14ac:dyDescent="0.25">
      <c r="D93" s="259" t="s">
        <v>26</v>
      </c>
      <c r="E93" s="259"/>
    </row>
    <row r="94" spans="1:11" x14ac:dyDescent="0.25">
      <c r="D94" s="2" t="s">
        <v>19</v>
      </c>
      <c r="E94" s="135">
        <f>K20</f>
        <v>78532201</v>
      </c>
    </row>
    <row r="95" spans="1:11" x14ac:dyDescent="0.25">
      <c r="D95" s="2" t="s">
        <v>20</v>
      </c>
      <c r="E95" s="136">
        <f>K30</f>
        <v>32605236</v>
      </c>
    </row>
    <row r="96" spans="1:11" x14ac:dyDescent="0.25">
      <c r="D96" s="2" t="s">
        <v>21</v>
      </c>
      <c r="E96" s="136">
        <f>K60+K70</f>
        <v>3503480.3354162909</v>
      </c>
    </row>
    <row r="97" spans="4:5" x14ac:dyDescent="0.25">
      <c r="D97" s="2" t="s">
        <v>22</v>
      </c>
      <c r="E97" s="136">
        <f>K40</f>
        <v>6101746.4645256773</v>
      </c>
    </row>
    <row r="98" spans="4:5" x14ac:dyDescent="0.25">
      <c r="D98" s="2" t="s">
        <v>23</v>
      </c>
      <c r="E98" s="136">
        <f>K50</f>
        <v>4792474.893505903</v>
      </c>
    </row>
    <row r="99" spans="4:5" x14ac:dyDescent="0.25">
      <c r="D99" s="2" t="s">
        <v>24</v>
      </c>
      <c r="E99" s="136">
        <f>K80</f>
        <v>383278.95184139011</v>
      </c>
    </row>
    <row r="100" spans="4:5" x14ac:dyDescent="0.25">
      <c r="D100" s="2" t="s">
        <v>25</v>
      </c>
      <c r="E100" s="136">
        <f>K86</f>
        <v>323633.31582258368</v>
      </c>
    </row>
    <row r="101" spans="4:5" x14ac:dyDescent="0.25">
      <c r="D101" s="2" t="s">
        <v>86</v>
      </c>
      <c r="E101" s="136">
        <f>+K89</f>
        <v>-25636136.311797477</v>
      </c>
    </row>
    <row r="102" spans="4:5" x14ac:dyDescent="0.25">
      <c r="D102" s="4" t="s">
        <v>13</v>
      </c>
      <c r="E102" s="147">
        <f>SUM(E94:E101)</f>
        <v>100605914.64931434</v>
      </c>
    </row>
    <row r="103" spans="4:5" x14ac:dyDescent="0.25">
      <c r="E103" s="196">
        <f>+E102-K90</f>
        <v>-0.30039262771606445</v>
      </c>
    </row>
  </sheetData>
  <mergeCells count="70">
    <mergeCell ref="B11:B12"/>
    <mergeCell ref="J81:J82"/>
    <mergeCell ref="D93:E93"/>
    <mergeCell ref="I61:I62"/>
    <mergeCell ref="J61:J62"/>
    <mergeCell ref="J71:J72"/>
    <mergeCell ref="H61:H62"/>
    <mergeCell ref="H81:H82"/>
    <mergeCell ref="E71:E72"/>
    <mergeCell ref="F71:F72"/>
    <mergeCell ref="I71:I72"/>
    <mergeCell ref="H71:H72"/>
    <mergeCell ref="I81:I82"/>
    <mergeCell ref="E81:E82"/>
    <mergeCell ref="F81:F82"/>
    <mergeCell ref="J31:J32"/>
    <mergeCell ref="F51:F52"/>
    <mergeCell ref="I51:I52"/>
    <mergeCell ref="J51:J52"/>
    <mergeCell ref="H51:H52"/>
    <mergeCell ref="I20:J20"/>
    <mergeCell ref="F31:F32"/>
    <mergeCell ref="I31:I32"/>
    <mergeCell ref="F21:F22"/>
    <mergeCell ref="I21:I22"/>
    <mergeCell ref="J21:J22"/>
    <mergeCell ref="H21:H22"/>
    <mergeCell ref="F41:F42"/>
    <mergeCell ref="I41:I42"/>
    <mergeCell ref="J41:J42"/>
    <mergeCell ref="H31:H32"/>
    <mergeCell ref="H41:H42"/>
    <mergeCell ref="B21:B22"/>
    <mergeCell ref="B31:B32"/>
    <mergeCell ref="E51:E52"/>
    <mergeCell ref="E21:E22"/>
    <mergeCell ref="E31:E32"/>
    <mergeCell ref="D31:D32"/>
    <mergeCell ref="D21:D22"/>
    <mergeCell ref="B41:B42"/>
    <mergeCell ref="D41:D42"/>
    <mergeCell ref="B51:B52"/>
    <mergeCell ref="D51:D52"/>
    <mergeCell ref="E41:E42"/>
    <mergeCell ref="A1:J1"/>
    <mergeCell ref="E9:F9"/>
    <mergeCell ref="I9:J9"/>
    <mergeCell ref="E10:F10"/>
    <mergeCell ref="I10:J10"/>
    <mergeCell ref="F61:F62"/>
    <mergeCell ref="E61:E62"/>
    <mergeCell ref="B71:B72"/>
    <mergeCell ref="D71:D72"/>
    <mergeCell ref="B81:B82"/>
    <mergeCell ref="D81:D82"/>
    <mergeCell ref="B61:B62"/>
    <mergeCell ref="D61:D62"/>
    <mergeCell ref="K63:K69"/>
    <mergeCell ref="K73:K79"/>
    <mergeCell ref="K83:K84"/>
    <mergeCell ref="K12:K19"/>
    <mergeCell ref="K33:K39"/>
    <mergeCell ref="K43:K49"/>
    <mergeCell ref="K53:K59"/>
    <mergeCell ref="K31:K32"/>
    <mergeCell ref="K41:K42"/>
    <mergeCell ref="K61:K62"/>
    <mergeCell ref="K71:K72"/>
    <mergeCell ref="K81:K82"/>
    <mergeCell ref="K51:K52"/>
  </mergeCells>
  <pageMargins left="0.7" right="0.7" top="0.75" bottom="0.75" header="0.3" footer="0.3"/>
  <pageSetup scale="51"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0119C-7D97-460A-ABC1-2E25A00E0618}">
  <sheetPr>
    <pageSetUpPr fitToPage="1"/>
  </sheetPr>
  <dimension ref="B1:M31"/>
  <sheetViews>
    <sheetView workbookViewId="0"/>
  </sheetViews>
  <sheetFormatPr defaultRowHeight="15" x14ac:dyDescent="0.25"/>
  <cols>
    <col min="2" max="2" width="27.85546875" bestFit="1" customWidth="1"/>
    <col min="3" max="3" width="8.85546875" bestFit="1" customWidth="1"/>
    <col min="4" max="4" width="13.5703125" bestFit="1" customWidth="1"/>
    <col min="7" max="7" width="12.5703125" bestFit="1" customWidth="1"/>
    <col min="9" max="9" width="21.7109375" customWidth="1"/>
    <col min="10" max="10" width="21.5703125" customWidth="1"/>
    <col min="11" max="11" width="15.28515625" bestFit="1" customWidth="1"/>
    <col min="12" max="12" width="12.5703125" bestFit="1" customWidth="1"/>
  </cols>
  <sheetData>
    <row r="1" spans="2:12" x14ac:dyDescent="0.25">
      <c r="I1" s="204" t="s">
        <v>102</v>
      </c>
      <c r="J1" s="204" t="s">
        <v>100</v>
      </c>
      <c r="K1" s="204" t="s">
        <v>101</v>
      </c>
    </row>
    <row r="2" spans="2:12" ht="15.75" thickBot="1" x14ac:dyDescent="0.3">
      <c r="I2" s="214">
        <f>I7</f>
        <v>7.9032351917907001E-2</v>
      </c>
      <c r="J2" s="214">
        <v>0.29575816247823594</v>
      </c>
      <c r="K2" s="214">
        <v>0.62520948560385714</v>
      </c>
      <c r="L2" s="216">
        <f>SUM(I2:K2)</f>
        <v>1</v>
      </c>
    </row>
    <row r="3" spans="2:12" ht="15.75" thickTop="1" x14ac:dyDescent="0.25">
      <c r="I3" s="221"/>
      <c r="J3" s="221"/>
    </row>
    <row r="4" spans="2:12" ht="60" x14ac:dyDescent="0.25">
      <c r="B4" s="208" t="s">
        <v>95</v>
      </c>
      <c r="C4" s="209" t="s">
        <v>94</v>
      </c>
      <c r="D4" s="204" t="s">
        <v>98</v>
      </c>
      <c r="E4" s="204" t="s">
        <v>5</v>
      </c>
      <c r="F4" s="209" t="s">
        <v>96</v>
      </c>
      <c r="G4" s="209" t="s">
        <v>97</v>
      </c>
      <c r="I4" s="208" t="s">
        <v>99</v>
      </c>
      <c r="J4" s="208" t="s">
        <v>100</v>
      </c>
      <c r="K4" s="208" t="s">
        <v>101</v>
      </c>
    </row>
    <row r="5" spans="2:12" x14ac:dyDescent="0.25">
      <c r="B5" t="str">
        <f>IF('2020 Commodity Expense Forecast'!B29=0,"",'2020 Commodity Expense Forecast'!B29)</f>
        <v>Residential</v>
      </c>
      <c r="C5" s="207">
        <v>43121.308184279384</v>
      </c>
      <c r="D5" s="207">
        <v>367560506.45882964</v>
      </c>
      <c r="F5">
        <v>1.0477000000000001</v>
      </c>
      <c r="G5" s="212">
        <f t="shared" ref="G5:G10" si="0">D5*F5</f>
        <v>385093142.61691582</v>
      </c>
      <c r="J5" s="215">
        <v>9.1799634166573503E-3</v>
      </c>
      <c r="K5" s="215">
        <v>0.42316517168656981</v>
      </c>
    </row>
    <row r="6" spans="2:12" x14ac:dyDescent="0.25">
      <c r="B6" t="str">
        <f>IF('2020 Commodity Expense Forecast'!B30=0,"",'2020 Commodity Expense Forecast'!B30)</f>
        <v>General Service &lt; 50 kW</v>
      </c>
      <c r="C6" s="207">
        <v>4193.5040704843168</v>
      </c>
      <c r="D6" s="207">
        <v>136403466.97308469</v>
      </c>
      <c r="F6">
        <v>1.0477000000000001</v>
      </c>
      <c r="G6" s="212">
        <f t="shared" si="0"/>
        <v>142909912.34770083</v>
      </c>
      <c r="J6" s="215">
        <v>2.6994149748565271E-2</v>
      </c>
      <c r="K6" s="215">
        <v>0.12973690970038648</v>
      </c>
    </row>
    <row r="7" spans="2:12" x14ac:dyDescent="0.25">
      <c r="B7" t="str">
        <f>IF('2020 Commodity Expense Forecast'!B31=0,"",'2020 Commodity Expense Forecast'!B31)</f>
        <v>General Service 50 to 2999 kW</v>
      </c>
      <c r="C7" s="207">
        <v>500.18749292316778</v>
      </c>
      <c r="D7" s="207">
        <v>344540677.31890011</v>
      </c>
      <c r="E7" s="207">
        <v>857883.78682067478</v>
      </c>
      <c r="F7">
        <v>1.0477000000000001</v>
      </c>
      <c r="G7" s="212">
        <f t="shared" si="0"/>
        <v>360975267.62701166</v>
      </c>
      <c r="I7" s="214">
        <v>7.9032351917907001E-2</v>
      </c>
      <c r="J7" s="215">
        <v>0.2509123067816913</v>
      </c>
      <c r="K7" s="215">
        <v>7.0619934235669923E-2</v>
      </c>
    </row>
    <row r="8" spans="2:12" x14ac:dyDescent="0.25">
      <c r="B8" t="str">
        <f>IF('2020 Commodity Expense Forecast'!B32=0,"",'2020 Commodity Expense Forecast'!B32)</f>
        <v>Unmetered Scattered Load</v>
      </c>
      <c r="C8" s="207">
        <v>289.38581958804872</v>
      </c>
      <c r="D8" s="207">
        <v>1109724.5590085674</v>
      </c>
      <c r="E8" s="207"/>
      <c r="F8">
        <v>1.0477000000000001</v>
      </c>
      <c r="G8" s="212">
        <f t="shared" si="0"/>
        <v>1162658.4204732762</v>
      </c>
      <c r="J8" s="215">
        <v>1.1611319012596803E-5</v>
      </c>
      <c r="K8" s="215">
        <v>1.2953081225173077E-3</v>
      </c>
    </row>
    <row r="9" spans="2:12" x14ac:dyDescent="0.25">
      <c r="B9" t="str">
        <f>IF('2020 Commodity Expense Forecast'!B33=0,"",'2020 Commodity Expense Forecast'!B33)</f>
        <v>Sentinel Lighting</v>
      </c>
      <c r="C9" s="207">
        <v>359.92063615793285</v>
      </c>
      <c r="D9" s="207">
        <v>366103.68451333424</v>
      </c>
      <c r="E9" s="207">
        <v>1009.7179446613925</v>
      </c>
      <c r="F9">
        <v>1.0477000000000001</v>
      </c>
      <c r="G9" s="212">
        <f t="shared" si="0"/>
        <v>383566.83026462031</v>
      </c>
      <c r="J9" s="215">
        <v>3.7231859468778133E-5</v>
      </c>
      <c r="K9" s="215">
        <v>3.9216185871368049E-4</v>
      </c>
    </row>
    <row r="10" spans="2:12" x14ac:dyDescent="0.25">
      <c r="B10" t="str">
        <f>IF('2020 Commodity Expense Forecast'!B34=0,"",'2020 Commodity Expense Forecast'!B34)</f>
        <v xml:space="preserve">Street Lighting </v>
      </c>
      <c r="C10" s="207">
        <v>9958.055711900608</v>
      </c>
      <c r="D10" s="207">
        <v>7448452.1237150077</v>
      </c>
      <c r="E10" s="207">
        <v>20806.831005660119</v>
      </c>
      <c r="F10">
        <v>1.0477000000000001</v>
      </c>
      <c r="G10" s="212">
        <f t="shared" si="0"/>
        <v>7803743.2900162144</v>
      </c>
      <c r="J10" s="215">
        <v>8.6228993528406645E-3</v>
      </c>
    </row>
    <row r="11" spans="2:12" ht="15.75" thickBot="1" x14ac:dyDescent="0.3">
      <c r="C11" s="210">
        <f>SUM(C5:C10)</f>
        <v>58422.361915333458</v>
      </c>
      <c r="D11" s="210">
        <f>SUM(D5:D10)</f>
        <v>857428931.11805141</v>
      </c>
      <c r="E11" s="210">
        <f>SUM(E5:E10)</f>
        <v>879700.33577099629</v>
      </c>
      <c r="G11" s="213">
        <f>SUM(G5:G10)</f>
        <v>898328291.13238227</v>
      </c>
      <c r="L11" s="217">
        <f>SUM(I5:K10)</f>
        <v>1.0000000000000004</v>
      </c>
    </row>
    <row r="12" spans="2:12" ht="15.75" thickTop="1" x14ac:dyDescent="0.25"/>
    <row r="14" spans="2:12" x14ac:dyDescent="0.25">
      <c r="I14" s="208" t="s">
        <v>99</v>
      </c>
      <c r="J14" s="208" t="s">
        <v>100</v>
      </c>
      <c r="K14" s="208" t="s">
        <v>101</v>
      </c>
    </row>
    <row r="15" spans="2:12" x14ac:dyDescent="0.25">
      <c r="B15" t="str">
        <f>IF('2020 Commodity Expense Forecast'!B29=0,"",'2020 Commodity Expense Forecast'!B29)</f>
        <v>Residential</v>
      </c>
      <c r="H15" s="220" t="s">
        <v>4</v>
      </c>
      <c r="I15" s="207"/>
      <c r="J15" s="207">
        <f t="shared" ref="J15:K20" si="1">$G5*(J5/SUM($I5:$K5))</f>
        <v>8176664.1375179235</v>
      </c>
      <c r="K15" s="207">
        <f t="shared" si="1"/>
        <v>376916478.47939789</v>
      </c>
    </row>
    <row r="16" spans="2:12" x14ac:dyDescent="0.25">
      <c r="B16" t="str">
        <f>IF('2020 Commodity Expense Forecast'!B30=0,"",'2020 Commodity Expense Forecast'!B30)</f>
        <v>General Service &lt; 50 kW</v>
      </c>
      <c r="H16" s="220" t="s">
        <v>4</v>
      </c>
      <c r="I16" s="207"/>
      <c r="J16" s="207">
        <f t="shared" si="1"/>
        <v>24613701.891836312</v>
      </c>
      <c r="K16" s="207">
        <f t="shared" si="1"/>
        <v>118296210.45586453</v>
      </c>
    </row>
    <row r="17" spans="2:13" x14ac:dyDescent="0.25">
      <c r="B17" t="str">
        <f>IF('2020 Commodity Expense Forecast'!B31=0,"",'2020 Commodity Expense Forecast'!B31)</f>
        <v>General Service 50 to 2999 kW</v>
      </c>
      <c r="H17" s="220" t="s">
        <v>4</v>
      </c>
      <c r="I17" s="207">
        <f>$G7*(I7/SUM($I7:$K7))</f>
        <v>71221283.378306299</v>
      </c>
      <c r="J17" s="207">
        <f t="shared" si="1"/>
        <v>226113687.25260398</v>
      </c>
      <c r="K17" s="207">
        <f t="shared" si="1"/>
        <v>63640296.996101357</v>
      </c>
    </row>
    <row r="18" spans="2:13" x14ac:dyDescent="0.25">
      <c r="B18" t="str">
        <f>IF('2020 Commodity Expense Forecast'!B32=0,"",'2020 Commodity Expense Forecast'!B32)</f>
        <v>Unmetered Scattered Load</v>
      </c>
      <c r="H18" s="220" t="s">
        <v>4</v>
      </c>
      <c r="I18" s="207"/>
      <c r="J18" s="207">
        <f t="shared" si="1"/>
        <v>10329.632717831306</v>
      </c>
      <c r="K18" s="207">
        <f t="shared" si="1"/>
        <v>1152328.7877554449</v>
      </c>
    </row>
    <row r="19" spans="2:13" x14ac:dyDescent="0.25">
      <c r="B19" t="str">
        <f>IF('2020 Commodity Expense Forecast'!B33=0,"",'2020 Commodity Expense Forecast'!B33)</f>
        <v>Sentinel Lighting</v>
      </c>
      <c r="H19" s="220" t="s">
        <v>4</v>
      </c>
      <c r="I19" s="207"/>
      <c r="J19" s="207">
        <f t="shared" si="1"/>
        <v>33258.302850226501</v>
      </c>
      <c r="K19" s="207">
        <f t="shared" si="1"/>
        <v>350308.52741439379</v>
      </c>
    </row>
    <row r="20" spans="2:13" x14ac:dyDescent="0.25">
      <c r="B20" t="str">
        <f>IF('2020 Commodity Expense Forecast'!B34=0,"",'2020 Commodity Expense Forecast'!B34)</f>
        <v xml:space="preserve">Street Lighting </v>
      </c>
      <c r="H20" s="220" t="s">
        <v>4</v>
      </c>
      <c r="I20" s="207"/>
      <c r="J20" s="207">
        <f t="shared" si="1"/>
        <v>7803743.2900162144</v>
      </c>
      <c r="K20" s="207">
        <f t="shared" si="1"/>
        <v>0</v>
      </c>
    </row>
    <row r="21" spans="2:13" ht="15.75" thickBot="1" x14ac:dyDescent="0.3">
      <c r="L21" s="218">
        <f>SUM(I15:K20)</f>
        <v>898328291.13238251</v>
      </c>
      <c r="M21" t="s">
        <v>103</v>
      </c>
    </row>
    <row r="22" spans="2:13" ht="15.75" thickTop="1" x14ac:dyDescent="0.25">
      <c r="L22" s="212">
        <f>L21-G11</f>
        <v>0</v>
      </c>
    </row>
    <row r="24" spans="2:13" x14ac:dyDescent="0.25">
      <c r="B24" t="str">
        <f>IF('2020 Commodity Expense Forecast'!B29=0,"",'2020 Commodity Expense Forecast'!B29)</f>
        <v>Residential</v>
      </c>
      <c r="H24" s="219" t="s">
        <v>5</v>
      </c>
    </row>
    <row r="25" spans="2:13" x14ac:dyDescent="0.25">
      <c r="B25" t="str">
        <f>IF('2020 Commodity Expense Forecast'!B30=0,"",'2020 Commodity Expense Forecast'!B30)</f>
        <v>General Service &lt; 50 kW</v>
      </c>
      <c r="H25" s="219" t="s">
        <v>5</v>
      </c>
      <c r="I25" s="212"/>
      <c r="J25" s="212"/>
      <c r="K25" s="212"/>
    </row>
    <row r="26" spans="2:13" x14ac:dyDescent="0.25">
      <c r="B26" t="str">
        <f>IF('2020 Commodity Expense Forecast'!B31=0,"",'2020 Commodity Expense Forecast'!B31)</f>
        <v>General Service 50 to 2999 kW</v>
      </c>
      <c r="H26" s="219" t="s">
        <v>5</v>
      </c>
      <c r="I26" s="212">
        <f>$E$7*(I7/SUM($I$7:$K$7))</f>
        <v>169262.52230095369</v>
      </c>
      <c r="J26" s="212">
        <f>$E$7*(J7/SUM($I$7:$K$7))</f>
        <v>537375.50372200133</v>
      </c>
      <c r="K26" s="212">
        <f>$E$7*(K7/SUM($I$7:$K$7))</f>
        <v>151245.76079771967</v>
      </c>
    </row>
    <row r="27" spans="2:13" x14ac:dyDescent="0.25">
      <c r="B27" t="str">
        <f>IF('2020 Commodity Expense Forecast'!B32=0,"",'2020 Commodity Expense Forecast'!B32)</f>
        <v>Unmetered Scattered Load</v>
      </c>
      <c r="H27" s="219" t="s">
        <v>5</v>
      </c>
    </row>
    <row r="28" spans="2:13" x14ac:dyDescent="0.25">
      <c r="B28" t="str">
        <f>IF('2020 Commodity Expense Forecast'!B33=0,"",'2020 Commodity Expense Forecast'!B33)</f>
        <v>Sentinel Lighting</v>
      </c>
      <c r="H28" s="219" t="s">
        <v>5</v>
      </c>
      <c r="J28" s="212">
        <f>$E$9*(J9/SUM($I$9:$K$9))</f>
        <v>87.550597567806292</v>
      </c>
      <c r="K28" s="212">
        <f>$E$9*(K9/SUM($I$9:$K$9))</f>
        <v>922.16734709358627</v>
      </c>
    </row>
    <row r="29" spans="2:13" x14ac:dyDescent="0.25">
      <c r="B29" t="str">
        <f>IF('2020 Commodity Expense Forecast'!B34=0,"",'2020 Commodity Expense Forecast'!B34)</f>
        <v xml:space="preserve">Street Lighting </v>
      </c>
      <c r="H29" s="219" t="s">
        <v>5</v>
      </c>
      <c r="J29" s="212">
        <f>$E$10*(J10/SUM($I$10:$K$10))</f>
        <v>20806.831005660119</v>
      </c>
    </row>
    <row r="30" spans="2:13" ht="15.75" thickBot="1" x14ac:dyDescent="0.3">
      <c r="L30" s="218">
        <f>SUM(I26:K29)</f>
        <v>879700.33577099629</v>
      </c>
    </row>
    <row r="31" spans="2:13" ht="15.75" thickTop="1" x14ac:dyDescent="0.25">
      <c r="L31" s="212">
        <f>L30-E11</f>
        <v>0</v>
      </c>
      <c r="M31" t="s">
        <v>103</v>
      </c>
    </row>
  </sheetData>
  <pageMargins left="0.7" right="0.7" top="0.75" bottom="0.7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2020 Commodity Expense Forecast</vt:lpstr>
      <vt:lpstr>Cost of Power</vt:lpstr>
      <vt:lpstr>Load Forecast Data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 Armstrong</dc:creator>
  <cp:lastModifiedBy>Chisholm, David</cp:lastModifiedBy>
  <cp:lastPrinted>2020-02-29T18:32:11Z</cp:lastPrinted>
  <dcterms:created xsi:type="dcterms:W3CDTF">2019-10-23T18:30:11Z</dcterms:created>
  <dcterms:modified xsi:type="dcterms:W3CDTF">2020-03-09T17:16:10Z</dcterms:modified>
</cp:coreProperties>
</file>