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 Rate Application\2 - Interrogatories Round 1\0-Files for Submission\"/>
    </mc:Choice>
  </mc:AlternateContent>
  <xr:revisionPtr revIDLastSave="0" documentId="13_ncr:1_{4DBFD77F-DED0-49B0-B39C-A26999E8252A}" xr6:coauthVersionLast="36" xr6:coauthVersionMax="36" xr10:uidLastSave="{00000000-0000-0000-0000-000000000000}"/>
  <bookViews>
    <workbookView xWindow="0" yWindow="0" windowWidth="28800" windowHeight="10785" xr2:uid="{21B4B96D-D628-4A75-9754-CAFC77245B63}"/>
  </bookViews>
  <sheets>
    <sheet name="SG Rev Req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6" i="1" l="1"/>
  <c r="K125" i="1"/>
  <c r="K124" i="1"/>
  <c r="D138" i="1"/>
  <c r="C138" i="1"/>
  <c r="B138" i="1"/>
  <c r="B131" i="1"/>
  <c r="B117" i="1"/>
  <c r="B118" i="1"/>
  <c r="B119" i="1"/>
  <c r="B122" i="1"/>
  <c r="B123" i="1"/>
  <c r="C114" i="1"/>
  <c r="C117" i="1"/>
  <c r="C118" i="1"/>
  <c r="C119" i="1"/>
  <c r="C122" i="1"/>
  <c r="C123" i="1"/>
  <c r="D114" i="1"/>
  <c r="D117" i="1"/>
  <c r="D118" i="1"/>
  <c r="D119" i="1"/>
  <c r="D122" i="1"/>
  <c r="D123" i="1"/>
  <c r="E114" i="1"/>
  <c r="E117" i="1"/>
  <c r="E118" i="1"/>
  <c r="E119" i="1"/>
  <c r="E122" i="1"/>
  <c r="E123" i="1"/>
  <c r="F114" i="1"/>
  <c r="F117" i="1"/>
  <c r="F118" i="1"/>
  <c r="F119" i="1"/>
  <c r="F122" i="1"/>
  <c r="F123" i="1"/>
  <c r="G114" i="1"/>
  <c r="G117" i="1"/>
  <c r="G118" i="1"/>
  <c r="G119" i="1"/>
  <c r="G122" i="1"/>
  <c r="G123" i="1"/>
  <c r="H114" i="1"/>
  <c r="H117" i="1"/>
  <c r="H118" i="1"/>
  <c r="H119" i="1"/>
  <c r="H122" i="1"/>
  <c r="H123" i="1"/>
  <c r="I114" i="1"/>
  <c r="I117" i="1"/>
  <c r="I118" i="1"/>
  <c r="I119" i="1"/>
  <c r="I122" i="1"/>
  <c r="I123" i="1"/>
  <c r="J114" i="1"/>
  <c r="J117" i="1"/>
  <c r="J118" i="1"/>
  <c r="J119" i="1"/>
  <c r="J122" i="1"/>
  <c r="J123" i="1"/>
  <c r="K115" i="1"/>
  <c r="D104" i="1"/>
  <c r="D105" i="1"/>
  <c r="D106" i="1"/>
  <c r="D109" i="1"/>
  <c r="D110" i="1"/>
  <c r="E101" i="1"/>
  <c r="E104" i="1"/>
  <c r="E105" i="1"/>
  <c r="E106" i="1"/>
  <c r="E109" i="1"/>
  <c r="E110" i="1"/>
  <c r="F101" i="1"/>
  <c r="F104" i="1"/>
  <c r="F105" i="1"/>
  <c r="F106" i="1"/>
  <c r="F109" i="1"/>
  <c r="F110" i="1"/>
  <c r="G101" i="1"/>
  <c r="G104" i="1"/>
  <c r="G105" i="1"/>
  <c r="G106" i="1"/>
  <c r="G109" i="1"/>
  <c r="G110" i="1"/>
  <c r="H101" i="1"/>
  <c r="H104" i="1"/>
  <c r="H105" i="1"/>
  <c r="H106" i="1"/>
  <c r="H109" i="1"/>
  <c r="H110" i="1"/>
  <c r="I101" i="1"/>
  <c r="I104" i="1"/>
  <c r="I105" i="1"/>
  <c r="I106" i="1"/>
  <c r="I109" i="1"/>
  <c r="I110" i="1"/>
  <c r="J101" i="1"/>
  <c r="J104" i="1"/>
  <c r="J105" i="1"/>
  <c r="J106" i="1"/>
  <c r="J109" i="1"/>
  <c r="J110" i="1"/>
  <c r="C104" i="1"/>
  <c r="C105" i="1"/>
  <c r="C106" i="1"/>
  <c r="C109" i="1"/>
  <c r="C110" i="1"/>
  <c r="B104" i="1"/>
  <c r="B105" i="1"/>
  <c r="B106" i="1"/>
  <c r="B109" i="1"/>
  <c r="B110" i="1"/>
  <c r="K102" i="1"/>
  <c r="I6" i="1"/>
  <c r="I8" i="1"/>
  <c r="I10" i="1"/>
  <c r="I14" i="1"/>
  <c r="J13" i="1"/>
  <c r="J6" i="1"/>
  <c r="J8" i="1"/>
  <c r="J10" i="1"/>
  <c r="J14" i="1"/>
  <c r="J15" i="1"/>
  <c r="J20" i="1"/>
  <c r="J22" i="1"/>
  <c r="J24" i="1"/>
  <c r="J28" i="1"/>
  <c r="J35" i="1"/>
  <c r="J29" i="1"/>
  <c r="J36" i="1"/>
  <c r="J30" i="1"/>
  <c r="J37" i="1"/>
  <c r="J39" i="1"/>
  <c r="J41" i="1"/>
  <c r="J47" i="1"/>
  <c r="J49" i="1"/>
  <c r="J52" i="1"/>
  <c r="J53" i="1"/>
  <c r="J54" i="1"/>
  <c r="J55" i="1"/>
  <c r="J72" i="1"/>
  <c r="J73" i="1"/>
  <c r="J74" i="1"/>
  <c r="J75" i="1"/>
  <c r="J76" i="1"/>
  <c r="J80" i="1"/>
  <c r="J84" i="1"/>
  <c r="H10" i="1"/>
  <c r="H14" i="1"/>
  <c r="I13" i="1"/>
  <c r="I15" i="1"/>
  <c r="I20" i="1"/>
  <c r="I22" i="1"/>
  <c r="I24" i="1"/>
  <c r="I28" i="1"/>
  <c r="I35" i="1"/>
  <c r="I29" i="1"/>
  <c r="I36" i="1"/>
  <c r="I30" i="1"/>
  <c r="I37" i="1"/>
  <c r="I39" i="1"/>
  <c r="I41" i="1"/>
  <c r="I47" i="1"/>
  <c r="I49" i="1"/>
  <c r="I52" i="1"/>
  <c r="I53" i="1"/>
  <c r="I54" i="1"/>
  <c r="I55" i="1"/>
  <c r="I72" i="1"/>
  <c r="I73" i="1"/>
  <c r="I74" i="1"/>
  <c r="I75" i="1"/>
  <c r="I76" i="1"/>
  <c r="I80" i="1"/>
  <c r="I84" i="1"/>
  <c r="G10" i="1"/>
  <c r="G14" i="1"/>
  <c r="H13" i="1"/>
  <c r="H15" i="1"/>
  <c r="H20" i="1"/>
  <c r="H22" i="1"/>
  <c r="H24" i="1"/>
  <c r="H28" i="1"/>
  <c r="H35" i="1"/>
  <c r="H29" i="1"/>
  <c r="H36" i="1"/>
  <c r="H30" i="1"/>
  <c r="H37" i="1"/>
  <c r="H39" i="1"/>
  <c r="H41" i="1"/>
  <c r="H47" i="1"/>
  <c r="H49" i="1"/>
  <c r="H52" i="1"/>
  <c r="H53" i="1"/>
  <c r="H54" i="1"/>
  <c r="H55" i="1"/>
  <c r="H72" i="1"/>
  <c r="H73" i="1"/>
  <c r="H74" i="1"/>
  <c r="H75" i="1"/>
  <c r="H76" i="1"/>
  <c r="H80" i="1"/>
  <c r="H84" i="1"/>
  <c r="F10" i="1"/>
  <c r="F14" i="1"/>
  <c r="G13" i="1"/>
  <c r="G15" i="1"/>
  <c r="G20" i="1"/>
  <c r="G22" i="1"/>
  <c r="G24" i="1"/>
  <c r="G28" i="1"/>
  <c r="G35" i="1"/>
  <c r="G29" i="1"/>
  <c r="G36" i="1"/>
  <c r="G30" i="1"/>
  <c r="G37" i="1"/>
  <c r="G39" i="1"/>
  <c r="G41" i="1"/>
  <c r="G47" i="1"/>
  <c r="G49" i="1"/>
  <c r="G52" i="1"/>
  <c r="G53" i="1"/>
  <c r="G54" i="1"/>
  <c r="G55" i="1"/>
  <c r="G72" i="1"/>
  <c r="G73" i="1"/>
  <c r="G74" i="1"/>
  <c r="G75" i="1"/>
  <c r="G76" i="1"/>
  <c r="G80" i="1"/>
  <c r="G84" i="1"/>
  <c r="E10" i="1"/>
  <c r="E14" i="1"/>
  <c r="F13" i="1"/>
  <c r="F15" i="1"/>
  <c r="F20" i="1"/>
  <c r="F22" i="1"/>
  <c r="F24" i="1"/>
  <c r="F28" i="1"/>
  <c r="F35" i="1"/>
  <c r="F29" i="1"/>
  <c r="F36" i="1"/>
  <c r="F30" i="1"/>
  <c r="F37" i="1"/>
  <c r="F39" i="1"/>
  <c r="F41" i="1"/>
  <c r="F47" i="1"/>
  <c r="F49" i="1"/>
  <c r="F52" i="1"/>
  <c r="F53" i="1"/>
  <c r="F54" i="1"/>
  <c r="F55" i="1"/>
  <c r="F72" i="1"/>
  <c r="F73" i="1"/>
  <c r="F74" i="1"/>
  <c r="F75" i="1"/>
  <c r="F76" i="1"/>
  <c r="F80" i="1"/>
  <c r="F84" i="1"/>
  <c r="D10" i="1"/>
  <c r="D14" i="1"/>
  <c r="E13" i="1"/>
  <c r="E15" i="1"/>
  <c r="E20" i="1"/>
  <c r="E22" i="1"/>
  <c r="E24" i="1"/>
  <c r="E28" i="1"/>
  <c r="E35" i="1"/>
  <c r="E29" i="1"/>
  <c r="E36" i="1"/>
  <c r="E30" i="1"/>
  <c r="E37" i="1"/>
  <c r="E39" i="1"/>
  <c r="E41" i="1"/>
  <c r="E47" i="1"/>
  <c r="E49" i="1"/>
  <c r="E52" i="1"/>
  <c r="E53" i="1"/>
  <c r="E54" i="1"/>
  <c r="E55" i="1"/>
  <c r="E72" i="1"/>
  <c r="E73" i="1"/>
  <c r="E74" i="1"/>
  <c r="E75" i="1"/>
  <c r="E76" i="1"/>
  <c r="E80" i="1"/>
  <c r="E84" i="1"/>
  <c r="C10" i="1"/>
  <c r="C14" i="1"/>
  <c r="D13" i="1"/>
  <c r="D15" i="1"/>
  <c r="D20" i="1"/>
  <c r="D22" i="1"/>
  <c r="D24" i="1"/>
  <c r="D28" i="1"/>
  <c r="D35" i="1"/>
  <c r="D29" i="1"/>
  <c r="D36" i="1"/>
  <c r="D30" i="1"/>
  <c r="D37" i="1"/>
  <c r="D39" i="1"/>
  <c r="D41" i="1"/>
  <c r="D47" i="1"/>
  <c r="D49" i="1"/>
  <c r="D52" i="1"/>
  <c r="D53" i="1"/>
  <c r="D54" i="1"/>
  <c r="D55" i="1"/>
  <c r="D72" i="1"/>
  <c r="D73" i="1"/>
  <c r="D74" i="1"/>
  <c r="D75" i="1"/>
  <c r="D76" i="1"/>
  <c r="D80" i="1"/>
  <c r="D84" i="1"/>
  <c r="B10" i="1"/>
  <c r="B14" i="1"/>
  <c r="C13" i="1"/>
  <c r="C15" i="1"/>
  <c r="C20" i="1"/>
  <c r="C22" i="1"/>
  <c r="C24" i="1"/>
  <c r="C28" i="1"/>
  <c r="C35" i="1"/>
  <c r="C29" i="1"/>
  <c r="C36" i="1"/>
  <c r="C30" i="1"/>
  <c r="C37" i="1"/>
  <c r="C39" i="1"/>
  <c r="C41" i="1"/>
  <c r="C47" i="1"/>
  <c r="C49" i="1"/>
  <c r="C52" i="1"/>
  <c r="C53" i="1"/>
  <c r="C54" i="1"/>
  <c r="C55" i="1"/>
  <c r="C72" i="1"/>
  <c r="C73" i="1"/>
  <c r="C74" i="1"/>
  <c r="C75" i="1"/>
  <c r="C76" i="1"/>
  <c r="C80" i="1"/>
  <c r="C84" i="1"/>
  <c r="B15" i="1"/>
  <c r="B20" i="1"/>
  <c r="B22" i="1"/>
  <c r="B24" i="1"/>
  <c r="B28" i="1"/>
  <c r="B35" i="1"/>
  <c r="B29" i="1"/>
  <c r="B36" i="1"/>
  <c r="B30" i="1"/>
  <c r="B37" i="1"/>
  <c r="B39" i="1"/>
  <c r="B41" i="1"/>
  <c r="B47" i="1"/>
  <c r="B49" i="1"/>
  <c r="B52" i="1"/>
  <c r="B53" i="1"/>
  <c r="B54" i="1"/>
  <c r="B55" i="1"/>
  <c r="B72" i="1"/>
  <c r="B73" i="1"/>
  <c r="B74" i="1"/>
  <c r="B75" i="1"/>
  <c r="B76" i="1"/>
  <c r="B80" i="1"/>
  <c r="B84" i="1"/>
  <c r="B57" i="1"/>
  <c r="B59" i="1"/>
  <c r="C57" i="1"/>
  <c r="C59" i="1"/>
  <c r="D57" i="1"/>
  <c r="D59" i="1"/>
  <c r="E57" i="1"/>
  <c r="E59" i="1"/>
  <c r="F57" i="1"/>
  <c r="F59" i="1"/>
  <c r="G57" i="1"/>
  <c r="G59" i="1"/>
  <c r="H57" i="1"/>
  <c r="H59" i="1"/>
  <c r="I57" i="1"/>
  <c r="I59" i="1"/>
  <c r="J57" i="1"/>
  <c r="J59" i="1"/>
  <c r="K59" i="1"/>
  <c r="K41" i="1"/>
  <c r="B63" i="1"/>
  <c r="C63" i="1"/>
  <c r="D63" i="1"/>
  <c r="E63" i="1"/>
  <c r="F63" i="1"/>
  <c r="G63" i="1"/>
  <c r="H63" i="1"/>
  <c r="I63" i="1"/>
  <c r="J63" i="1"/>
  <c r="K63" i="1"/>
  <c r="B64" i="1"/>
  <c r="C64" i="1"/>
  <c r="D64" i="1"/>
  <c r="E64" i="1"/>
  <c r="F64" i="1"/>
  <c r="G64" i="1"/>
  <c r="H64" i="1"/>
  <c r="I64" i="1"/>
  <c r="J64" i="1"/>
  <c r="K64" i="1"/>
  <c r="K65" i="1"/>
  <c r="B61" i="1"/>
  <c r="C61" i="1"/>
  <c r="D61" i="1"/>
  <c r="E61" i="1"/>
  <c r="F61" i="1"/>
  <c r="G61" i="1"/>
  <c r="H61" i="1"/>
  <c r="I61" i="1"/>
  <c r="J61" i="1"/>
  <c r="K61" i="1"/>
  <c r="K57" i="1"/>
  <c r="K47" i="1"/>
  <c r="K39" i="1"/>
  <c r="J32" i="1"/>
  <c r="I32" i="1"/>
  <c r="H32" i="1"/>
  <c r="G32" i="1"/>
  <c r="F32" i="1"/>
  <c r="E32" i="1"/>
  <c r="D32" i="1"/>
  <c r="C32" i="1"/>
  <c r="B32" i="1"/>
  <c r="K18" i="1"/>
  <c r="K19" i="1"/>
  <c r="K20" i="1"/>
</calcChain>
</file>

<file path=xl/sharedStrings.xml><?xml version="1.0" encoding="utf-8"?>
<sst xmlns="http://schemas.openxmlformats.org/spreadsheetml/2006/main" count="103" uniqueCount="85">
  <si>
    <t>Revenue Requirement Calculation</t>
  </si>
  <si>
    <t>Total</t>
  </si>
  <si>
    <t>Other Smart Grid Assets</t>
  </si>
  <si>
    <t>Other Smart Grid Assets Acc Amort</t>
  </si>
  <si>
    <t>SN Contributions Acc Amort</t>
  </si>
  <si>
    <t>Total Net Fixed Assets</t>
  </si>
  <si>
    <t>Net Book Value</t>
  </si>
  <si>
    <t>Opening Balance</t>
  </si>
  <si>
    <t>Closing Balance</t>
  </si>
  <si>
    <t>Average Net Book Value</t>
  </si>
  <si>
    <t>Working Capital</t>
  </si>
  <si>
    <t>Other Smart Grid - OM&amp;A</t>
  </si>
  <si>
    <t>Operating Expenses</t>
  </si>
  <si>
    <t>Working Capital Factor</t>
  </si>
  <si>
    <t>Working Capital Allowance</t>
  </si>
  <si>
    <t>Incremental Smart Grid Rate Base</t>
  </si>
  <si>
    <t>Return on Rate Base</t>
  </si>
  <si>
    <t>Capital Structure</t>
  </si>
  <si>
    <t>Deemed Short Term Debt</t>
  </si>
  <si>
    <t>Deemed Long Term Debt</t>
  </si>
  <si>
    <t>Equity</t>
  </si>
  <si>
    <t>Preferred Shares</t>
  </si>
  <si>
    <t>Total Capitalization</t>
  </si>
  <si>
    <t>Return on</t>
  </si>
  <si>
    <t>Total Return on Capital</t>
  </si>
  <si>
    <t>Amortization Expenses</t>
  </si>
  <si>
    <t>Smart Grid Assets</t>
  </si>
  <si>
    <t>Incremental Revenue Requirement before Taxes/PILS</t>
  </si>
  <si>
    <t>Calculation of Taxable Income</t>
  </si>
  <si>
    <t>Incremental Operating Expenses</t>
  </si>
  <si>
    <t>Amortization Expense</t>
  </si>
  <si>
    <t>Interest Expense</t>
  </si>
  <si>
    <t>Net Income for Taxes/PILs</t>
  </si>
  <si>
    <t>Revenue Requirement, including Grossed-up Taxes/PILs</t>
  </si>
  <si>
    <t>(2020 @ 4/12 for May 1 rates)</t>
  </si>
  <si>
    <t>Net Movement - Amortization</t>
  </si>
  <si>
    <t>Net Movement - Revenue</t>
  </si>
  <si>
    <t>PILs Calculation</t>
  </si>
  <si>
    <t>Income Tax</t>
  </si>
  <si>
    <t>Net Income</t>
  </si>
  <si>
    <t xml:space="preserve">Amortization </t>
  </si>
  <si>
    <t>Change in taxable income</t>
  </si>
  <si>
    <t>Income Taxes Payable</t>
  </si>
  <si>
    <t>Gross Up PILS</t>
  </si>
  <si>
    <t>Tax Rate</t>
  </si>
  <si>
    <t>PILs</t>
  </si>
  <si>
    <t>Supporting Information</t>
  </si>
  <si>
    <t>For PILs Calculation</t>
  </si>
  <si>
    <t>UCC - Distribution Equipment and Structures (Class 47) 8%</t>
  </si>
  <si>
    <t>Opening UCC</t>
  </si>
  <si>
    <t>Capital Additions</t>
  </si>
  <si>
    <t>Retirements/Removals (if applicable)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</si>
  <si>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</si>
  <si>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</si>
  <si>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</si>
  <si>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</si>
  <si>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</si>
  <si>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</si>
  <si>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</si>
  <si>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UCC - SCADA (Class 50) 55%</t>
  </si>
  <si>
    <t>2012-2020</t>
  </si>
  <si>
    <t>Deemed Short-term Debt Capitalization</t>
  </si>
  <si>
    <t>Deemed Long-term Debt Capitalization</t>
  </si>
  <si>
    <t>Deemed Equity Capitalization</t>
  </si>
  <si>
    <t>Cost of Capital Parameters</t>
  </si>
  <si>
    <t>2013-2019</t>
  </si>
  <si>
    <t>Deemed Short-term Debt Rate</t>
  </si>
  <si>
    <t>Long-term Debt Rate (actual/embedded/deemed)</t>
  </si>
  <si>
    <t>Target Return on Equity (ROE)</t>
  </si>
  <si>
    <t>Return on Preferred Shares</t>
  </si>
  <si>
    <t>WACC</t>
  </si>
  <si>
    <t>Demonstration Project</t>
  </si>
  <si>
    <t>Demonstration Project Acc Amort</t>
  </si>
  <si>
    <t>Demonstration Project Contributions</t>
  </si>
  <si>
    <t>Demonstration Project - OM&amp;A</t>
  </si>
  <si>
    <t>Demonstration Project Assets</t>
  </si>
  <si>
    <t>Check</t>
  </si>
  <si>
    <t>Additions per above</t>
  </si>
  <si>
    <t>Operating Expenses (Account 1535)</t>
  </si>
  <si>
    <t>Account 1534 Entry</t>
  </si>
  <si>
    <t>Grossed-up Taxes/PILs (calculation included below)</t>
  </si>
  <si>
    <t>CCA - Distribution Assets (calculation included below)</t>
  </si>
  <si>
    <t>CCA - SCADA Assets (calculation included below)</t>
  </si>
  <si>
    <t>Capital Structure (inputs detailed below)</t>
  </si>
  <si>
    <t>Smart Grid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</si>
</sst>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1" applyFont="1" applyAlignment="1">
      <alignment horizontal="center"/>
    </xf>
    <xf numFmtId="164" fontId="0" fillId="0" borderId="1" xfId="1" applyFont="1" applyBorder="1" applyAlignment="1">
      <alignment horizontal="center"/>
    </xf>
    <xf numFmtId="164" fontId="2" fillId="0" borderId="0" xfId="1" applyFont="1"/>
    <xf numFmtId="0" fontId="0" fillId="0" borderId="0" xfId="0" applyFont="1"/>
    <xf numFmtId="164" fontId="1" fillId="0" borderId="0" xfId="1" applyFont="1"/>
    <xf numFmtId="164" fontId="2" fillId="0" borderId="2" xfId="1" applyFont="1" applyBorder="1"/>
    <xf numFmtId="43" fontId="0" fillId="0" borderId="0" xfId="0" applyNumberFormat="1"/>
    <xf numFmtId="164" fontId="0" fillId="0" borderId="0" xfId="1" applyFont="1"/>
    <xf numFmtId="164" fontId="0" fillId="0" borderId="1" xfId="1" applyFont="1" applyBorder="1"/>
    <xf numFmtId="9" fontId="0" fillId="0" borderId="0" xfId="0" applyNumberFormat="1"/>
    <xf numFmtId="43" fontId="2" fillId="0" borderId="0" xfId="0" applyNumberFormat="1" applyFont="1"/>
    <xf numFmtId="0" fontId="3" fillId="0" borderId="0" xfId="0" applyFont="1" applyBorder="1" applyProtection="1"/>
    <xf numFmtId="0" fontId="0" fillId="0" borderId="0" xfId="0" applyBorder="1" applyProtection="1"/>
    <xf numFmtId="164" fontId="2" fillId="0" borderId="0" xfId="0" applyNumberFormat="1" applyFont="1"/>
    <xf numFmtId="10" fontId="0" fillId="0" borderId="0" xfId="0" applyNumberFormat="1"/>
    <xf numFmtId="43" fontId="0" fillId="0" borderId="0" xfId="0" applyNumberFormat="1" applyFill="1"/>
    <xf numFmtId="0" fontId="0" fillId="0" borderId="1" xfId="0" applyBorder="1"/>
    <xf numFmtId="0" fontId="0" fillId="0" borderId="1" xfId="0" applyFill="1" applyBorder="1"/>
    <xf numFmtId="0" fontId="4" fillId="0" borderId="0" xfId="0" applyFont="1" applyBorder="1" applyProtection="1"/>
    <xf numFmtId="0" fontId="0" fillId="0" borderId="0" xfId="0" applyFill="1"/>
    <xf numFmtId="43" fontId="0" fillId="0" borderId="1" xfId="0" applyNumberFormat="1" applyBorder="1"/>
    <xf numFmtId="43" fontId="0" fillId="0" borderId="1" xfId="0" applyNumberFormat="1" applyFill="1" applyBorder="1"/>
    <xf numFmtId="43" fontId="2" fillId="0" borderId="0" xfId="0" applyNumberFormat="1" applyFont="1" applyFill="1"/>
    <xf numFmtId="0" fontId="4" fillId="0" borderId="0" xfId="0" applyFont="1" applyProtection="1"/>
    <xf numFmtId="164" fontId="0" fillId="0" borderId="0" xfId="1" applyFont="1" applyFill="1"/>
    <xf numFmtId="0" fontId="0" fillId="0" borderId="0" xfId="0" applyProtection="1"/>
    <xf numFmtId="0" fontId="5" fillId="0" borderId="0" xfId="0" applyFont="1" applyProtection="1"/>
    <xf numFmtId="164" fontId="0" fillId="0" borderId="0" xfId="0" applyNumberFormat="1"/>
    <xf numFmtId="43" fontId="0" fillId="0" borderId="3" xfId="0" applyNumberFormat="1" applyBorder="1"/>
    <xf numFmtId="10" fontId="0" fillId="0" borderId="0" xfId="2" applyNumberFormat="1" applyFont="1"/>
    <xf numFmtId="164" fontId="0" fillId="0" borderId="3" xfId="1" applyFont="1" applyBorder="1"/>
    <xf numFmtId="164" fontId="0" fillId="0" borderId="4" xfId="1" applyFont="1" applyBorder="1"/>
    <xf numFmtId="165" fontId="0" fillId="0" borderId="0" xfId="1" applyNumberFormat="1" applyFont="1"/>
    <xf numFmtId="9" fontId="0" fillId="0" borderId="0" xfId="2" applyFont="1"/>
    <xf numFmtId="0" fontId="6" fillId="0" borderId="0" xfId="0" applyFont="1" applyProtection="1"/>
    <xf numFmtId="10" fontId="6" fillId="0" borderId="0" xfId="0" applyNumberFormat="1" applyFont="1" applyProtection="1"/>
    <xf numFmtId="0" fontId="0" fillId="0" borderId="0" xfId="0" applyAlignment="1">
      <alignment horizontal="right"/>
    </xf>
    <xf numFmtId="0" fontId="7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5D88-457E-4404-98E9-6C6AECCC2937}">
  <dimension ref="A1:Q13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5" x14ac:dyDescent="0.25"/>
  <cols>
    <col min="1" max="1" width="52.7109375" customWidth="1"/>
    <col min="2" max="3" width="10.5703125" bestFit="1" customWidth="1"/>
    <col min="4" max="6" width="10.7109375" bestFit="1" customWidth="1"/>
    <col min="7" max="7" width="13.28515625" bestFit="1" customWidth="1"/>
    <col min="8" max="9" width="12.28515625" bestFit="1" customWidth="1"/>
    <col min="10" max="10" width="12.28515625" customWidth="1"/>
    <col min="11" max="11" width="11.5703125" bestFit="1" customWidth="1"/>
    <col min="12" max="12" width="10.5703125" bestFit="1" customWidth="1"/>
    <col min="13" max="13" width="13.28515625" bestFit="1" customWidth="1"/>
    <col min="15" max="15" width="5.5703125" customWidth="1"/>
    <col min="16" max="16" width="43" bestFit="1" customWidth="1"/>
    <col min="17" max="17" width="9.7109375" bestFit="1" customWidth="1"/>
    <col min="18" max="18" width="10.140625" bestFit="1" customWidth="1"/>
  </cols>
  <sheetData>
    <row r="1" spans="1:11" x14ac:dyDescent="0.25">
      <c r="A1" s="1" t="s">
        <v>0</v>
      </c>
    </row>
    <row r="2" spans="1:11" x14ac:dyDescent="0.25">
      <c r="A2" t="s">
        <v>84</v>
      </c>
    </row>
    <row r="3" spans="1:11" x14ac:dyDescent="0.25">
      <c r="B3" s="2">
        <v>2012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  <c r="H3" s="2">
        <v>2018</v>
      </c>
      <c r="I3" s="2">
        <v>2019</v>
      </c>
      <c r="J3" s="2">
        <v>2020</v>
      </c>
      <c r="K3" s="2" t="s">
        <v>1</v>
      </c>
    </row>
    <row r="4" spans="1:11" x14ac:dyDescent="0.25">
      <c r="A4" t="s">
        <v>2</v>
      </c>
      <c r="B4" s="3">
        <v>3852</v>
      </c>
      <c r="C4" s="3">
        <v>3852</v>
      </c>
      <c r="D4" s="3">
        <v>52076.41</v>
      </c>
      <c r="E4" s="3">
        <v>52076.41</v>
      </c>
      <c r="F4" s="3">
        <v>52076.41</v>
      </c>
      <c r="G4" s="3">
        <v>63683.8</v>
      </c>
      <c r="H4" s="3">
        <v>63683.8</v>
      </c>
      <c r="I4" s="3">
        <v>77943.930000000008</v>
      </c>
      <c r="J4" s="3">
        <v>77943.930000000008</v>
      </c>
    </row>
    <row r="5" spans="1:11" x14ac:dyDescent="0.25">
      <c r="A5" t="s">
        <v>3</v>
      </c>
      <c r="B5" s="3">
        <v>-96.3</v>
      </c>
      <c r="C5" s="3">
        <v>-288.89999999999998</v>
      </c>
      <c r="D5" s="3">
        <v>-1084.3051250000001</v>
      </c>
      <c r="E5" s="3">
        <v>-2482.5153750000004</v>
      </c>
      <c r="F5" s="3">
        <v>-3880.7256250000005</v>
      </c>
      <c r="G5" s="3">
        <v>-5569.1206250000014</v>
      </c>
      <c r="H5" s="3">
        <v>-7547.7003749999994</v>
      </c>
      <c r="I5" s="3">
        <v>-9882.7833750000009</v>
      </c>
      <c r="J5" s="3">
        <v>-12574.369625000001</v>
      </c>
    </row>
    <row r="6" spans="1:11" x14ac:dyDescent="0.25">
      <c r="A6" t="s">
        <v>71</v>
      </c>
      <c r="B6" s="3"/>
      <c r="C6" s="3"/>
      <c r="D6" s="3"/>
      <c r="E6" s="3"/>
      <c r="F6" s="3"/>
      <c r="G6" s="3">
        <v>878227.75000000023</v>
      </c>
      <c r="H6" s="3">
        <v>881028.25000000023</v>
      </c>
      <c r="I6" s="3">
        <f>H6</f>
        <v>881028.25000000023</v>
      </c>
      <c r="J6" s="3">
        <f>I6</f>
        <v>881028.25000000023</v>
      </c>
    </row>
    <row r="7" spans="1:11" x14ac:dyDescent="0.25">
      <c r="A7" t="s">
        <v>72</v>
      </c>
      <c r="B7" s="3"/>
      <c r="C7" s="3"/>
      <c r="D7" s="3"/>
      <c r="E7" s="3"/>
      <c r="F7" s="3"/>
      <c r="G7" s="3">
        <v>-21955.693750000006</v>
      </c>
      <c r="H7" s="3">
        <v>-65937.093750000015</v>
      </c>
      <c r="I7" s="3">
        <v>-109988.50625000002</v>
      </c>
      <c r="J7" s="3">
        <v>-154039.91875000004</v>
      </c>
    </row>
    <row r="8" spans="1:11" x14ac:dyDescent="0.25">
      <c r="A8" t="s">
        <v>73</v>
      </c>
      <c r="B8" s="3"/>
      <c r="C8" s="3"/>
      <c r="D8" s="3"/>
      <c r="E8" s="3"/>
      <c r="F8" s="3"/>
      <c r="G8" s="3">
        <v>-405000</v>
      </c>
      <c r="H8" s="3">
        <v>-405000</v>
      </c>
      <c r="I8" s="3">
        <f>H8</f>
        <v>-405000</v>
      </c>
      <c r="J8" s="3">
        <f>I8</f>
        <v>-405000</v>
      </c>
    </row>
    <row r="9" spans="1:11" x14ac:dyDescent="0.25">
      <c r="A9" t="s">
        <v>4</v>
      </c>
      <c r="B9" s="4"/>
      <c r="C9" s="4"/>
      <c r="D9" s="4"/>
      <c r="E9" s="4"/>
      <c r="F9" s="4"/>
      <c r="G9" s="4">
        <v>10125</v>
      </c>
      <c r="H9" s="4">
        <v>30375</v>
      </c>
      <c r="I9" s="4">
        <v>50625</v>
      </c>
      <c r="J9" s="4">
        <v>70875</v>
      </c>
    </row>
    <row r="10" spans="1:11" x14ac:dyDescent="0.25">
      <c r="A10" s="1" t="s">
        <v>5</v>
      </c>
      <c r="B10" s="5">
        <f>SUM(B4:B9)</f>
        <v>3755.7</v>
      </c>
      <c r="C10" s="5">
        <f t="shared" ref="C10:J10" si="0">SUM(C4:C9)</f>
        <v>3563.1</v>
      </c>
      <c r="D10" s="5">
        <f t="shared" si="0"/>
        <v>50992.104875000005</v>
      </c>
      <c r="E10" s="5">
        <f t="shared" si="0"/>
        <v>49593.894625000001</v>
      </c>
      <c r="F10" s="5">
        <f t="shared" si="0"/>
        <v>48195.684375000004</v>
      </c>
      <c r="G10" s="5">
        <f t="shared" si="0"/>
        <v>519511.7356250002</v>
      </c>
      <c r="H10" s="5">
        <f t="shared" si="0"/>
        <v>496602.25587500026</v>
      </c>
      <c r="I10" s="5">
        <f t="shared" si="0"/>
        <v>484725.89037500031</v>
      </c>
      <c r="J10" s="5">
        <f t="shared" si="0"/>
        <v>458232.89162500016</v>
      </c>
    </row>
    <row r="11" spans="1:11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</row>
    <row r="12" spans="1:11" x14ac:dyDescent="0.25">
      <c r="A12" s="1" t="s">
        <v>6</v>
      </c>
      <c r="B12" s="5"/>
      <c r="C12" s="5"/>
      <c r="D12" s="5"/>
      <c r="E12" s="5"/>
      <c r="F12" s="5"/>
      <c r="G12" s="5"/>
      <c r="H12" s="5"/>
      <c r="I12" s="5"/>
      <c r="J12" s="5"/>
    </row>
    <row r="13" spans="1:11" x14ac:dyDescent="0.25">
      <c r="A13" s="6" t="s">
        <v>7</v>
      </c>
      <c r="B13" s="5">
        <v>0</v>
      </c>
      <c r="C13" s="7">
        <f>B14</f>
        <v>3755.7</v>
      </c>
      <c r="D13" s="7">
        <f t="shared" ref="D13:J13" si="1">C14</f>
        <v>3563.1</v>
      </c>
      <c r="E13" s="7">
        <f t="shared" si="1"/>
        <v>50992.104875000005</v>
      </c>
      <c r="F13" s="7">
        <f t="shared" si="1"/>
        <v>49593.894625000001</v>
      </c>
      <c r="G13" s="7">
        <f t="shared" si="1"/>
        <v>48195.684375000004</v>
      </c>
      <c r="H13" s="7">
        <f t="shared" si="1"/>
        <v>519511.7356250002</v>
      </c>
      <c r="I13" s="7">
        <f t="shared" si="1"/>
        <v>496602.25587500026</v>
      </c>
      <c r="J13" s="7">
        <f t="shared" si="1"/>
        <v>484725.89037500031</v>
      </c>
    </row>
    <row r="14" spans="1:11" x14ac:dyDescent="0.25">
      <c r="A14" s="6" t="s">
        <v>8</v>
      </c>
      <c r="B14" s="7">
        <f>B10</f>
        <v>3755.7</v>
      </c>
      <c r="C14" s="7">
        <f>C10</f>
        <v>3563.1</v>
      </c>
      <c r="D14" s="7">
        <f t="shared" ref="D14:J14" si="2">D10</f>
        <v>50992.104875000005</v>
      </c>
      <c r="E14" s="7">
        <f t="shared" si="2"/>
        <v>49593.894625000001</v>
      </c>
      <c r="F14" s="7">
        <f t="shared" si="2"/>
        <v>48195.684375000004</v>
      </c>
      <c r="G14" s="7">
        <f t="shared" si="2"/>
        <v>519511.7356250002</v>
      </c>
      <c r="H14" s="7">
        <f t="shared" si="2"/>
        <v>496602.25587500026</v>
      </c>
      <c r="I14" s="7">
        <f t="shared" si="2"/>
        <v>484725.89037500031</v>
      </c>
      <c r="J14" s="7">
        <f t="shared" si="2"/>
        <v>458232.89162500016</v>
      </c>
    </row>
    <row r="15" spans="1:11" x14ac:dyDescent="0.25">
      <c r="A15" s="1" t="s">
        <v>9</v>
      </c>
      <c r="B15" s="8">
        <f>AVERAGE(B13:B14)</f>
        <v>1877.85</v>
      </c>
      <c r="C15" s="8">
        <f>AVERAGE(C13:C14)</f>
        <v>3659.3999999999996</v>
      </c>
      <c r="D15" s="8">
        <f t="shared" ref="D15:J15" si="3">AVERAGE(D13:D14)</f>
        <v>27277.602437500002</v>
      </c>
      <c r="E15" s="8">
        <f t="shared" si="3"/>
        <v>50292.999750000003</v>
      </c>
      <c r="F15" s="8">
        <f t="shared" si="3"/>
        <v>48894.789499999999</v>
      </c>
      <c r="G15" s="8">
        <f t="shared" si="3"/>
        <v>283853.71000000008</v>
      </c>
      <c r="H15" s="8">
        <f t="shared" si="3"/>
        <v>508056.99575000023</v>
      </c>
      <c r="I15" s="8">
        <f t="shared" si="3"/>
        <v>490664.07312500029</v>
      </c>
      <c r="J15" s="8">
        <f t="shared" si="3"/>
        <v>471479.39100000024</v>
      </c>
    </row>
    <row r="16" spans="1:11" x14ac:dyDescent="0.25">
      <c r="B16" s="9"/>
      <c r="C16" s="9"/>
      <c r="D16" s="9"/>
      <c r="E16" s="9"/>
      <c r="F16" s="9"/>
      <c r="G16" s="9"/>
      <c r="H16" s="9"/>
      <c r="I16" s="9"/>
      <c r="J16" s="9"/>
    </row>
    <row r="17" spans="1:11" x14ac:dyDescent="0.25">
      <c r="A17" s="1" t="s">
        <v>10</v>
      </c>
    </row>
    <row r="18" spans="1:11" x14ac:dyDescent="0.25">
      <c r="A18" s="6" t="s">
        <v>74</v>
      </c>
      <c r="D18" s="10">
        <v>3236.82</v>
      </c>
      <c r="E18" s="10">
        <v>30883.329999999998</v>
      </c>
      <c r="F18" s="10">
        <v>52542.13</v>
      </c>
      <c r="G18" s="10">
        <v>43843.45</v>
      </c>
      <c r="H18" s="10">
        <v>8103.75</v>
      </c>
      <c r="I18" s="10">
        <v>4252.88</v>
      </c>
      <c r="J18" s="10">
        <v>0</v>
      </c>
      <c r="K18" s="10">
        <f>SUM(B18:I18)</f>
        <v>142862.35999999999</v>
      </c>
    </row>
    <row r="19" spans="1:11" x14ac:dyDescent="0.25">
      <c r="A19" s="6" t="s">
        <v>11</v>
      </c>
      <c r="B19" s="11">
        <v>15408.369999999999</v>
      </c>
      <c r="C19" s="11">
        <v>30065.130000000005</v>
      </c>
      <c r="D19" s="11">
        <v>31797.89</v>
      </c>
      <c r="E19" s="11">
        <v>20051.479999999996</v>
      </c>
      <c r="F19" s="11">
        <v>2734.58</v>
      </c>
      <c r="G19" s="11">
        <v>7473.2</v>
      </c>
      <c r="H19" s="11"/>
      <c r="I19" s="11">
        <v>13834.470000000001</v>
      </c>
      <c r="J19" s="11">
        <v>0</v>
      </c>
      <c r="K19" s="11">
        <f>SUM(B19:I19)</f>
        <v>121365.12</v>
      </c>
    </row>
    <row r="20" spans="1:11" x14ac:dyDescent="0.25">
      <c r="A20" t="s">
        <v>12</v>
      </c>
      <c r="B20" s="9">
        <f>B18+B19</f>
        <v>15408.369999999999</v>
      </c>
      <c r="C20" s="9">
        <f t="shared" ref="C20:K20" si="4">C18+C19</f>
        <v>30065.130000000005</v>
      </c>
      <c r="D20" s="9">
        <f t="shared" si="4"/>
        <v>35034.71</v>
      </c>
      <c r="E20" s="9">
        <f t="shared" si="4"/>
        <v>50934.81</v>
      </c>
      <c r="F20" s="9">
        <f t="shared" si="4"/>
        <v>55276.71</v>
      </c>
      <c r="G20" s="9">
        <f t="shared" si="4"/>
        <v>51316.649999999994</v>
      </c>
      <c r="H20" s="9">
        <f t="shared" si="4"/>
        <v>8103.75</v>
      </c>
      <c r="I20" s="9">
        <f t="shared" si="4"/>
        <v>18087.350000000002</v>
      </c>
      <c r="J20" s="9">
        <f t="shared" si="4"/>
        <v>0</v>
      </c>
      <c r="K20" s="9">
        <f t="shared" si="4"/>
        <v>264227.48</v>
      </c>
    </row>
    <row r="21" spans="1:11" x14ac:dyDescent="0.25">
      <c r="A21" t="s">
        <v>13</v>
      </c>
      <c r="B21" s="12">
        <v>0.15</v>
      </c>
      <c r="C21" s="12">
        <v>0.13</v>
      </c>
      <c r="D21" s="12">
        <v>0.13</v>
      </c>
      <c r="E21" s="12">
        <v>0.13</v>
      </c>
      <c r="F21" s="12">
        <v>0.13</v>
      </c>
      <c r="G21" s="12">
        <v>0.13</v>
      </c>
      <c r="H21" s="12">
        <v>0.13</v>
      </c>
      <c r="I21" s="12">
        <v>0.13</v>
      </c>
      <c r="J21" s="12">
        <v>0.13</v>
      </c>
    </row>
    <row r="22" spans="1:11" x14ac:dyDescent="0.25">
      <c r="A22" t="s">
        <v>14</v>
      </c>
      <c r="B22" s="13">
        <f>B20*B21</f>
        <v>2311.2554999999998</v>
      </c>
      <c r="C22" s="13">
        <f t="shared" ref="C22:J22" si="5">C20*C21</f>
        <v>3908.4669000000008</v>
      </c>
      <c r="D22" s="13">
        <f t="shared" si="5"/>
        <v>4554.5123000000003</v>
      </c>
      <c r="E22" s="13">
        <f t="shared" si="5"/>
        <v>6621.5253000000002</v>
      </c>
      <c r="F22" s="13">
        <f t="shared" si="5"/>
        <v>7185.9723000000004</v>
      </c>
      <c r="G22" s="13">
        <f t="shared" si="5"/>
        <v>6671.1644999999999</v>
      </c>
      <c r="H22" s="13">
        <f t="shared" si="5"/>
        <v>1053.4875</v>
      </c>
      <c r="I22" s="13">
        <f t="shared" si="5"/>
        <v>2351.3555000000006</v>
      </c>
      <c r="J22" s="13">
        <f t="shared" si="5"/>
        <v>0</v>
      </c>
    </row>
    <row r="24" spans="1:11" x14ac:dyDescent="0.25">
      <c r="A24" s="1" t="s">
        <v>15</v>
      </c>
      <c r="B24" s="13">
        <f>+B15+B22</f>
        <v>4189.1054999999997</v>
      </c>
      <c r="C24" s="13">
        <f t="shared" ref="C24:J24" si="6">+C15+C22</f>
        <v>7567.8669000000009</v>
      </c>
      <c r="D24" s="13">
        <f>+D15+D22</f>
        <v>31832.1147375</v>
      </c>
      <c r="E24" s="13">
        <f t="shared" si="6"/>
        <v>56914.525050000004</v>
      </c>
      <c r="F24" s="13">
        <f t="shared" si="6"/>
        <v>56080.7618</v>
      </c>
      <c r="G24" s="13">
        <f t="shared" si="6"/>
        <v>290524.87450000009</v>
      </c>
      <c r="H24" s="13">
        <f t="shared" si="6"/>
        <v>509110.48325000022</v>
      </c>
      <c r="I24" s="13">
        <f t="shared" si="6"/>
        <v>493015.42862500029</v>
      </c>
      <c r="J24" s="13">
        <f t="shared" si="6"/>
        <v>471479.39100000024</v>
      </c>
    </row>
    <row r="26" spans="1:11" x14ac:dyDescent="0.25">
      <c r="A26" t="s">
        <v>16</v>
      </c>
    </row>
    <row r="27" spans="1:11" x14ac:dyDescent="0.25">
      <c r="A27" s="14" t="s">
        <v>83</v>
      </c>
    </row>
    <row r="28" spans="1:11" x14ac:dyDescent="0.25">
      <c r="A28" s="15" t="s">
        <v>18</v>
      </c>
      <c r="B28" s="10">
        <f t="shared" ref="B28:J28" si="7">B24*$B$127</f>
        <v>167.56421999999998</v>
      </c>
      <c r="C28" s="10">
        <f t="shared" si="7"/>
        <v>302.71467600000005</v>
      </c>
      <c r="D28" s="10">
        <f t="shared" si="7"/>
        <v>1273.2845895</v>
      </c>
      <c r="E28" s="10">
        <f t="shared" si="7"/>
        <v>2276.5810020000004</v>
      </c>
      <c r="F28" s="10">
        <f t="shared" si="7"/>
        <v>2243.2304720000002</v>
      </c>
      <c r="G28" s="10">
        <f t="shared" si="7"/>
        <v>11620.994980000003</v>
      </c>
      <c r="H28" s="10">
        <f t="shared" si="7"/>
        <v>20364.419330000008</v>
      </c>
      <c r="I28" s="10">
        <f t="shared" si="7"/>
        <v>19720.617145000011</v>
      </c>
      <c r="J28" s="10">
        <f t="shared" si="7"/>
        <v>18859.175640000009</v>
      </c>
    </row>
    <row r="29" spans="1:11" x14ac:dyDescent="0.25">
      <c r="A29" s="15" t="s">
        <v>19</v>
      </c>
      <c r="B29" s="10">
        <f t="shared" ref="B29:J29" si="8">B24*$B$128</f>
        <v>2345.8990800000001</v>
      </c>
      <c r="C29" s="10">
        <f t="shared" si="8"/>
        <v>4238.0054640000008</v>
      </c>
      <c r="D29" s="10">
        <f t="shared" si="8"/>
        <v>17825.984253000002</v>
      </c>
      <c r="E29" s="10">
        <f t="shared" si="8"/>
        <v>31872.134028000004</v>
      </c>
      <c r="F29" s="10">
        <f t="shared" si="8"/>
        <v>31405.226608000004</v>
      </c>
      <c r="G29" s="10">
        <f t="shared" si="8"/>
        <v>162693.92972000007</v>
      </c>
      <c r="H29" s="10">
        <f t="shared" si="8"/>
        <v>285101.87062000018</v>
      </c>
      <c r="I29" s="10">
        <f t="shared" si="8"/>
        <v>276088.64003000018</v>
      </c>
      <c r="J29" s="10">
        <f t="shared" si="8"/>
        <v>264028.45896000013</v>
      </c>
    </row>
    <row r="30" spans="1:11" x14ac:dyDescent="0.25">
      <c r="A30" s="15" t="s">
        <v>20</v>
      </c>
      <c r="B30" s="10">
        <f t="shared" ref="B30:J30" si="9">B24*$B$129</f>
        <v>1675.6422</v>
      </c>
      <c r="C30" s="10">
        <f t="shared" si="9"/>
        <v>3027.1467600000005</v>
      </c>
      <c r="D30" s="10">
        <f t="shared" si="9"/>
        <v>12732.845895</v>
      </c>
      <c r="E30" s="10">
        <f t="shared" si="9"/>
        <v>22765.810020000004</v>
      </c>
      <c r="F30" s="10">
        <f t="shared" si="9"/>
        <v>22432.30472</v>
      </c>
      <c r="G30" s="10">
        <f t="shared" si="9"/>
        <v>116209.94980000005</v>
      </c>
      <c r="H30" s="10">
        <f t="shared" si="9"/>
        <v>203644.1933000001</v>
      </c>
      <c r="I30" s="10">
        <f t="shared" si="9"/>
        <v>197206.17145000014</v>
      </c>
      <c r="J30" s="10">
        <f t="shared" si="9"/>
        <v>188591.7564000001</v>
      </c>
    </row>
    <row r="31" spans="1:11" x14ac:dyDescent="0.25">
      <c r="A31" s="15" t="s">
        <v>21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1" x14ac:dyDescent="0.25">
      <c r="A32" s="15" t="s">
        <v>22</v>
      </c>
      <c r="B32" s="16">
        <f>SUM(B28:B31)</f>
        <v>4189.1055000000006</v>
      </c>
      <c r="C32" s="16">
        <f t="shared" ref="C32:J32" si="10">SUM(C28:C31)</f>
        <v>7567.8669000000018</v>
      </c>
      <c r="D32" s="16">
        <f t="shared" si="10"/>
        <v>31832.1147375</v>
      </c>
      <c r="E32" s="16">
        <f t="shared" si="10"/>
        <v>56914.525050000011</v>
      </c>
      <c r="F32" s="16">
        <f t="shared" si="10"/>
        <v>56080.761800000007</v>
      </c>
      <c r="G32" s="16">
        <f t="shared" si="10"/>
        <v>290524.87450000015</v>
      </c>
      <c r="H32" s="16">
        <f t="shared" si="10"/>
        <v>509110.48325000028</v>
      </c>
      <c r="I32" s="16">
        <f t="shared" si="10"/>
        <v>493015.42862500035</v>
      </c>
      <c r="J32" s="16">
        <f t="shared" si="10"/>
        <v>471479.39100000029</v>
      </c>
    </row>
    <row r="33" spans="1:17" x14ac:dyDescent="0.25">
      <c r="A33" s="15"/>
      <c r="Q33" s="17"/>
    </row>
    <row r="34" spans="1:17" x14ac:dyDescent="0.25">
      <c r="A34" s="14" t="s">
        <v>23</v>
      </c>
    </row>
    <row r="35" spans="1:17" x14ac:dyDescent="0.25">
      <c r="A35" s="15" t="s">
        <v>18</v>
      </c>
      <c r="B35" s="9">
        <f>B28*$B$134</f>
        <v>2.2286041259999996</v>
      </c>
      <c r="C35" s="9">
        <f t="shared" ref="C35:I35" si="11">C28*$C$134</f>
        <v>6.2661937932000011</v>
      </c>
      <c r="D35" s="9">
        <f t="shared" si="11"/>
        <v>26.356991002650002</v>
      </c>
      <c r="E35" s="9">
        <f t="shared" si="11"/>
        <v>47.125226741400006</v>
      </c>
      <c r="F35" s="9">
        <f t="shared" si="11"/>
        <v>46.434870770400003</v>
      </c>
      <c r="G35" s="9">
        <f t="shared" si="11"/>
        <v>240.55459608600006</v>
      </c>
      <c r="H35" s="9">
        <f t="shared" si="11"/>
        <v>421.54348013100014</v>
      </c>
      <c r="I35" s="9">
        <f t="shared" si="11"/>
        <v>408.21677490150023</v>
      </c>
      <c r="J35" s="9">
        <f>J28*$D$134</f>
        <v>518.62733010000022</v>
      </c>
    </row>
    <row r="36" spans="1:17" x14ac:dyDescent="0.25">
      <c r="A36" s="15" t="s">
        <v>19</v>
      </c>
      <c r="B36" s="9">
        <f>B29*$B$135</f>
        <v>164.44752550800001</v>
      </c>
      <c r="C36" s="9">
        <f t="shared" ref="C36:I36" si="12">C29*$C$135</f>
        <v>175.45342620960002</v>
      </c>
      <c r="D36" s="9">
        <f t="shared" si="12"/>
        <v>737.99574807420004</v>
      </c>
      <c r="E36" s="9">
        <f t="shared" si="12"/>
        <v>1319.5063487592001</v>
      </c>
      <c r="F36" s="9">
        <f t="shared" si="12"/>
        <v>1300.1763815712002</v>
      </c>
      <c r="G36" s="9">
        <f t="shared" si="12"/>
        <v>6735.5286904080031</v>
      </c>
      <c r="H36" s="9">
        <f t="shared" si="12"/>
        <v>11803.217443668007</v>
      </c>
      <c r="I36" s="18">
        <f t="shared" si="12"/>
        <v>11430.069697242008</v>
      </c>
      <c r="J36" s="18">
        <f>J29*$D$135</f>
        <v>8396.1049949280041</v>
      </c>
      <c r="M36" s="9"/>
    </row>
    <row r="37" spans="1:17" x14ac:dyDescent="0.25">
      <c r="A37" s="15" t="s">
        <v>20</v>
      </c>
      <c r="B37" s="9">
        <f>B30*$B$136</f>
        <v>134.21894022000001</v>
      </c>
      <c r="C37" s="9">
        <f t="shared" ref="C37:I37" si="13">C30*$C$136</f>
        <v>271.83777904800007</v>
      </c>
      <c r="D37" s="9">
        <f t="shared" si="13"/>
        <v>1143.4095613710001</v>
      </c>
      <c r="E37" s="9">
        <f t="shared" si="13"/>
        <v>2044.3697397960004</v>
      </c>
      <c r="F37" s="9">
        <f t="shared" si="13"/>
        <v>2014.4209638560001</v>
      </c>
      <c r="G37" s="9">
        <f t="shared" si="13"/>
        <v>10435.653492040004</v>
      </c>
      <c r="H37" s="9">
        <f t="shared" si="13"/>
        <v>18287.248558340008</v>
      </c>
      <c r="I37" s="18">
        <f t="shared" si="13"/>
        <v>17709.114196210012</v>
      </c>
      <c r="J37" s="18">
        <f>J30*$D$136</f>
        <v>16068.017645280008</v>
      </c>
    </row>
    <row r="38" spans="1:17" x14ac:dyDescent="0.25">
      <c r="A38" s="15" t="s">
        <v>21</v>
      </c>
      <c r="B38" s="19"/>
      <c r="C38" s="19"/>
      <c r="D38" s="19"/>
      <c r="E38" s="19"/>
      <c r="F38" s="19"/>
      <c r="G38" s="19"/>
      <c r="H38" s="19"/>
      <c r="I38" s="20"/>
      <c r="J38" s="20"/>
    </row>
    <row r="39" spans="1:17" x14ac:dyDescent="0.25">
      <c r="A39" s="21" t="s">
        <v>24</v>
      </c>
      <c r="B39" s="9">
        <f>SUM(B35:B38)</f>
        <v>300.89506985399998</v>
      </c>
      <c r="C39" s="9">
        <f t="shared" ref="C39:H39" si="14">SUM(C35:C38)</f>
        <v>453.55739905080009</v>
      </c>
      <c r="D39" s="9">
        <f t="shared" si="14"/>
        <v>1907.7623004478501</v>
      </c>
      <c r="E39" s="9">
        <f t="shared" si="14"/>
        <v>3411.0013152966003</v>
      </c>
      <c r="F39" s="9">
        <f t="shared" si="14"/>
        <v>3361.0322161976001</v>
      </c>
      <c r="G39" s="9">
        <f t="shared" si="14"/>
        <v>17411.736778534007</v>
      </c>
      <c r="H39" s="9">
        <f t="shared" si="14"/>
        <v>30512.009482139016</v>
      </c>
      <c r="I39" s="18">
        <f>SUM(I35:I38)</f>
        <v>29547.400668353519</v>
      </c>
      <c r="J39" s="18">
        <f>SUM(J35:J38)</f>
        <v>24982.74997030801</v>
      </c>
      <c r="K39" s="9">
        <f>SUM(B39:J39)</f>
        <v>111888.1452001814</v>
      </c>
      <c r="L39" s="9"/>
    </row>
    <row r="40" spans="1:17" x14ac:dyDescent="0.25">
      <c r="I40" s="22"/>
      <c r="J40" s="22"/>
    </row>
    <row r="41" spans="1:17" x14ac:dyDescent="0.25">
      <c r="A41" s="40" t="s">
        <v>78</v>
      </c>
      <c r="B41" s="9">
        <f>B20</f>
        <v>15408.369999999999</v>
      </c>
      <c r="C41" s="9">
        <f t="shared" ref="C41:J41" si="15">C20</f>
        <v>30065.130000000005</v>
      </c>
      <c r="D41" s="9">
        <f>D20</f>
        <v>35034.71</v>
      </c>
      <c r="E41" s="9">
        <f t="shared" si="15"/>
        <v>50934.81</v>
      </c>
      <c r="F41" s="9">
        <f>F20</f>
        <v>55276.71</v>
      </c>
      <c r="G41" s="9">
        <f t="shared" si="15"/>
        <v>51316.649999999994</v>
      </c>
      <c r="H41" s="9">
        <f t="shared" si="15"/>
        <v>8103.75</v>
      </c>
      <c r="I41" s="18">
        <f t="shared" si="15"/>
        <v>18087.350000000002</v>
      </c>
      <c r="J41" s="18">
        <f t="shared" si="15"/>
        <v>0</v>
      </c>
      <c r="K41" s="9">
        <f>SUM(B41:J41)</f>
        <v>264227.48</v>
      </c>
    </row>
    <row r="42" spans="1:17" x14ac:dyDescent="0.25">
      <c r="I42" s="22"/>
      <c r="J42" s="22"/>
    </row>
    <row r="43" spans="1:17" x14ac:dyDescent="0.25">
      <c r="A43" s="1" t="s">
        <v>25</v>
      </c>
      <c r="I43" s="22"/>
      <c r="J43" s="22"/>
    </row>
    <row r="44" spans="1:17" x14ac:dyDescent="0.25">
      <c r="A44" t="s">
        <v>26</v>
      </c>
      <c r="B44" s="9">
        <v>96.3</v>
      </c>
      <c r="C44" s="9">
        <v>192.6</v>
      </c>
      <c r="D44" s="9">
        <v>795.40512500000011</v>
      </c>
      <c r="E44" s="9">
        <v>1398.2102500000001</v>
      </c>
      <c r="F44" s="9">
        <v>1398.2102500000001</v>
      </c>
      <c r="G44" s="9">
        <v>1688.3950000000004</v>
      </c>
      <c r="H44" s="9">
        <v>1978.5797500000015</v>
      </c>
      <c r="I44" s="18">
        <v>2335.0830000000074</v>
      </c>
      <c r="J44" s="18">
        <v>2691.5862500000003</v>
      </c>
      <c r="L44" s="10"/>
    </row>
    <row r="45" spans="1:17" x14ac:dyDescent="0.25">
      <c r="A45" t="s">
        <v>75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21955.693750000006</v>
      </c>
      <c r="H45" s="9">
        <v>43981.400000000009</v>
      </c>
      <c r="I45" s="18">
        <v>44051.412500000013</v>
      </c>
      <c r="J45" s="18">
        <v>44051.412500000013</v>
      </c>
    </row>
    <row r="46" spans="1:17" x14ac:dyDescent="0.25">
      <c r="A46" t="s">
        <v>73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-10125</v>
      </c>
      <c r="H46" s="23">
        <v>-20250</v>
      </c>
      <c r="I46" s="24">
        <v>-20250</v>
      </c>
      <c r="J46" s="24">
        <v>-20250</v>
      </c>
      <c r="L46" s="9"/>
    </row>
    <row r="47" spans="1:17" x14ac:dyDescent="0.25">
      <c r="B47" s="13">
        <f>SUM(B44:B46)</f>
        <v>96.3</v>
      </c>
      <c r="C47" s="13">
        <f t="shared" ref="C47:J47" si="16">SUM(C44:C46)</f>
        <v>192.6</v>
      </c>
      <c r="D47" s="13">
        <f t="shared" si="16"/>
        <v>795.40512500000011</v>
      </c>
      <c r="E47" s="13">
        <f t="shared" si="16"/>
        <v>1398.2102500000001</v>
      </c>
      <c r="F47" s="13">
        <f t="shared" si="16"/>
        <v>1398.2102500000001</v>
      </c>
      <c r="G47" s="13">
        <f t="shared" si="16"/>
        <v>13519.088750000006</v>
      </c>
      <c r="H47" s="13">
        <f t="shared" si="16"/>
        <v>25709.979750000013</v>
      </c>
      <c r="I47" s="25">
        <f t="shared" si="16"/>
        <v>26136.495500000019</v>
      </c>
      <c r="J47" s="25">
        <f t="shared" si="16"/>
        <v>26492.998750000013</v>
      </c>
      <c r="K47" s="9">
        <f>SUM(B47:J47)</f>
        <v>95739.288375000047</v>
      </c>
    </row>
    <row r="48" spans="1:17" x14ac:dyDescent="0.25">
      <c r="I48" s="22"/>
      <c r="J48" s="22"/>
    </row>
    <row r="49" spans="1:13" x14ac:dyDescent="0.25">
      <c r="A49" t="s">
        <v>27</v>
      </c>
      <c r="B49" s="9">
        <f>B39+B41+B47</f>
        <v>15805.565069853998</v>
      </c>
      <c r="C49" s="9">
        <f t="shared" ref="C49:H49" si="17">C39+C41+C47</f>
        <v>30711.287399050801</v>
      </c>
      <c r="D49" s="9">
        <f t="shared" si="17"/>
        <v>37737.877425447849</v>
      </c>
      <c r="E49" s="9">
        <f t="shared" si="17"/>
        <v>55744.0215652966</v>
      </c>
      <c r="F49" s="9">
        <f t="shared" si="17"/>
        <v>60035.952466197603</v>
      </c>
      <c r="G49" s="9">
        <f t="shared" si="17"/>
        <v>82247.475528534007</v>
      </c>
      <c r="H49" s="9">
        <f t="shared" si="17"/>
        <v>64325.739232139029</v>
      </c>
      <c r="I49" s="18">
        <f>I39+I41+I47</f>
        <v>73771.246168353537</v>
      </c>
      <c r="J49" s="18">
        <f>J39+J41+J47</f>
        <v>51475.748720308024</v>
      </c>
    </row>
    <row r="50" spans="1:13" x14ac:dyDescent="0.25">
      <c r="I50" s="22"/>
      <c r="J50" s="22"/>
    </row>
    <row r="51" spans="1:13" x14ac:dyDescent="0.25">
      <c r="A51" s="26" t="s">
        <v>28</v>
      </c>
      <c r="I51" s="22"/>
      <c r="J51" s="22"/>
    </row>
    <row r="52" spans="1:13" x14ac:dyDescent="0.25">
      <c r="A52" s="15" t="s">
        <v>29</v>
      </c>
      <c r="B52" s="9">
        <f>B41</f>
        <v>15408.369999999999</v>
      </c>
      <c r="C52" s="9">
        <f t="shared" ref="C52:J52" si="18">C41</f>
        <v>30065.130000000005</v>
      </c>
      <c r="D52" s="9">
        <f t="shared" si="18"/>
        <v>35034.71</v>
      </c>
      <c r="E52" s="9">
        <f t="shared" si="18"/>
        <v>50934.81</v>
      </c>
      <c r="F52" s="9">
        <f t="shared" si="18"/>
        <v>55276.71</v>
      </c>
      <c r="G52" s="9">
        <f t="shared" si="18"/>
        <v>51316.649999999994</v>
      </c>
      <c r="H52" s="9">
        <f t="shared" si="18"/>
        <v>8103.75</v>
      </c>
      <c r="I52" s="18">
        <f t="shared" si="18"/>
        <v>18087.350000000002</v>
      </c>
      <c r="J52" s="18">
        <f t="shared" si="18"/>
        <v>0</v>
      </c>
    </row>
    <row r="53" spans="1:13" x14ac:dyDescent="0.25">
      <c r="A53" s="15" t="s">
        <v>30</v>
      </c>
      <c r="B53" s="9">
        <f>B47</f>
        <v>96.3</v>
      </c>
      <c r="C53" s="9">
        <f t="shared" ref="C53:J53" si="19">C47</f>
        <v>192.6</v>
      </c>
      <c r="D53" s="9">
        <f t="shared" si="19"/>
        <v>795.40512500000011</v>
      </c>
      <c r="E53" s="9">
        <f t="shared" si="19"/>
        <v>1398.2102500000001</v>
      </c>
      <c r="F53" s="9">
        <f t="shared" si="19"/>
        <v>1398.2102500000001</v>
      </c>
      <c r="G53" s="9">
        <f t="shared" si="19"/>
        <v>13519.088750000006</v>
      </c>
      <c r="H53" s="9">
        <f t="shared" si="19"/>
        <v>25709.979750000013</v>
      </c>
      <c r="I53" s="18">
        <f t="shared" si="19"/>
        <v>26136.495500000019</v>
      </c>
      <c r="J53" s="18">
        <f t="shared" si="19"/>
        <v>26492.998750000013</v>
      </c>
    </row>
    <row r="54" spans="1:13" x14ac:dyDescent="0.25">
      <c r="A54" s="15" t="s">
        <v>31</v>
      </c>
      <c r="B54" s="23">
        <f>+B35+B36</f>
        <v>166.67612963400001</v>
      </c>
      <c r="C54" s="23">
        <f t="shared" ref="C54:J54" si="20">+C35+C36</f>
        <v>181.71962000280001</v>
      </c>
      <c r="D54" s="23">
        <f t="shared" si="20"/>
        <v>764.35273907685007</v>
      </c>
      <c r="E54" s="23">
        <f t="shared" si="20"/>
        <v>1366.6315755006001</v>
      </c>
      <c r="F54" s="23">
        <f t="shared" si="20"/>
        <v>1346.6112523416002</v>
      </c>
      <c r="G54" s="23">
        <f t="shared" si="20"/>
        <v>6976.083286494003</v>
      </c>
      <c r="H54" s="23">
        <f t="shared" si="20"/>
        <v>12224.760923799007</v>
      </c>
      <c r="I54" s="24">
        <f t="shared" si="20"/>
        <v>11838.286472143509</v>
      </c>
      <c r="J54" s="24">
        <f t="shared" si="20"/>
        <v>8914.7323250280042</v>
      </c>
      <c r="M54" s="10"/>
    </row>
    <row r="55" spans="1:13" x14ac:dyDescent="0.25">
      <c r="A55" s="21" t="s">
        <v>32</v>
      </c>
      <c r="B55" s="13">
        <f>B49-SUM(B52:B54)</f>
        <v>134.21894022000015</v>
      </c>
      <c r="C55" s="13">
        <f t="shared" ref="C55:J55" si="21">C49-SUM(C52:C54)</f>
        <v>271.83777904799717</v>
      </c>
      <c r="D55" s="13">
        <f t="shared" si="21"/>
        <v>1143.4095613710015</v>
      </c>
      <c r="E55" s="13">
        <f t="shared" si="21"/>
        <v>2044.3697397959986</v>
      </c>
      <c r="F55" s="13">
        <f t="shared" si="21"/>
        <v>2014.420963856006</v>
      </c>
      <c r="G55" s="13">
        <f t="shared" si="21"/>
        <v>10435.653492040001</v>
      </c>
      <c r="H55" s="13">
        <f t="shared" si="21"/>
        <v>18287.248558340005</v>
      </c>
      <c r="I55" s="25">
        <f t="shared" si="21"/>
        <v>17709.114196210001</v>
      </c>
      <c r="J55" s="25">
        <f t="shared" si="21"/>
        <v>16068.017645280008</v>
      </c>
    </row>
    <row r="56" spans="1:13" x14ac:dyDescent="0.25">
      <c r="A56" s="15"/>
      <c r="I56" s="22"/>
      <c r="J56" s="22"/>
    </row>
    <row r="57" spans="1:13" x14ac:dyDescent="0.25">
      <c r="A57" s="26" t="s">
        <v>80</v>
      </c>
      <c r="B57" s="10">
        <f>B84</f>
        <v>-298.81221883224492</v>
      </c>
      <c r="C57" s="10">
        <f t="shared" ref="C57:J57" si="22">C84</f>
        <v>-386.3401544928991</v>
      </c>
      <c r="D57" s="10">
        <f t="shared" si="22"/>
        <v>-245.65859232882258</v>
      </c>
      <c r="E57" s="10">
        <f t="shared" si="22"/>
        <v>-206.26434025382378</v>
      </c>
      <c r="F57" s="10">
        <f t="shared" si="22"/>
        <v>-48.557854477120443</v>
      </c>
      <c r="G57" s="10">
        <f t="shared" si="22"/>
        <v>-491.8332912778281</v>
      </c>
      <c r="H57" s="10">
        <f t="shared" si="22"/>
        <v>0.1987372738174315</v>
      </c>
      <c r="I57" s="27">
        <f t="shared" si="22"/>
        <v>549.39811636438412</v>
      </c>
      <c r="J57" s="27">
        <f t="shared" si="22"/>
        <v>-501.18710869903572</v>
      </c>
      <c r="K57" s="9">
        <f>SUM(B57:J57)</f>
        <v>-1629.0567067235729</v>
      </c>
    </row>
    <row r="58" spans="1:13" x14ac:dyDescent="0.25">
      <c r="A58" s="28"/>
      <c r="I58" s="22"/>
      <c r="J58" s="22"/>
    </row>
    <row r="59" spans="1:13" x14ac:dyDescent="0.25">
      <c r="A59" s="26" t="s">
        <v>33</v>
      </c>
      <c r="B59" s="13">
        <f>+B49+B57</f>
        <v>15506.752851021753</v>
      </c>
      <c r="C59" s="13">
        <f t="shared" ref="C59:H59" si="23">+C49+C57</f>
        <v>30324.947244557901</v>
      </c>
      <c r="D59" s="13">
        <f t="shared" si="23"/>
        <v>37492.218833119026</v>
      </c>
      <c r="E59" s="13">
        <f t="shared" si="23"/>
        <v>55537.757225042777</v>
      </c>
      <c r="F59" s="13">
        <f t="shared" si="23"/>
        <v>59987.394611720483</v>
      </c>
      <c r="G59" s="13">
        <f t="shared" si="23"/>
        <v>81755.642237256179</v>
      </c>
      <c r="H59" s="13">
        <f t="shared" si="23"/>
        <v>64325.937969412844</v>
      </c>
      <c r="I59" s="25">
        <f>+I49+I57</f>
        <v>74320.644284717928</v>
      </c>
      <c r="J59" s="25">
        <f>(+J49+J57)*4/12</f>
        <v>16991.520537202996</v>
      </c>
      <c r="K59" s="9">
        <f>SUM(B59:J59)</f>
        <v>436242.81579405186</v>
      </c>
      <c r="L59" s="29" t="s">
        <v>34</v>
      </c>
    </row>
    <row r="60" spans="1:13" x14ac:dyDescent="0.25">
      <c r="I60" s="22"/>
      <c r="J60" s="22"/>
      <c r="K60" s="9"/>
    </row>
    <row r="61" spans="1:13" x14ac:dyDescent="0.25">
      <c r="A61" s="1" t="s">
        <v>79</v>
      </c>
      <c r="B61" s="13">
        <f>B59-B41</f>
        <v>98.382851021753595</v>
      </c>
      <c r="C61" s="13">
        <f t="shared" ref="C61:J61" si="24">C59-C41</f>
        <v>259.81724455789663</v>
      </c>
      <c r="D61" s="13">
        <f t="shared" si="24"/>
        <v>2457.5088331190273</v>
      </c>
      <c r="E61" s="13">
        <f t="shared" si="24"/>
        <v>4602.9472250427789</v>
      </c>
      <c r="F61" s="13">
        <f t="shared" si="24"/>
        <v>4710.6846117204841</v>
      </c>
      <c r="G61" s="13">
        <f t="shared" si="24"/>
        <v>30438.992237256185</v>
      </c>
      <c r="H61" s="13">
        <f t="shared" si="24"/>
        <v>56222.187969412844</v>
      </c>
      <c r="I61" s="25">
        <f t="shared" si="24"/>
        <v>56233.294284717922</v>
      </c>
      <c r="J61" s="25">
        <f t="shared" si="24"/>
        <v>16991.520537202996</v>
      </c>
      <c r="K61" s="13">
        <f>SUM(B61:J61)</f>
        <v>172015.33579405188</v>
      </c>
    </row>
    <row r="62" spans="1:13" x14ac:dyDescent="0.25">
      <c r="I62" s="22"/>
      <c r="J62" s="22"/>
      <c r="K62" s="9"/>
    </row>
    <row r="63" spans="1:13" x14ac:dyDescent="0.25">
      <c r="A63" t="s">
        <v>35</v>
      </c>
      <c r="B63" s="9">
        <f t="shared" ref="B63:H63" si="25">B47</f>
        <v>96.3</v>
      </c>
      <c r="C63" s="9">
        <f t="shared" si="25"/>
        <v>192.6</v>
      </c>
      <c r="D63" s="9">
        <f t="shared" si="25"/>
        <v>795.40512500000011</v>
      </c>
      <c r="E63" s="9">
        <f t="shared" si="25"/>
        <v>1398.2102500000001</v>
      </c>
      <c r="F63" s="9">
        <f t="shared" si="25"/>
        <v>1398.2102500000001</v>
      </c>
      <c r="G63" s="9">
        <f t="shared" si="25"/>
        <v>13519.088750000006</v>
      </c>
      <c r="H63" s="9">
        <f t="shared" si="25"/>
        <v>25709.979750000013</v>
      </c>
      <c r="I63" s="9">
        <f>I47</f>
        <v>26136.495500000019</v>
      </c>
      <c r="J63" s="9">
        <f>J47*4/12</f>
        <v>8830.9995833333378</v>
      </c>
      <c r="K63" s="9">
        <f>SUM(B63:J63)</f>
        <v>78077.289208333372</v>
      </c>
    </row>
    <row r="64" spans="1:13" x14ac:dyDescent="0.25">
      <c r="A64" t="s">
        <v>36</v>
      </c>
      <c r="B64" s="9">
        <f>+B39+B57</f>
        <v>2.0828510217550615</v>
      </c>
      <c r="C64" s="9">
        <f t="shared" ref="C64:H64" si="26">+C39+C57</f>
        <v>67.217244557900983</v>
      </c>
      <c r="D64" s="9">
        <f t="shared" si="26"/>
        <v>1662.1037081190275</v>
      </c>
      <c r="E64" s="9">
        <f t="shared" si="26"/>
        <v>3204.7369750427765</v>
      </c>
      <c r="F64" s="9">
        <f t="shared" si="26"/>
        <v>3312.4743617204795</v>
      </c>
      <c r="G64" s="9">
        <f t="shared" si="26"/>
        <v>16919.903487256179</v>
      </c>
      <c r="H64" s="9">
        <f t="shared" si="26"/>
        <v>30512.208219412834</v>
      </c>
      <c r="I64" s="9">
        <f>+I39+I57</f>
        <v>30096.798784717903</v>
      </c>
      <c r="J64" s="9">
        <f>(+J39+J57)*4/12</f>
        <v>8160.5209538696581</v>
      </c>
      <c r="K64" s="23">
        <f>SUM(B64:J64)</f>
        <v>93938.046585718519</v>
      </c>
    </row>
    <row r="65" spans="1:11" x14ac:dyDescent="0.25">
      <c r="K65" s="9">
        <f>K59-K41-K63-K64</f>
        <v>0</v>
      </c>
    </row>
    <row r="66" spans="1:11" x14ac:dyDescent="0.25">
      <c r="J66" s="9"/>
      <c r="K66" s="10"/>
    </row>
    <row r="67" spans="1:11" x14ac:dyDescent="0.25">
      <c r="J67" s="9"/>
      <c r="K67" s="10"/>
    </row>
    <row r="68" spans="1:11" x14ac:dyDescent="0.25">
      <c r="J68" s="9"/>
      <c r="K68" s="10"/>
    </row>
    <row r="69" spans="1:11" x14ac:dyDescent="0.25">
      <c r="A69" s="1" t="s">
        <v>37</v>
      </c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x14ac:dyDescent="0.25"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x14ac:dyDescent="0.25">
      <c r="A71" s="1" t="s">
        <v>38</v>
      </c>
    </row>
    <row r="72" spans="1:11" x14ac:dyDescent="0.25">
      <c r="A72" t="s">
        <v>39</v>
      </c>
      <c r="B72" s="9">
        <f>B55</f>
        <v>134.21894022000015</v>
      </c>
      <c r="C72" s="9">
        <f t="shared" ref="C72:J72" si="27">C55</f>
        <v>271.83777904799717</v>
      </c>
      <c r="D72" s="9">
        <f t="shared" si="27"/>
        <v>1143.4095613710015</v>
      </c>
      <c r="E72" s="9">
        <f t="shared" si="27"/>
        <v>2044.3697397959986</v>
      </c>
      <c r="F72" s="9">
        <f t="shared" si="27"/>
        <v>2014.420963856006</v>
      </c>
      <c r="G72" s="9">
        <f t="shared" si="27"/>
        <v>10435.653492040001</v>
      </c>
      <c r="H72" s="9">
        <f t="shared" si="27"/>
        <v>18287.248558340005</v>
      </c>
      <c r="I72" s="9">
        <f t="shared" si="27"/>
        <v>17709.114196210001</v>
      </c>
      <c r="J72" s="9">
        <f t="shared" si="27"/>
        <v>16068.017645280008</v>
      </c>
    </row>
    <row r="73" spans="1:11" x14ac:dyDescent="0.25">
      <c r="A73" t="s">
        <v>40</v>
      </c>
      <c r="B73" s="9">
        <f>B53</f>
        <v>96.3</v>
      </c>
      <c r="C73" s="9">
        <f t="shared" ref="C73:J73" si="28">C53</f>
        <v>192.6</v>
      </c>
      <c r="D73" s="9">
        <f t="shared" si="28"/>
        <v>795.40512500000011</v>
      </c>
      <c r="E73" s="9">
        <f t="shared" si="28"/>
        <v>1398.2102500000001</v>
      </c>
      <c r="F73" s="9">
        <f t="shared" si="28"/>
        <v>1398.2102500000001</v>
      </c>
      <c r="G73" s="9">
        <f t="shared" si="28"/>
        <v>13519.088750000006</v>
      </c>
      <c r="H73" s="9">
        <f t="shared" si="28"/>
        <v>25709.979750000013</v>
      </c>
      <c r="I73" s="9">
        <f t="shared" si="28"/>
        <v>26136.495500000019</v>
      </c>
      <c r="J73" s="9">
        <f t="shared" si="28"/>
        <v>26492.998750000013</v>
      </c>
    </row>
    <row r="74" spans="1:11" x14ac:dyDescent="0.25">
      <c r="A74" t="s">
        <v>81</v>
      </c>
      <c r="B74" s="30">
        <f>-B109</f>
        <v>0</v>
      </c>
      <c r="C74" s="30">
        <f t="shared" ref="C74:J74" si="29">-C109</f>
        <v>0</v>
      </c>
      <c r="D74" s="30">
        <f t="shared" si="29"/>
        <v>-1928.9764000000002</v>
      </c>
      <c r="E74" s="30">
        <f t="shared" si="29"/>
        <v>-3703.6346880000006</v>
      </c>
      <c r="F74" s="30">
        <f t="shared" si="29"/>
        <v>-3407.3439129600006</v>
      </c>
      <c r="G74" s="30">
        <f t="shared" si="29"/>
        <v>-22063.866399923205</v>
      </c>
      <c r="H74" s="30">
        <f t="shared" si="29"/>
        <v>-39339.887087929354</v>
      </c>
      <c r="I74" s="30">
        <f t="shared" si="29"/>
        <v>-36304.716120895006</v>
      </c>
      <c r="J74" s="30">
        <f t="shared" si="29"/>
        <v>-33400.338831223402</v>
      </c>
    </row>
    <row r="75" spans="1:11" x14ac:dyDescent="0.25">
      <c r="A75" t="s">
        <v>82</v>
      </c>
      <c r="B75" s="30">
        <f>-B122</f>
        <v>-1059.3000000000002</v>
      </c>
      <c r="C75" s="30">
        <f t="shared" ref="C75:J75" si="30">-C122</f>
        <v>-1535.9850000000001</v>
      </c>
      <c r="D75" s="30">
        <f t="shared" si="30"/>
        <v>-691.19324999999992</v>
      </c>
      <c r="E75" s="30">
        <f t="shared" si="30"/>
        <v>-311.0369624999999</v>
      </c>
      <c r="F75" s="30">
        <f t="shared" si="30"/>
        <v>-139.96663312499993</v>
      </c>
      <c r="G75" s="30">
        <f t="shared" si="30"/>
        <v>-3255.01723490625</v>
      </c>
      <c r="H75" s="30">
        <f t="shared" si="30"/>
        <v>-4656.7900057078123</v>
      </c>
      <c r="I75" s="30">
        <f t="shared" si="30"/>
        <v>-6017.0912525685153</v>
      </c>
      <c r="J75" s="30">
        <f t="shared" si="30"/>
        <v>-10550.762563655831</v>
      </c>
    </row>
    <row r="76" spans="1:11" ht="15.75" thickBot="1" x14ac:dyDescent="0.3">
      <c r="A76" t="s">
        <v>41</v>
      </c>
      <c r="B76" s="31">
        <f>SUM(B72:B75)</f>
        <v>-828.78105978000008</v>
      </c>
      <c r="C76" s="31">
        <f t="shared" ref="C76:J76" si="31">SUM(C72:C75)</f>
        <v>-1071.547220952003</v>
      </c>
      <c r="D76" s="31">
        <f t="shared" si="31"/>
        <v>-681.35496362899846</v>
      </c>
      <c r="E76" s="31">
        <f t="shared" si="31"/>
        <v>-572.0916607040017</v>
      </c>
      <c r="F76" s="31">
        <f t="shared" si="31"/>
        <v>-134.67933222899444</v>
      </c>
      <c r="G76" s="31">
        <f t="shared" si="31"/>
        <v>-1364.1413927894478</v>
      </c>
      <c r="H76" s="31">
        <f t="shared" si="31"/>
        <v>0.55121470285212126</v>
      </c>
      <c r="I76" s="31">
        <f t="shared" si="31"/>
        <v>1523.8023227464992</v>
      </c>
      <c r="J76" s="31">
        <f t="shared" si="31"/>
        <v>-1390.0849995992121</v>
      </c>
    </row>
    <row r="77" spans="1:11" ht="15.75" thickTop="1" x14ac:dyDescent="0.25"/>
    <row r="78" spans="1:11" x14ac:dyDescent="0.25">
      <c r="A78" t="s">
        <v>44</v>
      </c>
      <c r="B78" s="17">
        <v>0.26500000000000001</v>
      </c>
      <c r="C78" s="17">
        <v>0.26500000000000001</v>
      </c>
      <c r="D78" s="17">
        <v>0.26500000000000001</v>
      </c>
      <c r="E78" s="17">
        <v>0.26500000000000001</v>
      </c>
      <c r="F78" s="17">
        <v>0.26500000000000001</v>
      </c>
      <c r="G78" s="17">
        <v>0.26500000000000001</v>
      </c>
      <c r="H78" s="17">
        <v>0.26500000000000001</v>
      </c>
      <c r="I78" s="17">
        <v>0.26500000000000001</v>
      </c>
      <c r="J78" s="17">
        <v>0.26500000000000001</v>
      </c>
    </row>
    <row r="80" spans="1:11" x14ac:dyDescent="0.25">
      <c r="A80" t="s">
        <v>42</v>
      </c>
      <c r="B80" s="9">
        <f>B76*B78</f>
        <v>-219.62698084170003</v>
      </c>
      <c r="C80" s="9">
        <f t="shared" ref="C80:J80" si="32">C76*C78</f>
        <v>-283.96001355228083</v>
      </c>
      <c r="D80" s="9">
        <f t="shared" si="32"/>
        <v>-180.55906536168459</v>
      </c>
      <c r="E80" s="9">
        <f t="shared" si="32"/>
        <v>-151.60429008656047</v>
      </c>
      <c r="F80" s="9">
        <f t="shared" si="32"/>
        <v>-35.690023040683528</v>
      </c>
      <c r="G80" s="9">
        <f t="shared" si="32"/>
        <v>-361.49746908920366</v>
      </c>
      <c r="H80" s="9">
        <f t="shared" si="32"/>
        <v>0.14607189625581216</v>
      </c>
      <c r="I80" s="9">
        <f t="shared" si="32"/>
        <v>403.80761552782229</v>
      </c>
      <c r="J80" s="9">
        <f t="shared" si="32"/>
        <v>-368.37252489379125</v>
      </c>
    </row>
    <row r="82" spans="1:10" x14ac:dyDescent="0.25">
      <c r="A82" s="1" t="s">
        <v>43</v>
      </c>
    </row>
    <row r="83" spans="1:10" x14ac:dyDescent="0.25">
      <c r="A83" t="s">
        <v>44</v>
      </c>
      <c r="B83" s="32">
        <v>0.26500000000000001</v>
      </c>
      <c r="C83" s="32">
        <v>0.26500000000000001</v>
      </c>
      <c r="D83" s="32">
        <v>0.26500000000000001</v>
      </c>
      <c r="E83" s="32">
        <v>0.26500000000000001</v>
      </c>
      <c r="F83" s="32">
        <v>0.26500000000000001</v>
      </c>
      <c r="G83" s="32">
        <v>0.26500000000000001</v>
      </c>
      <c r="H83" s="32">
        <v>0.26500000000000001</v>
      </c>
      <c r="I83" s="32">
        <v>0.26500000000000001</v>
      </c>
      <c r="J83" s="32">
        <v>0.26500000000000001</v>
      </c>
    </row>
    <row r="84" spans="1:10" ht="15.75" thickBot="1" x14ac:dyDescent="0.3">
      <c r="A84" t="s">
        <v>45</v>
      </c>
      <c r="B84" s="33">
        <f>B80/(1-B83)</f>
        <v>-298.81221883224492</v>
      </c>
      <c r="C84" s="33">
        <f t="shared" ref="C84:J84" si="33">C80/(1-C83)</f>
        <v>-386.3401544928991</v>
      </c>
      <c r="D84" s="33">
        <f t="shared" si="33"/>
        <v>-245.65859232882258</v>
      </c>
      <c r="E84" s="33">
        <f t="shared" si="33"/>
        <v>-206.26434025382378</v>
      </c>
      <c r="F84" s="33">
        <f t="shared" si="33"/>
        <v>-48.557854477120443</v>
      </c>
      <c r="G84" s="33">
        <f t="shared" si="33"/>
        <v>-491.8332912778281</v>
      </c>
      <c r="H84" s="33">
        <f t="shared" si="33"/>
        <v>0.1987372738174315</v>
      </c>
      <c r="I84" s="33">
        <f t="shared" si="33"/>
        <v>549.39811636438412</v>
      </c>
      <c r="J84" s="33">
        <f t="shared" si="33"/>
        <v>-501.18710869903572</v>
      </c>
    </row>
    <row r="85" spans="1:10" ht="15.75" thickTop="1" x14ac:dyDescent="0.25"/>
    <row r="95" spans="1:10" x14ac:dyDescent="0.25">
      <c r="A95" s="1" t="s">
        <v>46</v>
      </c>
    </row>
    <row r="97" spans="1:1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x14ac:dyDescent="0.25">
      <c r="A98" t="s">
        <v>47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x14ac:dyDescent="0.25">
      <c r="A100" s="1" t="s">
        <v>48</v>
      </c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x14ac:dyDescent="0.25">
      <c r="A101" t="s">
        <v>49</v>
      </c>
      <c r="B101" s="10">
        <v>0</v>
      </c>
      <c r="C101" s="10">
        <v>0</v>
      </c>
      <c r="D101" s="10">
        <v>0</v>
      </c>
      <c r="E101" s="10">
        <f>D110</f>
        <v>46295.433600000004</v>
      </c>
      <c r="F101" s="10">
        <f t="shared" ref="F101:J101" si="34">E110</f>
        <v>42591.798912000006</v>
      </c>
      <c r="G101" s="10">
        <f t="shared" si="34"/>
        <v>39184.454999040005</v>
      </c>
      <c r="H101" s="10">
        <f t="shared" si="34"/>
        <v>490348.33859911689</v>
      </c>
      <c r="I101" s="10">
        <f t="shared" si="34"/>
        <v>453808.95151118754</v>
      </c>
      <c r="J101" s="10">
        <f t="shared" si="34"/>
        <v>417504.23539029254</v>
      </c>
      <c r="K101" s="10"/>
    </row>
    <row r="102" spans="1:11" x14ac:dyDescent="0.25">
      <c r="A102" t="s">
        <v>50</v>
      </c>
      <c r="B102" s="10"/>
      <c r="C102" s="10">
        <v>0</v>
      </c>
      <c r="D102" s="10">
        <v>48224.41</v>
      </c>
      <c r="E102" s="10">
        <v>0</v>
      </c>
      <c r="F102" s="10">
        <v>0</v>
      </c>
      <c r="G102" s="10">
        <v>473227.75000000012</v>
      </c>
      <c r="H102" s="10">
        <v>2800.5</v>
      </c>
      <c r="I102" s="10">
        <v>0</v>
      </c>
      <c r="J102" s="10">
        <v>0</v>
      </c>
      <c r="K102" s="10">
        <f>SUM(B102:I102)</f>
        <v>524252.66000000015</v>
      </c>
    </row>
    <row r="103" spans="1:11" x14ac:dyDescent="0.25">
      <c r="A103" t="s">
        <v>51</v>
      </c>
      <c r="B103" s="10">
        <v>0</v>
      </c>
      <c r="C103" s="10">
        <v>0</v>
      </c>
      <c r="D103" s="11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/>
    </row>
    <row r="104" spans="1:11" x14ac:dyDescent="0.25">
      <c r="A104" t="s">
        <v>52</v>
      </c>
      <c r="B104" s="34">
        <f t="shared" ref="B104:C104" si="35">B101+B102+B103</f>
        <v>0</v>
      </c>
      <c r="C104" s="34">
        <f t="shared" si="35"/>
        <v>0</v>
      </c>
      <c r="D104" s="34">
        <f>D101+D102+D103</f>
        <v>48224.41</v>
      </c>
      <c r="E104" s="34">
        <f t="shared" ref="E104:J104" si="36">E101+E102+E103</f>
        <v>46295.433600000004</v>
      </c>
      <c r="F104" s="34">
        <f t="shared" si="36"/>
        <v>42591.798912000006</v>
      </c>
      <c r="G104" s="34">
        <f t="shared" si="36"/>
        <v>512412.20499904011</v>
      </c>
      <c r="H104" s="34">
        <f t="shared" si="36"/>
        <v>493148.83859911689</v>
      </c>
      <c r="I104" s="34">
        <f t="shared" si="36"/>
        <v>453808.95151118754</v>
      </c>
      <c r="J104" s="34">
        <f t="shared" si="36"/>
        <v>417504.23539029254</v>
      </c>
      <c r="K104" s="10"/>
    </row>
    <row r="105" spans="1:11" x14ac:dyDescent="0.25">
      <c r="A105" t="s">
        <v>53</v>
      </c>
      <c r="B105" s="10">
        <f t="shared" ref="B105:C105" si="37">B102/2</f>
        <v>0</v>
      </c>
      <c r="C105" s="10">
        <f t="shared" si="37"/>
        <v>0</v>
      </c>
      <c r="D105" s="10">
        <f>D102/2</f>
        <v>24112.205000000002</v>
      </c>
      <c r="E105" s="10">
        <f t="shared" ref="E105:J105" si="38">E102/2</f>
        <v>0</v>
      </c>
      <c r="F105" s="10">
        <f t="shared" si="38"/>
        <v>0</v>
      </c>
      <c r="G105" s="10">
        <f t="shared" si="38"/>
        <v>236613.87500000006</v>
      </c>
      <c r="H105" s="10">
        <f t="shared" si="38"/>
        <v>1400.25</v>
      </c>
      <c r="I105" s="10">
        <f t="shared" si="38"/>
        <v>0</v>
      </c>
      <c r="J105" s="10">
        <f t="shared" si="38"/>
        <v>0</v>
      </c>
      <c r="K105" s="10"/>
    </row>
    <row r="106" spans="1:11" x14ac:dyDescent="0.25">
      <c r="A106" t="s">
        <v>54</v>
      </c>
      <c r="B106" s="10">
        <f t="shared" ref="B106:C106" si="39">+B105+B101</f>
        <v>0</v>
      </c>
      <c r="C106" s="10">
        <f t="shared" si="39"/>
        <v>0</v>
      </c>
      <c r="D106" s="10">
        <f>+D105+D101</f>
        <v>24112.205000000002</v>
      </c>
      <c r="E106" s="10">
        <f t="shared" ref="E106:J106" si="40">+E105+E101</f>
        <v>46295.433600000004</v>
      </c>
      <c r="F106" s="10">
        <f t="shared" si="40"/>
        <v>42591.798912000006</v>
      </c>
      <c r="G106" s="10">
        <f t="shared" si="40"/>
        <v>275798.32999904006</v>
      </c>
      <c r="H106" s="10">
        <f t="shared" si="40"/>
        <v>491748.58859911689</v>
      </c>
      <c r="I106" s="10">
        <f t="shared" si="40"/>
        <v>453808.95151118754</v>
      </c>
      <c r="J106" s="10">
        <f t="shared" si="40"/>
        <v>417504.23539029254</v>
      </c>
      <c r="K106" s="10"/>
    </row>
    <row r="107" spans="1:11" x14ac:dyDescent="0.25">
      <c r="A107" t="s">
        <v>55</v>
      </c>
      <c r="B107" s="35">
        <v>47</v>
      </c>
      <c r="C107" s="35">
        <v>47</v>
      </c>
      <c r="D107" s="35">
        <v>47</v>
      </c>
      <c r="E107" s="35">
        <v>47</v>
      </c>
      <c r="F107" s="35">
        <v>47</v>
      </c>
      <c r="G107" s="35">
        <v>47</v>
      </c>
      <c r="H107" s="35">
        <v>47</v>
      </c>
      <c r="I107" s="35">
        <v>47</v>
      </c>
      <c r="J107" s="35">
        <v>47</v>
      </c>
      <c r="K107" s="10"/>
    </row>
    <row r="108" spans="1:11" x14ac:dyDescent="0.25">
      <c r="A108" t="s">
        <v>56</v>
      </c>
      <c r="B108" s="36">
        <v>0.08</v>
      </c>
      <c r="C108" s="36">
        <v>0.08</v>
      </c>
      <c r="D108" s="36">
        <v>0.08</v>
      </c>
      <c r="E108" s="36">
        <v>0.08</v>
      </c>
      <c r="F108" s="36">
        <v>0.08</v>
      </c>
      <c r="G108" s="36">
        <v>0.08</v>
      </c>
      <c r="H108" s="36">
        <v>0.08</v>
      </c>
      <c r="I108" s="36">
        <v>0.08</v>
      </c>
      <c r="J108" s="36">
        <v>0.08</v>
      </c>
      <c r="K108" s="10"/>
    </row>
    <row r="109" spans="1:11" x14ac:dyDescent="0.25">
      <c r="A109" t="s">
        <v>57</v>
      </c>
      <c r="B109" s="11">
        <f t="shared" ref="B109:C109" si="41">B106*B108</f>
        <v>0</v>
      </c>
      <c r="C109" s="11">
        <f t="shared" si="41"/>
        <v>0</v>
      </c>
      <c r="D109" s="11">
        <f>D106*D108</f>
        <v>1928.9764000000002</v>
      </c>
      <c r="E109" s="11">
        <f t="shared" ref="E109:J109" si="42">E106*E108</f>
        <v>3703.6346880000006</v>
      </c>
      <c r="F109" s="11">
        <f t="shared" si="42"/>
        <v>3407.3439129600006</v>
      </c>
      <c r="G109" s="11">
        <f t="shared" si="42"/>
        <v>22063.866399923205</v>
      </c>
      <c r="H109" s="11">
        <f t="shared" si="42"/>
        <v>39339.887087929354</v>
      </c>
      <c r="I109" s="11">
        <f t="shared" si="42"/>
        <v>36304.716120895006</v>
      </c>
      <c r="J109" s="11">
        <f t="shared" si="42"/>
        <v>33400.338831223402</v>
      </c>
      <c r="K109" s="10"/>
    </row>
    <row r="110" spans="1:11" ht="15.75" thickBot="1" x14ac:dyDescent="0.3">
      <c r="A110" t="s">
        <v>58</v>
      </c>
      <c r="B110" s="33">
        <f t="shared" ref="B110:C110" si="43">B104-B109</f>
        <v>0</v>
      </c>
      <c r="C110" s="33">
        <f t="shared" si="43"/>
        <v>0</v>
      </c>
      <c r="D110" s="33">
        <f>D104-D109</f>
        <v>46295.433600000004</v>
      </c>
      <c r="E110" s="33">
        <f t="shared" ref="E110:J110" si="44">E104-E109</f>
        <v>42591.798912000006</v>
      </c>
      <c r="F110" s="33">
        <f t="shared" si="44"/>
        <v>39184.454999040005</v>
      </c>
      <c r="G110" s="33">
        <f t="shared" si="44"/>
        <v>490348.33859911689</v>
      </c>
      <c r="H110" s="33">
        <f t="shared" si="44"/>
        <v>453808.95151118754</v>
      </c>
      <c r="I110" s="33">
        <f t="shared" si="44"/>
        <v>417504.23539029254</v>
      </c>
      <c r="J110" s="33">
        <f t="shared" si="44"/>
        <v>384103.89655906917</v>
      </c>
      <c r="K110" s="10"/>
    </row>
    <row r="111" spans="1:11" ht="15.75" thickTop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x14ac:dyDescent="0.25">
      <c r="A113" s="1" t="s">
        <v>59</v>
      </c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x14ac:dyDescent="0.25">
      <c r="A114" t="s">
        <v>49</v>
      </c>
      <c r="B114" s="10">
        <v>0</v>
      </c>
      <c r="C114" s="10">
        <f>B123</f>
        <v>2792.7</v>
      </c>
      <c r="D114" s="10">
        <f t="shared" ref="D114:J114" si="45">C123</f>
        <v>1256.7149999999997</v>
      </c>
      <c r="E114" s="10">
        <f t="shared" si="45"/>
        <v>565.52174999999977</v>
      </c>
      <c r="F114" s="10">
        <f t="shared" si="45"/>
        <v>254.48478749999987</v>
      </c>
      <c r="G114" s="10">
        <f t="shared" si="45"/>
        <v>114.51815437499994</v>
      </c>
      <c r="H114" s="10">
        <f t="shared" si="45"/>
        <v>8466.8909194687494</v>
      </c>
      <c r="I114" s="10">
        <f t="shared" si="45"/>
        <v>3810.1009137609371</v>
      </c>
      <c r="J114" s="10">
        <f t="shared" si="45"/>
        <v>12053.139661192421</v>
      </c>
      <c r="K114" s="10"/>
    </row>
    <row r="115" spans="1:11" x14ac:dyDescent="0.25">
      <c r="A115" t="s">
        <v>50</v>
      </c>
      <c r="B115" s="10">
        <v>3852</v>
      </c>
      <c r="C115" s="10">
        <v>0</v>
      </c>
      <c r="D115" s="10">
        <v>0</v>
      </c>
      <c r="E115" s="10">
        <v>0</v>
      </c>
      <c r="F115" s="10">
        <v>0</v>
      </c>
      <c r="G115" s="10">
        <v>11607.39</v>
      </c>
      <c r="H115" s="10">
        <v>0</v>
      </c>
      <c r="I115" s="10">
        <v>14260.13</v>
      </c>
      <c r="J115" s="10">
        <v>14260.13</v>
      </c>
      <c r="K115" s="10">
        <f>SUM(B115:I115)</f>
        <v>29719.519999999997</v>
      </c>
    </row>
    <row r="116" spans="1:11" x14ac:dyDescent="0.25">
      <c r="A116" t="s">
        <v>51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/>
    </row>
    <row r="117" spans="1:11" x14ac:dyDescent="0.25">
      <c r="A117" t="s">
        <v>52</v>
      </c>
      <c r="B117" s="34">
        <f t="shared" ref="B117:J117" si="46">B114+B115+B116</f>
        <v>3852</v>
      </c>
      <c r="C117" s="34">
        <f t="shared" si="46"/>
        <v>2792.7</v>
      </c>
      <c r="D117" s="34">
        <f t="shared" si="46"/>
        <v>1256.7149999999997</v>
      </c>
      <c r="E117" s="34">
        <f t="shared" si="46"/>
        <v>565.52174999999977</v>
      </c>
      <c r="F117" s="34">
        <f t="shared" si="46"/>
        <v>254.48478749999987</v>
      </c>
      <c r="G117" s="34">
        <f t="shared" si="46"/>
        <v>11721.908154375</v>
      </c>
      <c r="H117" s="34">
        <f t="shared" si="46"/>
        <v>8466.8909194687494</v>
      </c>
      <c r="I117" s="34">
        <f t="shared" si="46"/>
        <v>18070.230913760937</v>
      </c>
      <c r="J117" s="34">
        <f t="shared" si="46"/>
        <v>26313.269661192418</v>
      </c>
    </row>
    <row r="118" spans="1:11" x14ac:dyDescent="0.25">
      <c r="A118" t="s">
        <v>53</v>
      </c>
      <c r="B118" s="10">
        <f t="shared" ref="B118:J118" si="47">B115/2</f>
        <v>1926</v>
      </c>
      <c r="C118" s="10">
        <f t="shared" si="47"/>
        <v>0</v>
      </c>
      <c r="D118" s="10">
        <f t="shared" si="47"/>
        <v>0</v>
      </c>
      <c r="E118" s="10">
        <f t="shared" si="47"/>
        <v>0</v>
      </c>
      <c r="F118" s="10">
        <f t="shared" si="47"/>
        <v>0</v>
      </c>
      <c r="G118" s="10">
        <f t="shared" si="47"/>
        <v>5803.6949999999997</v>
      </c>
      <c r="H118" s="10">
        <f t="shared" si="47"/>
        <v>0</v>
      </c>
      <c r="I118" s="10">
        <f t="shared" si="47"/>
        <v>7130.0649999999996</v>
      </c>
      <c r="J118" s="10">
        <f t="shared" si="47"/>
        <v>7130.0649999999996</v>
      </c>
    </row>
    <row r="119" spans="1:11" x14ac:dyDescent="0.25">
      <c r="A119" t="s">
        <v>54</v>
      </c>
      <c r="B119" s="10">
        <f t="shared" ref="B119:J119" si="48">+B118+B114</f>
        <v>1926</v>
      </c>
      <c r="C119" s="10">
        <f t="shared" si="48"/>
        <v>2792.7</v>
      </c>
      <c r="D119" s="10">
        <f t="shared" si="48"/>
        <v>1256.7149999999997</v>
      </c>
      <c r="E119" s="10">
        <f t="shared" si="48"/>
        <v>565.52174999999977</v>
      </c>
      <c r="F119" s="10">
        <f t="shared" si="48"/>
        <v>254.48478749999987</v>
      </c>
      <c r="G119" s="10">
        <f t="shared" si="48"/>
        <v>5918.2131543749992</v>
      </c>
      <c r="H119" s="10">
        <f t="shared" si="48"/>
        <v>8466.8909194687494</v>
      </c>
      <c r="I119" s="10">
        <f t="shared" si="48"/>
        <v>10940.165913760937</v>
      </c>
      <c r="J119" s="10">
        <f t="shared" si="48"/>
        <v>19183.20466119242</v>
      </c>
    </row>
    <row r="120" spans="1:11" x14ac:dyDescent="0.25">
      <c r="A120" t="s">
        <v>55</v>
      </c>
      <c r="B120" s="35">
        <v>50</v>
      </c>
      <c r="C120" s="35">
        <v>50</v>
      </c>
      <c r="D120" s="35">
        <v>50</v>
      </c>
      <c r="E120" s="35">
        <v>50</v>
      </c>
      <c r="F120" s="35">
        <v>50</v>
      </c>
      <c r="G120" s="35">
        <v>50</v>
      </c>
      <c r="H120" s="35">
        <v>50</v>
      </c>
      <c r="I120" s="35">
        <v>50</v>
      </c>
      <c r="J120" s="35">
        <v>50</v>
      </c>
    </row>
    <row r="121" spans="1:11" x14ac:dyDescent="0.25">
      <c r="A121" t="s">
        <v>56</v>
      </c>
      <c r="B121" s="36">
        <v>0.55000000000000004</v>
      </c>
      <c r="C121" s="36">
        <v>0.55000000000000004</v>
      </c>
      <c r="D121" s="36">
        <v>0.55000000000000004</v>
      </c>
      <c r="E121" s="36">
        <v>0.55000000000000004</v>
      </c>
      <c r="F121" s="36">
        <v>0.55000000000000004</v>
      </c>
      <c r="G121" s="36">
        <v>0.55000000000000004</v>
      </c>
      <c r="H121" s="36">
        <v>0.55000000000000004</v>
      </c>
      <c r="I121" s="36">
        <v>0.55000000000000004</v>
      </c>
      <c r="J121" s="36">
        <v>0.55000000000000004</v>
      </c>
    </row>
    <row r="122" spans="1:11" x14ac:dyDescent="0.25">
      <c r="A122" t="s">
        <v>57</v>
      </c>
      <c r="B122" s="11">
        <f>B119*B121</f>
        <v>1059.3000000000002</v>
      </c>
      <c r="C122" s="11">
        <f t="shared" ref="C122:J122" si="49">C119*C121</f>
        <v>1535.9850000000001</v>
      </c>
      <c r="D122" s="11">
        <f t="shared" si="49"/>
        <v>691.19324999999992</v>
      </c>
      <c r="E122" s="11">
        <f t="shared" si="49"/>
        <v>311.0369624999999</v>
      </c>
      <c r="F122" s="11">
        <f t="shared" si="49"/>
        <v>139.96663312499993</v>
      </c>
      <c r="G122" s="11">
        <f t="shared" si="49"/>
        <v>3255.01723490625</v>
      </c>
      <c r="H122" s="11">
        <f t="shared" si="49"/>
        <v>4656.7900057078123</v>
      </c>
      <c r="I122" s="11">
        <f t="shared" si="49"/>
        <v>6017.0912525685153</v>
      </c>
      <c r="J122" s="11">
        <f t="shared" si="49"/>
        <v>10550.762563655831</v>
      </c>
    </row>
    <row r="123" spans="1:11" ht="15.75" thickBot="1" x14ac:dyDescent="0.3">
      <c r="A123" t="s">
        <v>58</v>
      </c>
      <c r="B123" s="33">
        <f>B117-B122</f>
        <v>2792.7</v>
      </c>
      <c r="C123" s="33">
        <f t="shared" ref="C123:J123" si="50">C117-C122</f>
        <v>1256.7149999999997</v>
      </c>
      <c r="D123" s="33">
        <f t="shared" si="50"/>
        <v>565.52174999999977</v>
      </c>
      <c r="E123" s="33">
        <f t="shared" si="50"/>
        <v>254.48478749999987</v>
      </c>
      <c r="F123" s="33">
        <f t="shared" si="50"/>
        <v>114.51815437499994</v>
      </c>
      <c r="G123" s="33">
        <f t="shared" si="50"/>
        <v>8466.8909194687494</v>
      </c>
      <c r="H123" s="33">
        <f t="shared" si="50"/>
        <v>3810.1009137609371</v>
      </c>
      <c r="I123" s="33">
        <f t="shared" si="50"/>
        <v>12053.139661192421</v>
      </c>
      <c r="J123" s="33">
        <f t="shared" si="50"/>
        <v>15762.507097536587</v>
      </c>
    </row>
    <row r="124" spans="1:11" ht="15.75" thickTop="1" x14ac:dyDescent="0.25">
      <c r="J124" t="s">
        <v>76</v>
      </c>
      <c r="K124" s="9">
        <f>K102+K115</f>
        <v>553972.18000000017</v>
      </c>
    </row>
    <row r="125" spans="1:11" x14ac:dyDescent="0.25">
      <c r="J125" s="39" t="s">
        <v>77</v>
      </c>
      <c r="K125" s="23">
        <f>J4+J6+J8</f>
        <v>553972.18000000028</v>
      </c>
    </row>
    <row r="126" spans="1:11" x14ac:dyDescent="0.25">
      <c r="A126" s="1" t="s">
        <v>17</v>
      </c>
      <c r="B126" s="1" t="s">
        <v>60</v>
      </c>
      <c r="K126" s="9">
        <f>K124-K125</f>
        <v>0</v>
      </c>
    </row>
    <row r="127" spans="1:11" x14ac:dyDescent="0.25">
      <c r="A127" s="37" t="s">
        <v>61</v>
      </c>
      <c r="B127" s="12">
        <v>0.04</v>
      </c>
    </row>
    <row r="128" spans="1:11" x14ac:dyDescent="0.25">
      <c r="A128" s="37" t="s">
        <v>62</v>
      </c>
      <c r="B128" s="12">
        <v>0.56000000000000005</v>
      </c>
    </row>
    <row r="129" spans="1:4" x14ac:dyDescent="0.25">
      <c r="A129" s="37" t="s">
        <v>63</v>
      </c>
      <c r="B129" s="12">
        <v>0.4</v>
      </c>
    </row>
    <row r="130" spans="1:4" x14ac:dyDescent="0.25">
      <c r="A130" s="37" t="s">
        <v>21</v>
      </c>
    </row>
    <row r="131" spans="1:4" x14ac:dyDescent="0.25">
      <c r="A131" s="37" t="s">
        <v>1</v>
      </c>
      <c r="B131" s="12">
        <f>SUM(B127:B130)</f>
        <v>1</v>
      </c>
    </row>
    <row r="133" spans="1:4" x14ac:dyDescent="0.25">
      <c r="A133" s="1" t="s">
        <v>64</v>
      </c>
      <c r="B133" s="2">
        <v>2012</v>
      </c>
      <c r="C133" s="2" t="s">
        <v>65</v>
      </c>
      <c r="D133" s="2">
        <v>2020</v>
      </c>
    </row>
    <row r="134" spans="1:4" x14ac:dyDescent="0.25">
      <c r="A134" s="37" t="s">
        <v>66</v>
      </c>
      <c r="B134" s="38">
        <v>1.3299999999999999E-2</v>
      </c>
      <c r="C134" s="17">
        <v>2.07E-2</v>
      </c>
      <c r="D134" s="17">
        <v>2.75E-2</v>
      </c>
    </row>
    <row r="135" spans="1:4" x14ac:dyDescent="0.25">
      <c r="A135" s="37" t="s">
        <v>67</v>
      </c>
      <c r="B135" s="38">
        <v>7.0099999999999996E-2</v>
      </c>
      <c r="C135" s="17">
        <v>4.1399999999999999E-2</v>
      </c>
      <c r="D135" s="17">
        <v>3.1800000000000002E-2</v>
      </c>
    </row>
    <row r="136" spans="1:4" x14ac:dyDescent="0.25">
      <c r="A136" s="37" t="s">
        <v>68</v>
      </c>
      <c r="B136" s="38">
        <v>8.0100000000000005E-2</v>
      </c>
      <c r="C136" s="17">
        <v>8.9800000000000005E-2</v>
      </c>
      <c r="D136" s="17">
        <v>8.5199999999999998E-2</v>
      </c>
    </row>
    <row r="137" spans="1:4" x14ac:dyDescent="0.25">
      <c r="A137" s="37" t="s">
        <v>69</v>
      </c>
      <c r="B137" s="37"/>
    </row>
    <row r="138" spans="1:4" x14ac:dyDescent="0.25">
      <c r="A138" s="37" t="s">
        <v>70</v>
      </c>
      <c r="B138" s="32">
        <f>($B$127*B134)+($B$128*B135)+($B$129*B136)</f>
        <v>7.1828000000000003E-2</v>
      </c>
      <c r="C138" s="32">
        <f>($B$127*C134)+($B$128*C135)+($B$129*C136)</f>
        <v>5.9931999999999999E-2</v>
      </c>
      <c r="D138" s="32">
        <f>($B$127*D134)+($B$128*D135)+($B$129*D136)</f>
        <v>5.2988000000000007E-2</v>
      </c>
    </row>
  </sheetData>
  <pageMargins left="0.7" right="0.7" top="0.75" bottom="0.75" header="0.3" footer="0.3"/>
  <pageSetup paperSize="1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 Rev Reqt</vt:lpstr>
    </vt:vector>
  </TitlesOfParts>
  <Company>GSU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Luttrell, Tiija</dc:creator>
  <cp:lastModifiedBy>Luttrell, Tiija</cp:lastModifiedBy>
  <cp:lastPrinted>2020-03-02T22:21:27Z</cp:lastPrinted>
  <dcterms:created xsi:type="dcterms:W3CDTF">2020-03-02T22:14:45Z</dcterms:created>
  <dcterms:modified xsi:type="dcterms:W3CDTF">2020-03-02T22:29:47Z</dcterms:modified>
</cp:coreProperties>
</file>