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0640" yWindow="0" windowWidth="20640" windowHeight="16700" activeTab="4"/>
  </bookViews>
  <sheets>
    <sheet name="Table 1" sheetId="15" r:id="rId2"/>
    <sheet name="Table 2" sheetId="6" r:id="rId3"/>
    <sheet name="Table 3" sheetId="13" r:id="rId4"/>
    <sheet name="Table 4" sheetId="14" r:id="rId5"/>
    <sheet name="Table 5" sheetId="18" r:id="rId6"/>
  </sheets>
  <definedNames>
    <definedName name="_xlnm.Print_Area" localSheetId="0">'Table 1'!$A$1:$J$38</definedName>
    <definedName name="_xlnm.Print_Area" localSheetId="1">'Table 2'!$A$1:$G$40</definedName>
    <definedName name="_xlnm.Print_Area" localSheetId="2">'Table 3'!$A$1:$G$40</definedName>
    <definedName name="_xlnm.Print_Area" localSheetId="3">'Table 4'!$A$1:$M$37</definedName>
  </definedNames>
  <calcPr calcId="162913" iterate="1" iterateCount="100" iterateDelta="1E-0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5" l="1"/>
</calcChain>
</file>

<file path=xl/sharedStrings.xml><?xml version="1.0" encoding="utf-8"?>
<sst xmlns="http://schemas.openxmlformats.org/spreadsheetml/2006/main" count="154" uniqueCount="77">
  <si>
    <t>kWh</t>
  </si>
  <si>
    <t>kW</t>
  </si>
  <si>
    <t>Total</t>
  </si>
  <si>
    <t>General Service Less Than 50 kW - NTRZ</t>
  </si>
  <si>
    <t>Residential - NTRZ</t>
  </si>
  <si>
    <t>Sentinel Lighting - NTRZ</t>
  </si>
  <si>
    <t>Street Lighting - NTRZ</t>
  </si>
  <si>
    <t>Unmetered Scattered Load - NTRZ</t>
  </si>
  <si>
    <t>Residential - MRZ</t>
  </si>
  <si>
    <t>General Service Less Than 50 kW - MRZ</t>
  </si>
  <si>
    <t>General Service 50 to 4,999 kW - MRZ</t>
  </si>
  <si>
    <t>Fixed</t>
  </si>
  <si>
    <t>Variable</t>
  </si>
  <si>
    <t>General Service 50 to 4,999 kW - NTRZ Thermal</t>
  </si>
  <si>
    <t>General Service 50 to 4,999 kW - NTRZ Interval</t>
  </si>
  <si>
    <t>Rate Class</t>
  </si>
  <si>
    <t>General Service 50 to 4,999 kW - NTRZ Thermal &amp; Interval</t>
  </si>
  <si>
    <t>Fixed proportion %</t>
  </si>
  <si>
    <t>Proposed band adjustment</t>
  </si>
  <si>
    <t>Annual fixed split</t>
  </si>
  <si>
    <t>Annual variable split</t>
  </si>
  <si>
    <t>Annual variable revenue</t>
  </si>
  <si>
    <t>Annual fixed revenue</t>
  </si>
  <si>
    <t>Monthly variable rate adj</t>
  </si>
  <si>
    <t>Monthly fixed rate adj</t>
  </si>
  <si>
    <t>Total annual revenue with band adj</t>
  </si>
  <si>
    <t>Total annual band adjustment</t>
  </si>
  <si>
    <t>Annual variable transformer allowance</t>
  </si>
  <si>
    <t>Total annual revenue excl addl chgs I6.1</t>
  </si>
  <si>
    <t>Variable proportion %</t>
  </si>
  <si>
    <t>General Service 50 to 4,999 kW - NTRZ Ther &amp; Inter</t>
  </si>
  <si>
    <t>OEB target bands</t>
  </si>
  <si>
    <t>85-115%</t>
  </si>
  <si>
    <t>80-120%</t>
  </si>
  <si>
    <t>Revenue vs Cost ratio</t>
  </si>
  <si>
    <t>General Service 50 to 4,999 kW - NTRZ Therm &amp; Int</t>
  </si>
  <si>
    <t>Revenue vs Cost ratio % incl adj</t>
  </si>
  <si>
    <t>Adj $ to OEB target band</t>
  </si>
  <si>
    <t># of cust</t>
  </si>
  <si>
    <t># of connects</t>
  </si>
  <si>
    <t>Fixed distribution rate</t>
  </si>
  <si>
    <t>Variable distribution rate</t>
  </si>
  <si>
    <t>2019 rate</t>
  </si>
  <si>
    <t>Fixed Band adj</t>
  </si>
  <si>
    <t>Variable Band adj</t>
  </si>
  <si>
    <t>Proposed rate with band adj</t>
  </si>
  <si>
    <t>Proposed with band adj</t>
  </si>
  <si>
    <t>Street Lighting - MRZ</t>
  </si>
  <si>
    <t>Unmetered Scattered Load - MRZ</t>
  </si>
  <si>
    <t>2018 billing determinants (I6.1 &amp; I6.2)</t>
  </si>
  <si>
    <t>Monthly fixed rate</t>
  </si>
  <si>
    <t xml:space="preserve">Monthly variable rate </t>
  </si>
  <si>
    <r>
      <t>Monthly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fixed rate with band adj</t>
    </r>
  </si>
  <si>
    <t>Monthly variable rate with band adj</t>
  </si>
  <si>
    <t>Cost Allocation</t>
  </si>
  <si>
    <t>Settlement</t>
  </si>
  <si>
    <t>2019 Fixed</t>
  </si>
  <si>
    <t>2019 Variable</t>
  </si>
  <si>
    <t>May variable</t>
  </si>
  <si>
    <t>May fixed</t>
  </si>
  <si>
    <t>2019 Distribution Revenue</t>
  </si>
  <si>
    <t>2019 rates</t>
  </si>
  <si>
    <t>2019 Proposed fixed/variable proportions</t>
  </si>
  <si>
    <t>Annual fixed revenue with band adj</t>
  </si>
  <si>
    <t>Annual variable revenue with band adj</t>
  </si>
  <si>
    <t>Transformer Allowance</t>
  </si>
  <si>
    <t>Table 1 - Revenue vs costs band adjustment analysis</t>
  </si>
  <si>
    <t>CAM Revenue</t>
  </si>
  <si>
    <t>CAM 
Cost</t>
  </si>
  <si>
    <t>CAM Revenue to Cost Ratio %</t>
  </si>
  <si>
    <t>Table 5 - 2019 Proposed monthly rate charges</t>
  </si>
  <si>
    <t>Table 2 - 2019 Fixed and variable rates by rate class</t>
  </si>
  <si>
    <t>Table 3 - 2019 Fixed and variable proportion by rate class</t>
  </si>
  <si>
    <t>Table 4 - 2019 Proposed fixed and variable proportion by rate class</t>
  </si>
  <si>
    <t xml:space="preserve">Total Revenue Requirement </t>
  </si>
  <si>
    <t>Total Base Revenue Reqirement</t>
  </si>
  <si>
    <t xml:space="preserve">Miscellaneous Revenue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</si>
</sst>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* #,##0_-;\-* #,##0_-;_-* &quot;-&quot;??_-;_-@_-"/>
    <numFmt numFmtId="167" formatCode="_(* #,##0_);_(* \(#,##0\);_(* &quot;-&quot;??_);_(@_)"/>
    <numFmt numFmtId="168" formatCode="_-* #,##0.0000_-;\-* #,##0.0000_-;_-* &quot;-&quot;??_-;_-@_-"/>
    <numFmt numFmtId="169" formatCode="0.0%"/>
    <numFmt numFmtId="170" formatCode="_(* #,##0.0000_);_(* \(#,##0.0000\);_(* &quot;-&quot;??_);_(@_)"/>
    <numFmt numFmtId="171" formatCode="0.00000"/>
    <numFmt numFmtId="172" formatCode="_-* #,##0.00000_-;\-* #,##0.00000_-;_-* &quot;-&quot;?????_-;_-@_-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8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 style="double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167" fontId="0" fillId="0" borderId="0" xfId="0" applyNumberFormat="1" applyAlignment="1">
      <alignment vertical="center"/>
    </xf>
    <xf numFmtId="164" fontId="0" fillId="0" borderId="0" xfId="18" applyFont="1"/>
    <xf numFmtId="166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2" xfId="0" applyBorder="1"/>
    <xf numFmtId="164" fontId="0" fillId="0" borderId="2" xfId="18" applyFont="1" applyBorder="1"/>
    <xf numFmtId="168" fontId="0" fillId="0" borderId="2" xfId="18" applyNumberFormat="1" applyFont="1" applyBorder="1"/>
    <xf numFmtId="0" fontId="0" fillId="0" borderId="3" xfId="0" applyBorder="1"/>
    <xf numFmtId="164" fontId="0" fillId="0" borderId="3" xfId="18" applyFont="1" applyBorder="1"/>
    <xf numFmtId="168" fontId="0" fillId="0" borderId="3" xfId="18" applyNumberFormat="1" applyFont="1" applyBorder="1"/>
    <xf numFmtId="164" fontId="0" fillId="0" borderId="2" xfId="0" applyNumberFormat="1" applyBorder="1"/>
    <xf numFmtId="168" fontId="0" fillId="0" borderId="1" xfId="18" applyNumberFormat="1" applyFont="1" applyBorder="1"/>
    <xf numFmtId="164" fontId="0" fillId="0" borderId="1" xfId="0" applyNumberFormat="1" applyBorder="1"/>
    <xf numFmtId="164" fontId="0" fillId="0" borderId="3" xfId="0" applyNumberFormat="1" applyBorder="1"/>
    <xf numFmtId="168" fontId="0" fillId="0" borderId="2" xfId="0" applyNumberFormat="1" applyBorder="1"/>
    <xf numFmtId="166" fontId="0" fillId="0" borderId="1" xfId="18" applyNumberFormat="1" applyFont="1" applyBorder="1"/>
    <xf numFmtId="166" fontId="0" fillId="0" borderId="2" xfId="18" applyNumberFormat="1" applyFont="1" applyBorder="1"/>
    <xf numFmtId="166" fontId="0" fillId="0" borderId="3" xfId="18" applyNumberFormat="1" applyFont="1" applyBorder="1"/>
    <xf numFmtId="169" fontId="0" fillId="0" borderId="1" xfId="15" applyNumberFormat="1" applyFont="1" applyBorder="1"/>
    <xf numFmtId="169" fontId="0" fillId="0" borderId="2" xfId="15" applyNumberFormat="1" applyFont="1" applyBorder="1"/>
    <xf numFmtId="169" fontId="0" fillId="0" borderId="3" xfId="15" applyNumberFormat="1" applyFont="1" applyBorder="1"/>
    <xf numFmtId="0" fontId="2" fillId="0" borderId="2" xfId="0" applyFont="1" applyFill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7" xfId="0" applyNumberFormat="1" applyFont="1" applyBorder="1"/>
    <xf numFmtId="168" fontId="0" fillId="0" borderId="3" xfId="0" applyNumberFormat="1" applyBorder="1"/>
    <xf numFmtId="167" fontId="2" fillId="0" borderId="4" xfId="0" applyNumberFormat="1" applyFont="1" applyBorder="1" applyAlignment="1">
      <alignment vertical="center"/>
    </xf>
    <xf numFmtId="0" fontId="5" fillId="0" borderId="0" xfId="0" applyFont="1" applyFill="1" applyBorder="1"/>
    <xf numFmtId="167" fontId="0" fillId="0" borderId="1" xfId="0" applyNumberFormat="1" applyBorder="1" applyAlignment="1">
      <alignment vertical="center"/>
    </xf>
    <xf numFmtId="167" fontId="0" fillId="0" borderId="2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70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2" borderId="0" xfId="0" applyFill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10" fontId="0" fillId="0" borderId="2" xfId="15" applyNumberFormat="1" applyFont="1" applyBorder="1"/>
    <xf numFmtId="10" fontId="0" fillId="0" borderId="3" xfId="15" applyNumberFormat="1" applyFont="1" applyBorder="1"/>
    <xf numFmtId="10" fontId="0" fillId="0" borderId="1" xfId="15" applyNumberFormat="1" applyFont="1" applyBorder="1"/>
    <xf numFmtId="0" fontId="2" fillId="0" borderId="0" xfId="0" applyFont="1"/>
    <xf numFmtId="0" fontId="2" fillId="2" borderId="9" xfId="0" applyFont="1" applyFill="1" applyBorder="1" applyAlignment="1">
      <alignment horizontal="center" wrapText="1"/>
    </xf>
    <xf numFmtId="166" fontId="0" fillId="0" borderId="0" xfId="18" applyNumberFormat="1" applyFont="1"/>
    <xf numFmtId="166" fontId="2" fillId="0" borderId="1" xfId="0" applyNumberFormat="1" applyFont="1" applyBorder="1"/>
    <xf numFmtId="166" fontId="2" fillId="0" borderId="10" xfId="0" applyNumberFormat="1" applyFont="1" applyBorder="1"/>
    <xf numFmtId="166" fontId="0" fillId="0" borderId="0" xfId="0" applyNumberFormat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0" fillId="0" borderId="9" xfId="0" applyBorder="1"/>
    <xf numFmtId="164" fontId="0" fillId="0" borderId="12" xfId="0" applyNumberFormat="1" applyBorder="1" applyAlignment="1">
      <alignment vertical="center"/>
    </xf>
    <xf numFmtId="164" fontId="0" fillId="0" borderId="0" xfId="0" applyNumberFormat="1"/>
    <xf numFmtId="2" fontId="0" fillId="0" borderId="0" xfId="0" applyNumberFormat="1"/>
    <xf numFmtId="171" fontId="0" fillId="0" borderId="0" xfId="0" applyNumberFormat="1"/>
    <xf numFmtId="164" fontId="0" fillId="0" borderId="0" xfId="0" applyNumberFormat="1"/>
    <xf numFmtId="172" fontId="0" fillId="0" borderId="0" xfId="0" applyNumberFormat="1"/>
    <xf numFmtId="0" fontId="2" fillId="2" borderId="3" xfId="0" applyFont="1" applyFill="1" applyBorder="1" applyAlignment="1">
      <alignment horizontal="center" wrapText="1"/>
    </xf>
    <xf numFmtId="166" fontId="0" fillId="0" borderId="2" xfId="0" applyNumberFormat="1" applyBorder="1"/>
    <xf numFmtId="0" fontId="0" fillId="2" borderId="0" xfId="0" applyFill="1" applyAlignment="1">
      <alignment horizontal="center"/>
    </xf>
    <xf numFmtId="0" fontId="0" fillId="0" borderId="9" xfId="0" applyFill="1" applyBorder="1"/>
    <xf numFmtId="166" fontId="0" fillId="0" borderId="9" xfId="18" applyNumberFormat="1" applyFont="1" applyBorder="1"/>
    <xf numFmtId="167" fontId="0" fillId="0" borderId="0" xfId="0" applyNumberFormat="1" applyBorder="1" applyAlignment="1">
      <alignment vertical="center"/>
    </xf>
    <xf numFmtId="0" fontId="0" fillId="0" borderId="5" xfId="0" applyFill="1" applyBorder="1"/>
    <xf numFmtId="0" fontId="0" fillId="0" borderId="6" xfId="0" applyBorder="1"/>
    <xf numFmtId="167" fontId="0" fillId="0" borderId="12" xfId="0" applyNumberFormat="1" applyBorder="1" applyAlignment="1">
      <alignment vertical="center"/>
    </xf>
    <xf numFmtId="0" fontId="0" fillId="0" borderId="13" xfId="0" applyBorder="1"/>
    <xf numFmtId="0" fontId="0" fillId="0" borderId="14" xfId="0" applyBorder="1"/>
    <xf numFmtId="166" fontId="0" fillId="0" borderId="14" xfId="0" applyNumberFormat="1" applyBorder="1"/>
    <xf numFmtId="166" fontId="0" fillId="0" borderId="15" xfId="0" applyNumberFormat="1" applyBorder="1"/>
    <xf numFmtId="0" fontId="7" fillId="3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</cellXfs>
  <cellStyles count="12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 4" xfId="20"/>
    <cellStyle name="Comma 4 4" xfId="21"/>
    <cellStyle name="Percent 2 3" xfId="22"/>
    <cellStyle name="Currency 2" xfId="23"/>
    <cellStyle name="Currency 2 3" xfId="24"/>
    <cellStyle name="Comma 4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8" Type="http://schemas.openxmlformats.org/officeDocument/2006/relationships/sharedStrings" Target="sharedStrings.xml" /><Relationship Id="rId4" Type="http://schemas.openxmlformats.org/officeDocument/2006/relationships/worksheet" Target="worksheets/sheet3.xml" /><Relationship Id="rId9" Type="http://schemas.openxmlformats.org/officeDocument/2006/relationships/customXml" Target="../customXml/item1.xml" /><Relationship Id="rId6" Type="http://schemas.openxmlformats.org/officeDocument/2006/relationships/worksheet" Target="worksheets/sheet5.xml" /><Relationship Id="rId10" Type="http://schemas.openxmlformats.org/officeDocument/2006/relationships/calcChain" Target="calcChain.xml" /><Relationship Id="rId3" Type="http://schemas.openxmlformats.org/officeDocument/2006/relationships/worksheet" Target="worksheets/sheet2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zoomScale="80" zoomScaleNormal="80" workbookViewId="0" topLeftCell="A4">
      <selection pane="topLeft" activeCell="D23" sqref="D23:D25"/>
    </sheetView>
  </sheetViews>
  <sheetFormatPr defaultRowHeight="15"/>
  <cols>
    <col min="1" max="1" width="39.5714285714286" customWidth="1"/>
    <col min="2" max="2" width="10.1428571428571" customWidth="1"/>
    <col min="3" max="3" width="13.5714285714286" customWidth="1"/>
    <col min="4" max="4" width="11.4285714285714" customWidth="1"/>
    <col min="5" max="5" width="11.1428571428571" customWidth="1"/>
    <col min="6" max="6" width="12.8571428571429" customWidth="1"/>
    <col min="7" max="7" width="12.5714285714286" customWidth="1"/>
    <col min="8" max="8" width="11.1428571428571" bestFit="1" customWidth="1"/>
    <col min="9" max="9" width="8" bestFit="1" customWidth="1"/>
    <col min="10" max="10" width="9.14285714285714" customWidth="1"/>
    <col min="11" max="11" width="12.5714285714286" customWidth="1"/>
    <col min="12" max="12" width="12.4285714285714" customWidth="1"/>
  </cols>
  <sheetData>
    <row r="1" spans="1:1" ht="18.5">
      <c r="A1" s="1" t="s">
        <v>54</v>
      </c>
    </row>
    <row r="2" ht="14.5"/>
    <row r="3" spans="1:1" ht="14.5">
      <c r="A3" s="46" t="s">
        <v>55</v>
      </c>
    </row>
    <row r="4" spans="1:7" ht="15.5">
      <c r="A4" s="73" t="s">
        <v>66</v>
      </c>
      <c r="B4" s="73"/>
      <c r="C4" s="73"/>
      <c r="D4" s="73"/>
      <c r="E4" s="73"/>
      <c r="F4" s="73"/>
      <c r="G4" s="73"/>
    </row>
    <row r="5" spans="1:7" ht="14.5" customHeight="1">
      <c r="A5" s="62"/>
      <c r="B5" s="74" t="s">
        <v>34</v>
      </c>
      <c r="C5" s="75"/>
      <c r="D5" s="75"/>
      <c r="E5" s="75"/>
      <c r="F5" s="75"/>
      <c r="G5" s="75"/>
    </row>
    <row r="6" spans="1:7" ht="71.4" customHeight="1">
      <c r="A6" s="39" t="s">
        <v>15</v>
      </c>
      <c r="B6" s="60" t="s">
        <v>31</v>
      </c>
      <c r="C6" s="47" t="s">
        <v>67</v>
      </c>
      <c r="D6" s="47" t="s">
        <v>68</v>
      </c>
      <c r="E6" s="60" t="s">
        <v>69</v>
      </c>
      <c r="F6" s="60" t="s">
        <v>37</v>
      </c>
      <c r="G6" s="60" t="s">
        <v>36</v>
      </c>
    </row>
    <row r="7" spans="1:7" ht="14.5">
      <c r="A7" s="7" t="s">
        <v>4</v>
      </c>
      <c r="B7" s="8" t="s">
        <v>32</v>
      </c>
      <c r="C7" s="48">
        <v>12780279</v>
      </c>
      <c r="D7" s="18">
        <v>13759727</v>
      </c>
      <c r="E7" s="45">
        <f t="shared" si="0" ref="E7">C7/D7</f>
        <v>0.92881777378286645</v>
      </c>
      <c r="F7" s="32">
        <f>-SUM(F10:F12)</f>
        <v>288515.60000000003</v>
      </c>
      <c r="G7" s="45">
        <f t="shared" si="1" ref="G7">(C7+F7)/D7</f>
        <v>0.94978589328116758</v>
      </c>
    </row>
    <row r="8" spans="1:7" ht="14.5">
      <c r="A8" s="7" t="s">
        <v>3</v>
      </c>
      <c r="B8" s="8" t="s">
        <v>33</v>
      </c>
      <c r="C8" s="48">
        <v>3376562</v>
      </c>
      <c r="D8" s="19">
        <v>2903302</v>
      </c>
      <c r="E8" s="43">
        <f>C8/D8</f>
        <v>1.163007499736507</v>
      </c>
      <c r="F8" s="7"/>
      <c r="G8" s="43">
        <f>(C8+F8)/D8</f>
        <v>1.163007499736507</v>
      </c>
    </row>
    <row r="9" spans="1:7" ht="14.5">
      <c r="A9" s="7" t="s">
        <v>35</v>
      </c>
      <c r="B9" s="8" t="s">
        <v>33</v>
      </c>
      <c r="C9" s="48">
        <v>3613606</v>
      </c>
      <c r="D9" s="19">
        <v>3439208</v>
      </c>
      <c r="E9" s="43">
        <f>C9/D9</f>
        <v>1.0507087678325939</v>
      </c>
      <c r="F9" s="61"/>
      <c r="G9" s="43">
        <f>(C9+F9)/D9</f>
        <v>1.0507087678325939</v>
      </c>
    </row>
    <row r="10" spans="1:7" ht="14.5">
      <c r="A10" s="7" t="s">
        <v>5</v>
      </c>
      <c r="B10" s="8" t="s">
        <v>33</v>
      </c>
      <c r="C10" s="48">
        <v>12265</v>
      </c>
      <c r="D10" s="19">
        <v>10593</v>
      </c>
      <c r="E10" s="43">
        <f>C10/D10</f>
        <v>1.1578400830737279</v>
      </c>
      <c r="F10" s="61"/>
      <c r="G10" s="43">
        <f>(C10+F10)/D10</f>
        <v>1.1578400830737279</v>
      </c>
    </row>
    <row r="11" spans="1:7" ht="14.5">
      <c r="A11" s="7" t="s">
        <v>6</v>
      </c>
      <c r="B11" s="8" t="s">
        <v>33</v>
      </c>
      <c r="C11" s="48">
        <v>515417</v>
      </c>
      <c r="D11" s="19">
        <v>196916</v>
      </c>
      <c r="E11" s="43">
        <f>C11/D11</f>
        <v>2.6174460175912571</v>
      </c>
      <c r="F11" s="33">
        <f>-(C11-(D11*1.2))</f>
        <v>-279117.80000000005</v>
      </c>
      <c r="G11" s="43">
        <f>(C11+F11)/D11</f>
        <v>1.1999999999999997</v>
      </c>
    </row>
    <row r="12" spans="1:7" ht="14.5">
      <c r="A12" s="7" t="s">
        <v>7</v>
      </c>
      <c r="B12" s="8" t="s">
        <v>33</v>
      </c>
      <c r="C12" s="48">
        <v>22707</v>
      </c>
      <c r="D12" s="19">
        <v>11091</v>
      </c>
      <c r="E12" s="43">
        <f>C12/D12</f>
        <v>2.0473356775764131</v>
      </c>
      <c r="F12" s="33">
        <f>-(C12-(D12*1.2))</f>
        <v>-9397.8000000000011</v>
      </c>
      <c r="G12" s="43">
        <f>(C12+F12)/D12</f>
        <v>1.2</v>
      </c>
    </row>
    <row r="13" spans="1:7" ht="14.5">
      <c r="A13" s="7"/>
      <c r="B13" s="8"/>
      <c r="C13" s="48"/>
      <c r="D13" s="19"/>
      <c r="E13" s="7"/>
      <c r="F13" s="7"/>
      <c r="G13" s="43"/>
    </row>
    <row r="14" spans="1:7" ht="14.5">
      <c r="A14" s="7" t="s">
        <v>8</v>
      </c>
      <c r="B14" s="8" t="s">
        <v>32</v>
      </c>
      <c r="C14" s="48">
        <v>2878452</v>
      </c>
      <c r="D14" s="19">
        <v>2871403</v>
      </c>
      <c r="E14" s="43">
        <f>C14/D14</f>
        <v>1.0024548974839129</v>
      </c>
      <c r="F14" s="33"/>
      <c r="G14" s="43">
        <f>(C14+F14)/D14</f>
        <v>1.0024548974839129</v>
      </c>
    </row>
    <row r="15" spans="1:7" ht="14.5">
      <c r="A15" s="7" t="s">
        <v>9</v>
      </c>
      <c r="B15" s="8" t="s">
        <v>33</v>
      </c>
      <c r="C15" s="48">
        <v>724082</v>
      </c>
      <c r="D15" s="19">
        <v>617071</v>
      </c>
      <c r="E15" s="43">
        <f>C15/D15</f>
        <v>1.1734176456193859</v>
      </c>
      <c r="F15" s="33"/>
      <c r="G15" s="43">
        <f>(C15+F15)/D15</f>
        <v>1.1734176456193859</v>
      </c>
    </row>
    <row r="16" spans="1:7" ht="14.5">
      <c r="A16" s="7" t="s">
        <v>10</v>
      </c>
      <c r="B16" s="8" t="s">
        <v>33</v>
      </c>
      <c r="C16" s="48">
        <v>1068865</v>
      </c>
      <c r="D16" s="19">
        <v>1251616</v>
      </c>
      <c r="E16" s="43">
        <f>C16/D16</f>
        <v>0.85398796435967583</v>
      </c>
      <c r="F16" s="33">
        <f>-F17</f>
        <v>58566.800000000003</v>
      </c>
      <c r="G16" s="43">
        <f>(C16+F16)/D16</f>
        <v>0.90078091043898456</v>
      </c>
    </row>
    <row r="17" spans="1:7" ht="14.5">
      <c r="A17" s="7" t="s">
        <v>47</v>
      </c>
      <c r="B17" s="8" t="s">
        <v>33</v>
      </c>
      <c r="C17" s="48">
        <v>112490</v>
      </c>
      <c r="D17" s="19">
        <v>44936</v>
      </c>
      <c r="E17" s="43">
        <f>C17/D17</f>
        <v>2.5033380808260639</v>
      </c>
      <c r="F17" s="33">
        <f>-(C17-(D17*1.2))</f>
        <v>-58566.800000000003</v>
      </c>
      <c r="G17" s="43">
        <f>(C17+F17)/D17</f>
        <v>1.2</v>
      </c>
    </row>
    <row r="18" spans="1:7" ht="14.5">
      <c r="A18" s="7" t="s">
        <v>48</v>
      </c>
      <c r="B18" s="8" t="s">
        <v>33</v>
      </c>
      <c r="C18" s="64">
        <v>6803</v>
      </c>
      <c r="D18" s="19">
        <v>5666</v>
      </c>
      <c r="E18" s="44">
        <f>C18/D18</f>
        <v>1.2006706671373102</v>
      </c>
      <c r="F18" s="34"/>
      <c r="G18" s="44">
        <f>(C18+F18)/D18</f>
        <v>1.2006706671373102</v>
      </c>
    </row>
    <row r="19" spans="1:4" ht="14.5">
      <c r="A19" s="66" t="s">
        <v>74</v>
      </c>
      <c r="B19" s="67"/>
      <c r="C19" s="27">
        <f>SUM(C7:C18)</f>
        <v>25111528</v>
      </c>
      <c r="D19" s="28">
        <f>SUM(D7:D18)</f>
        <v>25111529</v>
      </c>
    </row>
    <row r="20" spans="1:7" ht="14.5">
      <c r="A20" s="63" t="s">
        <v>76</v>
      </c>
      <c r="B20" s="5"/>
      <c r="C20" s="65">
        <v>-3629364.3300000001</v>
      </c>
      <c r="D20" s="68">
        <v>-3629364.3300000001</v>
      </c>
      <c r="G20" s="4"/>
    </row>
    <row r="21" spans="1:7" ht="14.5">
      <c r="A21" s="69" t="s">
        <v>75</v>
      </c>
      <c r="B21" s="70"/>
      <c r="C21" s="71">
        <f>C19+C20</f>
        <v>21482163.670000002</v>
      </c>
      <c r="D21" s="72">
        <f>D19+D20</f>
        <v>21482164.670000002</v>
      </c>
      <c r="G21" s="4"/>
    </row>
    <row r="22" ht="14.5"/>
    <row r="23" spans="4:4" ht="14.5">
      <c r="D23" s="4"/>
    </row>
  </sheetData>
  <mergeCells count="2">
    <mergeCell ref="A4:G4"/>
    <mergeCell ref="B5:G5"/>
  </mergeCells>
  <pageMargins left="0.196850393700787" right="0.196850393700787" top="0.354330708661417" bottom="0.354330708661417" header="0.15748031496063" footer="0.15748031496063"/>
  <pageSetup orientation="landscape" scale="87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H21"/>
  <sheetViews>
    <sheetView workbookViewId="0" topLeftCell="A7">
      <selection pane="topLeft" activeCell="A4" sqref="A4:G4"/>
    </sheetView>
  </sheetViews>
  <sheetFormatPr defaultRowHeight="15"/>
  <cols>
    <col min="1" max="1" width="43.1428571428571" bestFit="1" customWidth="1"/>
    <col min="2" max="2" width="14" customWidth="1"/>
    <col min="3" max="3" width="13.5714285714286" customWidth="1"/>
    <col min="4" max="4" width="10.1428571428571" customWidth="1"/>
    <col min="5" max="5" width="13.2857142857143" customWidth="1"/>
    <col min="6" max="6" width="12.1428571428571" customWidth="1"/>
    <col min="7" max="7" width="6" bestFit="1" customWidth="1"/>
    <col min="8" max="8" width="12" customWidth="1"/>
    <col min="9" max="9" width="12.4285714285714" customWidth="1"/>
    <col min="10" max="10" width="12" bestFit="1" customWidth="1"/>
    <col min="11" max="11" width="11.5714285714286" bestFit="1" customWidth="1"/>
    <col min="12" max="12" width="12.5714285714286" bestFit="1" customWidth="1"/>
    <col min="13" max="13" width="12.5714285714286" customWidth="1"/>
    <col min="14" max="14" width="12.4285714285714" customWidth="1"/>
  </cols>
  <sheetData>
    <row r="1" spans="1:1" ht="18.5">
      <c r="A1" s="1" t="str">
        <f>'Table 1'!$A$1</f>
        <v>Cost Allocation</v>
      </c>
    </row>
    <row r="2" ht="14.5"/>
    <row r="3" spans="1:1" ht="14.5">
      <c r="A3" s="46" t="str">
        <f>'Table 1'!$A$3</f>
        <v>Settlement</v>
      </c>
    </row>
    <row r="4" spans="1:7" ht="15.5">
      <c r="A4" s="73" t="s">
        <v>71</v>
      </c>
      <c r="B4" s="73"/>
      <c r="C4" s="73"/>
      <c r="D4" s="73"/>
      <c r="E4" s="73"/>
      <c r="F4" s="73"/>
      <c r="G4" s="73"/>
    </row>
    <row r="5" spans="1:7" ht="14.5">
      <c r="A5" s="38"/>
      <c r="B5" s="40" t="s">
        <v>56</v>
      </c>
      <c r="C5" s="52" t="s">
        <v>57</v>
      </c>
      <c r="D5" s="76" t="s">
        <v>49</v>
      </c>
      <c r="E5" s="77"/>
      <c r="F5" s="77"/>
      <c r="G5" s="78"/>
    </row>
    <row r="6" spans="1:7" ht="14.5">
      <c r="A6" s="39" t="s">
        <v>15</v>
      </c>
      <c r="B6" s="41" t="s">
        <v>59</v>
      </c>
      <c r="C6" s="41" t="s">
        <v>58</v>
      </c>
      <c r="D6" s="76" t="s">
        <v>11</v>
      </c>
      <c r="E6" s="78"/>
      <c r="F6" s="76" t="s">
        <v>12</v>
      </c>
      <c r="G6" s="78"/>
    </row>
    <row r="7" spans="1:7" ht="14.5">
      <c r="A7" s="7" t="s">
        <v>4</v>
      </c>
      <c r="B7" s="15">
        <v>27.609999999999999</v>
      </c>
      <c r="C7" s="14">
        <v>0</v>
      </c>
      <c r="D7" s="18">
        <f>32622</f>
        <v>32622</v>
      </c>
      <c r="E7" s="18" t="s">
        <v>38</v>
      </c>
      <c r="F7" s="18">
        <v>282139763</v>
      </c>
      <c r="G7" s="18" t="s">
        <v>0</v>
      </c>
    </row>
    <row r="8" spans="1:7" ht="14.5">
      <c r="A8" s="7" t="s">
        <v>3</v>
      </c>
      <c r="B8" s="13">
        <v>31.010000000000002</v>
      </c>
      <c r="C8" s="9">
        <v>0.020299999999999999</v>
      </c>
      <c r="D8" s="19">
        <f>3186</f>
        <v>3186</v>
      </c>
      <c r="E8" s="19" t="s">
        <v>38</v>
      </c>
      <c r="F8" s="19">
        <v>91548982</v>
      </c>
      <c r="G8" s="19" t="s">
        <v>0</v>
      </c>
    </row>
    <row r="9" spans="1:7" ht="14.5">
      <c r="A9" s="7" t="s">
        <v>13</v>
      </c>
      <c r="B9" s="13">
        <v>140.62000000000001</v>
      </c>
      <c r="C9" s="9">
        <v>4.8510999999999997</v>
      </c>
      <c r="D9" s="19"/>
      <c r="E9" s="7"/>
      <c r="F9" s="19"/>
      <c r="G9" s="7"/>
    </row>
    <row r="10" spans="1:7" ht="14.5">
      <c r="A10" s="7" t="s">
        <v>14</v>
      </c>
      <c r="B10" s="13">
        <v>140.62000000000001</v>
      </c>
      <c r="C10" s="9">
        <v>4.9866999999999999</v>
      </c>
      <c r="D10" s="19"/>
      <c r="E10" s="7"/>
      <c r="F10" s="19"/>
      <c r="G10" s="7"/>
    </row>
    <row r="11" spans="1:7" ht="14.5">
      <c r="A11" s="7" t="s">
        <v>30</v>
      </c>
      <c r="B11" s="13">
        <f>SUM(B9:B10)/2</f>
        <v>140.62000000000001</v>
      </c>
      <c r="C11" s="17">
        <f>SUM(C9:C10)/2</f>
        <v>4.9188999999999998</v>
      </c>
      <c r="D11" s="19">
        <f>384</f>
        <v>384</v>
      </c>
      <c r="E11" s="19" t="s">
        <v>38</v>
      </c>
      <c r="F11" s="19">
        <v>621805</v>
      </c>
      <c r="G11" s="19" t="s">
        <v>1</v>
      </c>
    </row>
    <row r="12" spans="1:7" ht="14.5">
      <c r="A12" s="7" t="s">
        <v>5</v>
      </c>
      <c r="B12" s="13">
        <v>3.2999999999999998</v>
      </c>
      <c r="C12" s="9">
        <v>12.6396</v>
      </c>
      <c r="D12" s="19">
        <f>32</f>
        <v>32</v>
      </c>
      <c r="E12" s="19" t="s">
        <v>38</v>
      </c>
      <c r="F12" s="19">
        <v>764</v>
      </c>
      <c r="G12" s="19" t="s">
        <v>1</v>
      </c>
    </row>
    <row r="13" spans="1:7" ht="14.5">
      <c r="A13" s="7" t="s">
        <v>6</v>
      </c>
      <c r="B13" s="13">
        <v>3.2400000000000002</v>
      </c>
      <c r="C13" s="9">
        <v>16.108799999999999</v>
      </c>
      <c r="D13" s="19">
        <f>9091</f>
        <v>9091</v>
      </c>
      <c r="E13" s="19" t="s">
        <v>39</v>
      </c>
      <c r="F13" s="19">
        <v>6897</v>
      </c>
      <c r="G13" s="19" t="s">
        <v>1</v>
      </c>
    </row>
    <row r="14" spans="1:7" ht="14.5">
      <c r="A14" s="7" t="s">
        <v>7</v>
      </c>
      <c r="B14" s="13">
        <v>17.91</v>
      </c>
      <c r="C14" s="9">
        <v>0.0206</v>
      </c>
      <c r="D14" s="19">
        <f>46</f>
        <v>46</v>
      </c>
      <c r="E14" s="19" t="s">
        <v>38</v>
      </c>
      <c r="F14" s="19">
        <v>552037</v>
      </c>
      <c r="G14" s="19" t="s">
        <v>0</v>
      </c>
    </row>
    <row r="15" spans="1:7" ht="14.5">
      <c r="A15" s="7"/>
      <c r="B15" s="7"/>
      <c r="C15" s="9"/>
      <c r="D15" s="19"/>
      <c r="E15" s="7"/>
      <c r="F15" s="19"/>
      <c r="G15" s="7"/>
    </row>
    <row r="16" spans="1:7" ht="14.5">
      <c r="A16" s="7" t="s">
        <v>8</v>
      </c>
      <c r="B16" s="13">
        <v>30.940000000000001</v>
      </c>
      <c r="C16" s="9">
        <v>0</v>
      </c>
      <c r="D16" s="19">
        <v>6453</v>
      </c>
      <c r="E16" s="19" t="s">
        <v>38</v>
      </c>
      <c r="F16" s="19">
        <v>50684557</v>
      </c>
      <c r="G16" s="19" t="s">
        <v>0</v>
      </c>
    </row>
    <row r="17" spans="1:7" ht="14.5">
      <c r="A17" s="7" t="s">
        <v>9</v>
      </c>
      <c r="B17" s="13">
        <v>23.030000000000001</v>
      </c>
      <c r="C17" s="9">
        <v>0.017000000000000001</v>
      </c>
      <c r="D17" s="19">
        <v>771</v>
      </c>
      <c r="E17" s="19" t="s">
        <v>38</v>
      </c>
      <c r="F17" s="19">
        <v>24374246</v>
      </c>
      <c r="G17" s="19" t="s">
        <v>0</v>
      </c>
    </row>
    <row r="18" spans="1:7" ht="14.5">
      <c r="A18" s="7" t="s">
        <v>10</v>
      </c>
      <c r="B18" s="13">
        <v>65.090000000000003</v>
      </c>
      <c r="C18" s="9">
        <v>3.3170000000000002</v>
      </c>
      <c r="D18" s="19">
        <f>108</f>
        <v>108</v>
      </c>
      <c r="E18" s="19" t="s">
        <v>38</v>
      </c>
      <c r="F18" s="19">
        <v>282527</v>
      </c>
      <c r="G18" s="19" t="s">
        <v>1</v>
      </c>
    </row>
    <row r="19" spans="1:7" ht="14.5">
      <c r="A19" s="7" t="s">
        <v>47</v>
      </c>
      <c r="B19" s="13">
        <v>3.9399999999999999</v>
      </c>
      <c r="C19" s="9">
        <v>9.0935000000000006</v>
      </c>
      <c r="D19" s="19">
        <f>1846</f>
        <v>1846</v>
      </c>
      <c r="E19" s="19" t="s">
        <v>39</v>
      </c>
      <c r="F19" s="19">
        <v>1410</v>
      </c>
      <c r="G19" s="19" t="s">
        <v>1</v>
      </c>
    </row>
    <row r="20" spans="1:7" ht="14.5">
      <c r="A20" s="10" t="s">
        <v>48</v>
      </c>
      <c r="B20" s="16">
        <v>10.65</v>
      </c>
      <c r="C20" s="12">
        <v>0.0114</v>
      </c>
      <c r="D20" s="20">
        <f>11</f>
        <v>11</v>
      </c>
      <c r="E20" s="20" t="s">
        <v>38</v>
      </c>
      <c r="F20" s="20">
        <v>395009</v>
      </c>
      <c r="G20" s="20" t="s">
        <v>0</v>
      </c>
    </row>
    <row r="21" spans="7:8" ht="14.5">
      <c r="G21" s="3"/>
      <c r="H21" s="3"/>
    </row>
  </sheetData>
  <mergeCells count="4">
    <mergeCell ref="A4:G4"/>
    <mergeCell ref="D5:G5"/>
    <mergeCell ref="D6:E6"/>
    <mergeCell ref="F6:G6"/>
  </mergeCells>
  <pageMargins left="0.2" right="0.2" top="0.34" bottom="0.35" header="0.17" footer="0.17"/>
  <pageSetup orientation="landscape" scale="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7">
      <selection pane="topLeft" activeCell="E23" sqref="E23"/>
    </sheetView>
  </sheetViews>
  <sheetFormatPr defaultRowHeight="15"/>
  <cols>
    <col min="1" max="1" width="41.5714285714286" customWidth="1"/>
    <col min="2" max="2" width="11.5714285714286" bestFit="1" customWidth="1"/>
    <col min="3" max="3" width="10.4285714285714" bestFit="1" customWidth="1"/>
    <col min="4" max="4" width="11" bestFit="1" customWidth="1"/>
    <col min="5" max="5" width="11.5714285714286" bestFit="1" customWidth="1"/>
    <col min="6" max="7" width="10.1428571428571" bestFit="1" customWidth="1"/>
    <col min="8" max="8" width="12.5714285714286" bestFit="1" customWidth="1"/>
    <col min="9" max="9" width="12.5714285714286" customWidth="1"/>
    <col min="10" max="10" width="12.4285714285714" customWidth="1"/>
  </cols>
  <sheetData>
    <row r="1" spans="1:1" ht="18.5">
      <c r="A1" s="1" t="str">
        <f>'Table 1'!$A$1</f>
        <v>Cost Allocation</v>
      </c>
    </row>
    <row r="2" ht="14.5"/>
    <row r="3" spans="1:1" ht="14.5">
      <c r="A3" s="46" t="str">
        <f>'Table 1'!$A$3</f>
        <v>Settlement</v>
      </c>
    </row>
    <row r="4" spans="1:7" ht="15.5">
      <c r="A4" s="73" t="s">
        <v>72</v>
      </c>
      <c r="B4" s="73"/>
      <c r="C4" s="73"/>
      <c r="D4" s="73"/>
      <c r="E4" s="73"/>
      <c r="F4" s="73"/>
      <c r="G4" s="73"/>
    </row>
    <row r="5" spans="1:7" ht="14.5">
      <c r="A5" s="38"/>
      <c r="B5" s="79" t="s">
        <v>60</v>
      </c>
      <c r="C5" s="79"/>
      <c r="D5" s="79"/>
      <c r="E5" s="79"/>
      <c r="F5" s="79"/>
      <c r="G5" s="79"/>
    </row>
    <row r="6" spans="1:7" ht="72.5">
      <c r="A6" s="41" t="s">
        <v>15</v>
      </c>
      <c r="B6" s="41" t="s">
        <v>22</v>
      </c>
      <c r="C6" s="41" t="s">
        <v>21</v>
      </c>
      <c r="D6" s="41" t="s">
        <v>27</v>
      </c>
      <c r="E6" s="41" t="s">
        <v>28</v>
      </c>
      <c r="F6" s="41" t="s">
        <v>17</v>
      </c>
      <c r="G6" s="41" t="s">
        <v>29</v>
      </c>
    </row>
    <row r="7" spans="1:7" ht="14.5">
      <c r="A7" s="6" t="s">
        <v>4</v>
      </c>
      <c r="B7" s="18">
        <f>'Table 2'!B7*'Table 2'!D7*12</f>
        <v>10808321.039999999</v>
      </c>
      <c r="C7" s="18">
        <f>'Table 2'!C7*'Table 2'!F7</f>
        <v>0</v>
      </c>
      <c r="D7" s="2">
        <v>0</v>
      </c>
      <c r="E7" s="19">
        <f t="shared" si="0" ref="E7">SUM(B7:D7)</f>
        <v>10808321.039999999</v>
      </c>
      <c r="F7" s="21">
        <f t="shared" si="1" ref="F7">B7/$E7</f>
        <v>1</v>
      </c>
      <c r="G7" s="21">
        <f t="shared" si="2" ref="G7">(C7+D7)/$E7</f>
        <v>0</v>
      </c>
    </row>
    <row r="8" spans="1:7" ht="14.5">
      <c r="A8" s="7" t="s">
        <v>3</v>
      </c>
      <c r="B8" s="19">
        <f>'Table 2'!B8*'Table 2'!D8*12</f>
        <v>1185574.3200000001</v>
      </c>
      <c r="C8" s="19">
        <f>'Table 2'!C8*'Table 2'!F8</f>
        <v>1858444.3345999999</v>
      </c>
      <c r="D8" s="2">
        <v>0</v>
      </c>
      <c r="E8" s="19">
        <f>SUM(B8:D8)</f>
        <v>3044018.6546</v>
      </c>
      <c r="F8" s="22">
        <f>B8/$E8</f>
        <v>0.38947669332065599</v>
      </c>
      <c r="G8" s="22">
        <f>(C8+D8)/$E8</f>
        <v>0.61052330667934396</v>
      </c>
    </row>
    <row r="9" spans="1:7" ht="14.5">
      <c r="A9" s="7" t="s">
        <v>30</v>
      </c>
      <c r="B9" s="19">
        <f>'Table 2'!B11*'Table 2'!D11*12</f>
        <v>647976.95999999996</v>
      </c>
      <c r="C9" s="19">
        <f>'Table 2'!C11*'Table 2'!F11</f>
        <v>3058596.6144999997</v>
      </c>
      <c r="D9" s="2">
        <v>-438492</v>
      </c>
      <c r="E9" s="19">
        <f>SUM(B9:D9)</f>
        <v>3268081.5744999996</v>
      </c>
      <c r="F9" s="22">
        <f>B9/$E9</f>
        <v>0.19827441427900625</v>
      </c>
      <c r="G9" s="22">
        <f>(C9+D9)/$E9</f>
        <v>0.80172558572099373</v>
      </c>
    </row>
    <row r="10" spans="1:7" ht="14.5">
      <c r="A10" s="7" t="s">
        <v>5</v>
      </c>
      <c r="B10" s="19">
        <f>'Table 2'!B12*'Table 2'!D12*12+1</f>
        <v>1268.1999999999998</v>
      </c>
      <c r="C10" s="19">
        <f>'Table 2'!C12*'Table 2'!F12</f>
        <v>9656.6543999999994</v>
      </c>
      <c r="D10" s="2">
        <v>0</v>
      </c>
      <c r="E10" s="19">
        <f>SUM(B10:D10)</f>
        <v>10924.8544</v>
      </c>
      <c r="F10" s="22">
        <f>B10/$E10</f>
        <v>0.11608392694002401</v>
      </c>
      <c r="G10" s="22">
        <f>(C10+D10)/$E10</f>
        <v>0.88391607305997588</v>
      </c>
    </row>
    <row r="11" spans="1:7" ht="14.5">
      <c r="A11" s="7" t="s">
        <v>6</v>
      </c>
      <c r="B11" s="19">
        <f>'Table 2'!B13*'Table 2'!D13*12+2</f>
        <v>353460.08000000002</v>
      </c>
      <c r="C11" s="19">
        <f>'Table 2'!C13*'Table 2'!F13</f>
        <v>111102.3936</v>
      </c>
      <c r="D11" s="2">
        <v>0</v>
      </c>
      <c r="E11" s="19">
        <f>SUM(B11:D11)</f>
        <v>464562.47360000003</v>
      </c>
      <c r="F11" s="22">
        <f>B11/$E11</f>
        <v>0.76084509637844322</v>
      </c>
      <c r="G11" s="22">
        <f>(C11+D11)/$E11</f>
        <v>0.23915490362155673</v>
      </c>
    </row>
    <row r="12" spans="1:7" ht="14.5">
      <c r="A12" s="7" t="s">
        <v>7</v>
      </c>
      <c r="B12" s="19">
        <f>'Table 2'!B14*'Table 2'!D14*12</f>
        <v>9886.3199999999997</v>
      </c>
      <c r="C12" s="19">
        <f>'Table 2'!C14*'Table 2'!F14</f>
        <v>11371.9622</v>
      </c>
      <c r="D12" s="2">
        <v>0</v>
      </c>
      <c r="E12" s="19">
        <f>SUM(B12:D12)</f>
        <v>21258.282200000001</v>
      </c>
      <c r="F12" s="22">
        <f>B12/$E12</f>
        <v>0.46505733186663589</v>
      </c>
      <c r="G12" s="22">
        <f>(C12+D12)/$E12</f>
        <v>0.534942668133364</v>
      </c>
    </row>
    <row r="13" spans="1:7" ht="14.5">
      <c r="A13" s="7"/>
      <c r="B13" s="19"/>
      <c r="C13" s="19"/>
      <c r="D13" s="2"/>
      <c r="E13" s="19"/>
      <c r="F13" s="22"/>
      <c r="G13" s="22"/>
    </row>
    <row r="14" spans="1:7" ht="14.5">
      <c r="A14" s="7"/>
      <c r="B14" s="19"/>
      <c r="C14" s="19"/>
      <c r="D14" s="2"/>
      <c r="E14" s="19"/>
      <c r="F14" s="22"/>
      <c r="G14" s="22"/>
    </row>
    <row r="15" spans="1:7" ht="14.5">
      <c r="A15" s="7"/>
      <c r="B15" s="19"/>
      <c r="C15" s="19"/>
      <c r="D15" s="2"/>
      <c r="E15" s="19"/>
      <c r="F15" s="7"/>
      <c r="G15" s="7"/>
    </row>
    <row r="16" spans="1:7" ht="14.5">
      <c r="A16" s="7" t="s">
        <v>8</v>
      </c>
      <c r="B16" s="19">
        <f>'Table 2'!B16*'Table 2'!D16*12</f>
        <v>2395869.8399999999</v>
      </c>
      <c r="C16" s="19">
        <f>'Table 2'!C16*'Table 2'!F16</f>
        <v>0</v>
      </c>
      <c r="D16" s="2">
        <v>0</v>
      </c>
      <c r="E16" s="19">
        <f>SUM(B16:D16)</f>
        <v>2395869.8399999999</v>
      </c>
      <c r="F16" s="22">
        <f>B16/$E16</f>
        <v>1</v>
      </c>
      <c r="G16" s="22">
        <f>(C16+D16)/$E16</f>
        <v>0</v>
      </c>
    </row>
    <row r="17" spans="1:7" ht="14.5">
      <c r="A17" s="7" t="s">
        <v>9</v>
      </c>
      <c r="B17" s="19">
        <f>'Table 2'!B17*'Table 2'!D17*12</f>
        <v>213073.56</v>
      </c>
      <c r="C17" s="19">
        <f>'Table 2'!C17*'Table 2'!F17</f>
        <v>414362.18200000003</v>
      </c>
      <c r="D17" s="2">
        <v>0</v>
      </c>
      <c r="E17" s="19">
        <f>SUM(B17:D17)</f>
        <v>627435.74200000009</v>
      </c>
      <c r="F17" s="22">
        <f>B17/$E17</f>
        <v>0.33959423369923347</v>
      </c>
      <c r="G17" s="22">
        <f>(C17+D17)/$E17</f>
        <v>0.66040576630076642</v>
      </c>
    </row>
    <row r="18" spans="1:7" ht="14.5">
      <c r="A18" s="7" t="s">
        <v>10</v>
      </c>
      <c r="B18" s="19">
        <f>'Table 2'!B18*'Table 2'!D18*12</f>
        <v>84356.639999999999</v>
      </c>
      <c r="C18" s="19">
        <f>'Table 2'!C18*'Table 2'!F18</f>
        <v>937142.05900000001</v>
      </c>
      <c r="D18" s="2">
        <v>-116073</v>
      </c>
      <c r="E18" s="19">
        <f>SUM(B18:D18)</f>
        <v>905425.69900000002</v>
      </c>
      <c r="F18" s="22">
        <f>B18/$E18</f>
        <v>0.093167932049165306</v>
      </c>
      <c r="G18" s="22">
        <f>(C18+D18)/$E18</f>
        <v>0.90683206795083471</v>
      </c>
    </row>
    <row r="19" spans="1:7" ht="14.5">
      <c r="A19" s="7" t="s">
        <v>47</v>
      </c>
      <c r="B19" s="19">
        <f>'Table 2'!B19*'Table 2'!D19*12</f>
        <v>87278.880000000005</v>
      </c>
      <c r="C19" s="19">
        <f>'Table 2'!C19*'Table 2'!F19</f>
        <v>12821.835000000001</v>
      </c>
      <c r="D19" s="2">
        <v>0</v>
      </c>
      <c r="E19" s="19">
        <f>SUM(B19:D19)</f>
        <v>100100.71500000001</v>
      </c>
      <c r="F19" s="22">
        <f>B19/$E19</f>
        <v>0.87191065518363176</v>
      </c>
      <c r="G19" s="22">
        <f>(C19+D19)/$E19</f>
        <v>0.12808934481636819</v>
      </c>
    </row>
    <row r="20" spans="1:7" ht="14.5">
      <c r="A20" s="10" t="s">
        <v>48</v>
      </c>
      <c r="B20" s="19">
        <f>'Table 2'!B20*'Table 2'!D20*12</f>
        <v>1405.8000000000002</v>
      </c>
      <c r="C20" s="19">
        <f>'Table 2'!C20*'Table 2'!F20</f>
        <v>4503.1026000000002</v>
      </c>
      <c r="D20" s="2">
        <v>0</v>
      </c>
      <c r="E20" s="19">
        <f>SUM(B20:D20)</f>
        <v>5908.9026000000003</v>
      </c>
      <c r="F20" s="23">
        <f>B20/$E20</f>
        <v>0.23791219709730874</v>
      </c>
      <c r="G20" s="23">
        <f>(C20+D20)/$E20</f>
        <v>0.76208780290269129</v>
      </c>
    </row>
    <row r="21" spans="1:5" ht="14.5">
      <c r="A21" s="24" t="s">
        <v>2</v>
      </c>
      <c r="B21" s="25">
        <f>SUM(B7:B20)</f>
        <v>15788471.640000003</v>
      </c>
      <c r="C21" s="25">
        <f>SUM(C7:C20)</f>
        <v>6418001.1379000004</v>
      </c>
      <c r="D21" s="30">
        <f>SUM(D7:D20)</f>
        <v>-554565</v>
      </c>
      <c r="E21" s="25">
        <f>SUM(E7:E20)</f>
        <v>21651907.777900003</v>
      </c>
    </row>
    <row r="22" spans="1:2" ht="14.5">
      <c r="A22" s="31"/>
      <c r="B22" s="5"/>
    </row>
  </sheetData>
  <mergeCells count="2">
    <mergeCell ref="B5:G5"/>
    <mergeCell ref="A4:G4"/>
  </mergeCells>
  <pageMargins left="0.2" right="0.2" top="0.34" bottom="0.35" header="0.17" footer="0.17"/>
  <pageSetup orientation="landscape" scale="7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M21"/>
  <sheetViews>
    <sheetView zoomScale="80" zoomScaleNormal="80" workbookViewId="0" topLeftCell="A4">
      <selection pane="topLeft" activeCell="B16" sqref="B16"/>
    </sheetView>
  </sheetViews>
  <sheetFormatPr defaultRowHeight="15"/>
  <cols>
    <col min="1" max="1" width="36.1428571428571" customWidth="1"/>
    <col min="2" max="2" width="10.5714285714286" customWidth="1"/>
    <col min="3" max="3" width="9.14285714285714" customWidth="1"/>
    <col min="4" max="4" width="10.1428571428571" customWidth="1"/>
    <col min="5" max="5" width="8.85714285714286" bestFit="1" customWidth="1"/>
    <col min="6" max="6" width="9.14285714285714" bestFit="1" customWidth="1"/>
    <col min="7" max="7" width="8.85714285714286" bestFit="1" customWidth="1"/>
    <col min="8" max="8" width="10.1428571428571" customWidth="1"/>
    <col min="9" max="10" width="11.1428571428571" customWidth="1"/>
    <col min="11" max="11" width="11.4285714285714" customWidth="1"/>
    <col min="12" max="12" width="11.8571428571429" customWidth="1"/>
    <col min="13" max="13" width="14.8571428571429" customWidth="1"/>
  </cols>
  <sheetData>
    <row r="1" spans="1:1" ht="18.5">
      <c r="A1" s="1" t="str">
        <f>'Table 1'!$A$1</f>
        <v>Cost Allocation</v>
      </c>
    </row>
    <row r="2" spans="1:2" ht="14.5">
      <c r="A2" s="31"/>
      <c r="B2" s="5"/>
    </row>
    <row r="3" spans="1:2" ht="14.5">
      <c r="A3" s="46" t="str">
        <f>'Table 1'!$A$3</f>
        <v>Settlement</v>
      </c>
      <c r="B3" s="5"/>
    </row>
    <row r="4" spans="1:13" ht="15.5">
      <c r="A4" s="73" t="s">
        <v>73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4.5">
      <c r="A5" s="38"/>
      <c r="B5" s="76" t="s">
        <v>18</v>
      </c>
      <c r="C5" s="77"/>
      <c r="D5" s="78"/>
      <c r="E5" s="76" t="s">
        <v>61</v>
      </c>
      <c r="F5" s="77"/>
      <c r="G5" s="77"/>
      <c r="H5" s="77"/>
      <c r="I5" s="77"/>
      <c r="J5" s="78"/>
      <c r="K5" s="76" t="s">
        <v>62</v>
      </c>
      <c r="L5" s="77"/>
      <c r="M5" s="77"/>
    </row>
    <row r="6" spans="1:13" ht="57.65" customHeight="1">
      <c r="A6" s="39" t="s">
        <v>15</v>
      </c>
      <c r="B6" s="41" t="s">
        <v>26</v>
      </c>
      <c r="C6" s="41" t="s">
        <v>19</v>
      </c>
      <c r="D6" s="41" t="s">
        <v>20</v>
      </c>
      <c r="E6" s="41" t="s">
        <v>24</v>
      </c>
      <c r="F6" s="41" t="s">
        <v>23</v>
      </c>
      <c r="G6" s="41" t="s">
        <v>50</v>
      </c>
      <c r="H6" s="42" t="s">
        <v>51</v>
      </c>
      <c r="I6" s="41" t="s">
        <v>52</v>
      </c>
      <c r="J6" s="42" t="s">
        <v>53</v>
      </c>
      <c r="K6" s="41" t="s">
        <v>63</v>
      </c>
      <c r="L6" s="41" t="s">
        <v>64</v>
      </c>
      <c r="M6" s="41" t="s">
        <v>25</v>
      </c>
    </row>
    <row r="7" spans="1:13" ht="14.5">
      <c r="A7" s="6" t="s">
        <v>4</v>
      </c>
      <c r="B7" s="32">
        <f>'Table 1'!F7</f>
        <v>288515.60000000003</v>
      </c>
      <c r="C7" s="32">
        <f>B7</f>
        <v>288515.60000000003</v>
      </c>
      <c r="D7" s="32">
        <v>0</v>
      </c>
      <c r="E7" s="35">
        <f>C7/'Table 2'!D7/12</f>
        <v>0.73701694153229935</v>
      </c>
      <c r="F7" s="36">
        <f>D7/'Table 2'!F7</f>
        <v>0</v>
      </c>
      <c r="G7" s="13">
        <f>'Table 3'!B7/'Table 2'!D7/12</f>
        <v>27.609999999999999</v>
      </c>
      <c r="H7" s="17">
        <f>'Table 2'!C7</f>
        <v>0</v>
      </c>
      <c r="I7" s="13">
        <f t="shared" si="0" ref="I7:I12">E7+G7</f>
        <v>28.347016941532299</v>
      </c>
      <c r="J7" s="17">
        <f t="shared" si="1" ref="J7">F7+H7</f>
        <v>0</v>
      </c>
      <c r="K7" s="19">
        <f>I7*'Table 2'!D7*12</f>
        <v>11096836.640000001</v>
      </c>
      <c r="L7" s="19">
        <f>J7*'Table 2'!F7</f>
        <v>0</v>
      </c>
      <c r="M7" s="19">
        <f t="shared" si="2" ref="M7">SUM(K7:L7)</f>
        <v>11096836.640000001</v>
      </c>
    </row>
    <row r="8" spans="1:13" ht="14.5">
      <c r="A8" s="7" t="s">
        <v>3</v>
      </c>
      <c r="B8" s="33">
        <f>'Table 1'!F8</f>
        <v>0</v>
      </c>
      <c r="C8" s="33">
        <f>B8*'Table 3'!F8</f>
        <v>0</v>
      </c>
      <c r="D8" s="33">
        <f>B8*'Table 3'!G8</f>
        <v>0</v>
      </c>
      <c r="E8" s="35">
        <f>C8/'Table 2'!D8/12</f>
        <v>0</v>
      </c>
      <c r="F8" s="36">
        <f>D8/'Table 2'!F8</f>
        <v>0</v>
      </c>
      <c r="G8" s="13">
        <f>'Table 3'!B8/'Table 2'!D8/12</f>
        <v>31.010000000000002</v>
      </c>
      <c r="H8" s="17">
        <f>'Table 2'!C8</f>
        <v>0.020299999999999999</v>
      </c>
      <c r="I8" s="13">
        <f>E8+G8</f>
        <v>31.010000000000002</v>
      </c>
      <c r="J8" s="17">
        <f>F8+H8</f>
        <v>0.020299999999999999</v>
      </c>
      <c r="K8" s="19">
        <f>I8*'Table 2'!D8*12</f>
        <v>1185574.3200000001</v>
      </c>
      <c r="L8" s="19">
        <f>J8*'Table 2'!F8</f>
        <v>1858444.3345999999</v>
      </c>
      <c r="M8" s="19">
        <f>SUM(K8:L8)</f>
        <v>3044018.6546</v>
      </c>
    </row>
    <row r="9" spans="1:13" ht="14.5">
      <c r="A9" s="7" t="s">
        <v>16</v>
      </c>
      <c r="B9" s="33">
        <f>'Table 1'!F9</f>
        <v>0</v>
      </c>
      <c r="C9" s="33">
        <f>B9*'Table 3'!F9</f>
        <v>0</v>
      </c>
      <c r="D9" s="33">
        <f>B9*'Table 3'!G9</f>
        <v>0</v>
      </c>
      <c r="E9" s="35">
        <f>C9/'Table 2'!D11/12</f>
        <v>0</v>
      </c>
      <c r="F9" s="36">
        <f>D9/'Table 2'!F11</f>
        <v>0</v>
      </c>
      <c r="G9" s="13">
        <f>'Table 3'!B9/'Table 2'!D11/12</f>
        <v>140.61999999999998</v>
      </c>
      <c r="H9" s="17">
        <f>'Table 2'!C11</f>
        <v>4.9188999999999998</v>
      </c>
      <c r="I9" s="13">
        <f>E9+G9</f>
        <v>140.61999999999998</v>
      </c>
      <c r="J9" s="17">
        <f>F9+H9</f>
        <v>4.9188999999999998</v>
      </c>
      <c r="K9" s="19">
        <f>I9*'Table 2'!D11*12</f>
        <v>647976.95999999985</v>
      </c>
      <c r="L9" s="19">
        <f>J9*'Table 2'!F11</f>
        <v>3058596.6144999997</v>
      </c>
      <c r="M9" s="19">
        <f>SUM(K9:L9)</f>
        <v>3706573.5744999996</v>
      </c>
    </row>
    <row r="10" spans="1:13" ht="14.5">
      <c r="A10" s="7" t="s">
        <v>5</v>
      </c>
      <c r="B10" s="33">
        <f>'Table 1'!F10</f>
        <v>0</v>
      </c>
      <c r="C10" s="33">
        <f>B10*'Table 3'!F10</f>
        <v>0</v>
      </c>
      <c r="D10" s="33">
        <f>B10*'Table 3'!G10</f>
        <v>0</v>
      </c>
      <c r="E10" s="35">
        <f>C10/'Table 2'!D12/12</f>
        <v>0</v>
      </c>
      <c r="F10" s="36">
        <f>D10/'Table 2'!F12</f>
        <v>0</v>
      </c>
      <c r="G10" s="13">
        <f>'Table 3'!B10/'Table 2'!D12/12</f>
        <v>3.3026041666666663</v>
      </c>
      <c r="H10" s="17">
        <f>'Table 2'!C12</f>
        <v>12.6396</v>
      </c>
      <c r="I10" s="13">
        <f>E10+G10</f>
        <v>3.3026041666666663</v>
      </c>
      <c r="J10" s="17">
        <f>F10+H10</f>
        <v>12.6396</v>
      </c>
      <c r="K10" s="19">
        <f>I10*'Table 2'!D12*12</f>
        <v>1268.1999999999998</v>
      </c>
      <c r="L10" s="19">
        <f>J10*'Table 2'!F12</f>
        <v>9656.6543999999994</v>
      </c>
      <c r="M10" s="19">
        <f>SUM(K10:L10)</f>
        <v>10924.8544</v>
      </c>
    </row>
    <row r="11" spans="1:13" ht="14.5">
      <c r="A11" s="7" t="s">
        <v>6</v>
      </c>
      <c r="B11" s="33">
        <f>'Table 1'!F11</f>
        <v>-279117.80000000005</v>
      </c>
      <c r="C11" s="33">
        <f>B11*'Table 3'!F11</f>
        <v>-212365.40944193906</v>
      </c>
      <c r="D11" s="33">
        <f>B11*'Table 3'!G11</f>
        <v>-66752.390558060957</v>
      </c>
      <c r="E11" s="35">
        <f>C11/'Table 2'!D13/12</f>
        <v>-1.9466634532499088</v>
      </c>
      <c r="F11" s="36">
        <f>D11/'Table 2'!F13</f>
        <v>-9.678467530529355</v>
      </c>
      <c r="G11" s="13">
        <f>'Table 3'!B11/'Table 2'!D13/12</f>
        <v>3.2400183331500023</v>
      </c>
      <c r="H11" s="17">
        <f>'Table 2'!C13</f>
        <v>16.108799999999999</v>
      </c>
      <c r="I11" s="13">
        <f>E11+G11</f>
        <v>1.2933548799000936</v>
      </c>
      <c r="J11" s="17">
        <f>F11+H11</f>
        <v>6.4303324694706436</v>
      </c>
      <c r="K11" s="19">
        <f>I11*'Table 2'!D13*12</f>
        <v>141094.67055806101</v>
      </c>
      <c r="L11" s="19">
        <f>J11*'Table 2'!F13</f>
        <v>44350.003041939031</v>
      </c>
      <c r="M11" s="19">
        <f>SUM(K11:L11)</f>
        <v>185444.67360000004</v>
      </c>
    </row>
    <row r="12" spans="1:13" ht="14.5">
      <c r="A12" s="7" t="s">
        <v>7</v>
      </c>
      <c r="B12" s="33">
        <f>'Table 1'!F12</f>
        <v>-9397.8000000000011</v>
      </c>
      <c r="C12" s="33">
        <f>B12*'Table 3'!F12</f>
        <v>-4370.5157934162717</v>
      </c>
      <c r="D12" s="33">
        <f>B12*'Table 3'!G12</f>
        <v>-5027.2842065837285</v>
      </c>
      <c r="E12" s="35">
        <f>C12/'Table 2'!D14/12</f>
        <v>-7.9176010750294772</v>
      </c>
      <c r="F12" s="36">
        <f>D12/'Table 2'!F14</f>
        <v>-0.0091067885061757239</v>
      </c>
      <c r="G12" s="13">
        <f>'Table 3'!B12/'Table 2'!D14/12</f>
        <v>17.91</v>
      </c>
      <c r="H12" s="17">
        <f>'Table 2'!C14</f>
        <v>0.0206</v>
      </c>
      <c r="I12" s="13">
        <f>E12+G12</f>
        <v>9.992398924970523</v>
      </c>
      <c r="J12" s="17">
        <f>F12+H12</f>
        <v>0.011493211493824276</v>
      </c>
      <c r="K12" s="19">
        <f>I12*'Table 2'!D14*12</f>
        <v>5515.804206583729</v>
      </c>
      <c r="L12" s="19">
        <f>J12*'Table 2'!F14</f>
        <v>6344.6779934162723</v>
      </c>
      <c r="M12" s="19">
        <f>SUM(K12:L12)</f>
        <v>11860.482200000002</v>
      </c>
    </row>
    <row r="13" spans="1:13" ht="14.5">
      <c r="A13" s="7"/>
      <c r="B13" s="33">
        <f>'Table 1'!F13</f>
        <v>0</v>
      </c>
      <c r="C13" s="33"/>
      <c r="D13" s="33"/>
      <c r="E13" s="35"/>
      <c r="F13" s="36"/>
      <c r="G13" s="7"/>
      <c r="H13" s="7"/>
      <c r="I13" s="7"/>
      <c r="J13" s="7"/>
      <c r="K13" s="7"/>
      <c r="L13" s="7"/>
      <c r="M13" s="7"/>
    </row>
    <row r="14" spans="1:13" ht="14.5">
      <c r="A14" s="7" t="s">
        <v>8</v>
      </c>
      <c r="B14" s="33">
        <f>'Table 1'!F14</f>
        <v>0</v>
      </c>
      <c r="C14" s="33">
        <f>B14*'Table 3'!F16</f>
        <v>0</v>
      </c>
      <c r="D14" s="33">
        <f>B14*'Table 3'!G16</f>
        <v>0</v>
      </c>
      <c r="E14" s="35">
        <f>C14/'Table 2'!D16/12</f>
        <v>0</v>
      </c>
      <c r="F14" s="36">
        <f>D14/'Table 2'!F16</f>
        <v>0</v>
      </c>
      <c r="G14" s="13">
        <f>'Table 3'!B16/'Table 2'!D16/12</f>
        <v>30.939999999999998</v>
      </c>
      <c r="H14" s="17">
        <f>'Table 2'!C16</f>
        <v>0</v>
      </c>
      <c r="I14" s="13">
        <f t="shared" si="3" ref="I14">E14+G14</f>
        <v>30.939999999999998</v>
      </c>
      <c r="J14" s="17">
        <f>F14+H14</f>
        <v>0</v>
      </c>
      <c r="K14" s="19">
        <f>I14*'Table 2'!D16*12</f>
        <v>2395869.8399999999</v>
      </c>
      <c r="L14" s="19">
        <f>J14*'Table 2'!F16</f>
        <v>0</v>
      </c>
      <c r="M14" s="19">
        <f>SUM(K14:L14)</f>
        <v>2395869.8399999999</v>
      </c>
    </row>
    <row r="15" spans="1:13" ht="14.5">
      <c r="A15" s="7" t="s">
        <v>9</v>
      </c>
      <c r="B15" s="33">
        <f>'Table 1'!F15</f>
        <v>0</v>
      </c>
      <c r="C15" s="33">
        <f>B15*'Table 3'!F17</f>
        <v>0</v>
      </c>
      <c r="D15" s="33">
        <f>B15*'Table 3'!G17</f>
        <v>0</v>
      </c>
      <c r="E15" s="35">
        <f>C15/'Table 2'!D17/12</f>
        <v>0</v>
      </c>
      <c r="F15" s="36">
        <f>D15/'Table 2'!F17</f>
        <v>0</v>
      </c>
      <c r="G15" s="13">
        <f>'Table 3'!B17/'Table 2'!D17/12</f>
        <v>23.030000000000001</v>
      </c>
      <c r="H15" s="17">
        <f>'Table 2'!C17</f>
        <v>0.017000000000000001</v>
      </c>
      <c r="I15" s="13">
        <f>E15+G15</f>
        <v>23.030000000000001</v>
      </c>
      <c r="J15" s="17">
        <f>F15+H15</f>
        <v>0.017000000000000001</v>
      </c>
      <c r="K15" s="19">
        <f>I15*'Table 2'!D17*12</f>
        <v>213073.56</v>
      </c>
      <c r="L15" s="19">
        <f>J15*'Table 2'!F17</f>
        <v>414362.18200000003</v>
      </c>
      <c r="M15" s="19">
        <f>SUM(K15:L15)</f>
        <v>627435.74200000009</v>
      </c>
    </row>
    <row r="16" spans="1:13" ht="14.5">
      <c r="A16" s="7" t="s">
        <v>10</v>
      </c>
      <c r="B16" s="33">
        <f>'Table 1'!F16</f>
        <v>58566.800000000003</v>
      </c>
      <c r="C16" s="33"/>
      <c r="D16" s="33">
        <f>B16</f>
        <v>58566.800000000003</v>
      </c>
      <c r="E16" s="35">
        <f>C16/'Table 2'!D18/12</f>
        <v>0</v>
      </c>
      <c r="F16" s="36">
        <f>D16/'Table 2'!F18</f>
        <v>0.20729629380554779</v>
      </c>
      <c r="G16" s="13">
        <f>'Table 3'!B18/'Table 2'!D18/12</f>
        <v>65.090000000000003</v>
      </c>
      <c r="H16" s="17">
        <f>'Table 2'!C18</f>
        <v>3.3170000000000002</v>
      </c>
      <c r="I16" s="13">
        <f>E16+G16</f>
        <v>65.090000000000003</v>
      </c>
      <c r="J16" s="17">
        <f>F16+H16</f>
        <v>3.524296293805548</v>
      </c>
      <c r="K16" s="19">
        <f>I16*'Table 2'!D18*12</f>
        <v>84356.639999999999</v>
      </c>
      <c r="L16" s="19">
        <f>J16*'Table 2'!F18</f>
        <v>995708.85900000005</v>
      </c>
      <c r="M16" s="19">
        <f>SUM(K16:L16)</f>
        <v>1080065.4990000001</v>
      </c>
    </row>
    <row r="17" spans="1:13" ht="14.5">
      <c r="A17" s="7" t="s">
        <v>47</v>
      </c>
      <c r="B17" s="33">
        <f>'Table 1'!F17</f>
        <v>-58566.800000000003</v>
      </c>
      <c r="C17" s="33">
        <f>B17*'Table 3'!F19</f>
        <v>-51065.016960008725</v>
      </c>
      <c r="D17" s="33">
        <f>B17*'Table 3'!G19</f>
        <v>-7501.7830399912727</v>
      </c>
      <c r="E17" s="35">
        <f>C17/'Table 2'!D19/12</f>
        <v>-2.3052102275193538</v>
      </c>
      <c r="F17" s="36">
        <f>D17/'Table 2'!F19</f>
        <v>-5.3204135035399096</v>
      </c>
      <c r="G17" s="13">
        <f>'Table 3'!B19/'Table 2'!D19/12</f>
        <v>3.9399999999999999</v>
      </c>
      <c r="H17" s="17">
        <f>'Table 2'!C19</f>
        <v>9.0935000000000006</v>
      </c>
      <c r="I17" s="13">
        <f>E17+G17</f>
        <v>1.6347897724806462</v>
      </c>
      <c r="J17" s="17">
        <f>F17+H17</f>
        <v>3.773086496460091</v>
      </c>
      <c r="K17" s="19">
        <f>I17*'Table 2'!D19*12</f>
        <v>36213.863039991273</v>
      </c>
      <c r="L17" s="19">
        <f>J17*'Table 2'!F19</f>
        <v>5320.0519600087282</v>
      </c>
      <c r="M17" s="19">
        <f>SUM(K17:L17)</f>
        <v>41533.915000000001</v>
      </c>
    </row>
    <row r="18" spans="1:13" ht="14.5">
      <c r="A18" s="10" t="s">
        <v>48</v>
      </c>
      <c r="B18" s="34">
        <v>0</v>
      </c>
      <c r="C18" s="33">
        <f>B18*'Table 3'!F20</f>
        <v>0</v>
      </c>
      <c r="D18" s="33">
        <f>B18*'Table 3'!G20</f>
        <v>0</v>
      </c>
      <c r="E18" s="35">
        <f>C18/'Table 2'!D20/12</f>
        <v>0</v>
      </c>
      <c r="F18" s="36">
        <f>D18/'Table 2'!F20</f>
        <v>0</v>
      </c>
      <c r="G18" s="16">
        <f>'Table 3'!B20/'Table 2'!D20/12</f>
        <v>10.65</v>
      </c>
      <c r="H18" s="29">
        <f>'Table 2'!C20</f>
        <v>0.0114</v>
      </c>
      <c r="I18" s="13">
        <f>E18+G18</f>
        <v>10.65</v>
      </c>
      <c r="J18" s="17">
        <f>F18+H18</f>
        <v>0.0114</v>
      </c>
      <c r="K18" s="19">
        <f>I18*'Table 2'!D20*12</f>
        <v>1405.8000000000002</v>
      </c>
      <c r="L18" s="19">
        <f>J18*'Table 2'!F20</f>
        <v>4503.1026000000002</v>
      </c>
      <c r="M18" s="19">
        <f>SUM(K18:L18)</f>
        <v>5908.9026000000003</v>
      </c>
    </row>
    <row r="19" spans="1:13" ht="14.5">
      <c r="A19" s="24" t="s">
        <v>2</v>
      </c>
      <c r="B19" s="30">
        <f>SUM(B7:B18)</f>
        <v>-1.4551915228366852E-11</v>
      </c>
      <c r="C19" s="30">
        <f>SUM(C7:C18)</f>
        <v>20714.657804635979</v>
      </c>
      <c r="D19" s="30">
        <f>SUM(D7:D18)</f>
        <v>-20714.657804635957</v>
      </c>
      <c r="E19" s="26"/>
      <c r="F19" s="27"/>
      <c r="I19" s="27"/>
      <c r="J19" s="28"/>
      <c r="K19" s="25">
        <f>SUM(K7:K18)</f>
        <v>15809186.297804637</v>
      </c>
      <c r="L19" s="25">
        <f>SUM(L7:L18)</f>
        <v>6397286.4800953642</v>
      </c>
      <c r="M19" s="49">
        <f>SUM(M7:M18)</f>
        <v>22206472.777900003</v>
      </c>
    </row>
    <row r="20" spans="11:13" ht="14.5">
      <c r="K20" s="51" t="s">
        <v>65</v>
      </c>
      <c r="L20" s="4"/>
      <c r="M20" s="33">
        <f>'Table 3'!D21</f>
        <v>-554565</v>
      </c>
    </row>
    <row r="21" spans="11:13" ht="15" thickBot="1">
      <c r="K21" s="51" t="s">
        <v>2</v>
      </c>
      <c r="M21" s="50">
        <f>SUM(M19:M20)</f>
        <v>21651907.777900003</v>
      </c>
    </row>
    <row r="22" ht="15" thickTop="1"/>
    <row r="24" ht="59.4" customHeight="1"/>
  </sheetData>
  <mergeCells count="4">
    <mergeCell ref="E5:J5"/>
    <mergeCell ref="K5:M5"/>
    <mergeCell ref="B5:D5"/>
    <mergeCell ref="A4:M4"/>
  </mergeCells>
  <pageMargins left="0.2" right="0.2" top="0.34" bottom="0.35" header="0.17" footer="0.17"/>
  <pageSetup orientation="landscape" scale="7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L19"/>
  <sheetViews>
    <sheetView tabSelected="1" workbookViewId="0" topLeftCell="A10">
      <selection pane="topLeft" activeCell="J13" sqref="J13"/>
    </sheetView>
  </sheetViews>
  <sheetFormatPr defaultRowHeight="15"/>
  <cols>
    <col min="1" max="1" width="40.8571428571429" bestFit="1" customWidth="1"/>
    <col min="2" max="2" width="10.4285714285714" customWidth="1"/>
    <col min="3" max="3" width="11.4285714285714" customWidth="1"/>
    <col min="4" max="4" width="13.1428571428571" customWidth="1"/>
    <col min="5" max="5" width="9.57142857142857" customWidth="1"/>
    <col min="6" max="6" width="10.5714285714286" bestFit="1" customWidth="1"/>
    <col min="7" max="7" width="13" customWidth="1"/>
    <col min="10" max="10" width="10.4285714285714" bestFit="1" customWidth="1"/>
  </cols>
  <sheetData>
    <row r="1" spans="1:3" ht="18.5">
      <c r="A1" s="1" t="str">
        <f>'Table 2'!$A$1</f>
        <v>Cost Allocation</v>
      </c>
      <c r="B1" s="1"/>
      <c r="C1" s="1"/>
    </row>
    <row r="2" ht="14.5"/>
    <row r="3" spans="1:1" ht="14.5">
      <c r="A3" s="46" t="str">
        <f>'Table 1'!$A$3</f>
        <v>Settlement</v>
      </c>
    </row>
    <row r="4" spans="1:7" ht="15.5">
      <c r="A4" s="73" t="s">
        <v>70</v>
      </c>
      <c r="B4" s="73"/>
      <c r="C4" s="73"/>
      <c r="D4" s="73"/>
      <c r="E4" s="73"/>
      <c r="F4" s="73"/>
      <c r="G4" s="73"/>
    </row>
    <row r="5" spans="1:7" ht="14.5">
      <c r="A5" s="39"/>
      <c r="B5" s="74" t="s">
        <v>40</v>
      </c>
      <c r="C5" s="75"/>
      <c r="D5" s="80"/>
      <c r="E5" s="74" t="s">
        <v>41</v>
      </c>
      <c r="F5" s="75"/>
      <c r="G5" s="80"/>
    </row>
    <row r="6" spans="1:7" ht="43.5">
      <c r="A6" s="39" t="s">
        <v>15</v>
      </c>
      <c r="B6" s="41" t="s">
        <v>42</v>
      </c>
      <c r="C6" s="41" t="s">
        <v>43</v>
      </c>
      <c r="D6" s="41" t="s">
        <v>45</v>
      </c>
      <c r="E6" s="41" t="s">
        <v>42</v>
      </c>
      <c r="F6" s="41" t="s">
        <v>44</v>
      </c>
      <c r="G6" s="41" t="s">
        <v>46</v>
      </c>
    </row>
    <row r="7" spans="1:12" ht="14.5">
      <c r="A7" s="53" t="s">
        <v>4</v>
      </c>
      <c r="B7" s="35">
        <f>'Table 4'!G7</f>
        <v>27.609999999999999</v>
      </c>
      <c r="C7" s="54">
        <f>'Table 4'!E7</f>
        <v>0.73701694153229935</v>
      </c>
      <c r="D7" s="35">
        <f t="shared" si="0" ref="D7">B7+C7</f>
        <v>28.347016941532299</v>
      </c>
      <c r="E7" s="14">
        <v>0</v>
      </c>
      <c r="F7" s="36">
        <v>0</v>
      </c>
      <c r="G7" s="14">
        <f t="shared" si="1" ref="G7">SUM(E7:F7)</f>
        <v>0</v>
      </c>
      <c r="I7" s="56"/>
      <c r="J7" s="57"/>
      <c r="K7" s="58"/>
      <c r="L7" s="59"/>
    </row>
    <row r="8" spans="1:12" ht="14.5">
      <c r="A8" s="7" t="s">
        <v>3</v>
      </c>
      <c r="B8" s="8">
        <f>'Table 4'!G8</f>
        <v>31.010000000000002</v>
      </c>
      <c r="C8" s="35">
        <f>'Table 4'!E8</f>
        <v>0</v>
      </c>
      <c r="D8" s="8">
        <f t="shared" si="2" ref="D8:D13">B8+C8</f>
        <v>31.010000000000002</v>
      </c>
      <c r="E8" s="9">
        <f>'Table 4'!H8</f>
        <v>0.020299999999999999</v>
      </c>
      <c r="F8" s="36">
        <f>'Table 4'!F8</f>
        <v>0</v>
      </c>
      <c r="G8" s="9">
        <f t="shared" si="3" ref="G8:G13">SUM(E8:F8)</f>
        <v>0.020299999999999999</v>
      </c>
      <c r="I8" s="56"/>
      <c r="J8" s="57"/>
      <c r="K8" s="58"/>
      <c r="L8" s="59"/>
    </row>
    <row r="9" spans="1:12" ht="14.5">
      <c r="A9" s="7" t="s">
        <v>13</v>
      </c>
      <c r="B9" s="8">
        <f>'Table 4'!G9</f>
        <v>140.61999999999998</v>
      </c>
      <c r="C9" s="35">
        <f>'Table 4'!E9</f>
        <v>0</v>
      </c>
      <c r="D9" s="8">
        <f>B9+C9</f>
        <v>140.61999999999998</v>
      </c>
      <c r="E9" s="9">
        <f>'Table 4'!H9</f>
        <v>4.9188999999999998</v>
      </c>
      <c r="F9" s="36">
        <f>'Table 4'!F9</f>
        <v>0</v>
      </c>
      <c r="G9" s="9">
        <f>SUM(E9:F9)</f>
        <v>4.9188999999999998</v>
      </c>
      <c r="I9" s="56"/>
      <c r="J9" s="57"/>
      <c r="K9" s="58"/>
      <c r="L9" s="59"/>
    </row>
    <row r="10" spans="1:12" ht="14.5">
      <c r="A10" s="7" t="s">
        <v>14</v>
      </c>
      <c r="B10" s="55">
        <f>B9</f>
        <v>140.61999999999998</v>
      </c>
      <c r="C10" s="35">
        <f>'Table 4'!E9</f>
        <v>0</v>
      </c>
      <c r="D10" s="55">
        <f>B10+C10</f>
        <v>140.61999999999998</v>
      </c>
      <c r="E10" s="9">
        <f>E9</f>
        <v>4.9188999999999998</v>
      </c>
      <c r="F10" s="36">
        <f>F9</f>
        <v>0</v>
      </c>
      <c r="G10" s="9">
        <f>SUM(E10:F10)</f>
        <v>4.9188999999999998</v>
      </c>
      <c r="I10" s="56"/>
      <c r="J10" s="57"/>
      <c r="K10" s="58"/>
      <c r="L10" s="59"/>
    </row>
    <row r="11" spans="1:12" ht="14.5">
      <c r="A11" s="7" t="s">
        <v>5</v>
      </c>
      <c r="B11" s="55">
        <f>'Table 4'!G10</f>
        <v>3.3026041666666663</v>
      </c>
      <c r="C11" s="35">
        <f>'Table 4'!E10</f>
        <v>0</v>
      </c>
      <c r="D11" s="55">
        <f>B11+C11</f>
        <v>3.3026041666666663</v>
      </c>
      <c r="E11" s="9">
        <f>'Table 4'!H10</f>
        <v>12.6396</v>
      </c>
      <c r="F11" s="36">
        <f>'Table 4'!F10</f>
        <v>0</v>
      </c>
      <c r="G11" s="9">
        <f>SUM(E11:F11)</f>
        <v>12.6396</v>
      </c>
      <c r="I11" s="56"/>
      <c r="J11" s="57"/>
      <c r="K11" s="58"/>
      <c r="L11" s="59"/>
    </row>
    <row r="12" spans="1:12" ht="14.5">
      <c r="A12" s="7" t="s">
        <v>6</v>
      </c>
      <c r="B12" s="55">
        <f>'Table 4'!G11</f>
        <v>3.2400183331500023</v>
      </c>
      <c r="C12" s="35">
        <f>'Table 4'!E11</f>
        <v>-1.9466634532499088</v>
      </c>
      <c r="D12" s="55">
        <f>B12+C12</f>
        <v>1.2933548799000936</v>
      </c>
      <c r="E12" s="9">
        <f>'Table 4'!H11</f>
        <v>16.108799999999999</v>
      </c>
      <c r="F12" s="36">
        <f>'Table 4'!F11</f>
        <v>-9.678467530529355</v>
      </c>
      <c r="G12" s="9">
        <f>SUM(E12:F12)</f>
        <v>6.4303324694706436</v>
      </c>
      <c r="I12" s="56"/>
      <c r="J12" s="57"/>
      <c r="K12" s="58"/>
      <c r="L12" s="59"/>
    </row>
    <row r="13" spans="1:12" ht="14.5">
      <c r="A13" s="7" t="s">
        <v>7</v>
      </c>
      <c r="B13" s="55">
        <f>'Table 4'!G12</f>
        <v>17.91</v>
      </c>
      <c r="C13" s="35">
        <f>'Table 4'!E12</f>
        <v>-7.9176010750294772</v>
      </c>
      <c r="D13" s="55">
        <f>B13+C13</f>
        <v>9.992398924970523</v>
      </c>
      <c r="E13" s="9">
        <f>'Table 4'!H12</f>
        <v>0.0206</v>
      </c>
      <c r="F13" s="36">
        <f>'Table 4'!F12</f>
        <v>-0.0091067885061757239</v>
      </c>
      <c r="G13" s="9">
        <f>SUM(E13:F13)</f>
        <v>0.011493211493824276</v>
      </c>
      <c r="I13" s="56"/>
      <c r="J13" s="57"/>
      <c r="K13" s="58"/>
      <c r="L13" s="59"/>
    </row>
    <row r="14" spans="1:12" ht="14.5">
      <c r="A14" s="7"/>
      <c r="B14" s="55"/>
      <c r="C14" s="35"/>
      <c r="D14" s="55"/>
      <c r="E14" s="9"/>
      <c r="F14" s="36"/>
      <c r="G14" s="9"/>
      <c r="I14" s="56"/>
      <c r="J14" s="57"/>
      <c r="K14" s="58"/>
      <c r="L14" s="59"/>
    </row>
    <row r="15" spans="1:12" ht="14.5">
      <c r="A15" s="7" t="s">
        <v>8</v>
      </c>
      <c r="B15" s="55">
        <f>'Table 4'!G14</f>
        <v>30.939999999999998</v>
      </c>
      <c r="C15" s="35">
        <f>'Table 4'!E14</f>
        <v>0</v>
      </c>
      <c r="D15" s="55">
        <f>B15+C15</f>
        <v>30.939999999999998</v>
      </c>
      <c r="E15" s="9"/>
      <c r="F15" s="9">
        <f>'Table 4'!F14</f>
        <v>0</v>
      </c>
      <c r="G15" s="9">
        <f>SUM(E15:F15)</f>
        <v>0</v>
      </c>
      <c r="I15" s="56"/>
      <c r="J15" s="57"/>
      <c r="K15" s="58"/>
      <c r="L15" s="59"/>
    </row>
    <row r="16" spans="1:12" ht="14.5">
      <c r="A16" s="7" t="s">
        <v>9</v>
      </c>
      <c r="B16" s="55">
        <f>'Table 4'!G15</f>
        <v>23.030000000000001</v>
      </c>
      <c r="C16" s="35">
        <f>'Table 4'!E15</f>
        <v>0</v>
      </c>
      <c r="D16" s="55">
        <f>B16+C16</f>
        <v>23.030000000000001</v>
      </c>
      <c r="E16" s="9">
        <f>'Table 4'!H15</f>
        <v>0.017000000000000001</v>
      </c>
      <c r="F16" s="9">
        <f>'Table 4'!F15</f>
        <v>0</v>
      </c>
      <c r="G16" s="9">
        <f>SUM(E16:F16)</f>
        <v>0.017000000000000001</v>
      </c>
      <c r="I16" s="56"/>
      <c r="J16" s="57"/>
      <c r="K16" s="58"/>
      <c r="L16" s="59"/>
    </row>
    <row r="17" spans="1:12" ht="14.5">
      <c r="A17" s="7" t="s">
        <v>10</v>
      </c>
      <c r="B17" s="55">
        <f>'Table 4'!G16</f>
        <v>65.090000000000003</v>
      </c>
      <c r="C17" s="35">
        <f>'Table 4'!E16</f>
        <v>0</v>
      </c>
      <c r="D17" s="55">
        <f>B17+C17</f>
        <v>65.090000000000003</v>
      </c>
      <c r="E17" s="9">
        <f>'Table 4'!H16</f>
        <v>3.3170000000000002</v>
      </c>
      <c r="F17" s="36">
        <f>'Table 4'!F16</f>
        <v>0.20729629380554779</v>
      </c>
      <c r="G17" s="9">
        <f>SUM(E17:F17)</f>
        <v>3.524296293805548</v>
      </c>
      <c r="I17" s="56"/>
      <c r="J17" s="57"/>
      <c r="K17" s="58"/>
      <c r="L17" s="59"/>
    </row>
    <row r="18" spans="1:12" ht="14.5">
      <c r="A18" s="7" t="s">
        <v>47</v>
      </c>
      <c r="B18" s="55">
        <f>'Table 4'!G17</f>
        <v>3.9399999999999999</v>
      </c>
      <c r="C18" s="35">
        <f>'Table 4'!E17</f>
        <v>-2.3052102275193538</v>
      </c>
      <c r="D18" s="55">
        <f>B18+C18</f>
        <v>1.6347897724806462</v>
      </c>
      <c r="E18" s="9">
        <f>'Table 4'!H17</f>
        <v>9.0935000000000006</v>
      </c>
      <c r="F18" s="36">
        <f>'Table 4'!F17</f>
        <v>-5.3204135035399096</v>
      </c>
      <c r="G18" s="9">
        <f>SUM(E18:F18)</f>
        <v>3.773086496460091</v>
      </c>
      <c r="I18" s="56"/>
      <c r="J18" s="57"/>
      <c r="K18" s="58"/>
      <c r="L18" s="59"/>
    </row>
    <row r="19" spans="1:12" ht="14.5">
      <c r="A19" s="10" t="s">
        <v>48</v>
      </c>
      <c r="B19" s="11">
        <f>'Table 4'!G18</f>
        <v>10.65</v>
      </c>
      <c r="C19" s="37">
        <f>'Table 4'!E18</f>
        <v>0</v>
      </c>
      <c r="D19" s="11">
        <f>B19+C19</f>
        <v>10.65</v>
      </c>
      <c r="E19" s="12">
        <f>'Table 4'!H18</f>
        <v>0.0114</v>
      </c>
      <c r="F19" s="12">
        <f>'Table 4'!F18</f>
        <v>0</v>
      </c>
      <c r="G19" s="12">
        <f>SUM(E19:F19)</f>
        <v>0.0114</v>
      </c>
      <c r="I19" s="56"/>
      <c r="J19" s="57"/>
      <c r="K19" s="58"/>
      <c r="L19" s="59"/>
    </row>
    <row r="24" ht="14.4" customHeight="1"/>
  </sheetData>
  <mergeCells count="3">
    <mergeCell ref="A4:G4"/>
    <mergeCell ref="E5:G5"/>
    <mergeCell ref="B5:D5"/>
  </mergeCells>
  <pageMargins left="0.7" right="0.7" top="0.75" bottom="0.75" header="0.3" footer="0.3"/>
  <pageSetup orientation="landscape" scale="85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 D O C U M E N T S ! 7 1 1 7 8 6 6 6 . 5 < / d o c u m e n t i d >  
     < s e n d e r i d > F H O < / s e n d e r i d >  
     < s e n d e r e m a i l > F H O @ B L G . C O M < / s e n d e r e m a i l >  
     < l a s t m o d i f i e d > 2 0 2 0 - 0 3 - 1 1 T 0 8 : 1 1 : 3 8 . 0 0 0 0 0 0 0 - 0 4 : 0 0 < / l a s t m o d i f i e d >  
     < d a t a b a s e > D O C U M E N T S < / d a t a b a s e >  
 < / p r o p e r t i e s > 
</file>

<file path=customXml/itemProps1.xml><?xml version="1.0" encoding="utf-8"?>
<ds:datastoreItem xmlns:ds="http://schemas.openxmlformats.org/officeDocument/2006/customXml" ds:itemID="{5906753A-4998-48FC-AB2B-BBE4F328FBED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1601-01-01T05:00:00Z</cp:lastPrinted>
  <dcterms:created xsi:type="dcterms:W3CDTF">1601-01-01T05:00:00Z</dcterms:created>
  <dcterms:modified xsi:type="dcterms:W3CDTF">1601-01-01T05:00:00Z</dcterms:modified>
  <cp:category/>
</cp:coreProperties>
</file>