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ttps://esites.enbridge.com/sites/EBSNP/IR Responses  North Bay/"/>
    </mc:Choice>
  </mc:AlternateContent>
  <xr:revisionPtr revIDLastSave="0" documentId="13_ncr:1_{2C5EF8FA-A120-46B0-8325-D84E90787B5E}" xr6:coauthVersionLast="44" xr6:coauthVersionMax="44" xr10:uidLastSave="{00000000-0000-0000-0000-000000000000}"/>
  <bookViews>
    <workbookView xWindow="-110" yWindow="-110" windowWidth="18020" windowHeight="11020" tabRatio="770" activeTab="1" xr2:uid="{00000000-000D-0000-FFFF-FFFF00000000}"/>
  </bookViews>
  <sheets>
    <sheet name="Exhibit I.ED.7_Attachment 1" sheetId="14" r:id="rId1"/>
    <sheet name="APPLIANCE Conversion" sheetId="12" r:id="rId2"/>
    <sheet name="Common Inputs" sheetId="1" r:id="rId3"/>
    <sheet name="Chart Data" sheetId="11" state="hidden" r:id="rId4"/>
    <sheet name="South M1 Rates" sheetId="5" r:id="rId5"/>
    <sheet name="NW 01 Rates" sheetId="6" r:id="rId6"/>
    <sheet name="NE 01 Rates" sheetId="7" r:id="rId7"/>
    <sheet name="Electric Rates" sheetId="13" state="hidden" r:id="rId8"/>
  </sheets>
  <definedNames>
    <definedName name="LDClookup">'Electric Rates'!$C$6:$H$27</definedName>
    <definedName name="LDClookupRes">#REF!</definedName>
    <definedName name="_xlnm.Print_Area" localSheetId="1">'APPLIANCE Conversion'!$A$1:$R$30</definedName>
    <definedName name="_xlnm.Print_Area" localSheetId="2">'Common Inputs'!$A$1:$AB$132</definedName>
  </definedNames>
  <calcPr calcId="191029"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7" i="7" l="1"/>
  <c r="B17" i="6"/>
  <c r="B14" i="5"/>
  <c r="H82" i="1" l="1"/>
  <c r="X59" i="1" l="1"/>
  <c r="W59" i="1"/>
  <c r="X57" i="1"/>
  <c r="W57" i="1"/>
  <c r="X56" i="1"/>
  <c r="W56" i="1"/>
  <c r="V61" i="1"/>
  <c r="C55" i="1" l="1"/>
  <c r="C54" i="1"/>
  <c r="C53" i="1"/>
  <c r="C52" i="1"/>
  <c r="C51" i="1"/>
  <c r="C36" i="1"/>
  <c r="C35" i="1"/>
  <c r="C34" i="1"/>
  <c r="C33" i="1"/>
  <c r="C32" i="1"/>
  <c r="C17" i="1"/>
  <c r="C16" i="1"/>
  <c r="C15" i="1"/>
  <c r="F65" i="1" l="1"/>
  <c r="E65" i="1"/>
  <c r="D65" i="1"/>
  <c r="C65" i="1"/>
  <c r="H9" i="13" l="1"/>
  <c r="G9" i="13"/>
  <c r="F9" i="13"/>
  <c r="E9" i="13"/>
  <c r="D9" i="13"/>
  <c r="C9" i="13"/>
  <c r="S21" i="1" l="1"/>
  <c r="R21" i="1"/>
  <c r="Q21" i="1"/>
  <c r="P21" i="1"/>
  <c r="O21" i="1"/>
  <c r="O39" i="1" l="1"/>
  <c r="R39" i="1" s="1"/>
  <c r="M47" i="1"/>
  <c r="H21" i="13"/>
  <c r="H25" i="13"/>
  <c r="G25" i="13"/>
  <c r="F25" i="13"/>
  <c r="E25" i="13"/>
  <c r="D25" i="13"/>
  <c r="C25" i="13"/>
  <c r="P39" i="1" l="1"/>
  <c r="Q39" i="1"/>
  <c r="H27" i="13"/>
  <c r="H26" i="13"/>
  <c r="H24" i="13"/>
  <c r="H23" i="13"/>
  <c r="H22" i="13"/>
  <c r="H20" i="13"/>
  <c r="H19" i="13"/>
  <c r="H18" i="13"/>
  <c r="H17" i="13"/>
  <c r="C2" i="13" l="1"/>
  <c r="C4" i="13" s="1"/>
  <c r="P59" i="1" l="1"/>
  <c r="H19" i="12" s="1"/>
  <c r="F26" i="13" l="1"/>
  <c r="F20" i="13"/>
  <c r="F19" i="13"/>
  <c r="F17" i="13"/>
  <c r="F7" i="13"/>
  <c r="F85" i="1"/>
  <c r="F27" i="13" s="1"/>
  <c r="F82" i="1"/>
  <c r="F24" i="13" s="1"/>
  <c r="F81" i="1"/>
  <c r="F23" i="13" s="1"/>
  <c r="F76" i="1"/>
  <c r="F18" i="13" s="1"/>
  <c r="F68" i="1"/>
  <c r="F10" i="13" s="1"/>
  <c r="F64" i="1"/>
  <c r="F63" i="1"/>
  <c r="F6" i="13" s="1"/>
  <c r="V21" i="13"/>
  <c r="V20" i="13"/>
  <c r="V19" i="13"/>
  <c r="V18" i="13"/>
  <c r="V17" i="13"/>
  <c r="V16" i="13"/>
  <c r="V15" i="13"/>
  <c r="V14" i="13"/>
  <c r="V13" i="13"/>
  <c r="V12" i="13"/>
  <c r="V11" i="13"/>
  <c r="V10" i="13"/>
  <c r="W21" i="13"/>
  <c r="W20" i="13"/>
  <c r="W19" i="13"/>
  <c r="W18" i="13"/>
  <c r="W17" i="13"/>
  <c r="W16" i="13"/>
  <c r="W15" i="13"/>
  <c r="W14" i="13"/>
  <c r="W13" i="13"/>
  <c r="W12" i="13"/>
  <c r="W11" i="13"/>
  <c r="W10" i="13"/>
  <c r="G81" i="1"/>
  <c r="G23" i="13" s="1"/>
  <c r="G76" i="1"/>
  <c r="G18" i="13" s="1"/>
  <c r="G68" i="1"/>
  <c r="G10" i="13" s="1"/>
  <c r="G27" i="13"/>
  <c r="E27" i="13"/>
  <c r="D27" i="13"/>
  <c r="G26" i="13"/>
  <c r="E26" i="13"/>
  <c r="D26" i="13"/>
  <c r="C27" i="13"/>
  <c r="C26" i="13"/>
  <c r="Q17" i="13"/>
  <c r="G24" i="13"/>
  <c r="E24" i="13"/>
  <c r="D24" i="13"/>
  <c r="E23" i="13"/>
  <c r="D23" i="13"/>
  <c r="G20" i="13"/>
  <c r="E20" i="13"/>
  <c r="D20" i="13"/>
  <c r="G19" i="13"/>
  <c r="E19" i="13"/>
  <c r="D19" i="13"/>
  <c r="E18" i="13"/>
  <c r="D18" i="13"/>
  <c r="G17" i="13"/>
  <c r="E17" i="13"/>
  <c r="D17" i="13"/>
  <c r="H10" i="13"/>
  <c r="E10" i="13"/>
  <c r="D10" i="13"/>
  <c r="H8" i="13"/>
  <c r="G8" i="13"/>
  <c r="H7" i="13"/>
  <c r="G7" i="13"/>
  <c r="E7" i="13"/>
  <c r="D7" i="13"/>
  <c r="C24" i="13"/>
  <c r="C23" i="13"/>
  <c r="C22" i="13"/>
  <c r="C21" i="13"/>
  <c r="C20" i="13"/>
  <c r="C19" i="13"/>
  <c r="C18" i="13"/>
  <c r="C17" i="13"/>
  <c r="C16" i="13"/>
  <c r="C15" i="13"/>
  <c r="C14" i="13"/>
  <c r="C13" i="13"/>
  <c r="C12" i="13"/>
  <c r="C11" i="13"/>
  <c r="C10" i="13"/>
  <c r="C8" i="13"/>
  <c r="C7" i="13"/>
  <c r="H6" i="13"/>
  <c r="D80" i="1"/>
  <c r="E80" i="1" s="1"/>
  <c r="G80" i="1" s="1"/>
  <c r="G22" i="13" s="1"/>
  <c r="D79" i="1"/>
  <c r="E79" i="1" s="1"/>
  <c r="F80" i="1" l="1"/>
  <c r="F22" i="13" s="1"/>
  <c r="D21" i="13"/>
  <c r="D22" i="13"/>
  <c r="G79" i="1"/>
  <c r="G21" i="13" s="1"/>
  <c r="F79" i="1"/>
  <c r="F21" i="13" s="1"/>
  <c r="E21" i="13"/>
  <c r="E22" i="13"/>
  <c r="V22" i="13"/>
  <c r="D66" i="1" l="1"/>
  <c r="D8" i="13" s="1"/>
  <c r="D70" i="1"/>
  <c r="D71" i="1"/>
  <c r="D72" i="1"/>
  <c r="D73" i="1"/>
  <c r="D74" i="1"/>
  <c r="D69" i="1"/>
  <c r="L60" i="1"/>
  <c r="L59" i="1"/>
  <c r="L58" i="1"/>
  <c r="L57" i="1"/>
  <c r="L56" i="1"/>
  <c r="L55" i="1"/>
  <c r="L54" i="1"/>
  <c r="L53" i="1"/>
  <c r="G20" i="12"/>
  <c r="G19" i="12"/>
  <c r="G18" i="12"/>
  <c r="G17" i="12"/>
  <c r="G16" i="12"/>
  <c r="G15" i="12"/>
  <c r="G14" i="12"/>
  <c r="G13" i="12"/>
  <c r="N62" i="1"/>
  <c r="E66" i="1" l="1"/>
  <c r="E8" i="13" s="1"/>
  <c r="E69" i="1"/>
  <c r="F69" i="1" s="1"/>
  <c r="F11" i="13" s="1"/>
  <c r="D11" i="13"/>
  <c r="E71" i="1"/>
  <c r="F71" i="1" s="1"/>
  <c r="F13" i="13" s="1"/>
  <c r="D13" i="13"/>
  <c r="E74" i="1"/>
  <c r="F74" i="1" s="1"/>
  <c r="F16" i="13" s="1"/>
  <c r="D16" i="13"/>
  <c r="E70" i="1"/>
  <c r="F70" i="1" s="1"/>
  <c r="F12" i="13" s="1"/>
  <c r="D12" i="13"/>
  <c r="E73" i="1"/>
  <c r="F73" i="1" s="1"/>
  <c r="F15" i="13" s="1"/>
  <c r="D15" i="13"/>
  <c r="E72" i="1"/>
  <c r="F72" i="1" s="1"/>
  <c r="F14" i="13" s="1"/>
  <c r="D14" i="13"/>
  <c r="O45" i="1"/>
  <c r="O44" i="1"/>
  <c r="O43" i="1"/>
  <c r="O42" i="1"/>
  <c r="O41" i="1"/>
  <c r="O40" i="1"/>
  <c r="G69" i="1" l="1"/>
  <c r="G11" i="13" s="1"/>
  <c r="F66" i="1"/>
  <c r="F8" i="13" s="1"/>
  <c r="E11" i="13"/>
  <c r="G72" i="1"/>
  <c r="E14" i="13"/>
  <c r="G70" i="1"/>
  <c r="E12" i="13"/>
  <c r="G71" i="1"/>
  <c r="E13" i="13"/>
  <c r="G73" i="1"/>
  <c r="E15" i="13"/>
  <c r="G74" i="1"/>
  <c r="E16" i="13"/>
  <c r="O49" i="12"/>
  <c r="G63" i="1"/>
  <c r="G6" i="13" s="1"/>
  <c r="C63" i="1"/>
  <c r="C6" i="13" s="1"/>
  <c r="D63" i="1"/>
  <c r="D6" i="13" s="1"/>
  <c r="E63" i="1"/>
  <c r="E6" i="13" s="1"/>
  <c r="V72" i="1"/>
  <c r="V71" i="1"/>
  <c r="W71" i="1" s="1"/>
  <c r="V70" i="1"/>
  <c r="W70" i="1" s="1"/>
  <c r="V69" i="1"/>
  <c r="W69" i="1" s="1"/>
  <c r="V68" i="1"/>
  <c r="W68" i="1" s="1"/>
  <c r="V67" i="1"/>
  <c r="W67" i="1" s="1"/>
  <c r="V66" i="1"/>
  <c r="W66" i="1" s="1"/>
  <c r="S75" i="1"/>
  <c r="S74" i="1"/>
  <c r="S73" i="1"/>
  <c r="S72" i="1"/>
  <c r="S71" i="1"/>
  <c r="S70" i="1"/>
  <c r="S69" i="1"/>
  <c r="S68" i="1"/>
  <c r="S67" i="1"/>
  <c r="S66" i="1"/>
  <c r="P73" i="1"/>
  <c r="P72" i="1"/>
  <c r="P71" i="1"/>
  <c r="P70" i="1"/>
  <c r="P69" i="1"/>
  <c r="P68" i="1"/>
  <c r="P67" i="1"/>
  <c r="P66" i="1"/>
  <c r="M70" i="1"/>
  <c r="M69" i="1"/>
  <c r="M68" i="1"/>
  <c r="M67" i="1"/>
  <c r="M66" i="1"/>
  <c r="P45" i="1"/>
  <c r="P44" i="1"/>
  <c r="Q44" i="1" s="1"/>
  <c r="P43" i="1"/>
  <c r="Q43" i="1" s="1"/>
  <c r="P42" i="1"/>
  <c r="Q42" i="1" s="1"/>
  <c r="P41" i="1"/>
  <c r="Q41" i="1" s="1"/>
  <c r="P40" i="1"/>
  <c r="Q40" i="1" s="1"/>
  <c r="H69" i="1" l="1"/>
  <c r="H11" i="13" s="1"/>
  <c r="Q20" i="13"/>
  <c r="M21" i="13"/>
  <c r="R14" i="13"/>
  <c r="M8" i="13"/>
  <c r="M17" i="13"/>
  <c r="M20" i="13"/>
  <c r="R9" i="13"/>
  <c r="R10" i="13"/>
  <c r="M7" i="13"/>
  <c r="M13" i="13"/>
  <c r="M16" i="13"/>
  <c r="M18" i="13"/>
  <c r="M19" i="13"/>
  <c r="M14" i="13"/>
  <c r="M15" i="13"/>
  <c r="Q73" i="1"/>
  <c r="H73" i="1"/>
  <c r="H15" i="13" s="1"/>
  <c r="M11" i="13" s="1"/>
  <c r="G15" i="13"/>
  <c r="H70" i="1"/>
  <c r="H12" i="13" s="1"/>
  <c r="G12" i="13"/>
  <c r="H74" i="1"/>
  <c r="H16" i="13" s="1"/>
  <c r="M12" i="13" s="1"/>
  <c r="G16" i="13"/>
  <c r="H71" i="1"/>
  <c r="H13" i="13" s="1"/>
  <c r="M9" i="13" s="1"/>
  <c r="G13" i="13"/>
  <c r="H72" i="1"/>
  <c r="H14" i="13" s="1"/>
  <c r="M10" i="13" s="1"/>
  <c r="G14" i="13"/>
  <c r="R41" i="1"/>
  <c r="R42" i="1"/>
  <c r="R43" i="1"/>
  <c r="R40" i="1"/>
  <c r="R44" i="1"/>
  <c r="Y72" i="1"/>
  <c r="S42" i="1" s="1"/>
  <c r="Q45" i="1"/>
  <c r="T45" i="1"/>
  <c r="Z72" i="1"/>
  <c r="S43" i="1" s="1"/>
  <c r="W72" i="1"/>
  <c r="S40" i="1" s="1"/>
  <c r="AA72" i="1"/>
  <c r="S44" i="1" s="1"/>
  <c r="X72" i="1"/>
  <c r="S41" i="1" s="1"/>
  <c r="N70" i="1"/>
  <c r="T75" i="1"/>
  <c r="R45" i="13" l="1"/>
  <c r="R44" i="13"/>
  <c r="R38" i="13"/>
  <c r="R41" i="13"/>
  <c r="R40" i="13"/>
  <c r="R47" i="13"/>
  <c r="R37" i="13"/>
  <c r="R46" i="13"/>
  <c r="R43" i="13"/>
  <c r="R48" i="13"/>
  <c r="R42" i="13"/>
  <c r="R39" i="13"/>
  <c r="V42" i="1"/>
  <c r="U42" i="1"/>
  <c r="T42" i="1"/>
  <c r="R45" i="1"/>
  <c r="V45" i="1" s="1"/>
  <c r="U45" i="1"/>
  <c r="V43" i="1"/>
  <c r="U43" i="1"/>
  <c r="T43" i="1"/>
  <c r="T41" i="1"/>
  <c r="V41" i="1"/>
  <c r="U41" i="1"/>
  <c r="V44" i="1"/>
  <c r="U44" i="1"/>
  <c r="T44" i="1"/>
  <c r="V40" i="1"/>
  <c r="U40" i="1"/>
  <c r="T40" i="1"/>
  <c r="R49" i="13" l="1"/>
  <c r="S39" i="1"/>
  <c r="V39" i="1" s="1"/>
  <c r="U39" i="1" l="1"/>
  <c r="T39" i="1"/>
  <c r="M60" i="1"/>
  <c r="M59" i="1"/>
  <c r="M58" i="1"/>
  <c r="P58" i="1" s="1"/>
  <c r="M57" i="1"/>
  <c r="P57" i="1" s="1"/>
  <c r="H17" i="12" s="1"/>
  <c r="M56" i="1"/>
  <c r="P56" i="1" s="1"/>
  <c r="H16" i="12" s="1"/>
  <c r="M55" i="1"/>
  <c r="P55" i="1" s="1"/>
  <c r="H15" i="12" s="1"/>
  <c r="M54" i="1"/>
  <c r="P54" i="1" s="1"/>
  <c r="M53" i="1"/>
  <c r="O53" i="1"/>
  <c r="Y53" i="1" s="1"/>
  <c r="O54" i="1"/>
  <c r="M14" i="1"/>
  <c r="O60" i="1"/>
  <c r="O59" i="1"/>
  <c r="O58" i="1"/>
  <c r="O57" i="1"/>
  <c r="O56" i="1"/>
  <c r="O55" i="1"/>
  <c r="V28" i="13"/>
  <c r="T28" i="13" s="1"/>
  <c r="X27" i="13"/>
  <c r="X29" i="13" s="1"/>
  <c r="W27" i="13"/>
  <c r="W29" i="13" s="1"/>
  <c r="V27" i="13"/>
  <c r="T27" i="13" s="1"/>
  <c r="W30" i="13" l="1"/>
  <c r="X30" i="13"/>
  <c r="Y56" i="1"/>
  <c r="Y59" i="1"/>
  <c r="W60" i="1"/>
  <c r="X60" i="1"/>
  <c r="Y55" i="1"/>
  <c r="W55" i="1"/>
  <c r="X55" i="1"/>
  <c r="W53" i="1"/>
  <c r="X53" i="1"/>
  <c r="W54" i="1"/>
  <c r="X54" i="1"/>
  <c r="W58" i="1"/>
  <c r="X58" i="1"/>
  <c r="H18" i="12"/>
  <c r="Y54" i="1"/>
  <c r="H14" i="12"/>
  <c r="U57" i="1"/>
  <c r="Y57" i="1"/>
  <c r="P53" i="1"/>
  <c r="H13" i="12" s="1"/>
  <c r="M46" i="1" s="1"/>
  <c r="Y58" i="1"/>
  <c r="U58" i="1"/>
  <c r="U59" i="1"/>
  <c r="V29" i="13"/>
  <c r="V30" i="13" s="1"/>
  <c r="R8" i="13"/>
  <c r="R7" i="13"/>
  <c r="Y62" i="1" l="1"/>
  <c r="O46" i="1"/>
  <c r="O47" i="1" s="1"/>
  <c r="O48" i="1" s="1"/>
  <c r="P46" i="1"/>
  <c r="X62" i="1"/>
  <c r="W62" i="1"/>
  <c r="Q44" i="13"/>
  <c r="Q45" i="13"/>
  <c r="Q38" i="13"/>
  <c r="Q46" i="13"/>
  <c r="Q47" i="13"/>
  <c r="Q41" i="13"/>
  <c r="Q40" i="13"/>
  <c r="Q48" i="13"/>
  <c r="Q43" i="13"/>
  <c r="Q37" i="13"/>
  <c r="Q42" i="13"/>
  <c r="Q39" i="13"/>
  <c r="P48" i="13"/>
  <c r="P46" i="13"/>
  <c r="P44" i="13"/>
  <c r="P42" i="13"/>
  <c r="P40" i="13"/>
  <c r="P38" i="13"/>
  <c r="P47" i="13"/>
  <c r="P43" i="13"/>
  <c r="P39" i="13"/>
  <c r="P45" i="13"/>
  <c r="P41" i="13"/>
  <c r="P37" i="13"/>
  <c r="S47" i="13"/>
  <c r="S45" i="13"/>
  <c r="S43" i="13"/>
  <c r="S41" i="13"/>
  <c r="S39" i="13"/>
  <c r="S37" i="13"/>
  <c r="S46" i="13"/>
  <c r="S42" i="13"/>
  <c r="S38" i="13"/>
  <c r="S48" i="13"/>
  <c r="S44" i="13"/>
  <c r="S40" i="13"/>
  <c r="I21" i="12" l="1"/>
  <c r="P47" i="1"/>
  <c r="P48" i="1" s="1"/>
  <c r="T46" i="1"/>
  <c r="Q46" i="1"/>
  <c r="Q49" i="13"/>
  <c r="P49" i="13"/>
  <c r="S49" i="13"/>
  <c r="Q47" i="1" l="1"/>
  <c r="Q48" i="1" s="1"/>
  <c r="R46" i="1"/>
  <c r="U46" i="1"/>
  <c r="B28" i="7"/>
  <c r="H28" i="7" s="1"/>
  <c r="B21" i="7"/>
  <c r="B21" i="6"/>
  <c r="B18" i="5"/>
  <c r="B25" i="5"/>
  <c r="H25" i="5" s="1"/>
  <c r="B24" i="5"/>
  <c r="B23" i="5"/>
  <c r="H23" i="5" s="1"/>
  <c r="B22" i="5"/>
  <c r="N22" i="5" s="1"/>
  <c r="B21" i="5"/>
  <c r="N21" i="5" s="1"/>
  <c r="B20" i="5"/>
  <c r="C20" i="5" s="1"/>
  <c r="B19" i="5"/>
  <c r="M19" i="5" s="1"/>
  <c r="V46" i="1" l="1"/>
  <c r="P60" i="1" s="1"/>
  <c r="R22" i="1" s="1"/>
  <c r="R47" i="1"/>
  <c r="R48" i="1" s="1"/>
  <c r="L24" i="5"/>
  <c r="F24" i="5"/>
  <c r="B28" i="6"/>
  <c r="G28" i="6" s="1"/>
  <c r="E24" i="5"/>
  <c r="M24" i="5"/>
  <c r="N24" i="5"/>
  <c r="C24" i="5"/>
  <c r="D24" i="5"/>
  <c r="B27" i="6"/>
  <c r="B27" i="7"/>
  <c r="B26" i="6"/>
  <c r="J26" i="6" s="1"/>
  <c r="B26" i="7"/>
  <c r="K26" i="7" s="1"/>
  <c r="B25" i="6"/>
  <c r="N25" i="6" s="1"/>
  <c r="B25" i="7"/>
  <c r="L25" i="7" s="1"/>
  <c r="B24" i="6"/>
  <c r="J24" i="6" s="1"/>
  <c r="B24" i="7"/>
  <c r="M24" i="7" s="1"/>
  <c r="B23" i="6"/>
  <c r="I23" i="6" s="1"/>
  <c r="B23" i="7"/>
  <c r="N23" i="7" s="1"/>
  <c r="B22" i="7"/>
  <c r="M22" i="7" s="1"/>
  <c r="B22" i="6"/>
  <c r="F22" i="6" s="1"/>
  <c r="I28" i="7"/>
  <c r="J28" i="7"/>
  <c r="G28" i="7"/>
  <c r="K28" i="7"/>
  <c r="J19" i="5"/>
  <c r="I20" i="5"/>
  <c r="K20" i="5"/>
  <c r="C19" i="5"/>
  <c r="K19" i="5"/>
  <c r="F20" i="5"/>
  <c r="M20" i="5"/>
  <c r="F19" i="5"/>
  <c r="N19" i="5"/>
  <c r="G20" i="5"/>
  <c r="N20" i="5"/>
  <c r="G19" i="5"/>
  <c r="D19" i="5"/>
  <c r="H19" i="5"/>
  <c r="L19" i="5"/>
  <c r="E20" i="5"/>
  <c r="J20" i="5"/>
  <c r="C22" i="5"/>
  <c r="E19" i="5"/>
  <c r="I19" i="5"/>
  <c r="I23" i="5"/>
  <c r="J23" i="5"/>
  <c r="G22" i="5"/>
  <c r="K22" i="5"/>
  <c r="I25" i="5"/>
  <c r="C21" i="5"/>
  <c r="G21" i="5"/>
  <c r="K21" i="5"/>
  <c r="J25" i="5"/>
  <c r="D21" i="5"/>
  <c r="H21" i="5"/>
  <c r="L21" i="5"/>
  <c r="D22" i="5"/>
  <c r="H22" i="5"/>
  <c r="L22" i="5"/>
  <c r="G23" i="5"/>
  <c r="K23" i="5"/>
  <c r="G25" i="5"/>
  <c r="K25" i="5"/>
  <c r="E21" i="5"/>
  <c r="I21" i="5"/>
  <c r="M21" i="5"/>
  <c r="E22" i="5"/>
  <c r="I22" i="5"/>
  <c r="M22" i="5"/>
  <c r="D20" i="5"/>
  <c r="H20" i="5"/>
  <c r="L20" i="5"/>
  <c r="F21" i="5"/>
  <c r="J21" i="5"/>
  <c r="F22" i="5"/>
  <c r="J22" i="5"/>
  <c r="I27" i="12"/>
  <c r="H27" i="12"/>
  <c r="H20" i="12" l="1"/>
  <c r="B26" i="5" s="1"/>
  <c r="K26" i="5" s="1"/>
  <c r="K27" i="5" s="1"/>
  <c r="S22" i="1"/>
  <c r="M25" i="7"/>
  <c r="C25" i="7"/>
  <c r="H25" i="7"/>
  <c r="K25" i="7"/>
  <c r="N25" i="7"/>
  <c r="D25" i="7"/>
  <c r="G25" i="7"/>
  <c r="F25" i="7"/>
  <c r="M27" i="6"/>
  <c r="D27" i="6"/>
  <c r="L27" i="6"/>
  <c r="C27" i="6"/>
  <c r="N27" i="6"/>
  <c r="E27" i="6"/>
  <c r="F27" i="6"/>
  <c r="N27" i="7"/>
  <c r="E27" i="7"/>
  <c r="C27" i="7"/>
  <c r="M27" i="7"/>
  <c r="D27" i="7"/>
  <c r="F27" i="7"/>
  <c r="L27" i="7"/>
  <c r="F23" i="7"/>
  <c r="N23" i="6"/>
  <c r="G23" i="6"/>
  <c r="D23" i="6"/>
  <c r="F24" i="6"/>
  <c r="L22" i="7"/>
  <c r="K23" i="6"/>
  <c r="J23" i="6"/>
  <c r="L23" i="6"/>
  <c r="C23" i="6"/>
  <c r="M23" i="6"/>
  <c r="H23" i="6"/>
  <c r="E23" i="6"/>
  <c r="J23" i="7"/>
  <c r="C24" i="7"/>
  <c r="H24" i="6"/>
  <c r="H25" i="6"/>
  <c r="J25" i="6"/>
  <c r="D25" i="6"/>
  <c r="F25" i="6"/>
  <c r="I25" i="6"/>
  <c r="E25" i="6"/>
  <c r="H26" i="7"/>
  <c r="G26" i="7"/>
  <c r="I26" i="7"/>
  <c r="I24" i="7"/>
  <c r="J24" i="7"/>
  <c r="D24" i="6"/>
  <c r="N24" i="6"/>
  <c r="E24" i="7"/>
  <c r="H24" i="7"/>
  <c r="K24" i="7"/>
  <c r="F24" i="7"/>
  <c r="N24" i="7"/>
  <c r="L24" i="7"/>
  <c r="D24" i="7"/>
  <c r="G24" i="7"/>
  <c r="J25" i="7"/>
  <c r="J26" i="7"/>
  <c r="L23" i="7"/>
  <c r="N22" i="6"/>
  <c r="H22" i="6"/>
  <c r="J22" i="6"/>
  <c r="D22" i="6"/>
  <c r="F22" i="7"/>
  <c r="I28" i="6"/>
  <c r="K28" i="6"/>
  <c r="J28" i="6"/>
  <c r="H28" i="6"/>
  <c r="H26" i="6"/>
  <c r="G26" i="6"/>
  <c r="I26" i="6"/>
  <c r="K26" i="6"/>
  <c r="L25" i="6"/>
  <c r="E25" i="7"/>
  <c r="I25" i="7"/>
  <c r="M25" i="6"/>
  <c r="C25" i="6"/>
  <c r="K25" i="6"/>
  <c r="G25" i="6"/>
  <c r="L24" i="6"/>
  <c r="K24" i="6"/>
  <c r="C24" i="6"/>
  <c r="I24" i="6"/>
  <c r="G24" i="6"/>
  <c r="M24" i="6"/>
  <c r="E24" i="6"/>
  <c r="E22" i="7"/>
  <c r="G22" i="7"/>
  <c r="I23" i="7"/>
  <c r="H23" i="7"/>
  <c r="K23" i="7"/>
  <c r="M23" i="7"/>
  <c r="G23" i="7"/>
  <c r="J22" i="7"/>
  <c r="D23" i="7"/>
  <c r="C23" i="7"/>
  <c r="E23" i="7"/>
  <c r="F23" i="6"/>
  <c r="C22" i="7"/>
  <c r="D22" i="7"/>
  <c r="I22" i="7"/>
  <c r="N22" i="7"/>
  <c r="L22" i="6"/>
  <c r="I22" i="6"/>
  <c r="G22" i="6"/>
  <c r="M22" i="6"/>
  <c r="E22" i="6"/>
  <c r="K22" i="6"/>
  <c r="C22" i="6"/>
  <c r="H22" i="7"/>
  <c r="K22" i="7"/>
  <c r="B29" i="7" l="1"/>
  <c r="I29" i="7" s="1"/>
  <c r="I30" i="7" s="1"/>
  <c r="I37" i="7" s="1"/>
  <c r="B29" i="6"/>
  <c r="D29" i="6" s="1"/>
  <c r="D30" i="6" s="1"/>
  <c r="D35" i="6" s="1"/>
  <c r="H23" i="12"/>
  <c r="L26" i="5"/>
  <c r="L27" i="5" s="1"/>
  <c r="L32" i="5" s="1"/>
  <c r="M26" i="5"/>
  <c r="M27" i="5" s="1"/>
  <c r="M32" i="5" s="1"/>
  <c r="E26" i="5"/>
  <c r="E27" i="5" s="1"/>
  <c r="E32" i="5" s="1"/>
  <c r="I26" i="5"/>
  <c r="I27" i="5" s="1"/>
  <c r="I32" i="5" s="1"/>
  <c r="F26" i="5"/>
  <c r="F27" i="5" s="1"/>
  <c r="F32" i="5" s="1"/>
  <c r="J26" i="5"/>
  <c r="J27" i="5" s="1"/>
  <c r="J32" i="5" s="1"/>
  <c r="N26" i="5"/>
  <c r="N27" i="5" s="1"/>
  <c r="N32" i="5" s="1"/>
  <c r="D26" i="5"/>
  <c r="D27" i="5" s="1"/>
  <c r="D32" i="5" s="1"/>
  <c r="B27" i="5"/>
  <c r="C26" i="5"/>
  <c r="C27" i="5" s="1"/>
  <c r="C32" i="5" s="1"/>
  <c r="G26" i="5"/>
  <c r="G27" i="5" s="1"/>
  <c r="G31" i="5" s="1"/>
  <c r="H26" i="5"/>
  <c r="H27" i="5" s="1"/>
  <c r="H31" i="5" s="1"/>
  <c r="K31" i="5"/>
  <c r="K32" i="5"/>
  <c r="M13" i="1"/>
  <c r="M12" i="1"/>
  <c r="N8" i="1"/>
  <c r="N18" i="1" s="1"/>
  <c r="S18" i="1" s="1"/>
  <c r="M8" i="1"/>
  <c r="E29" i="6" l="1"/>
  <c r="E30" i="6" s="1"/>
  <c r="E37" i="6" s="1"/>
  <c r="D29" i="7"/>
  <c r="D30" i="7" s="1"/>
  <c r="D37" i="7" s="1"/>
  <c r="H29" i="6"/>
  <c r="H30" i="6" s="1"/>
  <c r="H34" i="6" s="1"/>
  <c r="F29" i="7"/>
  <c r="F30" i="7" s="1"/>
  <c r="F37" i="7" s="1"/>
  <c r="I31" i="5"/>
  <c r="I29" i="6"/>
  <c r="I30" i="6" s="1"/>
  <c r="I35" i="6" s="1"/>
  <c r="L29" i="6"/>
  <c r="L30" i="6" s="1"/>
  <c r="L35" i="6" s="1"/>
  <c r="F29" i="6"/>
  <c r="F30" i="6" s="1"/>
  <c r="F36" i="6" s="1"/>
  <c r="G29" i="6"/>
  <c r="G30" i="6" s="1"/>
  <c r="G37" i="6" s="1"/>
  <c r="H32" i="5"/>
  <c r="K29" i="6"/>
  <c r="K30" i="6" s="1"/>
  <c r="K36" i="6" s="1"/>
  <c r="J29" i="6"/>
  <c r="J30" i="6" s="1"/>
  <c r="J37" i="6" s="1"/>
  <c r="N29" i="6"/>
  <c r="N30" i="6" s="1"/>
  <c r="N37" i="6" s="1"/>
  <c r="B30" i="6"/>
  <c r="M29" i="6"/>
  <c r="M30" i="6" s="1"/>
  <c r="M35" i="6" s="1"/>
  <c r="C29" i="6"/>
  <c r="C30" i="6" s="1"/>
  <c r="C37" i="6" s="1"/>
  <c r="M29" i="7"/>
  <c r="M30" i="7" s="1"/>
  <c r="M36" i="7" s="1"/>
  <c r="H29" i="7"/>
  <c r="H30" i="7" s="1"/>
  <c r="L31" i="5"/>
  <c r="G29" i="7"/>
  <c r="G30" i="7" s="1"/>
  <c r="B30" i="7"/>
  <c r="E29" i="7"/>
  <c r="E30" i="7" s="1"/>
  <c r="J29" i="7"/>
  <c r="J30" i="7" s="1"/>
  <c r="K29" i="7"/>
  <c r="K30" i="7" s="1"/>
  <c r="L29" i="7"/>
  <c r="L30" i="7" s="1"/>
  <c r="N29" i="7"/>
  <c r="N30" i="7" s="1"/>
  <c r="N37" i="7" s="1"/>
  <c r="C29" i="7"/>
  <c r="C30" i="7" s="1"/>
  <c r="C36" i="7" s="1"/>
  <c r="G32" i="5"/>
  <c r="F31" i="5"/>
  <c r="J31" i="5"/>
  <c r="S23" i="1"/>
  <c r="S24" i="1" s="1"/>
  <c r="S26" i="1" s="1"/>
  <c r="M18" i="1"/>
  <c r="R18" i="1" s="1"/>
  <c r="R23" i="1"/>
  <c r="R24" i="1" s="1"/>
  <c r="N16" i="1"/>
  <c r="S16" i="1" s="1"/>
  <c r="N17" i="1"/>
  <c r="S17" i="1" s="1"/>
  <c r="M17" i="1"/>
  <c r="D37" i="6"/>
  <c r="D36" i="6"/>
  <c r="I34" i="7"/>
  <c r="I36" i="7"/>
  <c r="I35" i="7"/>
  <c r="M16" i="1"/>
  <c r="E35" i="6" l="1"/>
  <c r="C5" i="11"/>
  <c r="G35" i="6"/>
  <c r="N36" i="6"/>
  <c r="E36" i="7"/>
  <c r="E37" i="7"/>
  <c r="H34" i="7"/>
  <c r="H37" i="7"/>
  <c r="K35" i="7"/>
  <c r="K37" i="7"/>
  <c r="F5" i="11"/>
  <c r="G37" i="7"/>
  <c r="H5" i="11"/>
  <c r="I5" i="11"/>
  <c r="J37" i="7"/>
  <c r="D35" i="7"/>
  <c r="L34" i="7"/>
  <c r="L37" i="7"/>
  <c r="N5" i="11"/>
  <c r="M34" i="7"/>
  <c r="M37" i="7"/>
  <c r="D36" i="7"/>
  <c r="H36" i="6"/>
  <c r="E36" i="6"/>
  <c r="L5" i="11"/>
  <c r="H37" i="6"/>
  <c r="H35" i="6"/>
  <c r="F36" i="7"/>
  <c r="E5" i="11"/>
  <c r="G36" i="7"/>
  <c r="F35" i="7"/>
  <c r="F34" i="7"/>
  <c r="C36" i="6"/>
  <c r="F35" i="6"/>
  <c r="J34" i="6"/>
  <c r="J35" i="6"/>
  <c r="K34" i="7"/>
  <c r="F34" i="6"/>
  <c r="F37" i="6"/>
  <c r="K36" i="7"/>
  <c r="C35" i="6"/>
  <c r="G35" i="7"/>
  <c r="J36" i="6"/>
  <c r="J5" i="11"/>
  <c r="G34" i="6"/>
  <c r="G36" i="6"/>
  <c r="N35" i="6"/>
  <c r="M35" i="7"/>
  <c r="K37" i="6"/>
  <c r="L34" i="6"/>
  <c r="I36" i="6"/>
  <c r="L36" i="6"/>
  <c r="I34" i="6"/>
  <c r="I37" i="6"/>
  <c r="L37" i="6"/>
  <c r="M37" i="6"/>
  <c r="K34" i="6"/>
  <c r="M36" i="6"/>
  <c r="K35" i="6"/>
  <c r="G34" i="7"/>
  <c r="J35" i="7"/>
  <c r="C35" i="7"/>
  <c r="C37" i="7"/>
  <c r="J36" i="7"/>
  <c r="J34" i="7"/>
  <c r="B5" i="11"/>
  <c r="H35" i="7"/>
  <c r="M5" i="11"/>
  <c r="G5" i="11"/>
  <c r="N35" i="7"/>
  <c r="H36" i="7"/>
  <c r="L35" i="7"/>
  <c r="E35" i="7"/>
  <c r="K5" i="11"/>
  <c r="D5" i="11"/>
  <c r="N36" i="7"/>
  <c r="L36" i="7"/>
  <c r="Q56" i="1"/>
  <c r="R55" i="1"/>
  <c r="S55" i="1"/>
  <c r="R56" i="1"/>
  <c r="S56" i="1"/>
  <c r="Q55" i="1"/>
  <c r="T55" i="1"/>
  <c r="F15" i="12" s="1"/>
  <c r="T56" i="1"/>
  <c r="U56" i="1" s="1"/>
  <c r="R16" i="1"/>
  <c r="R17" i="1"/>
  <c r="R60" i="1" s="1"/>
  <c r="T59" i="1"/>
  <c r="F19" i="12" s="1"/>
  <c r="I19" i="12" s="1"/>
  <c r="V59" i="1" s="1"/>
  <c r="S58" i="1"/>
  <c r="Q58" i="1"/>
  <c r="T58" i="1" s="1"/>
  <c r="F18" i="12" s="1"/>
  <c r="I18" i="12" s="1"/>
  <c r="V58" i="1" s="1"/>
  <c r="R58" i="1"/>
  <c r="Q60" i="1" l="1"/>
  <c r="B35" i="6"/>
  <c r="B36" i="6"/>
  <c r="B37" i="6"/>
  <c r="B37" i="7"/>
  <c r="B36" i="7"/>
  <c r="B35" i="7"/>
  <c r="Q54" i="1"/>
  <c r="S59" i="1"/>
  <c r="R54" i="1"/>
  <c r="Q59" i="1"/>
  <c r="S54" i="1"/>
  <c r="T54" i="1" s="1"/>
  <c r="R59" i="1"/>
  <c r="U55" i="1"/>
  <c r="F16" i="12"/>
  <c r="Q57" i="1"/>
  <c r="T57" i="1" s="1"/>
  <c r="F17" i="12" s="1"/>
  <c r="I17" i="12" s="1"/>
  <c r="V57" i="1" s="1"/>
  <c r="Q53" i="1"/>
  <c r="R53" i="1"/>
  <c r="S53" i="1"/>
  <c r="S60" i="1"/>
  <c r="T60" i="1" s="1"/>
  <c r="U60" i="1" s="1"/>
  <c r="S57" i="1"/>
  <c r="R57" i="1"/>
  <c r="T53" i="1" l="1"/>
  <c r="F13" i="12" s="1"/>
  <c r="Q22" i="1"/>
  <c r="Q23" i="1" s="1"/>
  <c r="Q24" i="1" s="1"/>
  <c r="F14" i="12"/>
  <c r="F20" i="12"/>
  <c r="U54" i="1"/>
  <c r="Y22" i="13" s="1"/>
  <c r="Y20" i="13" s="1"/>
  <c r="W17" i="1"/>
  <c r="X15" i="1" s="1"/>
  <c r="U53" i="1" l="1"/>
  <c r="X22" i="13" s="1"/>
  <c r="X10" i="13" s="1"/>
  <c r="O22" i="1"/>
  <c r="O23" i="1" s="1"/>
  <c r="O24" i="1" s="1"/>
  <c r="P22" i="1"/>
  <c r="P23" i="1" s="1"/>
  <c r="P24" i="1" s="1"/>
  <c r="Y13" i="13"/>
  <c r="Y14" i="13"/>
  <c r="Y19" i="13"/>
  <c r="Y12" i="13"/>
  <c r="Y17" i="13"/>
  <c r="Y15" i="13"/>
  <c r="Y10" i="13"/>
  <c r="Y11" i="13"/>
  <c r="Y16" i="13"/>
  <c r="Y21" i="13"/>
  <c r="Y18" i="13"/>
  <c r="B32" i="5"/>
  <c r="X8" i="1"/>
  <c r="X12" i="1"/>
  <c r="X16" i="1"/>
  <c r="X5" i="1"/>
  <c r="X9" i="1"/>
  <c r="X13" i="1"/>
  <c r="X6" i="1"/>
  <c r="X10" i="1"/>
  <c r="X14" i="1"/>
  <c r="X7" i="1"/>
  <c r="X11" i="1"/>
  <c r="X18" i="13" l="1"/>
  <c r="Z18" i="13" s="1"/>
  <c r="B45" i="13" s="1"/>
  <c r="E45" i="13" s="1"/>
  <c r="X17" i="13"/>
  <c r="Z17" i="13" s="1"/>
  <c r="B44" i="13" s="1"/>
  <c r="N44" i="13" s="1"/>
  <c r="X11" i="13"/>
  <c r="Z11" i="13" s="1"/>
  <c r="B38" i="13" s="1"/>
  <c r="D38" i="13" s="1"/>
  <c r="Z10" i="13"/>
  <c r="B37" i="13" s="1"/>
  <c r="J37" i="13" s="1"/>
  <c r="X19" i="13"/>
  <c r="Z19" i="13" s="1"/>
  <c r="B46" i="13" s="1"/>
  <c r="H46" i="13" s="1"/>
  <c r="X15" i="13"/>
  <c r="Z15" i="13" s="1"/>
  <c r="B42" i="13" s="1"/>
  <c r="M42" i="13" s="1"/>
  <c r="X16" i="13"/>
  <c r="Z16" i="13" s="1"/>
  <c r="B43" i="13" s="1"/>
  <c r="L43" i="13" s="1"/>
  <c r="X20" i="13"/>
  <c r="Z20" i="13" s="1"/>
  <c r="B47" i="13" s="1"/>
  <c r="J47" i="13" s="1"/>
  <c r="X14" i="13"/>
  <c r="Z14" i="13" s="1"/>
  <c r="B41" i="13" s="1"/>
  <c r="O41" i="13" s="1"/>
  <c r="Z22" i="13"/>
  <c r="X21" i="13"/>
  <c r="Z21" i="13" s="1"/>
  <c r="B48" i="13" s="1"/>
  <c r="M48" i="13" s="1"/>
  <c r="X12" i="13"/>
  <c r="Z12" i="13" s="1"/>
  <c r="B39" i="13" s="1"/>
  <c r="G39" i="13" s="1"/>
  <c r="X13" i="13"/>
  <c r="Z13" i="13" s="1"/>
  <c r="B40" i="13" s="1"/>
  <c r="I40" i="13" s="1"/>
  <c r="R26" i="1"/>
  <c r="U26" i="1" s="1"/>
  <c r="V26" i="1" s="1"/>
  <c r="Q29" i="12" s="1"/>
  <c r="X17" i="1"/>
  <c r="B16" i="7"/>
  <c r="B15" i="7"/>
  <c r="B14" i="7"/>
  <c r="B13" i="7"/>
  <c r="B12" i="7"/>
  <c r="B11" i="7"/>
  <c r="B9" i="7"/>
  <c r="B8" i="7"/>
  <c r="B7" i="7"/>
  <c r="B6" i="7"/>
  <c r="B5" i="7"/>
  <c r="B4" i="7"/>
  <c r="B3" i="7"/>
  <c r="B16" i="6"/>
  <c r="B15" i="6"/>
  <c r="B14" i="6"/>
  <c r="B13" i="6"/>
  <c r="B12" i="6"/>
  <c r="B11" i="6"/>
  <c r="B9" i="6"/>
  <c r="B8" i="6"/>
  <c r="B7" i="6"/>
  <c r="B6" i="6"/>
  <c r="B5" i="6"/>
  <c r="B4" i="6"/>
  <c r="B3" i="6"/>
  <c r="B13" i="5"/>
  <c r="B12" i="5"/>
  <c r="B11" i="5"/>
  <c r="B10" i="5"/>
  <c r="B8" i="5"/>
  <c r="B7" i="5"/>
  <c r="B6" i="5"/>
  <c r="B5" i="5"/>
  <c r="B4" i="5"/>
  <c r="B3" i="5"/>
  <c r="N37" i="13" l="1"/>
  <c r="C37" i="13"/>
  <c r="D47" i="13"/>
  <c r="L37" i="13"/>
  <c r="I47" i="13"/>
  <c r="I37" i="13"/>
  <c r="H37" i="13"/>
  <c r="E37" i="13"/>
  <c r="G47" i="13"/>
  <c r="M47" i="13"/>
  <c r="M37" i="13"/>
  <c r="L47" i="13"/>
  <c r="O47" i="13"/>
  <c r="G37" i="13"/>
  <c r="O37" i="13"/>
  <c r="D37" i="13"/>
  <c r="E47" i="13"/>
  <c r="N47" i="13"/>
  <c r="C47" i="13"/>
  <c r="H47" i="13"/>
  <c r="R29" i="12"/>
  <c r="M46" i="13"/>
  <c r="D46" i="13"/>
  <c r="N46" i="13"/>
  <c r="L46" i="13"/>
  <c r="C46" i="13"/>
  <c r="J46" i="13"/>
  <c r="O46" i="13"/>
  <c r="G46" i="13"/>
  <c r="K46" i="13" s="1"/>
  <c r="E46" i="13"/>
  <c r="I46" i="13"/>
  <c r="E43" i="13"/>
  <c r="J43" i="13"/>
  <c r="C43" i="13"/>
  <c r="N43" i="13"/>
  <c r="M43" i="13"/>
  <c r="G43" i="13"/>
  <c r="K43" i="13" s="1"/>
  <c r="O43" i="13"/>
  <c r="D43" i="13"/>
  <c r="I43" i="13"/>
  <c r="H43" i="13"/>
  <c r="O44" i="13"/>
  <c r="D48" i="13"/>
  <c r="I41" i="13"/>
  <c r="H41" i="13"/>
  <c r="O38" i="13"/>
  <c r="M41" i="13"/>
  <c r="C41" i="13"/>
  <c r="D44" i="13"/>
  <c r="L48" i="13"/>
  <c r="L38" i="13"/>
  <c r="D41" i="13"/>
  <c r="G48" i="13"/>
  <c r="K48" i="13" s="1"/>
  <c r="G41" i="13"/>
  <c r="K41" i="13" s="1"/>
  <c r="I48" i="13"/>
  <c r="N41" i="13"/>
  <c r="J41" i="13"/>
  <c r="H44" i="13"/>
  <c r="N38" i="13"/>
  <c r="G38" i="13"/>
  <c r="K38" i="13" s="1"/>
  <c r="E38" i="13"/>
  <c r="N48" i="13"/>
  <c r="I44" i="13"/>
  <c r="L44" i="13"/>
  <c r="C38" i="13"/>
  <c r="M38" i="13"/>
  <c r="J38" i="13"/>
  <c r="E44" i="13"/>
  <c r="M44" i="13"/>
  <c r="J44" i="13"/>
  <c r="H38" i="13"/>
  <c r="I38" i="13"/>
  <c r="E41" i="13"/>
  <c r="E48" i="13"/>
  <c r="C44" i="13"/>
  <c r="L41" i="13"/>
  <c r="H48" i="13"/>
  <c r="G44" i="13"/>
  <c r="K44" i="13" s="1"/>
  <c r="D42" i="13"/>
  <c r="J42" i="13"/>
  <c r="G42" i="13"/>
  <c r="K42" i="13" s="1"/>
  <c r="O42" i="13"/>
  <c r="C42" i="13"/>
  <c r="N42" i="13"/>
  <c r="E42" i="13"/>
  <c r="H42" i="13"/>
  <c r="I42" i="13"/>
  <c r="O48" i="13"/>
  <c r="H40" i="13"/>
  <c r="L42" i="13"/>
  <c r="L39" i="13"/>
  <c r="M39" i="13"/>
  <c r="D40" i="13"/>
  <c r="H39" i="13"/>
  <c r="C48" i="13"/>
  <c r="J48" i="13"/>
  <c r="M40" i="13"/>
  <c r="B49" i="13"/>
  <c r="H45" i="13"/>
  <c r="J45" i="13"/>
  <c r="E40" i="13"/>
  <c r="C39" i="13"/>
  <c r="D39" i="13"/>
  <c r="J40" i="13"/>
  <c r="L45" i="13"/>
  <c r="O45" i="13"/>
  <c r="C45" i="13"/>
  <c r="G45" i="13"/>
  <c r="K45" i="13" s="1"/>
  <c r="M45" i="13"/>
  <c r="D45" i="13"/>
  <c r="N45" i="13"/>
  <c r="I45" i="13"/>
  <c r="G40" i="13"/>
  <c r="K40" i="13" s="1"/>
  <c r="N39" i="13"/>
  <c r="N40" i="13"/>
  <c r="O40" i="13"/>
  <c r="C40" i="13"/>
  <c r="J39" i="13"/>
  <c r="O39" i="13"/>
  <c r="E39" i="13"/>
  <c r="I39" i="13"/>
  <c r="L40" i="13"/>
  <c r="K39" i="13"/>
  <c r="K47" i="13"/>
  <c r="K37" i="13"/>
  <c r="C34" i="7"/>
  <c r="N34" i="7"/>
  <c r="D34" i="7"/>
  <c r="E34" i="7"/>
  <c r="C32" i="7"/>
  <c r="N32" i="7"/>
  <c r="I32" i="7"/>
  <c r="F32" i="7"/>
  <c r="J32" i="7"/>
  <c r="M32" i="7"/>
  <c r="L32" i="7"/>
  <c r="H32" i="7"/>
  <c r="G32" i="7"/>
  <c r="K32" i="7"/>
  <c r="D32" i="7"/>
  <c r="E32" i="7"/>
  <c r="C33" i="7"/>
  <c r="J33" i="7"/>
  <c r="I33" i="7"/>
  <c r="M33" i="7"/>
  <c r="F33" i="7"/>
  <c r="H33" i="7"/>
  <c r="N33" i="7"/>
  <c r="G33" i="7"/>
  <c r="E33" i="7"/>
  <c r="K33" i="7"/>
  <c r="D33" i="7"/>
  <c r="L33" i="7"/>
  <c r="M38" i="7"/>
  <c r="I38" i="7"/>
  <c r="E38" i="7"/>
  <c r="L38" i="7"/>
  <c r="H38" i="7"/>
  <c r="D38" i="7"/>
  <c r="K38" i="7"/>
  <c r="G38" i="7"/>
  <c r="C38" i="7"/>
  <c r="N38" i="7"/>
  <c r="J38" i="7"/>
  <c r="F38" i="7"/>
  <c r="C31" i="7"/>
  <c r="G31" i="7"/>
  <c r="M31" i="7"/>
  <c r="K31" i="7"/>
  <c r="L31" i="7"/>
  <c r="D31" i="7"/>
  <c r="E31" i="7"/>
  <c r="N31" i="7"/>
  <c r="H31" i="7"/>
  <c r="I31" i="7"/>
  <c r="J31" i="7"/>
  <c r="F31" i="7"/>
  <c r="L32" i="6"/>
  <c r="G32" i="6"/>
  <c r="I32" i="6"/>
  <c r="C32" i="6"/>
  <c r="J32" i="6"/>
  <c r="F32" i="6"/>
  <c r="K32" i="6"/>
  <c r="H32" i="6"/>
  <c r="N32" i="6"/>
  <c r="E32" i="6"/>
  <c r="D32" i="6"/>
  <c r="M32" i="6"/>
  <c r="C34" i="6"/>
  <c r="N34" i="6"/>
  <c r="E34" i="6"/>
  <c r="D34" i="6"/>
  <c r="M34" i="6"/>
  <c r="I33" i="6"/>
  <c r="G33" i="6"/>
  <c r="J33" i="6"/>
  <c r="L33" i="6"/>
  <c r="C33" i="6"/>
  <c r="F33" i="6"/>
  <c r="K33" i="6"/>
  <c r="M33" i="6"/>
  <c r="H33" i="6"/>
  <c r="N33" i="6"/>
  <c r="E33" i="6"/>
  <c r="D33" i="6"/>
  <c r="M31" i="5"/>
  <c r="F47" i="13" l="1"/>
  <c r="U47" i="13" s="1"/>
  <c r="F37" i="13"/>
  <c r="T37" i="13" s="1"/>
  <c r="F38" i="13"/>
  <c r="U38" i="13" s="1"/>
  <c r="F46" i="13"/>
  <c r="T46" i="13" s="1"/>
  <c r="F43" i="13"/>
  <c r="U43" i="13" s="1"/>
  <c r="F44" i="13"/>
  <c r="U44" i="13" s="1"/>
  <c r="F41" i="13"/>
  <c r="U41" i="13" s="1"/>
  <c r="H49" i="13"/>
  <c r="C54" i="13" s="1"/>
  <c r="F48" i="13"/>
  <c r="T48" i="13" s="1"/>
  <c r="L49" i="13"/>
  <c r="F42" i="13"/>
  <c r="U42" i="13" s="1"/>
  <c r="J49" i="13"/>
  <c r="M49" i="13"/>
  <c r="F45" i="13"/>
  <c r="U45" i="13" s="1"/>
  <c r="F39" i="13"/>
  <c r="T39" i="13" s="1"/>
  <c r="I49" i="13"/>
  <c r="C49" i="13"/>
  <c r="D49" i="13"/>
  <c r="N49" i="13"/>
  <c r="E49" i="13"/>
  <c r="O49" i="13"/>
  <c r="G49" i="13"/>
  <c r="F40" i="13"/>
  <c r="U40" i="13" s="1"/>
  <c r="K49" i="13"/>
  <c r="G30" i="5"/>
  <c r="I30" i="5"/>
  <c r="J30" i="5"/>
  <c r="H30" i="5"/>
  <c r="K30" i="5"/>
  <c r="I39" i="7"/>
  <c r="I40" i="7" s="1"/>
  <c r="I41" i="7" s="1"/>
  <c r="D39" i="7"/>
  <c r="D40" i="7" s="1"/>
  <c r="D41" i="7" s="1"/>
  <c r="L28" i="5"/>
  <c r="C28" i="5"/>
  <c r="G28" i="5"/>
  <c r="D28" i="5"/>
  <c r="N28" i="5"/>
  <c r="K28" i="5"/>
  <c r="M28" i="5"/>
  <c r="H28" i="5"/>
  <c r="I28" i="5"/>
  <c r="E28" i="5"/>
  <c r="F28" i="5"/>
  <c r="J28" i="5"/>
  <c r="N30" i="5"/>
  <c r="D30" i="5"/>
  <c r="E30" i="5"/>
  <c r="F30" i="5"/>
  <c r="C30" i="5"/>
  <c r="L30" i="5"/>
  <c r="M30" i="5"/>
  <c r="G29" i="5"/>
  <c r="M29" i="5"/>
  <c r="L29" i="5"/>
  <c r="N29" i="5"/>
  <c r="H29" i="5"/>
  <c r="I29" i="5"/>
  <c r="E29" i="5"/>
  <c r="F29" i="5"/>
  <c r="J29" i="5"/>
  <c r="K29" i="5"/>
  <c r="D29" i="5"/>
  <c r="C29" i="5"/>
  <c r="N31" i="5"/>
  <c r="D31" i="5"/>
  <c r="C31" i="5"/>
  <c r="E31" i="5"/>
  <c r="E39" i="7"/>
  <c r="E40" i="7" s="1"/>
  <c r="E41" i="7" s="1"/>
  <c r="J39" i="7"/>
  <c r="J40" i="7" s="1"/>
  <c r="J41" i="7" s="1"/>
  <c r="M39" i="7"/>
  <c r="M40" i="7" s="1"/>
  <c r="M41" i="7" s="1"/>
  <c r="K39" i="7"/>
  <c r="K40" i="7" s="1"/>
  <c r="K41" i="7" s="1"/>
  <c r="G39" i="7"/>
  <c r="G40" i="7" s="1"/>
  <c r="G41" i="7" s="1"/>
  <c r="H39" i="7"/>
  <c r="H40" i="7" s="1"/>
  <c r="F39" i="7"/>
  <c r="F40" i="7" s="1"/>
  <c r="F41" i="7" s="1"/>
  <c r="L39" i="7"/>
  <c r="L40" i="7" s="1"/>
  <c r="L41" i="7" s="1"/>
  <c r="N39" i="7"/>
  <c r="N40" i="7" s="1"/>
  <c r="N41" i="7" s="1"/>
  <c r="B33" i="7"/>
  <c r="B32" i="7"/>
  <c r="B34" i="7"/>
  <c r="C39" i="7"/>
  <c r="B31" i="7"/>
  <c r="B38" i="7"/>
  <c r="N38" i="6"/>
  <c r="J38" i="6"/>
  <c r="F38" i="6"/>
  <c r="C38" i="6"/>
  <c r="M38" i="6"/>
  <c r="I38" i="6"/>
  <c r="E38" i="6"/>
  <c r="L38" i="6"/>
  <c r="H38" i="6"/>
  <c r="D38" i="6"/>
  <c r="K38" i="6"/>
  <c r="G38" i="6"/>
  <c r="B33" i="6"/>
  <c r="B32" i="6"/>
  <c r="H31" i="6"/>
  <c r="K31" i="6"/>
  <c r="G31" i="6"/>
  <c r="N31" i="6"/>
  <c r="J31" i="6"/>
  <c r="F31" i="6"/>
  <c r="M31" i="6"/>
  <c r="M39" i="6" s="1"/>
  <c r="M40" i="6" s="1"/>
  <c r="M41" i="6" s="1"/>
  <c r="I31" i="6"/>
  <c r="I39" i="6" s="1"/>
  <c r="I40" i="6" s="1"/>
  <c r="I41" i="6" s="1"/>
  <c r="E31" i="6"/>
  <c r="E39" i="6" s="1"/>
  <c r="E40" i="6" s="1"/>
  <c r="E41" i="6" s="1"/>
  <c r="L31" i="6"/>
  <c r="L39" i="6" s="1"/>
  <c r="L40" i="6" s="1"/>
  <c r="L41" i="6" s="1"/>
  <c r="D31" i="6"/>
  <c r="C31" i="6"/>
  <c r="B34" i="6"/>
  <c r="T47" i="13" l="1"/>
  <c r="U37" i="13"/>
  <c r="U46" i="13"/>
  <c r="T38" i="13"/>
  <c r="T43" i="13"/>
  <c r="T42" i="13"/>
  <c r="U48" i="13"/>
  <c r="T41" i="13"/>
  <c r="T44" i="13"/>
  <c r="U39" i="13"/>
  <c r="T45" i="13"/>
  <c r="C53" i="13"/>
  <c r="C51" i="13"/>
  <c r="F49" i="13"/>
  <c r="P52" i="13" s="1"/>
  <c r="T40" i="13"/>
  <c r="B28" i="5"/>
  <c r="B29" i="5"/>
  <c r="B31" i="5"/>
  <c r="N39" i="6"/>
  <c r="N40" i="6" s="1"/>
  <c r="N41" i="6" s="1"/>
  <c r="F39" i="6"/>
  <c r="F40" i="6" s="1"/>
  <c r="F41" i="6" s="1"/>
  <c r="K39" i="6"/>
  <c r="K40" i="6" s="1"/>
  <c r="K41" i="6" s="1"/>
  <c r="N33" i="5"/>
  <c r="N34" i="5" s="1"/>
  <c r="N35" i="5" s="1"/>
  <c r="N36" i="5" s="1"/>
  <c r="K33" i="5"/>
  <c r="K34" i="5" s="1"/>
  <c r="K35" i="5" s="1"/>
  <c r="K36" i="5" s="1"/>
  <c r="C33" i="5"/>
  <c r="C34" i="5" s="1"/>
  <c r="C35" i="5" s="1"/>
  <c r="G33" i="5"/>
  <c r="G34" i="5" s="1"/>
  <c r="D33" i="5"/>
  <c r="D34" i="5" s="1"/>
  <c r="D35" i="5" s="1"/>
  <c r="D36" i="5" s="1"/>
  <c r="I33" i="5"/>
  <c r="I34" i="5" s="1"/>
  <c r="I35" i="5" s="1"/>
  <c r="I36" i="5" s="1"/>
  <c r="H3" i="11" s="1"/>
  <c r="L33" i="5"/>
  <c r="L34" i="5" s="1"/>
  <c r="L35" i="5" s="1"/>
  <c r="L36" i="5" s="1"/>
  <c r="K3" i="11" s="1"/>
  <c r="F33" i="5"/>
  <c r="F34" i="5" s="1"/>
  <c r="F35" i="5" s="1"/>
  <c r="F36" i="5" s="1"/>
  <c r="J33" i="5"/>
  <c r="J34" i="5" s="1"/>
  <c r="J35" i="5" s="1"/>
  <c r="J36" i="5" s="1"/>
  <c r="H33" i="5"/>
  <c r="H34" i="5" s="1"/>
  <c r="H35" i="5" s="1"/>
  <c r="H36" i="5" s="1"/>
  <c r="M33" i="5"/>
  <c r="M34" i="5" s="1"/>
  <c r="M35" i="5" s="1"/>
  <c r="M36" i="5" s="1"/>
  <c r="L3" i="11" s="1"/>
  <c r="E33" i="5"/>
  <c r="E34" i="5" s="1"/>
  <c r="E35" i="5" s="1"/>
  <c r="E36" i="5" s="1"/>
  <c r="D3" i="11" s="1"/>
  <c r="B30" i="5"/>
  <c r="H39" i="6"/>
  <c r="H40" i="6" s="1"/>
  <c r="H41" i="6" s="1"/>
  <c r="H41" i="7"/>
  <c r="F42" i="7"/>
  <c r="D39" i="6"/>
  <c r="D40" i="6" s="1"/>
  <c r="D41" i="6" s="1"/>
  <c r="J39" i="6"/>
  <c r="J40" i="6" s="1"/>
  <c r="J41" i="6" s="1"/>
  <c r="C39" i="6"/>
  <c r="C40" i="6" s="1"/>
  <c r="C40" i="7"/>
  <c r="B40" i="7" s="1"/>
  <c r="B39" i="7"/>
  <c r="B38" i="6"/>
  <c r="B31" i="6"/>
  <c r="F42" i="6" s="1"/>
  <c r="G39" i="6"/>
  <c r="G40" i="6" s="1"/>
  <c r="G41" i="6" s="1"/>
  <c r="J13" i="12" l="1"/>
  <c r="F37" i="5"/>
  <c r="I20" i="12"/>
  <c r="V60" i="1" s="1"/>
  <c r="I13" i="12"/>
  <c r="I16" i="12"/>
  <c r="V56" i="1" s="1"/>
  <c r="I14" i="12"/>
  <c r="V54" i="1" s="1"/>
  <c r="I15" i="12"/>
  <c r="V55" i="1" s="1"/>
  <c r="U49" i="13"/>
  <c r="T49" i="13"/>
  <c r="C55" i="13"/>
  <c r="C52" i="13"/>
  <c r="M3" i="11"/>
  <c r="E3" i="11"/>
  <c r="J3" i="11"/>
  <c r="I3" i="11"/>
  <c r="C3" i="11"/>
  <c r="J20" i="12"/>
  <c r="B34" i="5"/>
  <c r="G35" i="5"/>
  <c r="G36" i="5" s="1"/>
  <c r="F3" i="11" s="1"/>
  <c r="B33" i="5"/>
  <c r="G3" i="11"/>
  <c r="C41" i="7"/>
  <c r="B39" i="6"/>
  <c r="B40" i="6"/>
  <c r="C41" i="6"/>
  <c r="B41" i="6" s="1"/>
  <c r="B42" i="6" s="1"/>
  <c r="C36" i="5"/>
  <c r="V53" i="1" l="1"/>
  <c r="V62" i="1" s="1"/>
  <c r="C56" i="13"/>
  <c r="J16" i="12"/>
  <c r="K16" i="12" s="1"/>
  <c r="J17" i="12"/>
  <c r="K17" i="12" s="1"/>
  <c r="J19" i="12"/>
  <c r="K19" i="12" s="1"/>
  <c r="J15" i="12"/>
  <c r="K15" i="12" s="1"/>
  <c r="J18" i="12"/>
  <c r="K18" i="12" s="1"/>
  <c r="J14" i="12"/>
  <c r="K14" i="12" s="1"/>
  <c r="K13" i="12"/>
  <c r="J21" i="12"/>
  <c r="K21" i="12" s="1"/>
  <c r="K20" i="12"/>
  <c r="B36" i="5"/>
  <c r="B37" i="5" s="1"/>
  <c r="B35" i="5"/>
  <c r="B41" i="7"/>
  <c r="B3" i="11"/>
  <c r="N17" i="11"/>
  <c r="N11" i="11"/>
  <c r="I22" i="12" l="1"/>
  <c r="I23" i="12" s="1"/>
  <c r="J22" i="12"/>
  <c r="J23" i="12" s="1"/>
  <c r="B42" i="7"/>
  <c r="N3" i="11"/>
  <c r="K17" i="11"/>
  <c r="I17" i="11"/>
  <c r="M17" i="11"/>
  <c r="H17" i="11"/>
  <c r="D17" i="11"/>
  <c r="J17" i="11"/>
  <c r="L17" i="11"/>
  <c r="C17" i="11"/>
  <c r="E17" i="11"/>
  <c r="F17" i="11"/>
  <c r="G17" i="11"/>
  <c r="E11" i="11"/>
  <c r="J11" i="11"/>
  <c r="D11" i="11"/>
  <c r="I11" i="11"/>
  <c r="C11" i="11"/>
  <c r="H11" i="11"/>
  <c r="M11" i="11"/>
  <c r="G11" i="11"/>
  <c r="L11" i="11"/>
  <c r="F11" i="11"/>
  <c r="K11" i="11"/>
  <c r="K22" i="12" l="1"/>
  <c r="K23" i="12" s="1"/>
  <c r="J25" i="12" s="1"/>
  <c r="K4" i="11"/>
  <c r="D4" i="11"/>
  <c r="H4" i="11"/>
  <c r="M4" i="11"/>
  <c r="N4" i="11"/>
  <c r="L4" i="11"/>
  <c r="B4" i="11"/>
  <c r="C4" i="11"/>
  <c r="E4" i="11"/>
  <c r="G4" i="11"/>
  <c r="I4" i="11"/>
  <c r="J4" i="11"/>
  <c r="F4" i="11"/>
  <c r="B17" i="11"/>
  <c r="B11" i="11"/>
  <c r="I15" i="11" l="1"/>
  <c r="J15" i="11"/>
  <c r="K15" i="11"/>
  <c r="D15" i="11"/>
  <c r="H15" i="11"/>
  <c r="G15" i="11"/>
  <c r="C15" i="11"/>
  <c r="F15" i="11"/>
  <c r="L15" i="11"/>
  <c r="L9" i="11"/>
  <c r="H9" i="11"/>
  <c r="M9" i="11"/>
  <c r="G9" i="11"/>
  <c r="F9" i="11"/>
  <c r="C9" i="11"/>
  <c r="K9" i="11"/>
  <c r="I9" i="11"/>
  <c r="J9" i="11"/>
  <c r="D9" i="11"/>
  <c r="E9" i="11"/>
  <c r="M15" i="11"/>
  <c r="E15" i="11"/>
  <c r="B9" i="11" l="1"/>
  <c r="B15" i="11"/>
  <c r="N15" i="11" l="1"/>
  <c r="N9" i="11"/>
  <c r="J16" i="11" l="1"/>
  <c r="M16" i="11"/>
  <c r="I16" i="11"/>
  <c r="E16" i="11"/>
  <c r="L16" i="11"/>
  <c r="H16" i="11"/>
  <c r="D16" i="11"/>
  <c r="K16" i="11"/>
  <c r="G16" i="11"/>
  <c r="C16" i="11"/>
  <c r="N16" i="11"/>
  <c r="F16" i="11"/>
  <c r="B16" i="11"/>
  <c r="D10" i="11"/>
  <c r="N10" i="11"/>
  <c r="I10" i="11"/>
  <c r="M10" i="11"/>
  <c r="K10" i="11"/>
  <c r="J10" i="11"/>
  <c r="E10" i="11"/>
  <c r="L10" i="11"/>
  <c r="G10" i="11"/>
  <c r="F10" i="11"/>
  <c r="H10" i="11"/>
  <c r="C10" i="11"/>
  <c r="B1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 Okrucky</author>
  </authors>
  <commentList>
    <comment ref="F4" authorId="0" shapeId="0" xr:uid="{00000000-0006-0000-0000-000001000000}">
      <text>
        <r>
          <rPr>
            <sz val="9"/>
            <color indexed="81"/>
            <rFont val="Tahoma"/>
            <family val="2"/>
          </rPr>
          <t xml:space="preserve">Union South area includes southwestern Ontario, west of the Toronto area and south of Tobermory.
Union NW area inlcudes the areas in northern Ontario, between the Manitoba border and the west side of Kapuskasing, or from Sault Ste. Marie to Elliot Lake. 
Union NE area includes the area east of Toronto, or north of Barrie and east of the west side of Kapuskasing. </t>
        </r>
      </text>
    </comment>
    <comment ref="I4" authorId="0" shapeId="0" xr:uid="{00000000-0006-0000-0000-000002000000}">
      <text>
        <r>
          <rPr>
            <sz val="9"/>
            <color indexed="81"/>
            <rFont val="Tahoma"/>
            <family val="2"/>
          </rPr>
          <t xml:space="preserve">"Low, Medium or High density" for Hydro One rates refers to the applicable residential rate class. These are differentiated in order to account for the monhtly delivery rate cap applied for medium and low density customers.
Hydro One F.N. refers to First Nation rates (which exclude delivery charges).
For UG employe use, if electric utility is not Hydro One, the appplicable utilty and rate structure must be entered in the Common Inputs tab.
</t>
        </r>
      </text>
    </comment>
    <comment ref="F5" authorId="0" shapeId="0" xr:uid="{00000000-0006-0000-0000-000003000000}">
      <text>
        <r>
          <rPr>
            <sz val="9"/>
            <color indexed="81"/>
            <rFont val="Tahoma"/>
            <family val="2"/>
          </rPr>
          <t>The SES is a System Expansion Surcharge approved by the OEB to be applied to specific natural gas expansion projects in order to make them economically feasible.</t>
        </r>
      </text>
    </comment>
    <comment ref="M5" authorId="0" shapeId="0" xr:uid="{00000000-0006-0000-0000-000004000000}">
      <text>
        <r>
          <rPr>
            <sz val="8"/>
            <color indexed="81"/>
            <rFont val="Tahoma"/>
            <family val="2"/>
          </rPr>
          <t>This field is required only in cases where  one or more appliances are intended to be converted from propane to natural gas or replaced with natural gas.
Please enter the average annual cost per litre for propane.
PST and GST (or HST) should be excluded.</t>
        </r>
      </text>
    </comment>
    <comment ref="O5" authorId="0" shapeId="0" xr:uid="{00000000-0006-0000-0000-000005000000}">
      <text>
        <r>
          <rPr>
            <sz val="8"/>
            <color indexed="81"/>
            <rFont val="Tahoma"/>
            <family val="2"/>
          </rPr>
          <t>This field is required only in cases where  one or more appliances are intended to be converted from propane to natural gas or replaced with natural gas.
Many but not all propane suppliers separate Cap and Trade Fees on the bill. In 2017 this fee is typically around 2.9 cents per litre.
Please enter the Cap and Trade fee per litre if it is not include in the Nominal Price field to the left of this field. 
PST and GST (or HST) should be excluded.</t>
        </r>
      </text>
    </comment>
    <comment ref="Q5" authorId="0" shapeId="0" xr:uid="{00000000-0006-0000-0000-000006000000}">
      <text>
        <r>
          <rPr>
            <sz val="8"/>
            <color indexed="81"/>
            <rFont val="Tahoma"/>
            <family val="2"/>
          </rPr>
          <t>This field is required only in cases where  one or more appliances are intended to be converted from propane to natural gas or replaced with natural gas.
Please enter the  annual cost for propane tank rental or fill-up fees.
PST and GST (or HST) should be excluded.</t>
        </r>
      </text>
    </comment>
    <comment ref="M6" authorId="0" shapeId="0" xr:uid="{00000000-0006-0000-0000-000007000000}">
      <text>
        <r>
          <rPr>
            <sz val="8"/>
            <color indexed="81"/>
            <rFont val="Tahoma"/>
            <family val="2"/>
          </rPr>
          <t>This field is required only in cases where  one or more oil fuelled appliances are intended to be replaced with natural gas.
Please enter the average annual cost per litre for fuel oil.
PST and GST (or HST) should be excluded.</t>
        </r>
      </text>
    </comment>
    <comment ref="O6" authorId="0" shapeId="0" xr:uid="{00000000-0006-0000-0000-000008000000}">
      <text>
        <r>
          <rPr>
            <sz val="8"/>
            <color indexed="81"/>
            <rFont val="Tahoma"/>
            <family val="2"/>
          </rPr>
          <t>This field is required only in cases where  one or more oil fuelled  appliances are intended to be  replaced with natural gas.
Many but not all fuel oil suppliers separate Cap and Trade Fees on the bill. In 2017 this fee is typically around 4-5 cents per litre.
Please enter the Cap and Trade fee per litre if it is not include in the Nominal Price field to the left of this field. 
PST and GST (or HST) should be excluded.</t>
        </r>
      </text>
    </comment>
    <comment ref="Q6" authorId="0" shapeId="0" xr:uid="{00000000-0006-0000-0000-000009000000}">
      <text>
        <r>
          <rPr>
            <sz val="8"/>
            <color indexed="81"/>
            <rFont val="Tahoma"/>
            <family val="2"/>
          </rPr>
          <t>This field is required only in cases where  one or more oil fuelled appliances are intended to be replaced with natural gas.
Please enter the annual cost for oil tank rental, fill-up fees, and/or incremental home insurance costs related to the oil tank.
PST and GST (or HST) should be excluded.</t>
        </r>
      </text>
    </comment>
    <comment ref="F8" authorId="0" shapeId="0" xr:uid="{00000000-0006-0000-0000-00000A000000}">
      <text>
        <r>
          <rPr>
            <sz val="9"/>
            <color indexed="81"/>
            <rFont val="Tahoma"/>
            <family val="2"/>
          </rPr>
          <t>If home is the end unit of a row home or townhouse building, use semi-detached home type.
Seasonal minimum heat home type is to be used in situations where the home is generally unoccupied through the winter and thermostat is set at 13 degrees C (55 degrees F) in order to keep water system from freezing.</t>
        </r>
      </text>
    </comment>
    <comment ref="Q8" authorId="0" shapeId="0" xr:uid="{00000000-0006-0000-0000-00000B000000}">
      <text>
        <r>
          <rPr>
            <sz val="8"/>
            <color indexed="81"/>
            <rFont val="Tahoma"/>
            <family val="2"/>
          </rPr>
          <t>This field is required only in cases where one or more wood fuelled appliances is intended to be converted to natural gas or  replaced by natural gas.
Please enter the total annual cost for wood. PST and GST (or HST) should be excluded.
In the cost calculation below, for simplicity, the total annual wood cost is split equally over any appliances being converted from wood.</t>
        </r>
      </text>
    </comment>
    <comment ref="E21" authorId="0" shapeId="0" xr:uid="{00000000-0006-0000-0000-00000C000000}">
      <text>
        <r>
          <rPr>
            <sz val="9"/>
            <color indexed="81"/>
            <rFont val="Tahoma"/>
            <family val="2"/>
          </rPr>
          <t>This field is required if appiances or equipment not listed above will be converted to natural gas, and the "Other" Equipment box is checked.
If the "Other" box is checked, please enter estimated annual volume of natural gas that the "other" appliances will consume. 
Consumption is assumed to be uniform each month.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Jeff Okrucky</author>
    <author>JO</author>
  </authors>
  <commentList>
    <comment ref="L20" authorId="0" shapeId="0" xr:uid="{00000000-0006-0000-0300-000001000000}">
      <text>
        <r>
          <rPr>
            <sz val="9"/>
            <color indexed="81"/>
            <rFont val="Tahoma"/>
            <family val="2"/>
          </rPr>
          <t xml:space="preserve">Includes CO2, CH4 and N20, applying the following global warming potential factors to convert to CO2 equivalent:
   CO2: 1
   CH4: 25
   N20: 298
</t>
        </r>
      </text>
    </comment>
    <comment ref="N21" authorId="0" shapeId="0" xr:uid="{00000000-0006-0000-0300-000002000000}">
      <text>
        <r>
          <rPr>
            <sz val="9"/>
            <color indexed="81"/>
            <rFont val="Tahoma"/>
            <family val="2"/>
          </rPr>
          <t xml:space="preserve">These figures are used only for propane conversion and oil conversion tabs
</t>
        </r>
      </text>
    </comment>
    <comment ref="R23" authorId="1" shapeId="0" xr:uid="{00000000-0006-0000-0300-000003000000}">
      <text>
        <r>
          <rPr>
            <b/>
            <sz val="9"/>
            <color indexed="81"/>
            <rFont val="Tahoma"/>
            <family val="2"/>
          </rPr>
          <t>JO:</t>
        </r>
        <r>
          <rPr>
            <sz val="9"/>
            <color indexed="81"/>
            <rFont val="Tahoma"/>
            <family val="2"/>
          </rPr>
          <t xml:space="preserve">
Equiv NG consumption
</t>
        </r>
      </text>
    </comment>
    <comment ref="T51" authorId="0" shapeId="0" xr:uid="{00000000-0006-0000-0300-000004000000}">
      <text>
        <r>
          <rPr>
            <b/>
            <sz val="9"/>
            <color indexed="81"/>
            <rFont val="Tahoma"/>
            <family val="2"/>
          </rPr>
          <t>Jeff Okrucky:</t>
        </r>
        <r>
          <rPr>
            <sz val="9"/>
            <color indexed="81"/>
            <rFont val="Tahoma"/>
            <family val="2"/>
          </rPr>
          <t xml:space="preserve">
This volume is used in the Appliance tab display</t>
        </r>
      </text>
    </comment>
    <comment ref="U52" authorId="0" shapeId="0" xr:uid="{00000000-0006-0000-0300-000005000000}">
      <text>
        <r>
          <rPr>
            <b/>
            <sz val="9"/>
            <color indexed="81"/>
            <rFont val="Tahoma"/>
            <family val="2"/>
          </rPr>
          <t>Jeff Okrucky:</t>
        </r>
        <r>
          <rPr>
            <sz val="9"/>
            <color indexed="81"/>
            <rFont val="Tahoma"/>
            <family val="2"/>
          </rPr>
          <t xml:space="preserve">
Used for electric cost calulations</t>
        </r>
      </text>
    </comment>
    <comment ref="H63" authorId="0" shapeId="0" xr:uid="{00000000-0006-0000-0300-000006000000}">
      <text>
        <r>
          <rPr>
            <b/>
            <sz val="16"/>
            <color indexed="81"/>
            <rFont val="Tahoma"/>
            <family val="2"/>
          </rPr>
          <t>Specfy the utility name if populating this  column in the table.</t>
        </r>
      </text>
    </comment>
    <comment ref="Q65" authorId="0" shapeId="0" xr:uid="{00000000-0006-0000-0300-000007000000}">
      <text>
        <r>
          <rPr>
            <b/>
            <sz val="9"/>
            <color indexed="81"/>
            <rFont val="Tahoma"/>
            <family val="2"/>
          </rPr>
          <t>Factor is based on a relationship between home size and fuel use that is almost linear for homes over 1200 square feet.</t>
        </r>
      </text>
    </comment>
    <comment ref="B83" authorId="0" shapeId="0" xr:uid="{00000000-0006-0000-0300-000008000000}">
      <text>
        <r>
          <rPr>
            <b/>
            <sz val="11"/>
            <color indexed="81"/>
            <rFont val="Tahoma"/>
            <family val="2"/>
          </rPr>
          <t>Distribution Rate Protection</t>
        </r>
        <r>
          <rPr>
            <sz val="11"/>
            <color indexed="81"/>
            <rFont val="Tahoma"/>
            <family val="2"/>
          </rPr>
          <t xml:space="preserve"> is limited to residential customers in the following utilities:
   Algoma Power Inc. (Residetial – R1 rate only)
   Atikokan Hydro Inc.
   Chapleau Public Utilities Corporation
   Hydro One Networks Inc. (Residential – year round medium and low density only)
   InnPower Corporation
   Lakeland Power Distribution Ltd. (former Parry Sound Power service area)
   Northern Ontario Wires Inc.
   Sioux Lookout Hydro Inc.
In effect DRP sets a cap on a combined monthly distribution charge, which equates to a combination of the Distribution Volume Charge and Monthly Service Charge. The OEB sets this cap annually, and bases the cap level on the lowest combined distribution charge for each of the above utilities.
</t>
        </r>
        <r>
          <rPr>
            <b/>
            <sz val="11"/>
            <color indexed="81"/>
            <rFont val="Tahoma"/>
            <family val="2"/>
          </rPr>
          <t>An entry of $0 or blank should be used if the utility/rate class is not in the above list.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Jeff Okrucky</author>
  </authors>
  <commentList>
    <comment ref="J29" authorId="0" shapeId="0" xr:uid="{00000000-0006-0000-0800-000001000000}">
      <text>
        <r>
          <rPr>
            <b/>
            <sz val="11"/>
            <color indexed="81"/>
            <rFont val="Tahoma"/>
            <family val="2"/>
          </rPr>
          <t>Distribution Rate Protection</t>
        </r>
        <r>
          <rPr>
            <sz val="11"/>
            <color indexed="81"/>
            <rFont val="Tahoma"/>
            <family val="2"/>
          </rPr>
          <t xml:space="preserve"> is limited to residential customers in the following utilities:
   Algoma Power Inc. (Residetial – R1 rate only)
   Atikokan Hydro Inc.
   Chapleau Public Utilities Corporation
   Hydro One Networks Inc. (Residential – year round medium and low density only)
   InnPower Corporation
   Lakeland Power Distribution Ltd. (former Parry Sound Power service area)
   Northern Ontario Wires Inc.
   Sioux Lookout Hydro Inc.
In effect DRP sets a cap on a combined monthly distribution charge, which equates to a combination of the Distribution Volume Charge and Monthly Service Charge. The OEB sets this cap annually, and bases the cap level on the lowest combined distribution charge for each of the above utilities.</t>
        </r>
      </text>
    </comment>
  </commentList>
</comments>
</file>

<file path=xl/sharedStrings.xml><?xml version="1.0" encoding="utf-8"?>
<sst xmlns="http://schemas.openxmlformats.org/spreadsheetml/2006/main" count="704" uniqueCount="361">
  <si>
    <t>South</t>
  </si>
  <si>
    <t>Natural Gas GJ/ thousand m3</t>
  </si>
  <si>
    <t>Source</t>
  </si>
  <si>
    <t>Propane 1 litre =</t>
  </si>
  <si>
    <t>GJ</t>
  </si>
  <si>
    <t>1 litre propane =</t>
  </si>
  <si>
    <t>m3 natural gas</t>
  </si>
  <si>
    <t>1 litre oil =</t>
  </si>
  <si>
    <t>Union South</t>
  </si>
  <si>
    <t>Estimated Annual Savings:</t>
  </si>
  <si>
    <t>CHARGES</t>
  </si>
  <si>
    <t>RATES</t>
  </si>
  <si>
    <t>Monthly Charge</t>
  </si>
  <si>
    <t>Gas Used  (¢/m3)</t>
  </si>
  <si>
    <t>Gas Price Adjustment  (¢/m3)</t>
  </si>
  <si>
    <t>Transportation to Union Gas (¢/m3)</t>
  </si>
  <si>
    <t>Storage (¢/m3)</t>
  </si>
  <si>
    <t>Storage Price Adjustment (¢/m3)</t>
  </si>
  <si>
    <t>Delivery</t>
  </si>
  <si>
    <r>
      <t>First 100 m</t>
    </r>
    <r>
      <rPr>
        <vertAlign val="superscript"/>
        <sz val="11"/>
        <color theme="1"/>
        <rFont val="Calibri"/>
        <family val="2"/>
        <scheme val="minor"/>
      </rPr>
      <t>3</t>
    </r>
    <r>
      <rPr>
        <sz val="11"/>
        <color theme="1"/>
        <rFont val="Calibri"/>
        <family val="2"/>
        <scheme val="minor"/>
      </rPr>
      <t xml:space="preserve"> (¢/m3)</t>
    </r>
  </si>
  <si>
    <r>
      <t>Next 150 m</t>
    </r>
    <r>
      <rPr>
        <vertAlign val="superscript"/>
        <sz val="11"/>
        <color theme="1"/>
        <rFont val="Calibri"/>
        <family val="2"/>
        <scheme val="minor"/>
      </rPr>
      <t xml:space="preserve">3 </t>
    </r>
    <r>
      <rPr>
        <sz val="11"/>
        <color theme="1"/>
        <rFont val="Calibri"/>
        <family val="2"/>
        <scheme val="minor"/>
      </rPr>
      <t xml:space="preserve"> (¢/m3)</t>
    </r>
  </si>
  <si>
    <r>
      <t>All over 250 m</t>
    </r>
    <r>
      <rPr>
        <vertAlign val="superscript"/>
        <sz val="11"/>
        <color theme="1"/>
        <rFont val="Calibri"/>
        <family val="2"/>
        <scheme val="minor"/>
      </rPr>
      <t xml:space="preserve">3 </t>
    </r>
    <r>
      <rPr>
        <sz val="11"/>
        <color theme="1"/>
        <rFont val="Calibri"/>
        <family val="2"/>
        <scheme val="minor"/>
      </rPr>
      <t>(¢/m3)</t>
    </r>
  </si>
  <si>
    <t>Delivery Price Adjustment (¢/m3)</t>
  </si>
  <si>
    <t>SES (¢/m3)</t>
  </si>
  <si>
    <t>Annual</t>
  </si>
  <si>
    <t>Jan</t>
  </si>
  <si>
    <t>Feb</t>
  </si>
  <si>
    <t>Mar</t>
  </si>
  <si>
    <t>Apr</t>
  </si>
  <si>
    <t>May</t>
  </si>
  <si>
    <t>Jun</t>
  </si>
  <si>
    <t>Jul</t>
  </si>
  <si>
    <t>Aug</t>
  </si>
  <si>
    <t>Sept</t>
  </si>
  <si>
    <t>Oct</t>
  </si>
  <si>
    <t>Nov</t>
  </si>
  <si>
    <t>Dec</t>
  </si>
  <si>
    <t>Other variable</t>
  </si>
  <si>
    <t>SES</t>
  </si>
  <si>
    <t>Fixed Monthly Charge</t>
  </si>
  <si>
    <t>Total</t>
  </si>
  <si>
    <t>Tax</t>
  </si>
  <si>
    <t>Total Incl Taxes</t>
  </si>
  <si>
    <t>Union NW</t>
  </si>
  <si>
    <t>Union NE</t>
  </si>
  <si>
    <t>NW, NE</t>
  </si>
  <si>
    <t>Avg cost per m3</t>
  </si>
  <si>
    <t>Transportation Price Adjustment (¢/m3)</t>
  </si>
  <si>
    <t>First 100 m³ (¢/m3)</t>
  </si>
  <si>
    <t>Next 200 m³ (¢/m3)</t>
  </si>
  <si>
    <t>Next 500 m³ (¢/m3)</t>
  </si>
  <si>
    <t>All Over 1,000 m³ (¢/m3)</t>
  </si>
  <si>
    <t>ENERGY CONTENT</t>
  </si>
  <si>
    <t>1 m3 =</t>
  </si>
  <si>
    <t>Propane</t>
  </si>
  <si>
    <t>Oil</t>
  </si>
  <si>
    <t>Rates as of:</t>
  </si>
  <si>
    <t>GHG emission reductions from converting to NG:</t>
  </si>
  <si>
    <t>Month</t>
  </si>
  <si>
    <t>Typical Home</t>
  </si>
  <si>
    <t>%</t>
  </si>
  <si>
    <t>Including SES</t>
  </si>
  <si>
    <t>Excluding SES</t>
  </si>
  <si>
    <t>Indicates data input fields</t>
  </si>
  <si>
    <t>SES (¢/m3) (if applicable)</t>
  </si>
  <si>
    <t>SES (¢/m3) if applicable</t>
  </si>
  <si>
    <t>NW-01</t>
  </si>
  <si>
    <t>NE-01</t>
  </si>
  <si>
    <t>South M1</t>
  </si>
  <si>
    <t>Oil 1 litre =</t>
  </si>
  <si>
    <t>Propane Conversion</t>
  </si>
  <si>
    <t>Oil Conversion</t>
  </si>
  <si>
    <t>J</t>
  </si>
  <si>
    <t>F</t>
  </si>
  <si>
    <t>M</t>
  </si>
  <si>
    <t>A</t>
  </si>
  <si>
    <t>S</t>
  </si>
  <si>
    <t>O</t>
  </si>
  <si>
    <t>N</t>
  </si>
  <si>
    <t>D</t>
  </si>
  <si>
    <t>litres Propane</t>
  </si>
  <si>
    <t>litres oil</t>
  </si>
  <si>
    <t>1 m3 NG=</t>
  </si>
  <si>
    <t>https://www.uniongas.com/storage-and-transportation/resources/additional-info/conversion-info</t>
  </si>
  <si>
    <t>NG GJ/m3</t>
  </si>
  <si>
    <t>Table 20-1a:</t>
  </si>
  <si>
    <t>http://files.ontario.ca/guideline_for_quantification_reporting_and_verification_of_greenhouse_gas_emissions_july_2017.pdf</t>
  </si>
  <si>
    <t>Source: P. Mussio for EB-2015-0179 IRR SEC/10</t>
  </si>
  <si>
    <t>litres =</t>
  </si>
  <si>
    <t>kilolitre</t>
  </si>
  <si>
    <t>Monthly Budget Bill (Res only)</t>
  </si>
  <si>
    <t>Single detached</t>
  </si>
  <si>
    <t>Row or Townhome</t>
  </si>
  <si>
    <t>Occupants</t>
  </si>
  <si>
    <t xml:space="preserve">Union Gas Rate Zone: </t>
  </si>
  <si>
    <t xml:space="preserve">Type of Home: </t>
  </si>
  <si>
    <t xml:space="preserve">Occupants: </t>
  </si>
  <si>
    <t>Semi-detached</t>
  </si>
  <si>
    <t>Rate Zone</t>
  </si>
  <si>
    <t>Home Size</t>
  </si>
  <si>
    <t>Home Type</t>
  </si>
  <si>
    <t>Before 1920</t>
  </si>
  <si>
    <t>1920-1945</t>
  </si>
  <si>
    <t>1946-1960</t>
  </si>
  <si>
    <t>1961-1970</t>
  </si>
  <si>
    <t>1971-1980</t>
  </si>
  <si>
    <t>1981-1985</t>
  </si>
  <si>
    <t>1986-1990</t>
  </si>
  <si>
    <t>1991-1995</t>
  </si>
  <si>
    <t>1996 or later</t>
  </si>
  <si>
    <t>Electric</t>
  </si>
  <si>
    <t>Wood</t>
  </si>
  <si>
    <t>5 to 6</t>
  </si>
  <si>
    <t xml:space="preserve">Size of home (excl. basement) in sq. ft.: </t>
  </si>
  <si>
    <t>less than 1,000</t>
  </si>
  <si>
    <t>1,000-1,499</t>
  </si>
  <si>
    <t>1,500-1,999</t>
  </si>
  <si>
    <t>2,000-2,499</t>
  </si>
  <si>
    <t>2,500-2,999</t>
  </si>
  <si>
    <t>3,000-3,999</t>
  </si>
  <si>
    <t>4,000 or more</t>
  </si>
  <si>
    <t>Residential Natural Gas Conversion Savings Estimate</t>
  </si>
  <si>
    <t>Heating Fuel</t>
  </si>
  <si>
    <t xml:space="preserve">Electric Rates: </t>
  </si>
  <si>
    <t>Other</t>
  </si>
  <si>
    <t>Elect Rates</t>
  </si>
  <si>
    <t>Furnace</t>
  </si>
  <si>
    <t>Water Heater</t>
  </si>
  <si>
    <t>Dryer</t>
  </si>
  <si>
    <t>BBQ</t>
  </si>
  <si>
    <t>Fireplace</t>
  </si>
  <si>
    <t>Pool Heater</t>
  </si>
  <si>
    <t>Range/Oven</t>
  </si>
  <si>
    <t>Range/Dryer Fuel</t>
  </si>
  <si>
    <t>Current Fuel</t>
  </si>
  <si>
    <t>Home Details</t>
  </si>
  <si>
    <t>Fuel Rates</t>
  </si>
  <si>
    <t xml:space="preserve">Home construction year: </t>
  </si>
  <si>
    <t xml:space="preserve">Taxes: </t>
  </si>
  <si>
    <t>TOTAL:</t>
  </si>
  <si>
    <r>
      <t>"Other" consumption (m</t>
    </r>
    <r>
      <rPr>
        <vertAlign val="superscript"/>
        <sz val="11"/>
        <color theme="1"/>
        <rFont val="Calibri"/>
        <family val="2"/>
        <scheme val="minor"/>
      </rPr>
      <t>3</t>
    </r>
    <r>
      <rPr>
        <sz val="11"/>
        <color theme="1"/>
        <rFont val="Calibri"/>
        <family val="2"/>
        <scheme val="minor"/>
      </rPr>
      <t xml:space="preserve">): </t>
    </r>
  </si>
  <si>
    <r>
      <t>Total Consumption (m</t>
    </r>
    <r>
      <rPr>
        <b/>
        <vertAlign val="superscript"/>
        <sz val="11"/>
        <color theme="1"/>
        <rFont val="Calibri"/>
        <family val="2"/>
        <scheme val="minor"/>
      </rPr>
      <t>3</t>
    </r>
    <r>
      <rPr>
        <b/>
        <sz val="11"/>
        <color theme="1"/>
        <rFont val="Calibri"/>
        <family val="2"/>
        <scheme val="minor"/>
      </rPr>
      <t>)</t>
    </r>
  </si>
  <si>
    <t>Conversion By Appliance</t>
  </si>
  <si>
    <t>Heating %</t>
  </si>
  <si>
    <t>Nontax total variable per m3</t>
  </si>
  <si>
    <t>RATES (Conv By Appl)</t>
  </si>
  <si>
    <t>*At Union Gas rates as of</t>
  </si>
  <si>
    <t>NW</t>
  </si>
  <si>
    <t>NE</t>
  </si>
  <si>
    <t>Look-up Table LDC:</t>
  </si>
  <si>
    <t>VARIABLE CHARGES (cents/KwH):</t>
  </si>
  <si>
    <t>FIXED CHARGES:</t>
  </si>
  <si>
    <t>Assumed Annual usage profile</t>
  </si>
  <si>
    <t>Monthly Service Charge</t>
  </si>
  <si>
    <t>kWh</t>
  </si>
  <si>
    <t>IESO Smart Metering Charge</t>
  </si>
  <si>
    <t>Reg. Standard Supply Serv Admin Charge</t>
  </si>
  <si>
    <t>Distribution Volume Charge</t>
  </si>
  <si>
    <t>Debt Retirement Charge**</t>
  </si>
  <si>
    <t>Transmission Connection Charge</t>
  </si>
  <si>
    <t xml:space="preserve">May </t>
  </si>
  <si>
    <t>Transmission Network Charge</t>
  </si>
  <si>
    <t>June</t>
  </si>
  <si>
    <t>Rural Rate Protection Charge</t>
  </si>
  <si>
    <t>Wholesale Market Service Charge</t>
  </si>
  <si>
    <t>Conversion Factors</t>
  </si>
  <si>
    <t>Ont Electricity  Support Prgrm Charge</t>
  </si>
  <si>
    <t>1 GJ =</t>
  </si>
  <si>
    <t>KwH</t>
  </si>
  <si>
    <t>Volumetric Rate Riders</t>
  </si>
  <si>
    <t>Metered Useage Adjustment Factor*:</t>
  </si>
  <si>
    <t>Taxes:</t>
  </si>
  <si>
    <t>TOU Allocation</t>
  </si>
  <si>
    <t>OffPeak</t>
  </si>
  <si>
    <t>Mid Peak</t>
  </si>
  <si>
    <t>On Peak</t>
  </si>
  <si>
    <t>Applicable Hours:</t>
  </si>
  <si>
    <t>*Adj Useage Factor is applied to Trans Connect, Trans Ntwrk, RRP and Wholesale Mkt charges, and also applied to commodity charges within the Delivery component of the bill.</t>
  </si>
  <si>
    <t>Hours/week</t>
  </si>
  <si>
    <t>Weekdays</t>
  </si>
  <si>
    <t>**Ceased Dec 31, 2015</t>
  </si>
  <si>
    <t>Weekend</t>
  </si>
  <si>
    <t>TOU Rate</t>
  </si>
  <si>
    <t>Consumption</t>
  </si>
  <si>
    <t>Volumetric Charges</t>
  </si>
  <si>
    <t>Regulatory Volumetric Charges</t>
  </si>
  <si>
    <t>Fixed Charges</t>
  </si>
  <si>
    <t>Total Bill incl Taxes</t>
  </si>
  <si>
    <t>Total Bill less Fixed Charges</t>
  </si>
  <si>
    <t>Commodity</t>
  </si>
  <si>
    <t>Dist Volume</t>
  </si>
  <si>
    <t>Debt Retirement</t>
  </si>
  <si>
    <t>Trans Connection</t>
  </si>
  <si>
    <t>Trans Network</t>
  </si>
  <si>
    <t>Rate Riders</t>
  </si>
  <si>
    <t>Rural Rate Protect.</t>
  </si>
  <si>
    <t>Whsl Mkt Service</t>
  </si>
  <si>
    <t>OESP</t>
  </si>
  <si>
    <t>Monthly Service</t>
  </si>
  <si>
    <t>Smart Metering</t>
  </si>
  <si>
    <t xml:space="preserve">Reg. Std Supl Serv Admin </t>
  </si>
  <si>
    <t>Off Peak</t>
  </si>
  <si>
    <t>ANNUAL TOTAL</t>
  </si>
  <si>
    <t>Commodity:</t>
  </si>
  <si>
    <t>Delivery:</t>
  </si>
  <si>
    <t>Regulatory:</t>
  </si>
  <si>
    <t>Debt Ret.:</t>
  </si>
  <si>
    <t>1 kWh electricity =</t>
  </si>
  <si>
    <t>Electricity GJ/kWh</t>
  </si>
  <si>
    <t>Electricity 1 kWh</t>
  </si>
  <si>
    <t>Rate</t>
  </si>
  <si>
    <t>Seasonal min heat</t>
  </si>
  <si>
    <t>NAC</t>
  </si>
  <si>
    <t>Home Year</t>
  </si>
  <si>
    <t>Assumption</t>
  </si>
  <si>
    <t>Sq Ft</t>
  </si>
  <si>
    <t>Factor</t>
  </si>
  <si>
    <t>WH</t>
  </si>
  <si>
    <t>Age</t>
  </si>
  <si>
    <t>Type</t>
  </si>
  <si>
    <t>Factors</t>
  </si>
  <si>
    <t>Range</t>
  </si>
  <si>
    <t>FP</t>
  </si>
  <si>
    <t>Unadjusted Appliance NAC</t>
  </si>
  <si>
    <t>Adjusted NAC</t>
  </si>
  <si>
    <t>Appl Penetration</t>
  </si>
  <si>
    <t>Other (Specify)</t>
  </si>
  <si>
    <t>Date rate data updated</t>
  </si>
  <si>
    <t>CONSUMPTION PROFILE</t>
  </si>
  <si>
    <t>ELECTRIC RATES</t>
  </si>
  <si>
    <t>Nat Gas*</t>
  </si>
  <si>
    <t>Savings</t>
  </si>
  <si>
    <t xml:space="preserve">      Annual Cost</t>
  </si>
  <si>
    <t xml:space="preserve">                  Annual Consumption</t>
  </si>
  <si>
    <t>Actual NAC</t>
  </si>
  <si>
    <t>Gas</t>
  </si>
  <si>
    <t>Appl Converted</t>
  </si>
  <si>
    <t>SOUTH RATE M1</t>
  </si>
  <si>
    <t>NW RATE 01</t>
  </si>
  <si>
    <t>NE RATE 01</t>
  </si>
  <si>
    <t>Error:</t>
  </si>
  <si>
    <r>
      <t xml:space="preserve">Except for </t>
    </r>
    <r>
      <rPr>
        <u/>
        <sz val="11"/>
        <color theme="1"/>
        <rFont val="Calibri"/>
        <family val="2"/>
        <scheme val="minor"/>
      </rPr>
      <t>other electric utility rates</t>
    </r>
    <r>
      <rPr>
        <sz val="11"/>
        <color theme="1"/>
        <rFont val="Calibri"/>
        <family val="2"/>
        <scheme val="minor"/>
      </rPr>
      <t>, changes to common inputs should only be made by authorized UG personnel.</t>
    </r>
  </si>
  <si>
    <t>Converted Appliances:</t>
  </si>
  <si>
    <t>Tax Rate (applicable GST and PST or HST)</t>
  </si>
  <si>
    <t>Off Peak Commodity (Winter Nov-Apr) cents/kwh</t>
  </si>
  <si>
    <t>Mid Peak Commodity (Winter Nov-Apr) cents/kwh</t>
  </si>
  <si>
    <t>On Peak Commodity (Winter Nov-Apr) cents/kwh</t>
  </si>
  <si>
    <t>Off Peak Commodity (Summer May-Oct) cents/kwh</t>
  </si>
  <si>
    <t>Mid Peak Commodity (Summer May-Oct) cents/kwh</t>
  </si>
  <si>
    <t>On Peak Commodity (Summer May-Oct) cents/kwh</t>
  </si>
  <si>
    <t>Distribution Volume Charge cents/kwh</t>
  </si>
  <si>
    <t>Debt Retirement Charge cents/kwh</t>
  </si>
  <si>
    <t>Transmission Connection Charge cents/kwh</t>
  </si>
  <si>
    <t>Transmission Network Charge cents/kwh</t>
  </si>
  <si>
    <t>Rural Rate Protection Charge cents/kwh</t>
  </si>
  <si>
    <t>Wholesale Market Service Charge cents/kwh</t>
  </si>
  <si>
    <t>Ont Electricity  Support Prgrm Charge cents/kwh</t>
  </si>
  <si>
    <t>Volumetric Rate Riders cents/kwh</t>
  </si>
  <si>
    <t>Metered Useage Adjustment Factor:</t>
  </si>
  <si>
    <t>Reg. Standard Supply Serv Admin Charge $/mth</t>
  </si>
  <si>
    <t>https://www.hydroone.com/rates-and-billing</t>
  </si>
  <si>
    <t>Estimated Electric Costs</t>
  </si>
  <si>
    <t xml:space="preserve">Heathing </t>
  </si>
  <si>
    <t xml:space="preserve">Applied </t>
  </si>
  <si>
    <t>Heating</t>
  </si>
  <si>
    <t>Percent of Total</t>
  </si>
  <si>
    <t>Avg rate/kWh excl fixed monthly charge and taxes:</t>
  </si>
  <si>
    <t>TOTAL</t>
  </si>
  <si>
    <t>Applied Taxes</t>
  </si>
  <si>
    <t>Elect kWh</t>
  </si>
  <si>
    <t>Hydro One -Seasonal</t>
  </si>
  <si>
    <t>Equipment/Appliances to be Converted to Natural Gas:</t>
  </si>
  <si>
    <t>Wood Count</t>
  </si>
  <si>
    <t>NG Consump</t>
  </si>
  <si>
    <t>Monthly Budget Bill</t>
  </si>
  <si>
    <r>
      <t>Nat Gas (m</t>
    </r>
    <r>
      <rPr>
        <u/>
        <vertAlign val="superscript"/>
        <sz val="9"/>
        <color theme="1"/>
        <rFont val="Calibri"/>
        <family val="2"/>
        <scheme val="minor"/>
      </rPr>
      <t>3</t>
    </r>
    <r>
      <rPr>
        <u/>
        <sz val="9"/>
        <color theme="1"/>
        <rFont val="Calibri"/>
        <family val="2"/>
        <scheme val="minor"/>
      </rPr>
      <t>)</t>
    </r>
  </si>
  <si>
    <t>Summer Off Peak Commodity</t>
  </si>
  <si>
    <t>Summer Mid Peak Commodity</t>
  </si>
  <si>
    <t>Summer On Peak Commodity</t>
  </si>
  <si>
    <t>Winter Off Peak Commodity</t>
  </si>
  <si>
    <t>Winter Mid Peak Commodity</t>
  </si>
  <si>
    <t>Winter On Peak Commodity</t>
  </si>
  <si>
    <t>Commod. Line Losses</t>
  </si>
  <si>
    <t>Utility</t>
  </si>
  <si>
    <t>$ / month</t>
  </si>
  <si>
    <t>Cents / kWh</t>
  </si>
  <si>
    <t>DRP Credit</t>
  </si>
  <si>
    <t>Dist Rate Protection Max per Month*</t>
  </si>
  <si>
    <t>* DRP applied to HOne L &amp; M customers, as well as a number of remote utilities, where a cap on monthly Dist Vol and Fixed monhtly charge is set.</t>
  </si>
  <si>
    <t>APPLICABLE LDC:</t>
  </si>
  <si>
    <t>APPLIED RATES FOR ANNUAL COST CALULATIONS BELOW:</t>
  </si>
  <si>
    <t>(Copied From Common Inputs Tab)</t>
  </si>
  <si>
    <t>ALL AREAS</t>
  </si>
  <si>
    <t>ALL NAC Verification</t>
  </si>
  <si>
    <t>2016 actuals from Demand Forecasting</t>
  </si>
  <si>
    <t>Total for 100% penetration:</t>
  </si>
  <si>
    <t>Propane (LPG) GJ/kiloliter</t>
  </si>
  <si>
    <t>Heating Oil (#2) GJ/kiloliter</t>
  </si>
  <si>
    <t>kWh electricity</t>
  </si>
  <si>
    <t>more than 6</t>
  </si>
  <si>
    <t>NATURAL GAS RATES</t>
  </si>
  <si>
    <t>Persons per Household:</t>
  </si>
  <si>
    <t>Total:</t>
  </si>
  <si>
    <t>Hydro One -U1 High Density</t>
  </si>
  <si>
    <t>Hydro One -R1 Med Density</t>
  </si>
  <si>
    <t>Hydro One -R2 Low Density</t>
  </si>
  <si>
    <t>Hydro One -R1 First Nation</t>
  </si>
  <si>
    <t>***Dist Rate Protection Max per Month</t>
  </si>
  <si>
    <t>**Debt Retirement Charge cents/kwh</t>
  </si>
  <si>
    <t>*Metered Useage Adjustment Factor:</t>
  </si>
  <si>
    <t>*** DRP is applied to HOne L &amp; M density customers, as well as a number of remote utilities, where a cap on monthly Dist Vol and Fixed monhtly charge is set.</t>
  </si>
  <si>
    <t>Error should be &lt; +/- 1%</t>
  </si>
  <si>
    <t>General Assumed NAC</t>
  </si>
  <si>
    <t>Selected:</t>
  </si>
  <si>
    <t>Elect</t>
  </si>
  <si>
    <t>Fuel Oil</t>
  </si>
  <si>
    <r>
      <t>t CO</t>
    </r>
    <r>
      <rPr>
        <b/>
        <vertAlign val="subscript"/>
        <sz val="11"/>
        <color indexed="8"/>
        <rFont val="Calibri"/>
        <family val="2"/>
      </rPr>
      <t>2</t>
    </r>
    <r>
      <rPr>
        <b/>
        <sz val="11"/>
        <color theme="1"/>
        <rFont val="Calibri"/>
        <family val="2"/>
        <scheme val="minor"/>
      </rPr>
      <t>e/GJ</t>
    </r>
  </si>
  <si>
    <t>Equiv GJ's</t>
  </si>
  <si>
    <t>tonnes/year</t>
  </si>
  <si>
    <t>Tot Curr Fuels</t>
  </si>
  <si>
    <t>Total NG</t>
  </si>
  <si>
    <t>EQUIVALENT CO2 EMISSIONS</t>
  </si>
  <si>
    <r>
      <t>CO</t>
    </r>
    <r>
      <rPr>
        <b/>
        <vertAlign val="subscript"/>
        <sz val="11"/>
        <color theme="1"/>
        <rFont val="Calibri"/>
        <family val="2"/>
        <scheme val="minor"/>
      </rPr>
      <t>2</t>
    </r>
    <r>
      <rPr>
        <b/>
        <sz val="11"/>
        <color theme="1"/>
        <rFont val="Calibri"/>
        <family val="2"/>
        <scheme val="minor"/>
      </rPr>
      <t>e Emission Reductions:</t>
    </r>
  </si>
  <si>
    <t>CO2 Equivalent (tonnes/GJ)</t>
  </si>
  <si>
    <t>Equiv Carbon Emissions (tonnes CO2e)</t>
  </si>
  <si>
    <t>Monthly Rate Riders</t>
  </si>
  <si>
    <t>Mthly Rate Riders</t>
  </si>
  <si>
    <t>Monthly Consumption Based Bill</t>
  </si>
  <si>
    <r>
      <t>Next 150 m</t>
    </r>
    <r>
      <rPr>
        <vertAlign val="superscript"/>
        <sz val="11"/>
        <color theme="1"/>
        <rFont val="Calibri"/>
        <family val="2"/>
        <scheme val="minor"/>
      </rPr>
      <t xml:space="preserve">3 </t>
    </r>
    <r>
      <rPr>
        <sz val="11"/>
        <color theme="1"/>
        <rFont val="Calibri"/>
        <family val="2"/>
        <scheme val="minor"/>
      </rPr>
      <t xml:space="preserve"> + C&amp;T(¢/m3)</t>
    </r>
  </si>
  <si>
    <r>
      <t>First 100 m</t>
    </r>
    <r>
      <rPr>
        <vertAlign val="superscript"/>
        <sz val="11"/>
        <color theme="1"/>
        <rFont val="Calibri"/>
        <family val="2"/>
        <scheme val="minor"/>
      </rPr>
      <t>3</t>
    </r>
    <r>
      <rPr>
        <sz val="11"/>
        <color theme="1"/>
        <rFont val="Calibri"/>
        <family val="2"/>
        <scheme val="minor"/>
      </rPr>
      <t xml:space="preserve"> + C&amp;T (¢/m3)</t>
    </r>
  </si>
  <si>
    <r>
      <t>All over 250 m</t>
    </r>
    <r>
      <rPr>
        <vertAlign val="superscript"/>
        <sz val="11"/>
        <color theme="1"/>
        <rFont val="Calibri"/>
        <family val="2"/>
        <scheme val="minor"/>
      </rPr>
      <t>3</t>
    </r>
    <r>
      <rPr>
        <sz val="11"/>
        <color theme="1"/>
        <rFont val="Calibri"/>
        <family val="2"/>
        <scheme val="minor"/>
      </rPr>
      <t xml:space="preserve"> + C&amp;T (¢/m3)</t>
    </r>
  </si>
  <si>
    <t>First 100 m³ + C&amp;T (¢/m3)</t>
  </si>
  <si>
    <t>Next 200 m³ + C&amp;T (¢/m3)</t>
  </si>
  <si>
    <t>Next 500 m³ + C&amp;T (¢/m3)</t>
  </si>
  <si>
    <t>All Over 1,000 m³ + C&amp;T (¢/m3)</t>
  </si>
  <si>
    <t>Other Annual</t>
  </si>
  <si>
    <t>Costs</t>
  </si>
  <si>
    <t>Per Litre</t>
  </si>
  <si>
    <t>Per Litre Cap</t>
  </si>
  <si>
    <t>&amp;Trade Fee</t>
  </si>
  <si>
    <t xml:space="preserve">Total Annual Cost for Wood: </t>
  </si>
  <si>
    <t xml:space="preserve">Propane: </t>
  </si>
  <si>
    <t xml:space="preserve">Fuel Oil: </t>
  </si>
  <si>
    <t>Fixed Fees</t>
  </si>
  <si>
    <t>Natural Gas Consumption</t>
  </si>
  <si>
    <t>Prop  Count</t>
  </si>
  <si>
    <t>Oil Count</t>
  </si>
  <si>
    <t>`</t>
  </si>
  <si>
    <t xml:space="preserve">Monthly Charges or Other Fixed Costs: </t>
  </si>
  <si>
    <r>
      <t>This savings estimate tool is applicable for residential customers who consume less than 50,000 m</t>
    </r>
    <r>
      <rPr>
        <vertAlign val="superscript"/>
        <sz val="8"/>
        <color theme="1"/>
        <rFont val="Calibri"/>
        <family val="2"/>
        <scheme val="minor"/>
      </rPr>
      <t>3</t>
    </r>
    <r>
      <rPr>
        <sz val="8"/>
        <color theme="1"/>
        <rFont val="Calibri"/>
        <family val="2"/>
        <scheme val="minor"/>
      </rPr>
      <t>/year.</t>
    </r>
  </si>
  <si>
    <t xml:space="preserve">Utility Name:
</t>
  </si>
  <si>
    <t>Typcial Equipment Efficiency</t>
  </si>
  <si>
    <t>Heating system</t>
  </si>
  <si>
    <t>BLDG/OCCUPANT APPLIANCE NAC ADJUSTMENT FACTORS</t>
  </si>
  <si>
    <t>Bldg/Occ Adj Factors</t>
  </si>
  <si>
    <t>Fuel Consumption (litres, kWh, or m3)</t>
  </si>
  <si>
    <t>Nominal Price</t>
  </si>
  <si>
    <t>The savings estimate provided are illustrative only. Actual annual costs may vary due to weather, buiding shell particulars, lifestyle, equipment efficiency, implemented household energy savings measures, and energy prices.</t>
  </si>
  <si>
    <t>Applied Current Fuel  Cons</t>
  </si>
  <si>
    <t>Current Fuel Consumpt (adjusted  for equup efficeniency)</t>
  </si>
  <si>
    <t>N Bay Hydro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</si>
</sst>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_(* \(#,##0\);_(* &quot;-&quot;_);_(@_)"/>
    <numFmt numFmtId="44" formatCode="_(&quot;$&quot;* #,##0.00_);_(&quot;$&quot;* \(#,##0.00\);_(&quot;$&quot;* &quot;-&quot;??_);_(@_)"/>
    <numFmt numFmtId="164" formatCode="&quot;$&quot;#,##0.00;[Red]\-&quot;$&quot;#,##0.00"/>
    <numFmt numFmtId="165" formatCode="_-&quot;$&quot;* #,##0.00_-;\-&quot;$&quot;* #,##0.00_-;_-&quot;$&quot;* &quot;-&quot;??_-;_-@_-"/>
    <numFmt numFmtId="166" formatCode="_-* #,##0.00_-;\-* #,##0.00_-;_-* &quot;-&quot;??_-;_-@_-"/>
    <numFmt numFmtId="167" formatCode="0.0000"/>
    <numFmt numFmtId="168" formatCode="_-* #,##0_-;\-* #,##0_-;_-* &quot;-&quot;??_-;_-@_-"/>
    <numFmt numFmtId="169" formatCode="&quot;$&quot;#,##0.00"/>
    <numFmt numFmtId="170" formatCode="&quot;$&quot;#,##0"/>
    <numFmt numFmtId="171" formatCode="&quot;$&quot;#,##0.000"/>
    <numFmt numFmtId="172" formatCode="&quot;$&quot;#,##0.0000"/>
    <numFmt numFmtId="173" formatCode="[$-F800]dddd\,\ mmmm\ dd\,\ yyyy"/>
    <numFmt numFmtId="174" formatCode="0.0%"/>
    <numFmt numFmtId="175" formatCode="_(* #,##0.00000_);_(* \(#,##0.00000\);_(* &quot;-&quot;_);_(@_)"/>
    <numFmt numFmtId="176" formatCode="0.000"/>
    <numFmt numFmtId="177" formatCode="_-* #,##0.0_-;\-* #,##0.0_-;_-* &quot;-&quot;??_-;_-@_-"/>
    <numFmt numFmtId="178" formatCode="0.00000"/>
    <numFmt numFmtId="179" formatCode="_-&quot;$&quot;* #,##0_-;\-&quot;$&quot;* #,##0_-;_-&quot;$&quot;* &quot;-&quot;??_-;_-@_-"/>
    <numFmt numFmtId="180" formatCode="[$-409]mmmm\ d\,\ yyyy;@"/>
    <numFmt numFmtId="181" formatCode="_-&quot;$&quot;* #,##0.000_-;\-&quot;$&quot;* #,##0.000_-;_-&quot;$&quot;* &quot;-&quot;??_-;_-@_-"/>
  </numFmts>
  <fonts count="42" x14ac:knownFonts="1">
    <font>
      <sz val="11"/>
      <color theme="1"/>
      <name val="Calibri"/>
      <family val="2"/>
      <scheme val="minor"/>
    </font>
    <font>
      <sz val="11"/>
      <color theme="1"/>
      <name val="Calibri"/>
      <family val="2"/>
      <scheme val="minor"/>
    </font>
    <font>
      <b/>
      <sz val="11"/>
      <color theme="1"/>
      <name val="Calibri"/>
      <family val="2"/>
      <scheme val="minor"/>
    </font>
    <font>
      <vertAlign val="superscript"/>
      <sz val="11"/>
      <color theme="1"/>
      <name val="Calibri"/>
      <family val="2"/>
      <scheme val="minor"/>
    </font>
    <font>
      <b/>
      <u/>
      <sz val="11"/>
      <color theme="1"/>
      <name val="Calibri"/>
      <family val="2"/>
      <scheme val="minor"/>
    </font>
    <font>
      <b/>
      <sz val="14"/>
      <color theme="1"/>
      <name val="Calibri"/>
      <family val="2"/>
      <scheme val="minor"/>
    </font>
    <font>
      <b/>
      <sz val="16"/>
      <color theme="1"/>
      <name val="Calibri"/>
      <family val="2"/>
      <scheme val="minor"/>
    </font>
    <font>
      <b/>
      <u/>
      <sz val="16"/>
      <color theme="1"/>
      <name val="Calibri"/>
      <family val="2"/>
      <scheme val="minor"/>
    </font>
    <font>
      <sz val="16"/>
      <color theme="1"/>
      <name val="Calibri"/>
      <family val="2"/>
      <scheme val="minor"/>
    </font>
    <font>
      <sz val="8"/>
      <color theme="1"/>
      <name val="Calibri"/>
      <family val="2"/>
      <scheme val="minor"/>
    </font>
    <font>
      <u/>
      <sz val="11"/>
      <color theme="10"/>
      <name val="Calibri"/>
      <family val="2"/>
      <scheme val="minor"/>
    </font>
    <font>
      <vertAlign val="superscript"/>
      <sz val="8"/>
      <color theme="1"/>
      <name val="Calibri"/>
      <family val="2"/>
      <scheme val="minor"/>
    </font>
    <font>
      <b/>
      <vertAlign val="superscript"/>
      <sz val="11"/>
      <color theme="1"/>
      <name val="Calibri"/>
      <family val="2"/>
      <scheme val="minor"/>
    </font>
    <font>
      <sz val="10"/>
      <color theme="1"/>
      <name val="Calibri"/>
      <family val="2"/>
      <scheme val="minor"/>
    </font>
    <font>
      <sz val="9"/>
      <color theme="1"/>
      <name val="Calibri"/>
      <family val="2"/>
      <scheme val="minor"/>
    </font>
    <font>
      <b/>
      <sz val="16"/>
      <color theme="4" tint="-0.499984740745262"/>
      <name val="Calibri"/>
      <family val="2"/>
      <scheme val="minor"/>
    </font>
    <font>
      <b/>
      <sz val="8"/>
      <color theme="1"/>
      <name val="Calibri"/>
      <family val="2"/>
      <scheme val="minor"/>
    </font>
    <font>
      <sz val="11"/>
      <color rgb="FFFF0000"/>
      <name val="Calibri"/>
      <family val="2"/>
      <scheme val="minor"/>
    </font>
    <font>
      <b/>
      <sz val="22"/>
      <color theme="1"/>
      <name val="Calibri"/>
      <family val="2"/>
      <scheme val="minor"/>
    </font>
    <font>
      <sz val="18"/>
      <color theme="1"/>
      <name val="Calibri"/>
      <family val="2"/>
      <scheme val="minor"/>
    </font>
    <font>
      <b/>
      <u/>
      <sz val="18"/>
      <color theme="1"/>
      <name val="Calibri"/>
      <family val="2"/>
      <scheme val="minor"/>
    </font>
    <font>
      <sz val="11"/>
      <name val="Calibri"/>
      <family val="2"/>
      <scheme val="minor"/>
    </font>
    <font>
      <u/>
      <sz val="11"/>
      <color theme="1"/>
      <name val="Calibri"/>
      <family val="2"/>
      <scheme val="minor"/>
    </font>
    <font>
      <b/>
      <sz val="10"/>
      <color theme="1"/>
      <name val="Calibri"/>
      <family val="2"/>
      <scheme val="minor"/>
    </font>
    <font>
      <sz val="9"/>
      <color indexed="81"/>
      <name val="Tahoma"/>
      <family val="2"/>
    </font>
    <font>
      <b/>
      <u/>
      <sz val="11"/>
      <color theme="10"/>
      <name val="Calibri"/>
      <family val="2"/>
      <scheme val="minor"/>
    </font>
    <font>
      <b/>
      <sz val="11"/>
      <color theme="10"/>
      <name val="Calibri"/>
      <family val="2"/>
      <scheme val="minor"/>
    </font>
    <font>
      <b/>
      <sz val="9"/>
      <color indexed="81"/>
      <name val="Tahoma"/>
      <family val="2"/>
    </font>
    <font>
      <b/>
      <sz val="16"/>
      <color indexed="81"/>
      <name val="Tahoma"/>
      <family val="2"/>
    </font>
    <font>
      <sz val="8"/>
      <name val="Calibri"/>
      <family val="2"/>
      <scheme val="minor"/>
    </font>
    <font>
      <b/>
      <sz val="18"/>
      <color theme="4" tint="-0.249977111117893"/>
      <name val="Calibri"/>
      <family val="2"/>
      <scheme val="minor"/>
    </font>
    <font>
      <u/>
      <sz val="9"/>
      <color theme="1"/>
      <name val="Calibri"/>
      <family val="2"/>
      <scheme val="minor"/>
    </font>
    <font>
      <u/>
      <vertAlign val="superscript"/>
      <sz val="9"/>
      <color theme="1"/>
      <name val="Calibri"/>
      <family val="2"/>
      <scheme val="minor"/>
    </font>
    <font>
      <b/>
      <u/>
      <sz val="10"/>
      <color theme="1"/>
      <name val="Calibri"/>
      <family val="2"/>
      <scheme val="minor"/>
    </font>
    <font>
      <b/>
      <sz val="16"/>
      <color theme="0"/>
      <name val="Calibri"/>
      <family val="2"/>
      <scheme val="minor"/>
    </font>
    <font>
      <sz val="9"/>
      <color theme="4"/>
      <name val="Calibri"/>
      <family val="2"/>
      <scheme val="minor"/>
    </font>
    <font>
      <sz val="11"/>
      <color indexed="81"/>
      <name val="Tahoma"/>
      <family val="2"/>
    </font>
    <font>
      <b/>
      <sz val="11"/>
      <color indexed="81"/>
      <name val="Tahoma"/>
      <family val="2"/>
    </font>
    <font>
      <sz val="8"/>
      <color indexed="81"/>
      <name val="Tahoma"/>
      <family val="2"/>
    </font>
    <font>
      <b/>
      <vertAlign val="subscript"/>
      <sz val="11"/>
      <color indexed="8"/>
      <name val="Calibri"/>
      <family val="2"/>
    </font>
    <font>
      <b/>
      <vertAlign val="subscript"/>
      <sz val="11"/>
      <color theme="1"/>
      <name val="Calibri"/>
      <family val="2"/>
      <scheme val="minor"/>
    </font>
    <font>
      <b/>
      <sz val="9"/>
      <color theme="1"/>
      <name val="Calibri"/>
      <family val="2"/>
      <scheme val="minor"/>
    </font>
  </fonts>
  <fills count="12">
    <fill>
      <patternFill patternType="none"/>
    </fill>
    <fill>
      <patternFill patternType="gray125"/>
    </fill>
    <fill>
      <patternFill patternType="solid">
        <fgColor theme="2" tint="-0.499984740745262"/>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0" tint="-0.34998626667073579"/>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554">
    <xf numFmtId="0" fontId="0" fillId="0" borderId="0" xfId="0"/>
    <xf numFmtId="168" fontId="0" fillId="0" borderId="0" xfId="1" applyNumberFormat="1" applyFont="1"/>
    <xf numFmtId="169" fontId="0" fillId="0" borderId="0" xfId="2" applyNumberFormat="1" applyFont="1"/>
    <xf numFmtId="0" fontId="0" fillId="0" borderId="0" xfId="0" applyAlignment="1">
      <alignment horizontal="right"/>
    </xf>
    <xf numFmtId="169" fontId="0" fillId="0" borderId="0" xfId="0" applyNumberFormat="1"/>
    <xf numFmtId="0" fontId="2" fillId="0" borderId="0" xfId="0" applyFont="1"/>
    <xf numFmtId="0" fontId="6" fillId="0" borderId="0" xfId="0" applyFont="1"/>
    <xf numFmtId="0" fontId="0" fillId="0" borderId="0" xfId="0" applyAlignment="1">
      <alignment wrapText="1"/>
    </xf>
    <xf numFmtId="0" fontId="2" fillId="0" borderId="4" xfId="0" applyFont="1" applyBorder="1" applyAlignment="1">
      <alignment vertical="center" wrapText="1"/>
    </xf>
    <xf numFmtId="0" fontId="2" fillId="0" borderId="1" xfId="0" applyFont="1" applyBorder="1" applyAlignment="1">
      <alignment horizontal="center" vertical="center" wrapText="1"/>
    </xf>
    <xf numFmtId="171" fontId="0" fillId="0" borderId="0" xfId="0" applyNumberFormat="1" applyFill="1"/>
    <xf numFmtId="0" fontId="0" fillId="0" borderId="1" xfId="0" applyBorder="1" applyAlignment="1">
      <alignment horizontal="left" vertical="center" wrapText="1"/>
    </xf>
    <xf numFmtId="164" fontId="0" fillId="2" borderId="1" xfId="0" applyNumberFormat="1" applyFill="1" applyBorder="1" applyAlignment="1">
      <alignment horizontal="center" vertical="center" wrapText="1"/>
    </xf>
    <xf numFmtId="167" fontId="0" fillId="2" borderId="1" xfId="0" applyNumberFormat="1" applyFill="1" applyBorder="1" applyAlignment="1">
      <alignment horizontal="center" vertical="center" wrapText="1"/>
    </xf>
    <xf numFmtId="0" fontId="2" fillId="0" borderId="1" xfId="0" applyFont="1" applyBorder="1" applyAlignment="1">
      <alignment horizontal="left" vertical="center" wrapText="1"/>
    </xf>
    <xf numFmtId="0" fontId="0" fillId="0" borderId="1" xfId="0" applyFill="1" applyBorder="1" applyAlignment="1">
      <alignment horizontal="left" vertical="center" wrapText="1"/>
    </xf>
    <xf numFmtId="0" fontId="2" fillId="0" borderId="0" xfId="0" applyFont="1" applyFill="1" applyBorder="1" applyAlignment="1">
      <alignment horizontal="left" vertical="center" wrapText="1"/>
    </xf>
    <xf numFmtId="0" fontId="0" fillId="0" borderId="0" xfId="0" applyFill="1" applyBorder="1" applyAlignment="1">
      <alignment horizontal="left" vertical="center" wrapText="1"/>
    </xf>
    <xf numFmtId="167" fontId="0" fillId="0" borderId="0" xfId="0" applyNumberFormat="1" applyFill="1" applyBorder="1" applyAlignment="1">
      <alignment horizontal="center" vertical="center" wrapText="1"/>
    </xf>
    <xf numFmtId="169" fontId="2" fillId="0" borderId="0" xfId="0" applyNumberFormat="1" applyFont="1"/>
    <xf numFmtId="169" fontId="2" fillId="0" borderId="0" xfId="2" applyNumberFormat="1" applyFont="1"/>
    <xf numFmtId="0" fontId="2" fillId="0" borderId="0" xfId="0" applyFont="1" applyFill="1" applyBorder="1" applyAlignment="1">
      <alignment horizontal="right" vertical="center" wrapText="1"/>
    </xf>
    <xf numFmtId="172" fontId="2" fillId="0" borderId="0" xfId="0" applyNumberFormat="1" applyFont="1"/>
    <xf numFmtId="0" fontId="6" fillId="0" borderId="0" xfId="0" applyFont="1" applyAlignment="1">
      <alignment wrapText="1"/>
    </xf>
    <xf numFmtId="0" fontId="2" fillId="0" borderId="0" xfId="0" applyFont="1" applyAlignment="1">
      <alignment horizontal="right"/>
    </xf>
    <xf numFmtId="169" fontId="2" fillId="0" borderId="0" xfId="0" applyNumberFormat="1" applyFont="1" applyAlignment="1">
      <alignment horizontal="right"/>
    </xf>
    <xf numFmtId="169" fontId="4" fillId="0" borderId="0" xfId="0" applyNumberFormat="1" applyFont="1"/>
    <xf numFmtId="0" fontId="0" fillId="0" borderId="0" xfId="0" applyFont="1"/>
    <xf numFmtId="0" fontId="0" fillId="0" borderId="0" xfId="0" applyFont="1" applyFill="1" applyBorder="1" applyAlignment="1">
      <alignment horizontal="left" vertical="center" wrapText="1"/>
    </xf>
    <xf numFmtId="169" fontId="0" fillId="0" borderId="0" xfId="0" applyNumberFormat="1" applyFont="1"/>
    <xf numFmtId="0" fontId="0" fillId="0" borderId="0" xfId="0" applyFont="1" applyBorder="1" applyAlignment="1">
      <alignment horizontal="left" vertical="center" wrapText="1"/>
    </xf>
    <xf numFmtId="167" fontId="0" fillId="4" borderId="1" xfId="0" applyNumberFormat="1" applyFill="1" applyBorder="1" applyAlignment="1">
      <alignment horizontal="center" vertical="center" wrapText="1"/>
    </xf>
    <xf numFmtId="0" fontId="2" fillId="0" borderId="0" xfId="0" applyFont="1" applyAlignment="1">
      <alignment horizontal="center"/>
    </xf>
    <xf numFmtId="166" fontId="0" fillId="0" borderId="0" xfId="1" applyNumberFormat="1" applyFont="1"/>
    <xf numFmtId="0" fontId="0" fillId="3" borderId="1" xfId="0" applyFill="1" applyBorder="1" applyProtection="1">
      <protection locked="0"/>
    </xf>
    <xf numFmtId="15" fontId="6" fillId="3" borderId="1" xfId="0" applyNumberFormat="1" applyFont="1" applyFill="1" applyBorder="1" applyAlignment="1" applyProtection="1">
      <alignment horizontal="center"/>
      <protection locked="0"/>
    </xf>
    <xf numFmtId="164" fontId="0" fillId="3" borderId="1" xfId="0" applyNumberFormat="1" applyFill="1" applyBorder="1" applyAlignment="1" applyProtection="1">
      <alignment horizontal="center" vertical="center" wrapText="1"/>
      <protection locked="0"/>
    </xf>
    <xf numFmtId="167" fontId="0" fillId="3" borderId="1" xfId="0" applyNumberFormat="1" applyFill="1" applyBorder="1" applyAlignment="1" applyProtection="1">
      <alignment horizontal="center" vertical="center" wrapText="1"/>
      <protection locked="0"/>
    </xf>
    <xf numFmtId="0" fontId="2" fillId="0" borderId="1" xfId="0" applyFont="1" applyFill="1" applyBorder="1" applyProtection="1"/>
    <xf numFmtId="167" fontId="0" fillId="0" borderId="1" xfId="0" applyNumberFormat="1" applyFill="1" applyBorder="1" applyAlignment="1" applyProtection="1">
      <alignment horizontal="center" vertical="center" wrapText="1"/>
    </xf>
    <xf numFmtId="0" fontId="0" fillId="4" borderId="1" xfId="0" applyFill="1" applyBorder="1" applyAlignment="1" applyProtection="1">
      <alignment horizontal="center" vertical="center"/>
      <protection locked="0"/>
    </xf>
    <xf numFmtId="0" fontId="0" fillId="4" borderId="0" xfId="0" applyFill="1" applyAlignment="1">
      <alignment vertical="center"/>
    </xf>
    <xf numFmtId="168" fontId="0" fillId="4" borderId="1" xfId="1" applyNumberFormat="1" applyFont="1" applyFill="1" applyBorder="1" applyAlignment="1" applyProtection="1">
      <alignment vertical="center"/>
      <protection locked="0"/>
    </xf>
    <xf numFmtId="168" fontId="1" fillId="0" borderId="0" xfId="1" applyNumberFormat="1" applyFont="1" applyAlignment="1">
      <alignment horizontal="right"/>
    </xf>
    <xf numFmtId="166" fontId="1" fillId="0" borderId="0" xfId="1" applyNumberFormat="1" applyFont="1" applyAlignment="1">
      <alignment horizontal="right"/>
    </xf>
    <xf numFmtId="9" fontId="0" fillId="0" borderId="0" xfId="3" applyFont="1" applyAlignment="1">
      <alignment horizontal="right"/>
    </xf>
    <xf numFmtId="172" fontId="0" fillId="0" borderId="0" xfId="0" applyNumberFormat="1" applyFont="1"/>
    <xf numFmtId="0" fontId="15" fillId="4" borderId="0" xfId="0" applyFont="1" applyFill="1" applyAlignment="1">
      <alignment wrapText="1"/>
    </xf>
    <xf numFmtId="174" fontId="0" fillId="0" borderId="0" xfId="3" applyNumberFormat="1" applyFont="1" applyAlignment="1">
      <alignment horizontal="right"/>
    </xf>
    <xf numFmtId="9" fontId="0" fillId="0" borderId="0" xfId="3" applyNumberFormat="1" applyFont="1" applyAlignment="1">
      <alignment horizontal="right"/>
    </xf>
    <xf numFmtId="170" fontId="0" fillId="4" borderId="1" xfId="0" applyNumberFormat="1" applyFill="1" applyBorder="1" applyAlignment="1" applyProtection="1">
      <alignment vertical="center"/>
      <protection locked="0"/>
    </xf>
    <xf numFmtId="0" fontId="19" fillId="0" borderId="0" xfId="0" applyFont="1" applyAlignment="1">
      <alignment horizontal="right"/>
    </xf>
    <xf numFmtId="17" fontId="0" fillId="0" borderId="0" xfId="0" applyNumberFormat="1"/>
    <xf numFmtId="0" fontId="17" fillId="0" borderId="0" xfId="0" applyFont="1"/>
    <xf numFmtId="0" fontId="2" fillId="0" borderId="6" xfId="0" applyFont="1" applyBorder="1"/>
    <xf numFmtId="0" fontId="0" fillId="0" borderId="7" xfId="0" applyBorder="1"/>
    <xf numFmtId="0" fontId="0" fillId="0" borderId="8" xfId="0" applyBorder="1"/>
    <xf numFmtId="41" fontId="2" fillId="0" borderId="6" xfId="0" applyNumberFormat="1" applyFont="1" applyBorder="1"/>
    <xf numFmtId="0" fontId="0" fillId="0" borderId="7" xfId="0" applyFont="1" applyBorder="1"/>
    <xf numFmtId="41" fontId="2" fillId="0" borderId="8" xfId="0" applyNumberFormat="1" applyFont="1" applyBorder="1" applyAlignment="1">
      <alignment horizontal="center"/>
    </xf>
    <xf numFmtId="0" fontId="0" fillId="0" borderId="1" xfId="0" applyBorder="1"/>
    <xf numFmtId="0" fontId="0" fillId="5" borderId="9" xfId="0" applyFill="1" applyBorder="1"/>
    <xf numFmtId="0" fontId="0" fillId="5" borderId="10" xfId="0" applyFill="1" applyBorder="1"/>
    <xf numFmtId="0" fontId="0" fillId="5" borderId="11" xfId="0" applyFill="1" applyBorder="1"/>
    <xf numFmtId="0" fontId="0" fillId="0" borderId="0" xfId="0" applyFill="1"/>
    <xf numFmtId="0" fontId="0" fillId="6" borderId="9" xfId="0" applyFill="1" applyBorder="1"/>
    <xf numFmtId="0" fontId="0" fillId="6" borderId="10" xfId="0" applyFill="1" applyBorder="1"/>
    <xf numFmtId="0" fontId="0" fillId="6" borderId="11" xfId="0" applyFill="1" applyBorder="1"/>
    <xf numFmtId="0" fontId="2" fillId="0" borderId="13" xfId="0" applyFont="1" applyBorder="1"/>
    <xf numFmtId="0" fontId="2" fillId="0" borderId="0" xfId="0" applyFont="1" applyBorder="1" applyAlignment="1">
      <alignment horizontal="right"/>
    </xf>
    <xf numFmtId="0" fontId="2" fillId="0" borderId="14" xfId="0" applyFont="1" applyBorder="1" applyAlignment="1">
      <alignment horizontal="right"/>
    </xf>
    <xf numFmtId="0" fontId="0" fillId="5" borderId="15" xfId="0" applyFill="1" applyBorder="1"/>
    <xf numFmtId="0" fontId="0" fillId="5" borderId="5" xfId="0" applyFill="1" applyBorder="1"/>
    <xf numFmtId="0" fontId="0" fillId="5" borderId="3" xfId="0" applyFill="1" applyBorder="1"/>
    <xf numFmtId="0" fontId="0" fillId="6" borderId="15" xfId="0" applyFill="1" applyBorder="1"/>
    <xf numFmtId="0" fontId="0" fillId="6" borderId="5" xfId="0" applyFill="1" applyBorder="1"/>
    <xf numFmtId="0" fontId="0" fillId="6" borderId="3" xfId="0" applyFill="1" applyBorder="1"/>
    <xf numFmtId="41" fontId="0" fillId="0" borderId="13" xfId="0" applyNumberFormat="1" applyBorder="1"/>
    <xf numFmtId="168" fontId="0" fillId="0" borderId="0" xfId="1" applyNumberFormat="1" applyFont="1" applyBorder="1"/>
    <xf numFmtId="9" fontId="0" fillId="0" borderId="0" xfId="3" applyFont="1" applyBorder="1"/>
    <xf numFmtId="41" fontId="0" fillId="0" borderId="14" xfId="0" applyNumberFormat="1" applyBorder="1"/>
    <xf numFmtId="0" fontId="0" fillId="7" borderId="15" xfId="0" applyFill="1" applyBorder="1"/>
    <xf numFmtId="0" fontId="0" fillId="7" borderId="5" xfId="0" applyFill="1" applyBorder="1"/>
    <xf numFmtId="0" fontId="0" fillId="7" borderId="3" xfId="0" applyFill="1" applyBorder="1"/>
    <xf numFmtId="0" fontId="0" fillId="0" borderId="15" xfId="0" applyBorder="1"/>
    <xf numFmtId="0" fontId="0" fillId="0" borderId="5" xfId="0" applyBorder="1"/>
    <xf numFmtId="0" fontId="0" fillId="0" borderId="3" xfId="0" applyBorder="1"/>
    <xf numFmtId="0" fontId="0" fillId="9" borderId="15" xfId="0" applyFill="1" applyBorder="1"/>
    <xf numFmtId="0" fontId="0" fillId="9" borderId="5" xfId="0" applyFill="1" applyBorder="1"/>
    <xf numFmtId="0" fontId="0" fillId="9" borderId="3" xfId="0" applyFill="1" applyBorder="1"/>
    <xf numFmtId="0" fontId="0" fillId="0" borderId="17" xfId="0" applyBorder="1"/>
    <xf numFmtId="0" fontId="0" fillId="0" borderId="18" xfId="0" applyBorder="1"/>
    <xf numFmtId="0" fontId="0" fillId="7" borderId="20" xfId="0" applyFill="1" applyBorder="1"/>
    <xf numFmtId="0" fontId="0" fillId="7" borderId="21" xfId="0" applyFill="1" applyBorder="1"/>
    <xf numFmtId="0" fontId="0" fillId="0" borderId="26" xfId="0" applyBorder="1"/>
    <xf numFmtId="0" fontId="0" fillId="0" borderId="27" xfId="0" applyBorder="1"/>
    <xf numFmtId="0" fontId="0" fillId="0" borderId="28" xfId="0" applyBorder="1"/>
    <xf numFmtId="0" fontId="17" fillId="0" borderId="0" xfId="0" applyFont="1" applyBorder="1" applyAlignment="1">
      <alignment vertical="top" wrapText="1"/>
    </xf>
    <xf numFmtId="2" fontId="0" fillId="0" borderId="30" xfId="0" applyNumberFormat="1" applyBorder="1"/>
    <xf numFmtId="41" fontId="0" fillId="0" borderId="14" xfId="0" applyNumberFormat="1" applyFont="1" applyBorder="1"/>
    <xf numFmtId="41" fontId="2" fillId="0" borderId="26" xfId="0" applyNumberFormat="1" applyFont="1" applyBorder="1"/>
    <xf numFmtId="0" fontId="2" fillId="0" borderId="31" xfId="0" applyFont="1" applyBorder="1" applyAlignment="1">
      <alignment horizontal="left"/>
    </xf>
    <xf numFmtId="0" fontId="0" fillId="0" borderId="32" xfId="0" applyBorder="1"/>
    <xf numFmtId="0" fontId="0" fillId="0" borderId="32" xfId="0" applyFont="1" applyBorder="1" applyAlignment="1">
      <alignment horizontal="center"/>
    </xf>
    <xf numFmtId="0" fontId="0" fillId="0" borderId="33" xfId="0" applyFont="1" applyBorder="1" applyAlignment="1">
      <alignment horizontal="center"/>
    </xf>
    <xf numFmtId="0" fontId="0" fillId="0" borderId="0" xfId="0" applyFont="1" applyBorder="1" applyAlignment="1">
      <alignment horizontal="center"/>
    </xf>
    <xf numFmtId="0" fontId="21" fillId="0" borderId="0" xfId="0" applyFont="1" applyBorder="1" applyAlignment="1">
      <alignment vertical="top" wrapText="1"/>
    </xf>
    <xf numFmtId="44" fontId="0" fillId="0" borderId="0" xfId="0" applyNumberFormat="1"/>
    <xf numFmtId="0" fontId="2" fillId="0" borderId="0" xfId="0" applyFont="1" applyFill="1" applyBorder="1" applyAlignment="1">
      <alignment horizontal="right"/>
    </xf>
    <xf numFmtId="0" fontId="0" fillId="0" borderId="13" xfId="0" applyBorder="1"/>
    <xf numFmtId="0" fontId="0" fillId="0" borderId="13" xfId="0" applyFont="1" applyBorder="1" applyAlignment="1">
      <alignment horizontal="right"/>
    </xf>
    <xf numFmtId="0" fontId="0" fillId="8" borderId="1" xfId="0" applyFill="1" applyBorder="1" applyAlignment="1">
      <alignment horizontal="center"/>
    </xf>
    <xf numFmtId="0" fontId="0" fillId="8" borderId="16" xfId="0" applyFill="1" applyBorder="1" applyAlignment="1">
      <alignment horizontal="center"/>
    </xf>
    <xf numFmtId="0" fontId="0" fillId="0" borderId="0" xfId="0" applyBorder="1"/>
    <xf numFmtId="0" fontId="22" fillId="0" borderId="20" xfId="0" applyFont="1" applyBorder="1" applyAlignment="1"/>
    <xf numFmtId="0" fontId="22" fillId="0" borderId="34" xfId="0" applyFont="1" applyBorder="1" applyAlignment="1"/>
    <xf numFmtId="0" fontId="0" fillId="0" borderId="13" xfId="0" applyBorder="1" applyAlignment="1">
      <alignment horizontal="left"/>
    </xf>
    <xf numFmtId="0" fontId="0" fillId="0" borderId="0" xfId="0" applyBorder="1" applyAlignment="1">
      <alignment horizontal="center"/>
    </xf>
    <xf numFmtId="0" fontId="0" fillId="0" borderId="14" xfId="0" applyBorder="1" applyAlignment="1">
      <alignment horizontal="center"/>
    </xf>
    <xf numFmtId="0" fontId="0" fillId="0" borderId="0" xfId="0" applyFill="1" applyBorder="1"/>
    <xf numFmtId="0" fontId="2" fillId="0" borderId="27" xfId="0" applyFont="1" applyBorder="1"/>
    <xf numFmtId="174" fontId="2" fillId="0" borderId="0" xfId="3" applyNumberFormat="1" applyFont="1" applyBorder="1" applyAlignment="1">
      <alignment horizontal="center"/>
    </xf>
    <xf numFmtId="0" fontId="13" fillId="5" borderId="42" xfId="0" applyFont="1" applyFill="1" applyBorder="1" applyAlignment="1">
      <alignment horizontal="right" wrapText="1"/>
    </xf>
    <xf numFmtId="0" fontId="0" fillId="0" borderId="0" xfId="0" applyAlignment="1">
      <alignment horizontal="right" wrapText="1"/>
    </xf>
    <xf numFmtId="17" fontId="0" fillId="0" borderId="49" xfId="0" applyNumberFormat="1" applyBorder="1"/>
    <xf numFmtId="41" fontId="0" fillId="0" borderId="50" xfId="0" applyNumberFormat="1" applyBorder="1"/>
    <xf numFmtId="169" fontId="0" fillId="0" borderId="49" xfId="0" applyNumberFormat="1" applyBorder="1"/>
    <xf numFmtId="169" fontId="0" fillId="0" borderId="51" xfId="0" applyNumberFormat="1" applyBorder="1"/>
    <xf numFmtId="169" fontId="0" fillId="0" borderId="12" xfId="0" applyNumberFormat="1" applyBorder="1"/>
    <xf numFmtId="169" fontId="0" fillId="0" borderId="11" xfId="0" applyNumberFormat="1" applyBorder="1"/>
    <xf numFmtId="17" fontId="0" fillId="0" borderId="38" xfId="0" applyNumberFormat="1" applyBorder="1"/>
    <xf numFmtId="168" fontId="0" fillId="0" borderId="2" xfId="1" applyNumberFormat="1" applyFont="1" applyBorder="1"/>
    <xf numFmtId="17" fontId="0" fillId="0" borderId="42" xfId="0" applyNumberFormat="1" applyBorder="1"/>
    <xf numFmtId="168" fontId="0" fillId="0" borderId="43" xfId="1" applyNumberFormat="1" applyFont="1" applyBorder="1"/>
    <xf numFmtId="169" fontId="0" fillId="0" borderId="47" xfId="0" applyNumberFormat="1" applyBorder="1"/>
    <xf numFmtId="169" fontId="0" fillId="0" borderId="46" xfId="0" applyNumberFormat="1" applyBorder="1"/>
    <xf numFmtId="169" fontId="0" fillId="0" borderId="45" xfId="0" applyNumberFormat="1" applyBorder="1"/>
    <xf numFmtId="169" fontId="0" fillId="0" borderId="48" xfId="0" applyNumberFormat="1" applyBorder="1"/>
    <xf numFmtId="17" fontId="2" fillId="0" borderId="0" xfId="0" applyNumberFormat="1" applyFont="1" applyFill="1" applyBorder="1"/>
    <xf numFmtId="0" fontId="2" fillId="0" borderId="0" xfId="0" applyFont="1" applyBorder="1"/>
    <xf numFmtId="169" fontId="2" fillId="0" borderId="0" xfId="0" applyNumberFormat="1" applyFont="1" applyBorder="1"/>
    <xf numFmtId="171" fontId="0" fillId="4" borderId="1" xfId="0" applyNumberFormat="1" applyFill="1" applyBorder="1" applyAlignment="1" applyProtection="1">
      <alignment horizontal="right" vertical="center"/>
      <protection locked="0"/>
    </xf>
    <xf numFmtId="171" fontId="0" fillId="4" borderId="1" xfId="0" applyNumberFormat="1" applyFill="1" applyBorder="1" applyAlignment="1" applyProtection="1">
      <alignment vertical="center"/>
      <protection locked="0"/>
    </xf>
    <xf numFmtId="0" fontId="0" fillId="0" borderId="53" xfId="0" applyBorder="1"/>
    <xf numFmtId="0" fontId="2" fillId="0" borderId="50" xfId="0" applyFont="1" applyBorder="1" applyAlignment="1">
      <alignment horizontal="right"/>
    </xf>
    <xf numFmtId="0" fontId="2" fillId="0" borderId="10" xfId="0" applyFont="1" applyBorder="1"/>
    <xf numFmtId="9" fontId="2" fillId="0" borderId="11" xfId="3" applyFont="1" applyBorder="1"/>
    <xf numFmtId="9" fontId="2" fillId="0" borderId="10" xfId="3" applyFont="1" applyBorder="1"/>
    <xf numFmtId="0" fontId="0" fillId="0" borderId="52" xfId="0" applyBorder="1"/>
    <xf numFmtId="168" fontId="2" fillId="0" borderId="10" xfId="1" applyNumberFormat="1" applyFont="1" applyBorder="1"/>
    <xf numFmtId="0" fontId="0" fillId="0" borderId="10" xfId="0" applyBorder="1"/>
    <xf numFmtId="0" fontId="0" fillId="0" borderId="50" xfId="0" applyBorder="1"/>
    <xf numFmtId="0" fontId="0" fillId="0" borderId="20" xfId="0" applyBorder="1"/>
    <xf numFmtId="9" fontId="0" fillId="0" borderId="10" xfId="3" applyFont="1" applyBorder="1"/>
    <xf numFmtId="0" fontId="0" fillId="0" borderId="0" xfId="0" applyBorder="1" applyAlignment="1">
      <alignment horizontal="right"/>
    </xf>
    <xf numFmtId="0" fontId="0" fillId="0" borderId="40" xfId="0" applyBorder="1" applyAlignment="1">
      <alignment horizontal="right"/>
    </xf>
    <xf numFmtId="168" fontId="0" fillId="0" borderId="53" xfId="0" applyNumberFormat="1" applyBorder="1"/>
    <xf numFmtId="168" fontId="0" fillId="0" borderId="0" xfId="0" applyNumberFormat="1" applyBorder="1"/>
    <xf numFmtId="168" fontId="0" fillId="0" borderId="40" xfId="0" applyNumberFormat="1" applyBorder="1"/>
    <xf numFmtId="168" fontId="0" fillId="0" borderId="50" xfId="0" applyNumberFormat="1" applyBorder="1"/>
    <xf numFmtId="168" fontId="0" fillId="0" borderId="10" xfId="0" applyNumberFormat="1" applyBorder="1"/>
    <xf numFmtId="168" fontId="0" fillId="0" borderId="11" xfId="0" applyNumberFormat="1" applyBorder="1"/>
    <xf numFmtId="168" fontId="0" fillId="0" borderId="10" xfId="1" applyNumberFormat="1" applyFont="1" applyBorder="1"/>
    <xf numFmtId="168" fontId="0" fillId="0" borderId="0" xfId="1" applyNumberFormat="1" applyFont="1" applyFill="1" applyBorder="1"/>
    <xf numFmtId="168" fontId="0" fillId="0" borderId="40" xfId="1" applyNumberFormat="1" applyFont="1" applyFill="1" applyBorder="1"/>
    <xf numFmtId="9" fontId="0" fillId="0" borderId="53" xfId="0" applyNumberFormat="1" applyBorder="1"/>
    <xf numFmtId="9" fontId="0" fillId="0" borderId="50" xfId="0" applyNumberFormat="1" applyBorder="1"/>
    <xf numFmtId="168" fontId="0" fillId="0" borderId="10" xfId="1" applyNumberFormat="1" applyFont="1" applyFill="1" applyBorder="1"/>
    <xf numFmtId="168" fontId="0" fillId="0" borderId="11" xfId="1" applyNumberFormat="1" applyFont="1" applyFill="1" applyBorder="1"/>
    <xf numFmtId="9" fontId="0" fillId="0" borderId="52" xfId="3" applyFont="1" applyBorder="1"/>
    <xf numFmtId="168" fontId="0" fillId="0" borderId="20" xfId="1" applyNumberFormat="1" applyFont="1" applyFill="1" applyBorder="1"/>
    <xf numFmtId="168" fontId="0" fillId="0" borderId="21" xfId="1" applyNumberFormat="1" applyFont="1" applyFill="1" applyBorder="1"/>
    <xf numFmtId="0" fontId="0" fillId="0" borderId="1" xfId="0" applyBorder="1" applyAlignment="1">
      <alignment wrapText="1"/>
    </xf>
    <xf numFmtId="0" fontId="7" fillId="0" borderId="31" xfId="0" applyFont="1" applyBorder="1" applyAlignment="1">
      <alignment horizontal="left"/>
    </xf>
    <xf numFmtId="0" fontId="7" fillId="0" borderId="32" xfId="0" applyFont="1" applyBorder="1" applyAlignment="1">
      <alignment horizontal="left"/>
    </xf>
    <xf numFmtId="0" fontId="8" fillId="0" borderId="13" xfId="0" applyFont="1" applyBorder="1" applyAlignment="1">
      <alignment horizontal="right"/>
    </xf>
    <xf numFmtId="0" fontId="7" fillId="0" borderId="0" xfId="0" applyFont="1" applyBorder="1" applyAlignment="1">
      <alignment horizontal="center"/>
    </xf>
    <xf numFmtId="0" fontId="5" fillId="0" borderId="13" xfId="0" applyFont="1" applyBorder="1"/>
    <xf numFmtId="0" fontId="0" fillId="0" borderId="14" xfId="0" applyBorder="1"/>
    <xf numFmtId="0" fontId="2" fillId="0" borderId="39" xfId="0" applyFont="1" applyBorder="1" applyAlignment="1">
      <alignment vertical="center" wrapText="1"/>
    </xf>
    <xf numFmtId="0" fontId="0" fillId="0" borderId="38" xfId="0" applyBorder="1" applyAlignment="1">
      <alignment horizontal="left" vertical="center" wrapText="1"/>
    </xf>
    <xf numFmtId="0" fontId="2" fillId="0" borderId="38" xfId="0" applyFont="1" applyBorder="1" applyAlignment="1">
      <alignment horizontal="left" vertical="center" wrapText="1"/>
    </xf>
    <xf numFmtId="0" fontId="0" fillId="0" borderId="38" xfId="0" applyFill="1" applyBorder="1" applyAlignment="1">
      <alignment horizontal="left" vertical="center" wrapText="1"/>
    </xf>
    <xf numFmtId="0" fontId="5" fillId="0" borderId="13" xfId="0" applyFont="1" applyBorder="1" applyAlignment="1">
      <alignment wrapText="1"/>
    </xf>
    <xf numFmtId="0" fontId="6" fillId="0" borderId="13" xfId="0" applyFont="1" applyBorder="1" applyAlignment="1">
      <alignment wrapText="1"/>
    </xf>
    <xf numFmtId="0" fontId="2" fillId="3" borderId="1" xfId="0" applyFont="1" applyFill="1" applyBorder="1" applyProtection="1">
      <protection locked="0"/>
    </xf>
    <xf numFmtId="2" fontId="2" fillId="3" borderId="1" xfId="0" applyNumberFormat="1" applyFont="1" applyFill="1" applyBorder="1" applyProtection="1">
      <protection locked="0"/>
    </xf>
    <xf numFmtId="0" fontId="7" fillId="0" borderId="32" xfId="0" applyFont="1" applyBorder="1" applyAlignment="1">
      <alignment horizontal="center"/>
    </xf>
    <xf numFmtId="0" fontId="2" fillId="0" borderId="32" xfId="0" applyFont="1" applyBorder="1"/>
    <xf numFmtId="0" fontId="0" fillId="0" borderId="33" xfId="0" applyBorder="1"/>
    <xf numFmtId="0" fontId="25" fillId="0" borderId="0" xfId="4" applyFont="1" applyBorder="1"/>
    <xf numFmtId="0" fontId="26" fillId="0" borderId="0" xfId="4" applyFont="1" applyBorder="1" applyAlignment="1">
      <alignment horizontal="right"/>
    </xf>
    <xf numFmtId="0" fontId="2" fillId="0" borderId="26" xfId="0" applyFont="1" applyBorder="1"/>
    <xf numFmtId="0" fontId="2" fillId="0" borderId="27" xfId="0" applyFont="1" applyBorder="1" applyAlignment="1">
      <alignment horizontal="right"/>
    </xf>
    <xf numFmtId="0" fontId="7" fillId="0" borderId="31" xfId="0" applyFont="1" applyBorder="1"/>
    <xf numFmtId="9" fontId="2" fillId="0" borderId="0" xfId="3" applyFont="1" applyBorder="1"/>
    <xf numFmtId="0" fontId="7" fillId="0" borderId="0" xfId="0" applyFont="1" applyBorder="1"/>
    <xf numFmtId="0" fontId="0" fillId="0" borderId="31" xfId="0" applyBorder="1"/>
    <xf numFmtId="0" fontId="7" fillId="0" borderId="31" xfId="0" applyFont="1" applyFill="1" applyBorder="1" applyAlignment="1">
      <alignment horizontal="left" vertical="center" wrapText="1"/>
    </xf>
    <xf numFmtId="0" fontId="2" fillId="0" borderId="38" xfId="0" applyFont="1" applyFill="1" applyBorder="1"/>
    <xf numFmtId="0" fontId="0" fillId="4" borderId="51" xfId="0" applyFill="1" applyBorder="1" applyAlignment="1" applyProtection="1">
      <alignment horizontal="center" vertical="center"/>
      <protection locked="0"/>
    </xf>
    <xf numFmtId="0" fontId="21" fillId="0" borderId="0" xfId="0" applyFont="1" applyBorder="1" applyAlignment="1">
      <alignment horizontal="left" vertical="top" wrapText="1"/>
    </xf>
    <xf numFmtId="9" fontId="0" fillId="3" borderId="1" xfId="3" applyFont="1" applyFill="1" applyBorder="1" applyProtection="1">
      <protection locked="0"/>
    </xf>
    <xf numFmtId="168" fontId="0" fillId="3" borderId="1" xfId="1" applyNumberFormat="1" applyFont="1" applyFill="1" applyBorder="1" applyProtection="1">
      <protection locked="0"/>
    </xf>
    <xf numFmtId="0" fontId="4" fillId="0" borderId="0" xfId="0" applyFont="1" applyBorder="1" applyAlignment="1">
      <alignment horizontal="right"/>
    </xf>
    <xf numFmtId="168" fontId="0" fillId="0" borderId="1" xfId="1" applyNumberFormat="1" applyFont="1" applyFill="1" applyBorder="1" applyAlignment="1" applyProtection="1">
      <alignment horizontal="right"/>
    </xf>
    <xf numFmtId="177" fontId="0" fillId="3" borderId="1" xfId="0" applyNumberFormat="1" applyFill="1" applyBorder="1" applyProtection="1">
      <protection locked="0"/>
    </xf>
    <xf numFmtId="167" fontId="0" fillId="0" borderId="0" xfId="0" applyNumberFormat="1" applyFont="1" applyBorder="1"/>
    <xf numFmtId="0" fontId="0" fillId="0" borderId="0" xfId="0" applyFont="1" applyBorder="1"/>
    <xf numFmtId="0" fontId="0" fillId="0" borderId="0" xfId="0" applyFont="1" applyBorder="1" applyAlignment="1">
      <alignment horizontal="left"/>
    </xf>
    <xf numFmtId="0" fontId="0" fillId="0" borderId="14" xfId="0" applyFont="1" applyBorder="1"/>
    <xf numFmtId="167" fontId="0" fillId="0" borderId="27" xfId="0" applyNumberFormat="1" applyFont="1" applyBorder="1"/>
    <xf numFmtId="0" fontId="0" fillId="0" borderId="27" xfId="0" applyFont="1" applyBorder="1"/>
    <xf numFmtId="0" fontId="0" fillId="0" borderId="27" xfId="0" applyFont="1" applyBorder="1" applyAlignment="1">
      <alignment horizontal="left"/>
    </xf>
    <xf numFmtId="0" fontId="0" fillId="0" borderId="28" xfId="0" applyFont="1" applyBorder="1"/>
    <xf numFmtId="0" fontId="0" fillId="0" borderId="4" xfId="0" applyBorder="1"/>
    <xf numFmtId="0" fontId="0" fillId="0" borderId="35" xfId="0" applyBorder="1"/>
    <xf numFmtId="0" fontId="0" fillId="0" borderId="51" xfId="0" applyBorder="1"/>
    <xf numFmtId="9" fontId="0" fillId="3" borderId="16" xfId="3" applyFont="1" applyFill="1" applyBorder="1" applyProtection="1">
      <protection locked="0"/>
    </xf>
    <xf numFmtId="9" fontId="0" fillId="0" borderId="54" xfId="3" applyFont="1" applyBorder="1"/>
    <xf numFmtId="0" fontId="0" fillId="0" borderId="0" xfId="0" applyFont="1" applyBorder="1" applyAlignment="1">
      <alignment horizontal="right"/>
    </xf>
    <xf numFmtId="0" fontId="0" fillId="0" borderId="0" xfId="0" applyFont="1" applyFill="1" applyBorder="1" applyAlignment="1">
      <alignment horizontal="right"/>
    </xf>
    <xf numFmtId="169" fontId="0" fillId="3" borderId="1" xfId="0" applyNumberFormat="1" applyFill="1" applyBorder="1" applyProtection="1">
      <protection locked="0"/>
    </xf>
    <xf numFmtId="169" fontId="0" fillId="3" borderId="16" xfId="0" applyNumberFormat="1" applyFill="1" applyBorder="1" applyProtection="1">
      <protection locked="0"/>
    </xf>
    <xf numFmtId="0" fontId="0" fillId="5" borderId="38" xfId="0" applyFill="1" applyBorder="1"/>
    <xf numFmtId="0" fontId="0" fillId="10" borderId="38" xfId="0" applyFill="1" applyBorder="1"/>
    <xf numFmtId="0" fontId="0" fillId="6" borderId="38" xfId="0" applyFill="1" applyBorder="1"/>
    <xf numFmtId="0" fontId="0" fillId="9" borderId="38" xfId="0" applyFill="1" applyBorder="1"/>
    <xf numFmtId="0" fontId="0" fillId="7" borderId="38" xfId="0" applyFill="1" applyBorder="1"/>
    <xf numFmtId="2" fontId="0" fillId="3" borderId="1" xfId="0" applyNumberFormat="1" applyFill="1" applyBorder="1" applyProtection="1">
      <protection locked="0"/>
    </xf>
    <xf numFmtId="2" fontId="0" fillId="3" borderId="16" xfId="0" applyNumberFormat="1" applyFill="1" applyBorder="1" applyProtection="1">
      <protection locked="0"/>
    </xf>
    <xf numFmtId="169" fontId="0" fillId="0" borderId="1" xfId="0" applyNumberFormat="1" applyBorder="1"/>
    <xf numFmtId="2" fontId="0" fillId="0" borderId="1" xfId="0" applyNumberFormat="1" applyBorder="1"/>
    <xf numFmtId="0" fontId="0" fillId="0" borderId="36" xfId="0" applyBorder="1"/>
    <xf numFmtId="169" fontId="0" fillId="0" borderId="16" xfId="0" applyNumberFormat="1" applyBorder="1"/>
    <xf numFmtId="0" fontId="0" fillId="0" borderId="42" xfId="0" applyFill="1" applyBorder="1"/>
    <xf numFmtId="9" fontId="0" fillId="0" borderId="44" xfId="3" applyFont="1" applyBorder="1"/>
    <xf numFmtId="9" fontId="0" fillId="0" borderId="19" xfId="3" applyFont="1" applyBorder="1"/>
    <xf numFmtId="2" fontId="0" fillId="0" borderId="12" xfId="0" applyNumberFormat="1" applyFill="1" applyBorder="1"/>
    <xf numFmtId="2" fontId="0" fillId="0" borderId="16" xfId="0" applyNumberFormat="1" applyFill="1" applyBorder="1"/>
    <xf numFmtId="2" fontId="0" fillId="0" borderId="22" xfId="0" applyNumberFormat="1" applyFill="1" applyBorder="1"/>
    <xf numFmtId="174" fontId="0" fillId="0" borderId="29" xfId="3" applyNumberFormat="1" applyFont="1" applyFill="1" applyBorder="1"/>
    <xf numFmtId="169" fontId="0" fillId="0" borderId="12" xfId="0" applyNumberFormat="1" applyFill="1" applyBorder="1"/>
    <xf numFmtId="169" fontId="0" fillId="0" borderId="16" xfId="0" applyNumberFormat="1" applyFill="1" applyBorder="1"/>
    <xf numFmtId="169" fontId="0" fillId="0" borderId="19" xfId="0" applyNumberFormat="1" applyFill="1" applyBorder="1"/>
    <xf numFmtId="2" fontId="0" fillId="0" borderId="16" xfId="0" applyNumberFormat="1" applyBorder="1"/>
    <xf numFmtId="0" fontId="20" fillId="0" borderId="2" xfId="0" applyFont="1" applyFill="1" applyBorder="1"/>
    <xf numFmtId="0" fontId="0" fillId="0" borderId="5" xfId="0" applyFill="1" applyBorder="1"/>
    <xf numFmtId="0" fontId="0" fillId="0" borderId="3" xfId="0" applyFill="1" applyBorder="1"/>
    <xf numFmtId="9" fontId="0" fillId="3" borderId="44" xfId="3" applyFont="1" applyFill="1" applyBorder="1" applyProtection="1">
      <protection locked="0"/>
    </xf>
    <xf numFmtId="9" fontId="0" fillId="3" borderId="19" xfId="3" applyFont="1" applyFill="1" applyBorder="1" applyProtection="1">
      <protection locked="0"/>
    </xf>
    <xf numFmtId="9" fontId="2" fillId="11" borderId="27" xfId="3" applyFont="1" applyFill="1" applyBorder="1"/>
    <xf numFmtId="9" fontId="2" fillId="11" borderId="27" xfId="0" applyNumberFormat="1" applyFont="1" applyFill="1" applyBorder="1"/>
    <xf numFmtId="41" fontId="2" fillId="11" borderId="28" xfId="0" applyNumberFormat="1" applyFont="1" applyFill="1" applyBorder="1"/>
    <xf numFmtId="168" fontId="2" fillId="11" borderId="27" xfId="1" applyNumberFormat="1" applyFont="1" applyFill="1" applyBorder="1"/>
    <xf numFmtId="0" fontId="2" fillId="0" borderId="13" xfId="0" applyFont="1" applyBorder="1" applyAlignment="1">
      <alignment horizontal="left"/>
    </xf>
    <xf numFmtId="174" fontId="2" fillId="0" borderId="14" xfId="3" applyNumberFormat="1" applyFont="1" applyBorder="1" applyAlignment="1">
      <alignment horizontal="center"/>
    </xf>
    <xf numFmtId="0" fontId="2" fillId="0" borderId="28" xfId="0" applyFont="1" applyBorder="1"/>
    <xf numFmtId="41" fontId="2" fillId="0" borderId="0" xfId="0" applyNumberFormat="1" applyFont="1" applyBorder="1"/>
    <xf numFmtId="0" fontId="21" fillId="0" borderId="0" xfId="0" applyFont="1" applyAlignment="1">
      <alignment horizontal="right"/>
    </xf>
    <xf numFmtId="175" fontId="0" fillId="0" borderId="7" xfId="0" applyNumberFormat="1" applyFill="1" applyBorder="1"/>
    <xf numFmtId="172" fontId="2" fillId="11" borderId="0" xfId="2" applyNumberFormat="1" applyFont="1" applyFill="1"/>
    <xf numFmtId="0" fontId="2" fillId="5" borderId="31" xfId="0" applyFont="1" applyFill="1" applyBorder="1" applyAlignment="1">
      <alignment horizontal="right"/>
    </xf>
    <xf numFmtId="0" fontId="2" fillId="6" borderId="13" xfId="0" applyFont="1" applyFill="1" applyBorder="1" applyAlignment="1">
      <alignment horizontal="right"/>
    </xf>
    <xf numFmtId="0" fontId="2" fillId="7" borderId="13" xfId="0" applyFont="1" applyFill="1" applyBorder="1" applyAlignment="1">
      <alignment horizontal="right"/>
    </xf>
    <xf numFmtId="0" fontId="2" fillId="9" borderId="13" xfId="0" applyFont="1" applyFill="1" applyBorder="1" applyAlignment="1">
      <alignment horizontal="right"/>
    </xf>
    <xf numFmtId="0" fontId="2" fillId="0" borderId="13" xfId="0" applyFont="1" applyFill="1" applyBorder="1" applyAlignment="1">
      <alignment horizontal="right"/>
    </xf>
    <xf numFmtId="169" fontId="2" fillId="5" borderId="33" xfId="0" applyNumberFormat="1" applyFont="1" applyFill="1" applyBorder="1" applyAlignment="1">
      <alignment horizontal="right"/>
    </xf>
    <xf numFmtId="169" fontId="2" fillId="6" borderId="14" xfId="0" applyNumberFormat="1" applyFont="1" applyFill="1" applyBorder="1" applyAlignment="1">
      <alignment horizontal="right"/>
    </xf>
    <xf numFmtId="169" fontId="2" fillId="7" borderId="14" xfId="0" applyNumberFormat="1" applyFont="1" applyFill="1" applyBorder="1" applyAlignment="1">
      <alignment horizontal="right"/>
    </xf>
    <xf numFmtId="169" fontId="2" fillId="9" borderId="14" xfId="0" applyNumberFormat="1" applyFont="1" applyFill="1" applyBorder="1" applyAlignment="1">
      <alignment horizontal="right"/>
    </xf>
    <xf numFmtId="169" fontId="2" fillId="0" borderId="14" xfId="0" applyNumberFormat="1" applyFont="1" applyFill="1" applyBorder="1" applyAlignment="1">
      <alignment horizontal="right"/>
    </xf>
    <xf numFmtId="169" fontId="2" fillId="0" borderId="28" xfId="0" applyNumberFormat="1" applyFont="1" applyBorder="1" applyAlignment="1">
      <alignment horizontal="right"/>
    </xf>
    <xf numFmtId="168" fontId="0" fillId="0" borderId="40" xfId="1" applyNumberFormat="1" applyFont="1" applyBorder="1"/>
    <xf numFmtId="168" fontId="0" fillId="0" borderId="11" xfId="1" applyNumberFormat="1" applyFont="1" applyBorder="1"/>
    <xf numFmtId="168" fontId="0" fillId="0" borderId="53" xfId="1" applyNumberFormat="1" applyFont="1" applyBorder="1"/>
    <xf numFmtId="0" fontId="0" fillId="0" borderId="11" xfId="0" applyBorder="1" applyAlignment="1">
      <alignment horizontal="right"/>
    </xf>
    <xf numFmtId="0" fontId="0" fillId="11" borderId="52" xfId="0" applyFill="1" applyBorder="1" applyProtection="1">
      <protection locked="0"/>
    </xf>
    <xf numFmtId="0" fontId="0" fillId="11" borderId="21" xfId="0" applyFill="1" applyBorder="1" applyProtection="1">
      <protection locked="0"/>
    </xf>
    <xf numFmtId="0" fontId="0" fillId="11" borderId="53" xfId="0" applyFill="1" applyBorder="1" applyProtection="1">
      <protection locked="0"/>
    </xf>
    <xf numFmtId="0" fontId="0" fillId="11" borderId="40" xfId="0" applyFill="1" applyBorder="1" applyProtection="1">
      <protection locked="0"/>
    </xf>
    <xf numFmtId="0" fontId="0" fillId="11" borderId="50" xfId="0" applyFill="1" applyBorder="1" applyProtection="1">
      <protection locked="0"/>
    </xf>
    <xf numFmtId="0" fontId="0" fillId="11" borderId="11" xfId="0" applyFill="1" applyBorder="1" applyProtection="1">
      <protection locked="0"/>
    </xf>
    <xf numFmtId="0" fontId="0" fillId="0" borderId="57" xfId="0" applyBorder="1"/>
    <xf numFmtId="0" fontId="0" fillId="10" borderId="3" xfId="0" applyFill="1" applyBorder="1"/>
    <xf numFmtId="0" fontId="2" fillId="0" borderId="3" xfId="0" applyFont="1" applyFill="1" applyBorder="1"/>
    <xf numFmtId="0" fontId="0" fillId="0" borderId="18" xfId="0" applyFill="1" applyBorder="1"/>
    <xf numFmtId="41" fontId="2" fillId="0" borderId="7" xfId="0" applyNumberFormat="1" applyFont="1" applyBorder="1"/>
    <xf numFmtId="41" fontId="0" fillId="0" borderId="0" xfId="0" applyNumberFormat="1" applyBorder="1"/>
    <xf numFmtId="41" fontId="2" fillId="0" borderId="27" xfId="0" applyNumberFormat="1" applyFont="1" applyBorder="1"/>
    <xf numFmtId="0" fontId="2" fillId="5" borderId="32" xfId="0" applyFont="1" applyFill="1" applyBorder="1" applyAlignment="1">
      <alignment horizontal="right"/>
    </xf>
    <xf numFmtId="0" fontId="2" fillId="6" borderId="0" xfId="0" applyFont="1" applyFill="1" applyBorder="1" applyAlignment="1">
      <alignment horizontal="right"/>
    </xf>
    <xf numFmtId="0" fontId="2" fillId="7" borderId="0" xfId="0" applyFont="1" applyFill="1" applyBorder="1" applyAlignment="1">
      <alignment horizontal="right"/>
    </xf>
    <xf numFmtId="0" fontId="2" fillId="9" borderId="0" xfId="0" applyFont="1" applyFill="1" applyBorder="1" applyAlignment="1">
      <alignment horizontal="right"/>
    </xf>
    <xf numFmtId="0" fontId="14" fillId="0" borderId="55" xfId="0" applyFont="1" applyBorder="1" applyAlignment="1">
      <alignment horizontal="right" wrapText="1"/>
    </xf>
    <xf numFmtId="0" fontId="14" fillId="0" borderId="56" xfId="0" applyFont="1" applyBorder="1" applyAlignment="1">
      <alignment horizontal="right" wrapText="1"/>
    </xf>
    <xf numFmtId="0" fontId="2" fillId="0" borderId="49" xfId="0" applyFont="1" applyFill="1" applyBorder="1"/>
    <xf numFmtId="0" fontId="0" fillId="3" borderId="51" xfId="0" applyFill="1" applyBorder="1" applyProtection="1">
      <protection locked="0"/>
    </xf>
    <xf numFmtId="176" fontId="0" fillId="3" borderId="51" xfId="0" applyNumberFormat="1" applyFill="1" applyBorder="1" applyProtection="1">
      <protection locked="0"/>
    </xf>
    <xf numFmtId="176" fontId="0" fillId="3" borderId="12" xfId="0" applyNumberFormat="1" applyFill="1" applyBorder="1" applyProtection="1">
      <protection locked="0"/>
    </xf>
    <xf numFmtId="2" fontId="0" fillId="3" borderId="55" xfId="0" applyNumberFormat="1" applyFill="1" applyBorder="1" applyProtection="1">
      <protection locked="0"/>
    </xf>
    <xf numFmtId="169" fontId="0" fillId="3" borderId="55" xfId="0" applyNumberFormat="1" applyFill="1" applyBorder="1" applyProtection="1">
      <protection locked="0"/>
    </xf>
    <xf numFmtId="2" fontId="0" fillId="3" borderId="56" xfId="0" applyNumberFormat="1" applyFill="1" applyBorder="1" applyProtection="1">
      <protection locked="0"/>
    </xf>
    <xf numFmtId="2" fontId="0" fillId="3" borderId="44" xfId="0" applyNumberFormat="1" applyFill="1" applyBorder="1" applyProtection="1">
      <protection locked="0"/>
    </xf>
    <xf numFmtId="169" fontId="0" fillId="3" borderId="44" xfId="0" applyNumberFormat="1" applyFill="1" applyBorder="1" applyProtection="1">
      <protection locked="0"/>
    </xf>
    <xf numFmtId="2" fontId="0" fillId="3" borderId="19" xfId="0" applyNumberFormat="1" applyFill="1" applyBorder="1" applyProtection="1">
      <protection locked="0"/>
    </xf>
    <xf numFmtId="0" fontId="0" fillId="0" borderId="59" xfId="0" applyFill="1" applyBorder="1"/>
    <xf numFmtId="15" fontId="0" fillId="3" borderId="4" xfId="0" applyNumberFormat="1" applyFont="1" applyFill="1" applyBorder="1" applyAlignment="1" applyProtection="1">
      <alignment horizontal="center"/>
      <protection locked="0"/>
    </xf>
    <xf numFmtId="15" fontId="0" fillId="3" borderId="22" xfId="0" applyNumberFormat="1" applyFont="1" applyFill="1" applyBorder="1" applyAlignment="1" applyProtection="1">
      <alignment horizontal="center"/>
      <protection locked="0"/>
    </xf>
    <xf numFmtId="169" fontId="0" fillId="3" borderId="56" xfId="0" applyNumberFormat="1" applyFill="1" applyBorder="1" applyProtection="1">
      <protection locked="0"/>
    </xf>
    <xf numFmtId="169" fontId="0" fillId="3" borderId="19" xfId="0" applyNumberFormat="1" applyFill="1" applyBorder="1" applyProtection="1">
      <protection locked="0"/>
    </xf>
    <xf numFmtId="0" fontId="0" fillId="0" borderId="56" xfId="0" applyBorder="1"/>
    <xf numFmtId="0" fontId="0" fillId="6" borderId="36" xfId="0" applyFill="1" applyBorder="1"/>
    <xf numFmtId="0" fontId="0" fillId="7" borderId="42" xfId="0" applyFill="1" applyBorder="1"/>
    <xf numFmtId="0" fontId="0" fillId="5" borderId="36" xfId="0" applyFill="1" applyBorder="1"/>
    <xf numFmtId="0" fontId="0" fillId="6" borderId="42" xfId="0" applyFill="1" applyBorder="1"/>
    <xf numFmtId="0" fontId="0" fillId="3" borderId="16" xfId="0" applyFill="1" applyBorder="1" applyAlignment="1" applyProtection="1">
      <alignment horizontal="right" wrapText="1"/>
      <protection locked="0"/>
    </xf>
    <xf numFmtId="169" fontId="0" fillId="0" borderId="50" xfId="0" applyNumberFormat="1" applyBorder="1"/>
    <xf numFmtId="169" fontId="0" fillId="0" borderId="60" xfId="0" applyNumberFormat="1" applyBorder="1"/>
    <xf numFmtId="0" fontId="0" fillId="0" borderId="49" xfId="0" applyFont="1" applyFill="1" applyBorder="1"/>
    <xf numFmtId="169" fontId="0" fillId="3" borderId="51" xfId="0" applyNumberFormat="1" applyFill="1" applyBorder="1" applyProtection="1">
      <protection locked="0"/>
    </xf>
    <xf numFmtId="176" fontId="0" fillId="0" borderId="45" xfId="0" applyNumberFormat="1" applyFill="1" applyBorder="1"/>
    <xf numFmtId="0" fontId="0" fillId="0" borderId="47" xfId="0" applyFont="1" applyFill="1" applyBorder="1"/>
    <xf numFmtId="169" fontId="0" fillId="0" borderId="36" xfId="0" applyNumberFormat="1" applyBorder="1"/>
    <xf numFmtId="169" fontId="0" fillId="0" borderId="55" xfId="0" applyNumberFormat="1" applyBorder="1"/>
    <xf numFmtId="169" fontId="0" fillId="0" borderId="61" xfId="0" applyNumberFormat="1" applyBorder="1"/>
    <xf numFmtId="169" fontId="0" fillId="0" borderId="56" xfId="0" applyNumberFormat="1" applyBorder="1"/>
    <xf numFmtId="0" fontId="13" fillId="5" borderId="44" xfId="0" applyFont="1" applyFill="1" applyBorder="1" applyAlignment="1">
      <alignment horizontal="right" wrapText="1"/>
    </xf>
    <xf numFmtId="166" fontId="0" fillId="0" borderId="0" xfId="0" applyNumberFormat="1" applyBorder="1"/>
    <xf numFmtId="168" fontId="0" fillId="0" borderId="20" xfId="0" applyNumberFormat="1" applyFill="1" applyBorder="1"/>
    <xf numFmtId="174" fontId="0" fillId="0" borderId="0" xfId="3" applyNumberFormat="1" applyFont="1" applyBorder="1"/>
    <xf numFmtId="0" fontId="7" fillId="0" borderId="32" xfId="0" applyFont="1" applyBorder="1"/>
    <xf numFmtId="0" fontId="7" fillId="0" borderId="13" xfId="0" applyFont="1" applyBorder="1" applyAlignment="1">
      <alignment horizontal="center"/>
    </xf>
    <xf numFmtId="169" fontId="0" fillId="3" borderId="51" xfId="0" applyNumberFormat="1" applyFill="1" applyBorder="1" applyAlignment="1" applyProtection="1">
      <alignment horizontal="right"/>
      <protection locked="0"/>
    </xf>
    <xf numFmtId="169" fontId="0" fillId="3" borderId="12" xfId="0" applyNumberFormat="1" applyFill="1" applyBorder="1" applyAlignment="1" applyProtection="1">
      <alignment horizontal="right"/>
      <protection locked="0"/>
    </xf>
    <xf numFmtId="0" fontId="0" fillId="11" borderId="35" xfId="0" applyFill="1" applyBorder="1" applyProtection="1">
      <protection locked="0"/>
    </xf>
    <xf numFmtId="0" fontId="0" fillId="11" borderId="51" xfId="0" applyFill="1" applyBorder="1" applyProtection="1">
      <protection locked="0"/>
    </xf>
    <xf numFmtId="0" fontId="0" fillId="10" borderId="9" xfId="0" applyFill="1" applyBorder="1"/>
    <xf numFmtId="0" fontId="0" fillId="10" borderId="10" xfId="0" applyFill="1" applyBorder="1"/>
    <xf numFmtId="0" fontId="0" fillId="10" borderId="11" xfId="0" applyFill="1" applyBorder="1"/>
    <xf numFmtId="0" fontId="0" fillId="10" borderId="15" xfId="0" applyFill="1" applyBorder="1"/>
    <xf numFmtId="0" fontId="0" fillId="10" borderId="5" xfId="0" applyFill="1" applyBorder="1"/>
    <xf numFmtId="0" fontId="13" fillId="0" borderId="0" xfId="0" applyFont="1" applyBorder="1" applyAlignment="1">
      <alignment horizontal="right"/>
    </xf>
    <xf numFmtId="0" fontId="13" fillId="0" borderId="40" xfId="0" applyFont="1" applyBorder="1" applyAlignment="1">
      <alignment horizontal="right"/>
    </xf>
    <xf numFmtId="0" fontId="13" fillId="0" borderId="52" xfId="0" applyFont="1" applyBorder="1"/>
    <xf numFmtId="0" fontId="13" fillId="0" borderId="53" xfId="0" applyFont="1" applyBorder="1"/>
    <xf numFmtId="0" fontId="13" fillId="0" borderId="10" xfId="0" applyFont="1" applyBorder="1" applyAlignment="1">
      <alignment horizontal="right"/>
    </xf>
    <xf numFmtId="0" fontId="23" fillId="0" borderId="52" xfId="0" applyFont="1" applyBorder="1" applyAlignment="1">
      <alignment horizontal="center"/>
    </xf>
    <xf numFmtId="0" fontId="23" fillId="0" borderId="20" xfId="0" applyFont="1" applyBorder="1" applyAlignment="1">
      <alignment horizontal="center"/>
    </xf>
    <xf numFmtId="0" fontId="23" fillId="0" borderId="21" xfId="0" applyFont="1" applyBorder="1" applyAlignment="1">
      <alignment horizontal="center"/>
    </xf>
    <xf numFmtId="0" fontId="23" fillId="0" borderId="20" xfId="0" applyFont="1" applyBorder="1" applyAlignment="1"/>
    <xf numFmtId="0" fontId="23" fillId="0" borderId="21" xfId="0" applyFont="1" applyBorder="1" applyAlignment="1"/>
    <xf numFmtId="0" fontId="23" fillId="0" borderId="52" xfId="0" applyFont="1" applyBorder="1" applyAlignment="1"/>
    <xf numFmtId="0" fontId="23" fillId="0" borderId="52" xfId="0" applyFont="1" applyBorder="1"/>
    <xf numFmtId="0" fontId="13" fillId="0" borderId="20" xfId="0" applyFont="1" applyBorder="1"/>
    <xf numFmtId="0" fontId="13" fillId="0" borderId="50" xfId="0" applyFont="1" applyBorder="1"/>
    <xf numFmtId="0" fontId="23" fillId="0" borderId="10" xfId="0" applyFont="1" applyBorder="1"/>
    <xf numFmtId="0" fontId="23" fillId="0" borderId="11" xfId="0" applyFont="1" applyBorder="1"/>
    <xf numFmtId="0" fontId="23" fillId="0" borderId="10" xfId="0" applyFont="1" applyBorder="1" applyAlignment="1">
      <alignment horizontal="right"/>
    </xf>
    <xf numFmtId="0" fontId="23" fillId="0" borderId="11" xfId="0" applyFont="1" applyBorder="1" applyAlignment="1">
      <alignment horizontal="right"/>
    </xf>
    <xf numFmtId="0" fontId="13" fillId="0" borderId="10" xfId="0" applyFont="1" applyBorder="1"/>
    <xf numFmtId="0" fontId="23" fillId="0" borderId="54" xfId="0" applyFont="1" applyBorder="1" applyAlignment="1">
      <alignment horizontal="right"/>
    </xf>
    <xf numFmtId="168" fontId="2" fillId="0" borderId="0" xfId="0" applyNumberFormat="1" applyFont="1" applyBorder="1"/>
    <xf numFmtId="0" fontId="2" fillId="0" borderId="32" xfId="0" applyFont="1" applyBorder="1" applyAlignment="1">
      <alignment horizontal="right"/>
    </xf>
    <xf numFmtId="178" fontId="21" fillId="3" borderId="1" xfId="0" applyNumberFormat="1" applyFont="1" applyFill="1" applyBorder="1" applyAlignment="1" applyProtection="1">
      <alignment horizontal="right"/>
      <protection locked="0"/>
    </xf>
    <xf numFmtId="178" fontId="21" fillId="3" borderId="1" xfId="0" applyNumberFormat="1" applyFont="1" applyFill="1" applyBorder="1" applyProtection="1">
      <protection locked="0"/>
    </xf>
    <xf numFmtId="0" fontId="23" fillId="0" borderId="0" xfId="0" applyFont="1" applyFill="1" applyBorder="1" applyAlignment="1">
      <alignment horizontal="center" vertical="center"/>
    </xf>
    <xf numFmtId="0" fontId="13" fillId="0" borderId="20" xfId="0" applyFont="1" applyBorder="1" applyAlignment="1">
      <alignment horizontal="right" wrapText="1"/>
    </xf>
    <xf numFmtId="0" fontId="13" fillId="0" borderId="10" xfId="0" applyFont="1" applyBorder="1" applyAlignment="1">
      <alignment horizontal="right" wrapText="1"/>
    </xf>
    <xf numFmtId="0" fontId="23" fillId="0" borderId="34" xfId="0" applyFont="1" applyBorder="1" applyAlignment="1">
      <alignment horizontal="center"/>
    </xf>
    <xf numFmtId="0" fontId="0" fillId="0" borderId="0" xfId="0" applyBorder="1" applyAlignment="1">
      <alignment vertical="top"/>
    </xf>
    <xf numFmtId="0" fontId="0" fillId="0" borderId="0" xfId="0" applyBorder="1" applyAlignment="1">
      <alignment horizontal="right" vertical="top"/>
    </xf>
    <xf numFmtId="0" fontId="0" fillId="0" borderId="0" xfId="0" applyFont="1" applyFill="1" applyBorder="1" applyAlignment="1">
      <alignment horizontal="center" vertical="top"/>
    </xf>
    <xf numFmtId="169" fontId="0" fillId="0" borderId="0" xfId="0" applyNumberFormat="1" applyBorder="1" applyAlignment="1">
      <alignment vertical="top"/>
    </xf>
    <xf numFmtId="9" fontId="0" fillId="0" borderId="52" xfId="3" applyFont="1" applyFill="1" applyBorder="1" applyProtection="1"/>
    <xf numFmtId="9" fontId="0" fillId="0" borderId="20" xfId="3" applyFont="1" applyFill="1" applyBorder="1" applyProtection="1"/>
    <xf numFmtId="9" fontId="0" fillId="0" borderId="21" xfId="3" applyFont="1" applyFill="1" applyBorder="1" applyProtection="1"/>
    <xf numFmtId="166" fontId="0" fillId="0" borderId="50" xfId="0" applyNumberFormat="1" applyBorder="1"/>
    <xf numFmtId="166" fontId="0" fillId="0" borderId="10" xfId="0" applyNumberFormat="1" applyBorder="1"/>
    <xf numFmtId="166" fontId="0" fillId="0" borderId="11" xfId="0" applyNumberFormat="1" applyBorder="1"/>
    <xf numFmtId="0" fontId="0" fillId="0" borderId="52" xfId="0" applyFont="1" applyFill="1" applyBorder="1" applyAlignment="1">
      <alignment horizontal="left"/>
    </xf>
    <xf numFmtId="0" fontId="2" fillId="0" borderId="21" xfId="0" applyFont="1" applyFill="1" applyBorder="1" applyAlignment="1">
      <alignment horizontal="right" vertical="center"/>
    </xf>
    <xf numFmtId="0" fontId="0" fillId="0" borderId="40" xfId="0" applyBorder="1"/>
    <xf numFmtId="0" fontId="0" fillId="0" borderId="11" xfId="0" applyBorder="1"/>
    <xf numFmtId="166" fontId="0" fillId="0" borderId="27" xfId="0" applyNumberFormat="1" applyBorder="1"/>
    <xf numFmtId="2" fontId="0" fillId="0" borderId="27" xfId="0" applyNumberFormat="1" applyBorder="1"/>
    <xf numFmtId="174" fontId="0" fillId="0" borderId="27" xfId="3" applyNumberFormat="1" applyFont="1" applyBorder="1"/>
    <xf numFmtId="0" fontId="0" fillId="6" borderId="39" xfId="0" applyFill="1" applyBorder="1"/>
    <xf numFmtId="169" fontId="0" fillId="3" borderId="4" xfId="0" applyNumberFormat="1" applyFill="1" applyBorder="1" applyProtection="1">
      <protection locked="0"/>
    </xf>
    <xf numFmtId="169" fontId="0" fillId="3" borderId="22" xfId="0" applyNumberFormat="1" applyFill="1" applyBorder="1" applyProtection="1">
      <protection locked="0"/>
    </xf>
    <xf numFmtId="169" fontId="0" fillId="0" borderId="44" xfId="0" applyNumberFormat="1" applyBorder="1"/>
    <xf numFmtId="41" fontId="0" fillId="0" borderId="0" xfId="0" applyNumberFormat="1"/>
    <xf numFmtId="0" fontId="0" fillId="0" borderId="21" xfId="0" applyBorder="1" applyAlignment="1">
      <alignment horizontal="right"/>
    </xf>
    <xf numFmtId="179" fontId="0" fillId="4" borderId="1" xfId="2" applyNumberFormat="1" applyFont="1" applyFill="1" applyBorder="1" applyAlignment="1" applyProtection="1">
      <alignment vertical="center"/>
      <protection locked="0"/>
    </xf>
    <xf numFmtId="0" fontId="30" fillId="4" borderId="0" xfId="0" applyFont="1" applyFill="1" applyAlignment="1">
      <alignment vertical="center"/>
    </xf>
    <xf numFmtId="171" fontId="0" fillId="4" borderId="1" xfId="0" applyNumberFormat="1" applyFont="1" applyFill="1" applyBorder="1" applyAlignment="1" applyProtection="1">
      <alignment vertical="center" wrapText="1"/>
      <protection locked="0"/>
    </xf>
    <xf numFmtId="0" fontId="0" fillId="11" borderId="4" xfId="0" applyFill="1" applyBorder="1" applyProtection="1">
      <protection locked="0"/>
    </xf>
    <xf numFmtId="168" fontId="0" fillId="0" borderId="20" xfId="1" applyNumberFormat="1" applyFont="1" applyBorder="1"/>
    <xf numFmtId="168" fontId="0" fillId="0" borderId="21" xfId="1" applyNumberFormat="1" applyFont="1" applyBorder="1"/>
    <xf numFmtId="0" fontId="0" fillId="0" borderId="50" xfId="0" applyBorder="1" applyAlignment="1">
      <alignment vertical="top"/>
    </xf>
    <xf numFmtId="0" fontId="0" fillId="0" borderId="2" xfId="0" applyBorder="1"/>
    <xf numFmtId="0" fontId="0" fillId="0" borderId="52"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7" fillId="0" borderId="33" xfId="0" applyFont="1" applyBorder="1" applyAlignment="1">
      <alignment horizontal="left"/>
    </xf>
    <xf numFmtId="0" fontId="7" fillId="0" borderId="14" xfId="0" applyFont="1" applyBorder="1" applyAlignment="1">
      <alignment horizontal="center"/>
    </xf>
    <xf numFmtId="0" fontId="2" fillId="5" borderId="0" xfId="0" applyFont="1" applyFill="1" applyBorder="1" applyAlignment="1">
      <alignment horizontal="right"/>
    </xf>
    <xf numFmtId="0" fontId="10" fillId="0" borderId="0" xfId="4" applyBorder="1"/>
    <xf numFmtId="0" fontId="10" fillId="0" borderId="14" xfId="4" applyBorder="1"/>
    <xf numFmtId="0" fontId="2" fillId="5" borderId="27" xfId="0" applyFont="1" applyFill="1" applyBorder="1" applyAlignment="1">
      <alignment horizontal="right"/>
    </xf>
    <xf numFmtId="0" fontId="0" fillId="0" borderId="38" xfId="0" applyBorder="1" applyAlignment="1">
      <alignment horizontal="right" wrapText="1"/>
    </xf>
    <xf numFmtId="0" fontId="0" fillId="0" borderId="0" xfId="0" applyFill="1" applyBorder="1" applyAlignment="1">
      <alignment horizontal="right"/>
    </xf>
    <xf numFmtId="9" fontId="0" fillId="0" borderId="1" xfId="3" applyFont="1" applyFill="1" applyBorder="1" applyProtection="1"/>
    <xf numFmtId="0" fontId="13" fillId="0" borderId="0" xfId="0" applyFont="1" applyFill="1" applyBorder="1" applyAlignment="1">
      <alignment horizontal="right"/>
    </xf>
    <xf numFmtId="169" fontId="0" fillId="0" borderId="4" xfId="2" applyNumberFormat="1" applyFont="1" applyBorder="1"/>
    <xf numFmtId="169" fontId="0" fillId="0" borderId="35" xfId="2" applyNumberFormat="1" applyFont="1" applyBorder="1"/>
    <xf numFmtId="169" fontId="0" fillId="0" borderId="51" xfId="2" applyNumberFormat="1" applyFont="1" applyBorder="1"/>
    <xf numFmtId="0" fontId="13" fillId="0" borderId="21" xfId="0" applyFont="1" applyBorder="1" applyAlignment="1">
      <alignment horizontal="right"/>
    </xf>
    <xf numFmtId="0" fontId="13" fillId="0" borderId="11" xfId="0" applyFont="1" applyFill="1" applyBorder="1" applyAlignment="1">
      <alignment horizontal="right"/>
    </xf>
    <xf numFmtId="0" fontId="30" fillId="4" borderId="0" xfId="0" applyFont="1" applyFill="1" applyAlignment="1">
      <alignment horizontal="center" vertical="center"/>
    </xf>
    <xf numFmtId="0" fontId="13" fillId="4" borderId="2" xfId="0" applyFont="1" applyFill="1" applyBorder="1" applyAlignment="1" applyProtection="1">
      <alignment horizontal="center" vertical="center"/>
      <protection locked="0"/>
    </xf>
    <xf numFmtId="0" fontId="13" fillId="4" borderId="3" xfId="0" applyFont="1" applyFill="1" applyBorder="1" applyAlignment="1" applyProtection="1">
      <alignment horizontal="center" vertical="center"/>
      <protection locked="0"/>
    </xf>
    <xf numFmtId="0" fontId="13" fillId="0" borderId="21" xfId="0" applyFont="1" applyBorder="1" applyAlignment="1">
      <alignment horizontal="right" wrapText="1"/>
    </xf>
    <xf numFmtId="0" fontId="13" fillId="0" borderId="11" xfId="0" applyFont="1" applyBorder="1" applyAlignment="1">
      <alignment horizontal="right" wrapText="1"/>
    </xf>
    <xf numFmtId="0" fontId="5" fillId="3" borderId="2" xfId="0" applyFont="1" applyFill="1" applyBorder="1" applyAlignment="1">
      <alignment horizontal="center"/>
    </xf>
    <xf numFmtId="0" fontId="5" fillId="3" borderId="5" xfId="0" applyFont="1" applyFill="1" applyBorder="1" applyAlignment="1">
      <alignment horizontal="center"/>
    </xf>
    <xf numFmtId="0" fontId="5" fillId="3" borderId="3" xfId="0" applyFont="1" applyFill="1" applyBorder="1" applyAlignment="1">
      <alignment horizontal="center"/>
    </xf>
    <xf numFmtId="0" fontId="0" fillId="3" borderId="2"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2" fillId="0" borderId="53" xfId="0" applyFont="1" applyBorder="1" applyAlignment="1">
      <alignment horizontal="center"/>
    </xf>
    <xf numFmtId="0" fontId="2" fillId="0" borderId="0" xfId="0" applyFont="1" applyBorder="1" applyAlignment="1">
      <alignment horizontal="center"/>
    </xf>
    <xf numFmtId="0" fontId="13" fillId="0" borderId="4" xfId="0" applyFont="1" applyBorder="1" applyAlignment="1">
      <alignment horizontal="right" wrapText="1"/>
    </xf>
    <xf numFmtId="0" fontId="13" fillId="0" borderId="35" xfId="0" applyFont="1" applyBorder="1" applyAlignment="1">
      <alignment horizontal="right" wrapText="1"/>
    </xf>
    <xf numFmtId="0" fontId="13" fillId="0" borderId="51" xfId="0" applyFont="1" applyBorder="1" applyAlignment="1">
      <alignment horizontal="right" wrapText="1"/>
    </xf>
    <xf numFmtId="0" fontId="13" fillId="0" borderId="20" xfId="0" applyFont="1" applyBorder="1" applyAlignment="1">
      <alignment horizontal="center" wrapText="1"/>
    </xf>
    <xf numFmtId="0" fontId="13" fillId="0" borderId="52" xfId="0" applyFont="1" applyBorder="1" applyAlignment="1">
      <alignment horizontal="center"/>
    </xf>
    <xf numFmtId="0" fontId="13" fillId="0" borderId="20" xfId="0" applyFont="1" applyBorder="1" applyAlignment="1">
      <alignment horizontal="center"/>
    </xf>
    <xf numFmtId="0" fontId="13" fillId="0" borderId="21" xfId="0" applyFont="1" applyBorder="1" applyAlignment="1">
      <alignment horizontal="center"/>
    </xf>
    <xf numFmtId="0" fontId="13" fillId="0" borderId="52" xfId="0" applyFont="1" applyBorder="1" applyAlignment="1">
      <alignment horizontal="right" wrapText="1"/>
    </xf>
    <xf numFmtId="0" fontId="13" fillId="0" borderId="50" xfId="0" applyFont="1" applyBorder="1" applyAlignment="1">
      <alignment horizontal="right" wrapText="1"/>
    </xf>
    <xf numFmtId="0" fontId="13" fillId="0" borderId="20" xfId="0" applyFont="1" applyBorder="1" applyAlignment="1">
      <alignment horizontal="right" wrapText="1"/>
    </xf>
    <xf numFmtId="0" fontId="13" fillId="0" borderId="10" xfId="0" applyFont="1" applyBorder="1" applyAlignment="1">
      <alignment horizontal="right" wrapText="1"/>
    </xf>
    <xf numFmtId="0" fontId="0" fillId="0" borderId="32" xfId="0" applyBorder="1" applyAlignment="1">
      <alignment horizontal="left" wrapText="1"/>
    </xf>
    <xf numFmtId="0" fontId="0" fillId="0" borderId="33" xfId="0" applyBorder="1" applyAlignment="1">
      <alignment horizontal="left" wrapText="1"/>
    </xf>
    <xf numFmtId="0" fontId="41" fillId="0" borderId="62" xfId="0" applyFont="1" applyBorder="1" applyAlignment="1">
      <alignment horizontal="center" vertical="center" textRotation="90"/>
    </xf>
    <xf numFmtId="0" fontId="41" fillId="0" borderId="63" xfId="0" applyFont="1" applyBorder="1" applyAlignment="1">
      <alignment horizontal="center" vertical="center" textRotation="90"/>
    </xf>
    <xf numFmtId="0" fontId="41" fillId="0" borderId="64" xfId="0" applyFont="1" applyBorder="1" applyAlignment="1">
      <alignment horizontal="center" vertical="center" textRotation="90"/>
    </xf>
    <xf numFmtId="0" fontId="23" fillId="0" borderId="23" xfId="0" applyFont="1" applyFill="1" applyBorder="1" applyAlignment="1">
      <alignment horizontal="center"/>
    </xf>
    <xf numFmtId="0" fontId="23" fillId="0" borderId="24" xfId="0" applyFont="1" applyFill="1" applyBorder="1" applyAlignment="1">
      <alignment horizontal="center"/>
    </xf>
    <xf numFmtId="0" fontId="13" fillId="0" borderId="58" xfId="0" applyFont="1" applyFill="1" applyBorder="1" applyAlignment="1">
      <alignment horizontal="right" wrapText="1"/>
    </xf>
    <xf numFmtId="0" fontId="13" fillId="0" borderId="59" xfId="0" applyFont="1" applyFill="1" applyBorder="1" applyAlignment="1">
      <alignment horizontal="right" wrapText="1"/>
    </xf>
    <xf numFmtId="0" fontId="13" fillId="0" borderId="47" xfId="0" applyFont="1" applyFill="1" applyBorder="1" applyAlignment="1">
      <alignment horizontal="right" wrapText="1"/>
    </xf>
    <xf numFmtId="0" fontId="13" fillId="7" borderId="39" xfId="0" applyFont="1" applyFill="1" applyBorder="1" applyAlignment="1">
      <alignment horizontal="right" wrapText="1"/>
    </xf>
    <xf numFmtId="0" fontId="13" fillId="7" borderId="47" xfId="0" applyFont="1" applyFill="1" applyBorder="1" applyAlignment="1">
      <alignment horizontal="right" wrapText="1"/>
    </xf>
    <xf numFmtId="0" fontId="13" fillId="7" borderId="4" xfId="0" applyFont="1" applyFill="1" applyBorder="1" applyAlignment="1">
      <alignment horizontal="right" wrapText="1"/>
    </xf>
    <xf numFmtId="0" fontId="13" fillId="7" borderId="46" xfId="0" applyFont="1" applyFill="1" applyBorder="1" applyAlignment="1">
      <alignment horizontal="right" wrapText="1"/>
    </xf>
    <xf numFmtId="0" fontId="13" fillId="7" borderId="52" xfId="0" applyFont="1" applyFill="1" applyBorder="1" applyAlignment="1">
      <alignment horizontal="right" wrapText="1"/>
    </xf>
    <xf numFmtId="0" fontId="13" fillId="7" borderId="60" xfId="0" applyFont="1" applyFill="1" applyBorder="1" applyAlignment="1">
      <alignment horizontal="right" wrapText="1"/>
    </xf>
    <xf numFmtId="0" fontId="13" fillId="6" borderId="59" xfId="0" applyFont="1" applyFill="1" applyBorder="1" applyAlignment="1">
      <alignment horizontal="right" wrapText="1"/>
    </xf>
    <xf numFmtId="0" fontId="13" fillId="6" borderId="47" xfId="0" applyFont="1" applyFill="1" applyBorder="1" applyAlignment="1">
      <alignment horizontal="right" wrapText="1"/>
    </xf>
    <xf numFmtId="0" fontId="13" fillId="6" borderId="35" xfId="0" applyFont="1" applyFill="1" applyBorder="1" applyAlignment="1">
      <alignment horizontal="right" wrapText="1"/>
    </xf>
    <xf numFmtId="0" fontId="13" fillId="6" borderId="46" xfId="0" applyFont="1" applyFill="1" applyBorder="1" applyAlignment="1">
      <alignment horizontal="right" wrapText="1"/>
    </xf>
    <xf numFmtId="169" fontId="13" fillId="7" borderId="41" xfId="0" applyNumberFormat="1" applyFont="1" applyFill="1" applyBorder="1" applyAlignment="1">
      <alignment horizontal="right" wrapText="1"/>
    </xf>
    <xf numFmtId="169" fontId="13" fillId="7" borderId="45" xfId="0" applyNumberFormat="1" applyFont="1" applyFill="1" applyBorder="1" applyAlignment="1">
      <alignment horizontal="right" wrapText="1"/>
    </xf>
    <xf numFmtId="0" fontId="14" fillId="6" borderId="35" xfId="0" applyFont="1" applyFill="1" applyBorder="1" applyAlignment="1">
      <alignment horizontal="right" wrapText="1"/>
    </xf>
    <xf numFmtId="0" fontId="14" fillId="6" borderId="46" xfId="0" applyFont="1" applyFill="1" applyBorder="1" applyAlignment="1">
      <alignment horizontal="right" wrapText="1"/>
    </xf>
    <xf numFmtId="0" fontId="13" fillId="0" borderId="37" xfId="0" applyFont="1" applyFill="1" applyBorder="1" applyAlignment="1">
      <alignment horizontal="right" wrapText="1"/>
    </xf>
    <xf numFmtId="0" fontId="13" fillId="0" borderId="41" xfId="0" applyFont="1" applyFill="1" applyBorder="1" applyAlignment="1">
      <alignment horizontal="right" wrapText="1"/>
    </xf>
    <xf numFmtId="0" fontId="13" fillId="0" borderId="45" xfId="0" applyFont="1" applyFill="1" applyBorder="1" applyAlignment="1">
      <alignment horizontal="right" wrapText="1"/>
    </xf>
    <xf numFmtId="0" fontId="23" fillId="0" borderId="25" xfId="0" applyFont="1" applyFill="1" applyBorder="1" applyAlignment="1">
      <alignment horizontal="center"/>
    </xf>
    <xf numFmtId="0" fontId="0" fillId="0" borderId="0" xfId="0" applyBorder="1" applyAlignment="1">
      <alignment horizontal="left" wrapText="1"/>
    </xf>
    <xf numFmtId="0" fontId="21" fillId="0" borderId="0" xfId="0" applyFont="1" applyBorder="1" applyAlignment="1">
      <alignment horizontal="left" vertical="top" wrapText="1"/>
    </xf>
    <xf numFmtId="0" fontId="18" fillId="0" borderId="0" xfId="0" applyFont="1" applyAlignment="1">
      <alignment horizontal="center"/>
    </xf>
    <xf numFmtId="0" fontId="23" fillId="0" borderId="36" xfId="0" applyFont="1" applyBorder="1" applyAlignment="1">
      <alignment horizontal="left" wrapText="1"/>
    </xf>
    <xf numFmtId="0" fontId="23" fillId="0" borderId="38" xfId="0" applyFont="1" applyBorder="1" applyAlignment="1">
      <alignment horizontal="left" wrapText="1"/>
    </xf>
    <xf numFmtId="0" fontId="23" fillId="0" borderId="42" xfId="0" applyFont="1" applyBorder="1" applyAlignment="1">
      <alignment horizontal="left" wrapText="1"/>
    </xf>
    <xf numFmtId="0" fontId="13" fillId="6" borderId="4" xfId="0" applyFont="1" applyFill="1" applyBorder="1" applyAlignment="1">
      <alignment horizontal="right" wrapText="1"/>
    </xf>
    <xf numFmtId="0" fontId="13" fillId="9" borderId="4" xfId="0" applyFont="1" applyFill="1" applyBorder="1" applyAlignment="1">
      <alignment horizontal="right" wrapText="1"/>
    </xf>
    <xf numFmtId="0" fontId="13" fillId="9" borderId="46" xfId="0" applyFont="1" applyFill="1" applyBorder="1" applyAlignment="1">
      <alignment horizontal="right" wrapText="1"/>
    </xf>
    <xf numFmtId="0" fontId="13" fillId="6" borderId="52" xfId="0" applyFont="1" applyFill="1" applyBorder="1" applyAlignment="1">
      <alignment horizontal="right" wrapText="1"/>
    </xf>
    <xf numFmtId="0" fontId="13" fillId="6" borderId="60" xfId="0" applyFont="1" applyFill="1" applyBorder="1" applyAlignment="1">
      <alignment horizontal="right" wrapText="1"/>
    </xf>
    <xf numFmtId="0" fontId="13" fillId="6" borderId="22" xfId="0" applyFont="1" applyFill="1" applyBorder="1" applyAlignment="1">
      <alignment horizontal="right" wrapText="1"/>
    </xf>
    <xf numFmtId="0" fontId="13" fillId="6" borderId="45" xfId="0" applyFont="1" applyFill="1" applyBorder="1" applyAlignment="1">
      <alignment horizontal="right" wrapText="1"/>
    </xf>
    <xf numFmtId="0" fontId="13" fillId="5" borderId="15" xfId="0" applyFont="1" applyFill="1" applyBorder="1" applyAlignment="1">
      <alignment horizontal="center"/>
    </xf>
    <xf numFmtId="0" fontId="13" fillId="5" borderId="5" xfId="0" applyFont="1" applyFill="1" applyBorder="1" applyAlignment="1">
      <alignment horizontal="center"/>
    </xf>
    <xf numFmtId="0" fontId="13" fillId="5" borderId="3" xfId="0" applyFont="1" applyFill="1" applyBorder="1" applyAlignment="1">
      <alignment horizontal="center"/>
    </xf>
    <xf numFmtId="0" fontId="23" fillId="0" borderId="37" xfId="0" applyFont="1" applyBorder="1" applyAlignment="1">
      <alignment horizontal="right" wrapText="1"/>
    </xf>
    <xf numFmtId="0" fontId="23" fillId="0" borderId="41" xfId="0" applyFont="1" applyBorder="1" applyAlignment="1">
      <alignment horizontal="right" wrapText="1"/>
    </xf>
    <xf numFmtId="0" fontId="23" fillId="0" borderId="45" xfId="0" applyFont="1" applyBorder="1" applyAlignment="1">
      <alignment horizontal="right" wrapText="1"/>
    </xf>
    <xf numFmtId="0" fontId="0" fillId="6" borderId="1" xfId="0" applyFill="1" applyBorder="1" applyAlignment="1">
      <alignment horizontal="right" wrapText="1"/>
    </xf>
    <xf numFmtId="0" fontId="0" fillId="6" borderId="44" xfId="0" applyFill="1" applyBorder="1" applyAlignment="1">
      <alignment horizontal="right" wrapText="1"/>
    </xf>
    <xf numFmtId="0" fontId="23" fillId="0" borderId="31" xfId="0" applyFont="1" applyFill="1" applyBorder="1" applyAlignment="1">
      <alignment horizontal="center"/>
    </xf>
    <xf numFmtId="0" fontId="23" fillId="0" borderId="32" xfId="0" applyFont="1" applyFill="1" applyBorder="1" applyAlignment="1">
      <alignment horizontal="center"/>
    </xf>
    <xf numFmtId="0" fontId="23" fillId="0" borderId="33" xfId="0" applyFont="1" applyFill="1" applyBorder="1" applyAlignment="1">
      <alignment horizontal="center"/>
    </xf>
    <xf numFmtId="0" fontId="14" fillId="4" borderId="0" xfId="0" applyFont="1" applyFill="1" applyAlignment="1">
      <alignment horizontal="center"/>
    </xf>
    <xf numFmtId="0" fontId="14" fillId="4" borderId="0" xfId="0" applyFont="1" applyFill="1" applyAlignment="1"/>
    <xf numFmtId="0" fontId="2" fillId="4" borderId="0" xfId="0" applyFont="1" applyFill="1" applyAlignment="1">
      <alignment vertical="center"/>
    </xf>
    <xf numFmtId="0" fontId="0" fillId="4" borderId="0" xfId="0" applyFill="1" applyAlignment="1">
      <alignment horizontal="right" vertical="center"/>
    </xf>
    <xf numFmtId="0" fontId="14" fillId="4" borderId="0" xfId="0" applyFont="1" applyFill="1" applyAlignment="1">
      <alignment horizontal="center" vertical="top"/>
    </xf>
    <xf numFmtId="0" fontId="14" fillId="4" borderId="0" xfId="0" applyFont="1" applyFill="1" applyAlignment="1">
      <alignment vertical="top"/>
    </xf>
    <xf numFmtId="0" fontId="14" fillId="4" borderId="0" xfId="0" applyFont="1" applyFill="1" applyAlignment="1">
      <alignment horizontal="right" vertical="center"/>
    </xf>
    <xf numFmtId="181" fontId="14" fillId="4" borderId="0" xfId="2" applyNumberFormat="1" applyFont="1" applyFill="1" applyAlignment="1">
      <alignment vertical="center"/>
    </xf>
    <xf numFmtId="0" fontId="9" fillId="4" borderId="0" xfId="0" applyFont="1" applyFill="1" applyAlignment="1">
      <alignment vertical="center" wrapText="1"/>
    </xf>
    <xf numFmtId="0" fontId="2" fillId="4" borderId="0" xfId="0" applyFont="1" applyFill="1" applyAlignment="1">
      <alignment horizontal="left" vertical="center" wrapText="1"/>
    </xf>
    <xf numFmtId="0" fontId="13" fillId="4" borderId="0" xfId="0" applyFont="1" applyFill="1" applyAlignment="1">
      <alignment horizontal="center" vertical="center" wrapText="1"/>
    </xf>
    <xf numFmtId="0" fontId="13" fillId="4" borderId="0" xfId="0" applyFont="1" applyFill="1" applyAlignment="1">
      <alignment horizontal="center" vertical="center"/>
    </xf>
    <xf numFmtId="0" fontId="23" fillId="4" borderId="0" xfId="0" applyFont="1" applyFill="1" applyAlignment="1">
      <alignment horizontal="right" vertical="center"/>
    </xf>
    <xf numFmtId="0" fontId="31" fillId="4" borderId="0" xfId="0" applyFont="1" applyFill="1" applyAlignment="1">
      <alignment horizontal="center" vertical="center"/>
    </xf>
    <xf numFmtId="0" fontId="31" fillId="4" borderId="0" xfId="0" applyFont="1" applyFill="1" applyAlignment="1">
      <alignment horizontal="right"/>
    </xf>
    <xf numFmtId="0" fontId="31" fillId="4" borderId="0" xfId="0" applyFont="1" applyFill="1" applyBorder="1" applyAlignment="1">
      <alignment horizontal="right"/>
    </xf>
    <xf numFmtId="0" fontId="31" fillId="4" borderId="0" xfId="0" applyFont="1" applyFill="1" applyBorder="1" applyAlignment="1">
      <alignment horizontal="right" wrapText="1"/>
    </xf>
    <xf numFmtId="0" fontId="33" fillId="4" borderId="0" xfId="0" applyFont="1" applyFill="1" applyAlignment="1">
      <alignment horizontal="right" wrapText="1"/>
    </xf>
    <xf numFmtId="0" fontId="16" fillId="4" borderId="0" xfId="0" applyFont="1" applyFill="1" applyAlignment="1" applyProtection="1">
      <alignment horizontal="center" vertical="center"/>
    </xf>
    <xf numFmtId="168" fontId="13" fillId="4" borderId="0" xfId="1" applyNumberFormat="1" applyFont="1" applyFill="1" applyAlignment="1">
      <alignment horizontal="center" vertical="center"/>
    </xf>
    <xf numFmtId="168" fontId="14" fillId="4" borderId="0" xfId="1" applyNumberFormat="1" applyFont="1" applyFill="1" applyAlignment="1">
      <alignment horizontal="center"/>
    </xf>
    <xf numFmtId="168" fontId="13" fillId="4" borderId="0" xfId="1" applyNumberFormat="1" applyFont="1" applyFill="1" applyBorder="1" applyAlignment="1">
      <alignment vertical="center"/>
    </xf>
    <xf numFmtId="170" fontId="13" fillId="4" borderId="0" xfId="0" applyNumberFormat="1" applyFont="1" applyFill="1" applyBorder="1" applyAlignment="1">
      <alignment horizontal="right" vertical="center"/>
    </xf>
    <xf numFmtId="170" fontId="13" fillId="4" borderId="0" xfId="0" applyNumberFormat="1" applyFont="1" applyFill="1" applyBorder="1" applyAlignment="1">
      <alignment vertical="center"/>
    </xf>
    <xf numFmtId="170" fontId="13" fillId="4" borderId="0" xfId="0" applyNumberFormat="1" applyFont="1" applyFill="1" applyAlignment="1">
      <alignment vertical="center"/>
    </xf>
    <xf numFmtId="0" fontId="9" fillId="4" borderId="0" xfId="0" applyFont="1" applyFill="1" applyAlignment="1" applyProtection="1">
      <alignment vertical="center"/>
    </xf>
    <xf numFmtId="0" fontId="0" fillId="4" borderId="0" xfId="0" applyFill="1" applyAlignment="1">
      <alignment horizontal="center" vertical="center"/>
    </xf>
    <xf numFmtId="0" fontId="13" fillId="4" borderId="0" xfId="0" applyFont="1" applyFill="1" applyAlignment="1">
      <alignment vertical="center"/>
    </xf>
    <xf numFmtId="0" fontId="13" fillId="4" borderId="0" xfId="0" applyFont="1" applyFill="1" applyBorder="1" applyAlignment="1">
      <alignment horizontal="right" vertical="center"/>
    </xf>
    <xf numFmtId="0" fontId="9" fillId="4" borderId="0" xfId="0" applyFont="1" applyFill="1" applyAlignment="1" applyProtection="1">
      <alignment horizontal="center" vertical="center"/>
    </xf>
    <xf numFmtId="168" fontId="0" fillId="4" borderId="0" xfId="1" applyNumberFormat="1" applyFont="1" applyFill="1" applyAlignment="1">
      <alignment horizontal="center" vertical="center"/>
    </xf>
    <xf numFmtId="0" fontId="0" fillId="4" borderId="0" xfId="0" applyFill="1" applyAlignment="1" applyProtection="1">
      <alignment vertical="center"/>
    </xf>
    <xf numFmtId="0" fontId="2" fillId="4" borderId="0" xfId="0" applyFont="1" applyFill="1" applyAlignment="1">
      <alignment horizontal="left" vertical="center"/>
    </xf>
    <xf numFmtId="0" fontId="2" fillId="4" borderId="0" xfId="0" applyFont="1" applyFill="1" applyAlignment="1">
      <alignment horizontal="right" vertical="center"/>
    </xf>
    <xf numFmtId="168" fontId="2" fillId="4" borderId="0" xfId="1" applyNumberFormat="1" applyFont="1" applyFill="1" applyBorder="1" applyAlignment="1">
      <alignment vertical="center"/>
    </xf>
    <xf numFmtId="170" fontId="2" fillId="4" borderId="0" xfId="0" applyNumberFormat="1" applyFont="1" applyFill="1" applyBorder="1" applyAlignment="1">
      <alignment horizontal="right" vertical="center"/>
    </xf>
    <xf numFmtId="170" fontId="2" fillId="4" borderId="0" xfId="0" applyNumberFormat="1" applyFont="1" applyFill="1" applyBorder="1" applyAlignment="1">
      <alignment vertical="center"/>
    </xf>
    <xf numFmtId="170" fontId="2" fillId="4" borderId="0" xfId="0" applyNumberFormat="1" applyFont="1" applyFill="1" applyAlignment="1">
      <alignment vertical="center"/>
    </xf>
    <xf numFmtId="168" fontId="2" fillId="4" borderId="0" xfId="1" applyNumberFormat="1" applyFont="1" applyFill="1" applyAlignment="1">
      <alignment vertical="center"/>
    </xf>
    <xf numFmtId="0" fontId="9" fillId="4" borderId="0" xfId="0" applyFont="1" applyFill="1" applyAlignment="1">
      <alignment horizontal="right" vertical="center"/>
    </xf>
    <xf numFmtId="173" fontId="29" fillId="4" borderId="0" xfId="0" applyNumberFormat="1" applyFont="1" applyFill="1" applyAlignment="1">
      <alignment horizontal="left" vertical="center"/>
    </xf>
    <xf numFmtId="173" fontId="9" fillId="4" borderId="0" xfId="0" applyNumberFormat="1" applyFont="1" applyFill="1" applyAlignment="1">
      <alignment horizontal="center" vertical="center"/>
    </xf>
    <xf numFmtId="0" fontId="29" fillId="4" borderId="0" xfId="0" applyFont="1" applyFill="1" applyAlignment="1">
      <alignment vertical="center"/>
    </xf>
    <xf numFmtId="0" fontId="0" fillId="4" borderId="0" xfId="0" applyFill="1" applyAlignment="1">
      <alignment vertical="top"/>
    </xf>
    <xf numFmtId="0" fontId="34" fillId="4" borderId="0" xfId="0" applyFont="1" applyFill="1" applyAlignment="1">
      <alignment horizontal="right" vertical="top"/>
    </xf>
    <xf numFmtId="170" fontId="34" fillId="4" borderId="0" xfId="2" applyNumberFormat="1" applyFont="1" applyFill="1" applyAlignment="1">
      <alignment horizontal="center" vertical="top"/>
    </xf>
    <xf numFmtId="9" fontId="0" fillId="4" borderId="0" xfId="3" applyFont="1" applyFill="1" applyAlignment="1">
      <alignment horizontal="center" vertical="center"/>
    </xf>
    <xf numFmtId="180" fontId="9" fillId="4" borderId="0" xfId="0" applyNumberFormat="1" applyFont="1" applyFill="1" applyAlignment="1">
      <alignment horizontal="center" vertical="center"/>
    </xf>
    <xf numFmtId="0" fontId="9" fillId="4" borderId="0" xfId="0" applyFont="1" applyFill="1" applyAlignment="1">
      <alignment vertical="center"/>
    </xf>
    <xf numFmtId="0" fontId="9" fillId="4" borderId="0" xfId="0" applyFont="1" applyFill="1" applyAlignment="1">
      <alignment horizontal="left" vertical="center" wrapText="1"/>
    </xf>
    <xf numFmtId="2" fontId="0" fillId="4" borderId="0" xfId="0" applyNumberFormat="1" applyFill="1" applyAlignment="1">
      <alignment vertical="center"/>
    </xf>
    <xf numFmtId="9" fontId="14" fillId="4" borderId="0" xfId="3" applyFont="1" applyFill="1" applyAlignment="1">
      <alignment horizontal="left" vertical="center"/>
    </xf>
    <xf numFmtId="0" fontId="14" fillId="4" borderId="0" xfId="0" applyFont="1" applyFill="1" applyAlignment="1">
      <alignment vertical="center"/>
    </xf>
    <xf numFmtId="2" fontId="14" fillId="4" borderId="0" xfId="0" applyNumberFormat="1" applyFont="1" applyFill="1" applyAlignment="1">
      <alignment vertical="center"/>
    </xf>
    <xf numFmtId="0" fontId="35" fillId="4" borderId="0" xfId="0" applyFont="1" applyFill="1" applyAlignment="1">
      <alignment vertical="center"/>
    </xf>
    <xf numFmtId="0" fontId="14" fillId="4" borderId="0" xfId="0" applyFont="1" applyFill="1" applyAlignment="1">
      <alignment horizontal="left" vertical="center"/>
    </xf>
    <xf numFmtId="0" fontId="35" fillId="4" borderId="0" xfId="0" applyFont="1" applyFill="1" applyAlignment="1">
      <alignment horizontal="center" vertical="center"/>
    </xf>
    <xf numFmtId="0" fontId="14" fillId="4" borderId="0" xfId="0" applyFont="1" applyFill="1" applyAlignment="1">
      <alignment horizontal="center" vertical="center"/>
    </xf>
    <xf numFmtId="16" fontId="14" fillId="4" borderId="0" xfId="0" applyNumberFormat="1" applyFont="1" applyFill="1" applyAlignment="1">
      <alignment horizontal="left" vertical="center"/>
    </xf>
  </cellXfs>
  <cellStyles count="5">
    <cellStyle name="Comma" xfId="1" builtinId="3"/>
    <cellStyle name="Currency" xfId="2" builtinId="4"/>
    <cellStyle name="Hyperlink" xfId="4" builtinId="8"/>
    <cellStyle name="Normal" xfId="0" builtinId="0"/>
    <cellStyle name="Percent" xfId="3" builtinId="5"/>
  </cellStyles>
  <dxfs count="29">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color theme="4"/>
        <name val="Calibri"/>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color theme="4"/>
        <name val="Calibri"/>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color theme="4"/>
        <name val="Calibri"/>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9"/>
        <color theme="4"/>
        <name val="Calibri"/>
        <scheme val="minor"/>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9"/>
        <color theme="4"/>
        <name val="Calibri"/>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color theme="4"/>
        <name val="Calibri"/>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color theme="4"/>
        <name val="Calibri"/>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color theme="4"/>
        <name val="Calibri"/>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color theme="4"/>
        <name val="Calibri"/>
        <scheme val="minor"/>
      </font>
      <fill>
        <patternFill patternType="solid">
          <fgColor indexed="64"/>
          <bgColor theme="0"/>
        </patternFill>
      </fill>
      <alignment vertical="center" textRotation="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Projected</a:t>
            </a:r>
            <a:r>
              <a:rPr lang="en-US" sz="1200" baseline="0"/>
              <a:t> </a:t>
            </a:r>
            <a:r>
              <a:rPr lang="en-US" sz="1200"/>
              <a:t>Natural Gas Costs by Month</a:t>
            </a:r>
          </a:p>
        </c:rich>
      </c:tx>
      <c:layout>
        <c:manualLayout>
          <c:xMode val="edge"/>
          <c:yMode val="edge"/>
          <c:x val="0.15945836319226511"/>
          <c:y val="8.7931130069738932E-4"/>
        </c:manualLayout>
      </c:layout>
      <c:overlay val="1"/>
    </c:title>
    <c:autoTitleDeleted val="0"/>
    <c:plotArea>
      <c:layout>
        <c:manualLayout>
          <c:layoutTarget val="inner"/>
          <c:xMode val="edge"/>
          <c:yMode val="edge"/>
          <c:x val="0.23309584969266345"/>
          <c:y val="0.13164334514773607"/>
          <c:w val="0.59454431250193707"/>
          <c:h val="0.60603496870583451"/>
        </c:manualLayout>
      </c:layout>
      <c:lineChart>
        <c:grouping val="standard"/>
        <c:varyColors val="0"/>
        <c:ser>
          <c:idx val="0"/>
          <c:order val="0"/>
          <c:tx>
            <c:strRef>
              <c:f>'Chart Data'!$A$3</c:f>
              <c:strCache>
                <c:ptCount val="1"/>
                <c:pt idx="0">
                  <c:v>Monthly Consumption Based Bill</c:v>
                </c:pt>
              </c:strCache>
            </c:strRef>
          </c:tx>
          <c:marker>
            <c:symbol val="none"/>
          </c:marker>
          <c:cat>
            <c:strRef>
              <c:f>'Chart Data'!$B$2:$M$2</c:f>
              <c:strCache>
                <c:ptCount val="12"/>
                <c:pt idx="0">
                  <c:v>J</c:v>
                </c:pt>
                <c:pt idx="1">
                  <c:v>F</c:v>
                </c:pt>
                <c:pt idx="2">
                  <c:v>M</c:v>
                </c:pt>
                <c:pt idx="3">
                  <c:v>A</c:v>
                </c:pt>
                <c:pt idx="4">
                  <c:v>M</c:v>
                </c:pt>
                <c:pt idx="5">
                  <c:v>J</c:v>
                </c:pt>
                <c:pt idx="6">
                  <c:v>J</c:v>
                </c:pt>
                <c:pt idx="7">
                  <c:v>A</c:v>
                </c:pt>
                <c:pt idx="8">
                  <c:v>S</c:v>
                </c:pt>
                <c:pt idx="9">
                  <c:v>O</c:v>
                </c:pt>
                <c:pt idx="10">
                  <c:v>N</c:v>
                </c:pt>
                <c:pt idx="11">
                  <c:v>D</c:v>
                </c:pt>
              </c:strCache>
            </c:strRef>
          </c:cat>
          <c:val>
            <c:numRef>
              <c:f>'Chart Data'!$B$3:$M$3</c:f>
              <c:numCache>
                <c:formatCode>"$"#,##0.00</c:formatCode>
                <c:ptCount val="12"/>
                <c:pt idx="0">
                  <c:v>23.73</c:v>
                </c:pt>
                <c:pt idx="1">
                  <c:v>173.5461908723484</c:v>
                </c:pt>
                <c:pt idx="2">
                  <c:v>149.94545300384956</c:v>
                </c:pt>
                <c:pt idx="3">
                  <c:v>89.550339926909729</c:v>
                </c:pt>
                <c:pt idx="4">
                  <c:v>46.022952721933528</c:v>
                </c:pt>
                <c:pt idx="5">
                  <c:v>23.73</c:v>
                </c:pt>
                <c:pt idx="6">
                  <c:v>23.73</c:v>
                </c:pt>
                <c:pt idx="7">
                  <c:v>23.73</c:v>
                </c:pt>
                <c:pt idx="8">
                  <c:v>25.559630489770878</c:v>
                </c:pt>
                <c:pt idx="9">
                  <c:v>50.549313616303564</c:v>
                </c:pt>
                <c:pt idx="10">
                  <c:v>106.0694389993114</c:v>
                </c:pt>
                <c:pt idx="11">
                  <c:v>162.99773775450461</c:v>
                </c:pt>
              </c:numCache>
            </c:numRef>
          </c:val>
          <c:smooth val="0"/>
          <c:extLst>
            <c:ext xmlns:c16="http://schemas.microsoft.com/office/drawing/2014/chart" uri="{C3380CC4-5D6E-409C-BE32-E72D297353CC}">
              <c16:uniqueId val="{00000000-9412-4DC2-A99E-06BD5BDC95D7}"/>
            </c:ext>
          </c:extLst>
        </c:ser>
        <c:ser>
          <c:idx val="1"/>
          <c:order val="1"/>
          <c:tx>
            <c:strRef>
              <c:f>'Chart Data'!$A$4</c:f>
              <c:strCache>
                <c:ptCount val="1"/>
                <c:pt idx="0">
                  <c:v>Monthly Budget Bill</c:v>
                </c:pt>
              </c:strCache>
            </c:strRef>
          </c:tx>
          <c:spPr>
            <a:ln>
              <a:solidFill>
                <a:schemeClr val="tx2">
                  <a:lumMod val="75000"/>
                </a:schemeClr>
              </a:solidFill>
            </a:ln>
          </c:spPr>
          <c:marker>
            <c:symbol val="none"/>
          </c:marker>
          <c:cat>
            <c:strRef>
              <c:f>'Chart Data'!$B$2:$M$2</c:f>
              <c:strCache>
                <c:ptCount val="12"/>
                <c:pt idx="0">
                  <c:v>J</c:v>
                </c:pt>
                <c:pt idx="1">
                  <c:v>F</c:v>
                </c:pt>
                <c:pt idx="2">
                  <c:v>M</c:v>
                </c:pt>
                <c:pt idx="3">
                  <c:v>A</c:v>
                </c:pt>
                <c:pt idx="4">
                  <c:v>M</c:v>
                </c:pt>
                <c:pt idx="5">
                  <c:v>J</c:v>
                </c:pt>
                <c:pt idx="6">
                  <c:v>J</c:v>
                </c:pt>
                <c:pt idx="7">
                  <c:v>A</c:v>
                </c:pt>
                <c:pt idx="8">
                  <c:v>S</c:v>
                </c:pt>
                <c:pt idx="9">
                  <c:v>O</c:v>
                </c:pt>
                <c:pt idx="10">
                  <c:v>N</c:v>
                </c:pt>
                <c:pt idx="11">
                  <c:v>D</c:v>
                </c:pt>
              </c:strCache>
            </c:strRef>
          </c:cat>
          <c:val>
            <c:numRef>
              <c:f>'Chart Data'!$B$4:$M$4</c:f>
              <c:numCache>
                <c:formatCode>"$"#,##0.00</c:formatCode>
                <c:ptCount val="12"/>
                <c:pt idx="0">
                  <c:v>74.930088115410967</c:v>
                </c:pt>
                <c:pt idx="1">
                  <c:v>74.930088115410967</c:v>
                </c:pt>
                <c:pt idx="2">
                  <c:v>74.930088115410967</c:v>
                </c:pt>
                <c:pt idx="3">
                  <c:v>74.930088115410967</c:v>
                </c:pt>
                <c:pt idx="4">
                  <c:v>74.930088115410967</c:v>
                </c:pt>
                <c:pt idx="5">
                  <c:v>74.930088115410967</c:v>
                </c:pt>
                <c:pt idx="6">
                  <c:v>74.930088115410967</c:v>
                </c:pt>
                <c:pt idx="7">
                  <c:v>74.930088115410967</c:v>
                </c:pt>
                <c:pt idx="8">
                  <c:v>74.930088115410967</c:v>
                </c:pt>
                <c:pt idx="9">
                  <c:v>74.930088115410967</c:v>
                </c:pt>
                <c:pt idx="10">
                  <c:v>74.930088115410967</c:v>
                </c:pt>
                <c:pt idx="11">
                  <c:v>74.930088115410967</c:v>
                </c:pt>
              </c:numCache>
            </c:numRef>
          </c:val>
          <c:smooth val="0"/>
          <c:extLst>
            <c:ext xmlns:c16="http://schemas.microsoft.com/office/drawing/2014/chart" uri="{C3380CC4-5D6E-409C-BE32-E72D297353CC}">
              <c16:uniqueId val="{00000001-9412-4DC2-A99E-06BD5BDC95D7}"/>
            </c:ext>
          </c:extLst>
        </c:ser>
        <c:dLbls>
          <c:showLegendKey val="0"/>
          <c:showVal val="0"/>
          <c:showCatName val="0"/>
          <c:showSerName val="0"/>
          <c:showPercent val="0"/>
          <c:showBubbleSize val="0"/>
        </c:dLbls>
        <c:marker val="1"/>
        <c:smooth val="0"/>
        <c:axId val="57176448"/>
        <c:axId val="57177984"/>
      </c:lineChart>
      <c:lineChart>
        <c:grouping val="standard"/>
        <c:varyColors val="0"/>
        <c:ser>
          <c:idx val="2"/>
          <c:order val="2"/>
          <c:tx>
            <c:strRef>
              <c:f>'Chart Data'!$A$5</c:f>
              <c:strCache>
                <c:ptCount val="1"/>
                <c:pt idx="0">
                  <c:v>Natural Gas Consumption</c:v>
                </c:pt>
              </c:strCache>
            </c:strRef>
          </c:tx>
          <c:spPr>
            <a:ln w="15875">
              <a:solidFill>
                <a:schemeClr val="accent5"/>
              </a:solidFill>
              <a:prstDash val="sysDash"/>
            </a:ln>
          </c:spPr>
          <c:marker>
            <c:symbol val="none"/>
          </c:marker>
          <c:cat>
            <c:strRef>
              <c:f>'Chart Data'!$B$2:$M$2</c:f>
              <c:strCache>
                <c:ptCount val="12"/>
                <c:pt idx="0">
                  <c:v>J</c:v>
                </c:pt>
                <c:pt idx="1">
                  <c:v>F</c:v>
                </c:pt>
                <c:pt idx="2">
                  <c:v>M</c:v>
                </c:pt>
                <c:pt idx="3">
                  <c:v>A</c:v>
                </c:pt>
                <c:pt idx="4">
                  <c:v>M</c:v>
                </c:pt>
                <c:pt idx="5">
                  <c:v>J</c:v>
                </c:pt>
                <c:pt idx="6">
                  <c:v>J</c:v>
                </c:pt>
                <c:pt idx="7">
                  <c:v>A</c:v>
                </c:pt>
                <c:pt idx="8">
                  <c:v>S</c:v>
                </c:pt>
                <c:pt idx="9">
                  <c:v>O</c:v>
                </c:pt>
                <c:pt idx="10">
                  <c:v>N</c:v>
                </c:pt>
                <c:pt idx="11">
                  <c:v>D</c:v>
                </c:pt>
              </c:strCache>
            </c:strRef>
          </c:cat>
          <c:val>
            <c:numRef>
              <c:f>'Chart Data'!$B$5:$M$5</c:f>
              <c:numCache>
                <c:formatCode>_-* #,##0_-;\-* #,##0_-;_-* "-"??_-;_-@_-</c:formatCode>
                <c:ptCount val="12"/>
                <c:pt idx="0">
                  <c:v>399.71909761453725</c:v>
                </c:pt>
                <c:pt idx="1">
                  <c:v>343.80085157941136</c:v>
                </c:pt>
                <c:pt idx="2">
                  <c:v>289.19418704604851</c:v>
                </c:pt>
                <c:pt idx="3">
                  <c:v>150.52316138604482</c:v>
                </c:pt>
                <c:pt idx="4">
                  <c:v>50.8784632100175</c:v>
                </c:pt>
                <c:pt idx="5">
                  <c:v>0</c:v>
                </c:pt>
                <c:pt idx="6">
                  <c:v>0</c:v>
                </c:pt>
                <c:pt idx="7">
                  <c:v>0</c:v>
                </c:pt>
                <c:pt idx="8">
                  <c:v>4.1757047046596902</c:v>
                </c:pt>
                <c:pt idx="9">
                  <c:v>61.208825863722247</c:v>
                </c:pt>
                <c:pt idx="10">
                  <c:v>188.45206481289847</c:v>
                </c:pt>
                <c:pt idx="11">
                  <c:v>319.34764378266016</c:v>
                </c:pt>
              </c:numCache>
            </c:numRef>
          </c:val>
          <c:smooth val="0"/>
          <c:extLst>
            <c:ext xmlns:c16="http://schemas.microsoft.com/office/drawing/2014/chart" uri="{C3380CC4-5D6E-409C-BE32-E72D297353CC}">
              <c16:uniqueId val="{00000002-9412-4DC2-A99E-06BD5BDC95D7}"/>
            </c:ext>
          </c:extLst>
        </c:ser>
        <c:dLbls>
          <c:showLegendKey val="0"/>
          <c:showVal val="0"/>
          <c:showCatName val="0"/>
          <c:showSerName val="0"/>
          <c:showPercent val="0"/>
          <c:showBubbleSize val="0"/>
        </c:dLbls>
        <c:marker val="1"/>
        <c:smooth val="0"/>
        <c:axId val="104472576"/>
        <c:axId val="57189888"/>
      </c:lineChart>
      <c:catAx>
        <c:axId val="57176448"/>
        <c:scaling>
          <c:orientation val="minMax"/>
        </c:scaling>
        <c:delete val="0"/>
        <c:axPos val="b"/>
        <c:numFmt formatCode="General" sourceLinked="0"/>
        <c:majorTickMark val="out"/>
        <c:minorTickMark val="none"/>
        <c:tickLblPos val="nextTo"/>
        <c:txPr>
          <a:bodyPr/>
          <a:lstStyle/>
          <a:p>
            <a:pPr>
              <a:defRPr sz="1000"/>
            </a:pPr>
            <a:endParaRPr lang="en-US"/>
          </a:p>
        </c:txPr>
        <c:crossAx val="57177984"/>
        <c:crosses val="autoZero"/>
        <c:auto val="1"/>
        <c:lblAlgn val="ctr"/>
        <c:lblOffset val="100"/>
        <c:noMultiLvlLbl val="0"/>
      </c:catAx>
      <c:valAx>
        <c:axId val="57177984"/>
        <c:scaling>
          <c:orientation val="minMax"/>
        </c:scaling>
        <c:delete val="0"/>
        <c:axPos val="l"/>
        <c:majorGridlines>
          <c:spPr>
            <a:ln>
              <a:noFill/>
            </a:ln>
          </c:spPr>
        </c:majorGridlines>
        <c:title>
          <c:tx>
            <c:rich>
              <a:bodyPr rot="-5400000" vert="horz"/>
              <a:lstStyle/>
              <a:p>
                <a:pPr algn="ctr">
                  <a:defRPr sz="1000"/>
                </a:pPr>
                <a:r>
                  <a:rPr lang="en-US" sz="1000"/>
                  <a:t>Monthly Gas  Bill*</a:t>
                </a:r>
              </a:p>
              <a:p>
                <a:pPr algn="ctr">
                  <a:defRPr sz="1000"/>
                </a:pPr>
                <a:r>
                  <a:rPr lang="en-US" sz="900"/>
                  <a:t> (incl. fees and taxes)</a:t>
                </a:r>
              </a:p>
            </c:rich>
          </c:tx>
          <c:layout>
            <c:manualLayout>
              <c:xMode val="edge"/>
              <c:yMode val="edge"/>
              <c:x val="2.0151309082834603E-2"/>
              <c:y val="0.26470719062617998"/>
            </c:manualLayout>
          </c:layout>
          <c:overlay val="0"/>
        </c:title>
        <c:numFmt formatCode="&quot;$&quot;#,##0" sourceLinked="0"/>
        <c:majorTickMark val="out"/>
        <c:minorTickMark val="none"/>
        <c:tickLblPos val="nextTo"/>
        <c:txPr>
          <a:bodyPr/>
          <a:lstStyle/>
          <a:p>
            <a:pPr>
              <a:defRPr sz="800"/>
            </a:pPr>
            <a:endParaRPr lang="en-US"/>
          </a:p>
        </c:txPr>
        <c:crossAx val="57176448"/>
        <c:crosses val="autoZero"/>
        <c:crossBetween val="midCat"/>
      </c:valAx>
      <c:valAx>
        <c:axId val="57189888"/>
        <c:scaling>
          <c:orientation val="minMax"/>
        </c:scaling>
        <c:delete val="0"/>
        <c:axPos val="r"/>
        <c:title>
          <c:tx>
            <c:rich>
              <a:bodyPr rot="-5400000" vert="horz"/>
              <a:lstStyle/>
              <a:p>
                <a:pPr>
                  <a:defRPr sz="1000"/>
                </a:pPr>
                <a:r>
                  <a:rPr lang="en-US" sz="1000"/>
                  <a:t>Monthly Consumption (m</a:t>
                </a:r>
                <a:r>
                  <a:rPr lang="en-US" sz="1000" baseline="30000"/>
                  <a:t>3</a:t>
                </a:r>
                <a:r>
                  <a:rPr lang="en-US" sz="1000"/>
                  <a:t>)</a:t>
                </a:r>
              </a:p>
            </c:rich>
          </c:tx>
          <c:layout>
            <c:manualLayout>
              <c:xMode val="edge"/>
              <c:yMode val="edge"/>
              <c:x val="0.93176091817494766"/>
              <c:y val="0.19493236044020099"/>
            </c:manualLayout>
          </c:layout>
          <c:overlay val="0"/>
        </c:title>
        <c:numFmt formatCode="_-* #,##0_-;\-* #,##0_-;_-* &quot;-&quot;??_-;_-@_-" sourceLinked="1"/>
        <c:majorTickMark val="out"/>
        <c:minorTickMark val="none"/>
        <c:tickLblPos val="nextTo"/>
        <c:txPr>
          <a:bodyPr/>
          <a:lstStyle/>
          <a:p>
            <a:pPr>
              <a:defRPr sz="800"/>
            </a:pPr>
            <a:endParaRPr lang="en-US"/>
          </a:p>
        </c:txPr>
        <c:crossAx val="104472576"/>
        <c:crosses val="max"/>
        <c:crossBetween val="between"/>
      </c:valAx>
      <c:catAx>
        <c:axId val="104472576"/>
        <c:scaling>
          <c:orientation val="minMax"/>
        </c:scaling>
        <c:delete val="1"/>
        <c:axPos val="b"/>
        <c:numFmt formatCode="General" sourceLinked="1"/>
        <c:majorTickMark val="out"/>
        <c:minorTickMark val="none"/>
        <c:tickLblPos val="none"/>
        <c:crossAx val="57189888"/>
        <c:crosses val="autoZero"/>
        <c:auto val="1"/>
        <c:lblAlgn val="ctr"/>
        <c:lblOffset val="100"/>
        <c:noMultiLvlLbl val="0"/>
      </c:catAx>
      <c:spPr>
        <a:noFill/>
      </c:spPr>
    </c:plotArea>
    <c:legend>
      <c:legendPos val="b"/>
      <c:layout>
        <c:manualLayout>
          <c:xMode val="edge"/>
          <c:yMode val="edge"/>
          <c:x val="0.17395450388822359"/>
          <c:y val="0.8410142846383476"/>
          <c:w val="0.65985808162079185"/>
          <c:h val="0.15528632277735763"/>
        </c:manualLayout>
      </c:layout>
      <c:overlay val="0"/>
      <c:txPr>
        <a:bodyPr/>
        <a:lstStyle/>
        <a:p>
          <a:pPr>
            <a:defRPr sz="900"/>
          </a:pPr>
          <a:endParaRPr lang="en-US"/>
        </a:p>
      </c:txPr>
    </c:legend>
    <c:plotVisOnly val="1"/>
    <c:dispBlanksAs val="gap"/>
    <c:showDLblsOverMax val="0"/>
  </c:chart>
  <c:spPr>
    <a:noFill/>
    <a:ln>
      <a:noFill/>
    </a:ln>
  </c:spPr>
  <c:txPr>
    <a:bodyPr/>
    <a:lstStyle/>
    <a:p>
      <a:pPr>
        <a:defRPr sz="500"/>
      </a:pPr>
      <a:endParaRPr lang="en-US"/>
    </a:p>
  </c:txPr>
  <c:printSettings>
    <c:headerFooter/>
    <c:pageMargins b="0.75000000000000122" l="0.70000000000000062" r="0.70000000000000062" t="0.75000000000000122" header="0.30000000000000032" footer="0.30000000000000032"/>
    <c:pageSetup/>
  </c:printSettings>
</c:chartSpace>
</file>

<file path=xl/ctrlProps/ctrlProp1.xml><?xml version="1.0" encoding="utf-8"?>
<formControlPr xmlns="http://schemas.microsoft.com/office/spreadsheetml/2009/9/main" objectType="CheckBox" checked="Checked" fmlaLink="'Common Inputs'!$N$53" lockText="1"/>
</file>

<file path=xl/ctrlProps/ctrlProp2.xml><?xml version="1.0" encoding="utf-8"?>
<formControlPr xmlns="http://schemas.microsoft.com/office/spreadsheetml/2009/9/main" objectType="CheckBox" fmlaLink="'Common Inputs'!$N$54" lockText="1"/>
</file>

<file path=xl/ctrlProps/ctrlProp3.xml><?xml version="1.0" encoding="utf-8"?>
<formControlPr xmlns="http://schemas.microsoft.com/office/spreadsheetml/2009/9/main" objectType="CheckBox" fmlaLink="'Common Inputs'!$N$55" lockText="1"/>
</file>

<file path=xl/ctrlProps/ctrlProp4.xml><?xml version="1.0" encoding="utf-8"?>
<formControlPr xmlns="http://schemas.microsoft.com/office/spreadsheetml/2009/9/main" objectType="CheckBox" fmlaLink="'Common Inputs'!$N$56" lockText="1"/>
</file>

<file path=xl/ctrlProps/ctrlProp5.xml><?xml version="1.0" encoding="utf-8"?>
<formControlPr xmlns="http://schemas.microsoft.com/office/spreadsheetml/2009/9/main" objectType="CheckBox" fmlaLink="'Common Inputs'!$N$57" lockText="1"/>
</file>

<file path=xl/ctrlProps/ctrlProp6.xml><?xml version="1.0" encoding="utf-8"?>
<formControlPr xmlns="http://schemas.microsoft.com/office/spreadsheetml/2009/9/main" objectType="CheckBox" fmlaLink="'Common Inputs'!$N$58" lockText="1"/>
</file>

<file path=xl/ctrlProps/ctrlProp7.xml><?xml version="1.0" encoding="utf-8"?>
<formControlPr xmlns="http://schemas.microsoft.com/office/spreadsheetml/2009/9/main" objectType="CheckBox" fmlaLink="'Common Inputs'!$N$59" lockText="1"/>
</file>

<file path=xl/ctrlProps/ctrlProp8.xml><?xml version="1.0" encoding="utf-8"?>
<formControlPr xmlns="http://schemas.microsoft.com/office/spreadsheetml/2009/9/main" objectType="CheckBox" fmlaLink="'Common Inputs'!$N$60" lockText="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11</xdr:col>
      <xdr:colOff>394607</xdr:colOff>
      <xdr:row>10</xdr:row>
      <xdr:rowOff>6804</xdr:rowOff>
    </xdr:from>
    <xdr:to>
      <xdr:col>17</xdr:col>
      <xdr:colOff>612321</xdr:colOff>
      <xdr:row>27</xdr:row>
      <xdr:rowOff>13607</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263773</xdr:colOff>
      <xdr:row>0</xdr:row>
      <xdr:rowOff>209866</xdr:rowOff>
    </xdr:from>
    <xdr:to>
      <xdr:col>3</xdr:col>
      <xdr:colOff>234950</xdr:colOff>
      <xdr:row>1</xdr:row>
      <xdr:rowOff>140191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stretch>
          <a:fillRect/>
        </a:stretch>
      </xdr:blipFill>
      <xdr:spPr>
        <a:xfrm>
          <a:off x="454273" y="209866"/>
          <a:ext cx="1314656" cy="389339"/>
        </a:xfrm>
        <a:prstGeom prst="rect">
          <a:avLst/>
        </a:prstGeom>
      </xdr:spPr>
    </xdr:pic>
    <xdr:clientData/>
  </xdr:twoCellAnchor>
  <xdr:twoCellAnchor>
    <xdr:from>
      <xdr:col>8</xdr:col>
      <xdr:colOff>129268</xdr:colOff>
      <xdr:row>11</xdr:row>
      <xdr:rowOff>40822</xdr:rowOff>
    </xdr:from>
    <xdr:to>
      <xdr:col>8</xdr:col>
      <xdr:colOff>136072</xdr:colOff>
      <xdr:row>20</xdr:row>
      <xdr:rowOff>13607</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4932589" y="2265590"/>
          <a:ext cx="6804" cy="168728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47738</xdr:colOff>
      <xdr:row>11</xdr:row>
      <xdr:rowOff>47580</xdr:rowOff>
    </xdr:from>
    <xdr:to>
      <xdr:col>10</xdr:col>
      <xdr:colOff>47738</xdr:colOff>
      <xdr:row>22</xdr:row>
      <xdr:rowOff>190455</xdr:rowOff>
    </xdr:to>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6551952" y="2170294"/>
          <a:ext cx="0" cy="223837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584200</xdr:colOff>
          <xdr:row>11</xdr:row>
          <xdr:rowOff>146050</xdr:rowOff>
        </xdr:from>
        <xdr:to>
          <xdr:col>1</xdr:col>
          <xdr:colOff>838200</xdr:colOff>
          <xdr:row>13</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12</xdr:row>
          <xdr:rowOff>165100</xdr:rowOff>
        </xdr:from>
        <xdr:to>
          <xdr:col>1</xdr:col>
          <xdr:colOff>838200</xdr:colOff>
          <xdr:row>14</xdr:row>
          <xdr:rowOff>50800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13</xdr:row>
          <xdr:rowOff>165100</xdr:rowOff>
        </xdr:from>
        <xdr:to>
          <xdr:col>1</xdr:col>
          <xdr:colOff>838200</xdr:colOff>
          <xdr:row>15</xdr:row>
          <xdr:rowOff>50800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14</xdr:row>
          <xdr:rowOff>165100</xdr:rowOff>
        </xdr:from>
        <xdr:to>
          <xdr:col>1</xdr:col>
          <xdr:colOff>838200</xdr:colOff>
          <xdr:row>16</xdr:row>
          <xdr:rowOff>50800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15</xdr:row>
          <xdr:rowOff>165100</xdr:rowOff>
        </xdr:from>
        <xdr:to>
          <xdr:col>1</xdr:col>
          <xdr:colOff>838200</xdr:colOff>
          <xdr:row>17</xdr:row>
          <xdr:rowOff>50800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16</xdr:row>
          <xdr:rowOff>146050</xdr:rowOff>
        </xdr:from>
        <xdr:to>
          <xdr:col>1</xdr:col>
          <xdr:colOff>838200</xdr:colOff>
          <xdr:row>18</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17</xdr:row>
          <xdr:rowOff>146050</xdr:rowOff>
        </xdr:from>
        <xdr:to>
          <xdr:col>1</xdr:col>
          <xdr:colOff>838200</xdr:colOff>
          <xdr:row>19</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18</xdr:row>
          <xdr:rowOff>146050</xdr:rowOff>
        </xdr:from>
        <xdr:to>
          <xdr:col>1</xdr:col>
          <xdr:colOff>838200</xdr:colOff>
          <xdr:row>20</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91</xdr:row>
      <xdr:rowOff>108915</xdr:rowOff>
    </xdr:from>
    <xdr:to>
      <xdr:col>3</xdr:col>
      <xdr:colOff>514140</xdr:colOff>
      <xdr:row>104</xdr:row>
      <xdr:rowOff>169997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18908884"/>
          <a:ext cx="4324140" cy="2537582"/>
        </a:xfrm>
        <a:prstGeom prst="rect">
          <a:avLst/>
        </a:prstGeom>
      </xdr:spPr>
    </xdr:pic>
    <xdr:clientData/>
  </xdr:twoCellAnchor>
  <xdr:twoCellAnchor editAs="oneCell">
    <xdr:from>
      <xdr:col>4</xdr:col>
      <xdr:colOff>92695</xdr:colOff>
      <xdr:row>105</xdr:row>
      <xdr:rowOff>153388</xdr:rowOff>
    </xdr:from>
    <xdr:to>
      <xdr:col>11</xdr:col>
      <xdr:colOff>823443</xdr:colOff>
      <xdr:row>131</xdr:row>
      <xdr:rowOff>67138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4581351" y="21620357"/>
          <a:ext cx="4731248" cy="4866750"/>
        </a:xfrm>
        <a:prstGeom prst="rect">
          <a:avLst/>
        </a:prstGeom>
      </xdr:spPr>
    </xdr:pic>
    <xdr:clientData/>
  </xdr:twoCellAnchor>
  <xdr:twoCellAnchor editAs="oneCell">
    <xdr:from>
      <xdr:col>0</xdr:col>
      <xdr:colOff>69460</xdr:colOff>
      <xdr:row>105</xdr:row>
      <xdr:rowOff>176497</xdr:rowOff>
    </xdr:from>
    <xdr:to>
      <xdr:col>4</xdr:col>
      <xdr:colOff>243350</xdr:colOff>
      <xdr:row>119</xdr:row>
      <xdr:rowOff>47840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69460" y="21643466"/>
          <a:ext cx="4662546" cy="2538343"/>
        </a:xfrm>
        <a:prstGeom prst="rect">
          <a:avLst/>
        </a:prstGeom>
      </xdr:spPr>
    </xdr:pic>
    <xdr:clientData/>
  </xdr:twoCellAnchor>
  <xdr:twoCellAnchor editAs="oneCell">
    <xdr:from>
      <xdr:col>4</xdr:col>
      <xdr:colOff>49371</xdr:colOff>
      <xdr:row>91</xdr:row>
      <xdr:rowOff>139803</xdr:rowOff>
    </xdr:from>
    <xdr:to>
      <xdr:col>9</xdr:col>
      <xdr:colOff>89163</xdr:colOff>
      <xdr:row>104</xdr:row>
      <xdr:rowOff>167610</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cstate="print"/>
        <a:stretch>
          <a:fillRect/>
        </a:stretch>
      </xdr:blipFill>
      <xdr:spPr>
        <a:xfrm>
          <a:off x="4538027" y="18939772"/>
          <a:ext cx="3528324" cy="2504307"/>
        </a:xfrm>
        <a:prstGeom prst="rect">
          <a:avLst/>
        </a:prstGeom>
      </xdr:spPr>
    </xdr:pic>
    <xdr:clientData/>
  </xdr:twoCellAnchor>
  <xdr:twoCellAnchor editAs="oneCell">
    <xdr:from>
      <xdr:col>4</xdr:col>
      <xdr:colOff>83343</xdr:colOff>
      <xdr:row>20</xdr:row>
      <xdr:rowOff>141997</xdr:rowOff>
    </xdr:from>
    <xdr:to>
      <xdr:col>7</xdr:col>
      <xdr:colOff>119063</xdr:colOff>
      <xdr:row>38</xdr:row>
      <xdr:rowOff>130807</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5" cstate="print"/>
        <a:stretch>
          <a:fillRect/>
        </a:stretch>
      </xdr:blipFill>
      <xdr:spPr>
        <a:xfrm>
          <a:off x="4571999" y="4392528"/>
          <a:ext cx="2071689" cy="3501154"/>
        </a:xfrm>
        <a:prstGeom prst="rect">
          <a:avLst/>
        </a:prstGeom>
      </xdr:spPr>
    </xdr:pic>
    <xdr:clientData/>
  </xdr:twoCellAnchor>
  <xdr:twoCellAnchor editAs="oneCell">
    <xdr:from>
      <xdr:col>3</xdr:col>
      <xdr:colOff>678655</xdr:colOff>
      <xdr:row>39</xdr:row>
      <xdr:rowOff>88723</xdr:rowOff>
    </xdr:from>
    <xdr:to>
      <xdr:col>7</xdr:col>
      <xdr:colOff>119063</xdr:colOff>
      <xdr:row>57</xdr:row>
      <xdr:rowOff>31256</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6" cstate="print"/>
        <a:stretch>
          <a:fillRect/>
        </a:stretch>
      </xdr:blipFill>
      <xdr:spPr>
        <a:xfrm>
          <a:off x="4488655" y="8042098"/>
          <a:ext cx="2155033" cy="3573939"/>
        </a:xfrm>
        <a:prstGeom prst="rect">
          <a:avLst/>
        </a:prstGeom>
      </xdr:spPr>
    </xdr:pic>
    <xdr:clientData/>
  </xdr:twoCellAnchor>
  <xdr:twoCellAnchor editAs="oneCell">
    <xdr:from>
      <xdr:col>4</xdr:col>
      <xdr:colOff>0</xdr:colOff>
      <xdr:row>3</xdr:row>
      <xdr:rowOff>238124</xdr:rowOff>
    </xdr:from>
    <xdr:to>
      <xdr:col>7</xdr:col>
      <xdr:colOff>277632</xdr:colOff>
      <xdr:row>20</xdr:row>
      <xdr:rowOff>83344</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7" cstate="print"/>
        <a:stretch>
          <a:fillRect/>
        </a:stretch>
      </xdr:blipFill>
      <xdr:spPr>
        <a:xfrm>
          <a:off x="4488656" y="940593"/>
          <a:ext cx="2313601" cy="339328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6" displayName="Table16" ref="O34:O37" totalsRowShown="0" headerRowDxfId="27" dataDxfId="26">
  <autoFilter ref="O34:O37" xr:uid="{00000000-0009-0000-0100-000005000000}"/>
  <tableColumns count="1">
    <tableColumn id="1" xr3:uid="{00000000-0010-0000-0000-000001000000}" name="Rate Zone" dataDxfId="2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37" displayName="Table37" ref="O39:O41" totalsRowShown="0" headerRowDxfId="24" dataDxfId="23">
  <autoFilter ref="O39:O41" xr:uid="{00000000-0009-0000-0100-000006000000}"/>
  <tableColumns count="1">
    <tableColumn id="1" xr3:uid="{00000000-0010-0000-0100-000001000000}" name="SES" dataDxfId="2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le7" displayName="Table7" ref="F34:F38" totalsRowShown="0" headerRowDxfId="21" dataDxfId="20">
  <autoFilter ref="F34:F38" xr:uid="{00000000-0009-0000-0100-000007000000}"/>
  <tableColumns count="1">
    <tableColumn id="1" xr3:uid="{00000000-0010-0000-0200-000001000000}" name="Home Type" dataDxfId="2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Table8" displayName="Table8" ref="J34:J43" totalsRowShown="0" headerRowDxfId="18" dataDxfId="17">
  <autoFilter ref="J34:J43" xr:uid="{00000000-0009-0000-0100-000008000000}"/>
  <tableColumns count="1">
    <tableColumn id="1" xr3:uid="{00000000-0010-0000-0300-000001000000}" name="Home Size" dataDxfId="1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Table9" displayName="Table9" ref="E40:F47" totalsRowShown="0" headerRowDxfId="14" dataDxfId="13">
  <autoFilter ref="E40:F47" xr:uid="{00000000-0009-0000-0100-000009000000}"/>
  <tableColumns count="2">
    <tableColumn id="1" xr3:uid="{00000000-0010-0000-0400-000001000000}" name="Home Size" dataDxfId="16"/>
    <tableColumn id="2" xr3:uid="{00000000-0010-0000-0400-000002000000}" name="Assumption" dataDxfId="1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10" displayName="Table10" ref="E49:F55" totalsRowShown="0" headerRowDxfId="10" dataDxfId="9">
  <autoFilter ref="E49:F55" xr:uid="{00000000-0009-0000-0100-00000A000000}"/>
  <tableColumns count="2">
    <tableColumn id="1" xr3:uid="{00000000-0010-0000-0500-000001000000}" name="Occupants" dataDxfId="12"/>
    <tableColumn id="2" xr3:uid="{00000000-0010-0000-0500-000002000000}" name="Assumption" dataDxfId="1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J45:J49" totalsRowShown="0" headerRowDxfId="7" dataDxfId="6">
  <autoFilter ref="J45:J49" xr:uid="{00000000-0009-0000-0100-00000B000000}"/>
  <tableColumns count="1">
    <tableColumn id="1" xr3:uid="{00000000-0010-0000-0600-000001000000}" name="Heating Fuel" dataDxfId="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Table12" displayName="Table12" ref="O43:O49" totalsRowShown="0" headerRowDxfId="4" dataDxfId="3">
  <autoFilter ref="O43:O49" xr:uid="{00000000-0009-0000-0100-00000C000000}"/>
  <tableColumns count="1">
    <tableColumn id="1" xr3:uid="{00000000-0010-0000-0700-000001000000}" name="Elect Rates" dataDxfId="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le14" displayName="Table14" ref="J52:J54" totalsRowShown="0" headerRowDxfId="1" dataDxfId="0">
  <autoFilter ref="J52:J54" xr:uid="{00000000-0009-0000-0100-00000D000000}"/>
  <tableColumns count="1">
    <tableColumn id="1" xr3:uid="{00000000-0010-0000-0800-000001000000}" name="Range/Dryer Fuel"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table" Target="../tables/table2.xml"/><Relationship Id="rId18" Type="http://schemas.openxmlformats.org/officeDocument/2006/relationships/table" Target="../tables/table7.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table" Target="../tables/table1.xml"/><Relationship Id="rId17" Type="http://schemas.openxmlformats.org/officeDocument/2006/relationships/table" Target="../tables/table6.xml"/><Relationship Id="rId2" Type="http://schemas.openxmlformats.org/officeDocument/2006/relationships/drawing" Target="../drawings/drawing1.xml"/><Relationship Id="rId16" Type="http://schemas.openxmlformats.org/officeDocument/2006/relationships/table" Target="../tables/table5.xml"/><Relationship Id="rId20" Type="http://schemas.openxmlformats.org/officeDocument/2006/relationships/table" Target="../tables/table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table" Target="../tables/table4.xml"/><Relationship Id="rId10" Type="http://schemas.openxmlformats.org/officeDocument/2006/relationships/ctrlProp" Target="../ctrlProps/ctrlProp7.xml"/><Relationship Id="rId19" Type="http://schemas.openxmlformats.org/officeDocument/2006/relationships/table" Target="../tables/table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files.ontario.ca/guideline_for_quantification_reporting_and_verification_of_greenhouse_gas_emissions_july_2017.pdf" TargetMode="External"/><Relationship Id="rId7" Type="http://schemas.openxmlformats.org/officeDocument/2006/relationships/vmlDrawing" Target="../drawings/vmlDrawing2.vml"/><Relationship Id="rId2" Type="http://schemas.openxmlformats.org/officeDocument/2006/relationships/hyperlink" Target="http://files.ontario.ca/guideline_for_quantification_reporting_and_verification_of_greenhouse_gas_emissions_july_2017.pdf" TargetMode="External"/><Relationship Id="rId1" Type="http://schemas.openxmlformats.org/officeDocument/2006/relationships/hyperlink" Target="https://www.uniongas.com/storage-and-transportation/resources/additional-info/conversion-info"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http://www.hydroone.com/TOU/Page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
  <sheetViews>
    <sheetView workbookViewId="0">
      <selection activeCell="E16" sqref="E16"/>
    </sheetView>
  </sheetViews>
  <sheetFormatPr defaultRowHeight="14.5" x14ac:dyDescent="0.35"/>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56"/>
  <sheetViews>
    <sheetView showGridLines="0" tabSelected="1" zoomScale="120" zoomScaleNormal="120" workbookViewId="0">
      <selection activeCell="U13" sqref="U13"/>
    </sheetView>
  </sheetViews>
  <sheetFormatPr defaultColWidth="9.1796875" defaultRowHeight="14.5" x14ac:dyDescent="0.35"/>
  <cols>
    <col min="1" max="1" width="2.81640625" style="41" customWidth="1"/>
    <col min="2" max="2" width="13.7265625" style="41" customWidth="1"/>
    <col min="3" max="3" width="6.453125" style="41" customWidth="1"/>
    <col min="4" max="4" width="7" style="41" customWidth="1"/>
    <col min="5" max="5" width="10" style="41" customWidth="1"/>
    <col min="6" max="6" width="16.453125" style="41" customWidth="1"/>
    <col min="7" max="7" width="4.54296875" style="41" customWidth="1"/>
    <col min="8" max="8" width="11" style="41" customWidth="1"/>
    <col min="9" max="9" width="12.7265625" style="41" customWidth="1"/>
    <col min="10" max="10" width="13.453125" style="41" customWidth="1"/>
    <col min="11" max="11" width="9.7265625" style="41" customWidth="1"/>
    <col min="12" max="12" width="12.7265625" style="41" customWidth="1"/>
    <col min="13" max="13" width="8.7265625" style="41" customWidth="1"/>
    <col min="14" max="14" width="2.7265625" style="41" customWidth="1"/>
    <col min="15" max="15" width="8.7265625" style="41" customWidth="1"/>
    <col min="16" max="16" width="2.7265625" style="41" customWidth="1"/>
    <col min="17" max="17" width="8.7265625" style="41" customWidth="1"/>
    <col min="18" max="18" width="11" style="41" customWidth="1"/>
    <col min="19" max="19" width="10" style="41" customWidth="1"/>
    <col min="20" max="20" width="9.1796875" style="41" customWidth="1"/>
    <col min="21" max="16384" width="9.1796875" style="41"/>
  </cols>
  <sheetData>
    <row r="1" spans="2:18" ht="36" customHeight="1" x14ac:dyDescent="0.5">
      <c r="F1" s="47"/>
      <c r="G1" s="47"/>
      <c r="I1" s="419" t="s">
        <v>121</v>
      </c>
      <c r="J1" s="419"/>
      <c r="K1" s="419"/>
      <c r="L1" s="419"/>
      <c r="M1" s="419"/>
      <c r="N1" s="419"/>
      <c r="O1" s="419"/>
      <c r="P1" s="419"/>
      <c r="Q1" s="419"/>
    </row>
    <row r="2" spans="2:18" ht="15.75" customHeight="1" x14ac:dyDescent="0.35">
      <c r="H2" s="394"/>
      <c r="I2" s="394"/>
      <c r="J2" s="394"/>
      <c r="K2" s="394"/>
      <c r="L2" s="394"/>
      <c r="M2" s="394"/>
      <c r="N2" s="394"/>
      <c r="O2" s="394"/>
      <c r="P2" s="394"/>
    </row>
    <row r="3" spans="2:18" ht="13" customHeight="1" x14ac:dyDescent="0.3">
      <c r="M3" s="495" t="s">
        <v>356</v>
      </c>
      <c r="N3" s="496"/>
      <c r="O3" s="496" t="s">
        <v>338</v>
      </c>
      <c r="P3" s="496"/>
      <c r="Q3" s="495" t="s">
        <v>335</v>
      </c>
    </row>
    <row r="4" spans="2:18" ht="15" customHeight="1" x14ac:dyDescent="0.35">
      <c r="B4" s="497" t="s">
        <v>136</v>
      </c>
      <c r="E4" s="498" t="s">
        <v>94</v>
      </c>
      <c r="F4" s="40" t="s">
        <v>44</v>
      </c>
      <c r="H4" s="498" t="s">
        <v>123</v>
      </c>
      <c r="I4" s="420" t="s">
        <v>360</v>
      </c>
      <c r="J4" s="421"/>
      <c r="L4" s="498"/>
      <c r="M4" s="499" t="s">
        <v>337</v>
      </c>
      <c r="N4" s="500"/>
      <c r="O4" s="499" t="s">
        <v>339</v>
      </c>
      <c r="P4" s="500"/>
      <c r="Q4" s="499" t="s">
        <v>336</v>
      </c>
    </row>
    <row r="5" spans="2:18" ht="15" customHeight="1" x14ac:dyDescent="0.35">
      <c r="F5" s="40" t="s">
        <v>61</v>
      </c>
      <c r="J5" s="501"/>
      <c r="K5" s="502"/>
      <c r="L5" s="498" t="s">
        <v>341</v>
      </c>
      <c r="M5" s="141">
        <v>0.64900000000000002</v>
      </c>
      <c r="O5" s="142">
        <v>3.5000000000000003E-2</v>
      </c>
      <c r="Q5" s="393"/>
    </row>
    <row r="6" spans="2:18" ht="15" customHeight="1" x14ac:dyDescent="0.35">
      <c r="L6" s="498" t="s">
        <v>342</v>
      </c>
      <c r="M6" s="142">
        <v>0.95899999999999996</v>
      </c>
      <c r="N6" s="503"/>
      <c r="O6" s="395"/>
      <c r="Q6" s="393"/>
    </row>
    <row r="7" spans="2:18" ht="4" customHeight="1" x14ac:dyDescent="0.35">
      <c r="L7" s="498"/>
      <c r="M7" s="498"/>
      <c r="N7" s="498"/>
      <c r="O7" s="498"/>
      <c r="P7" s="498"/>
      <c r="Q7" s="498"/>
    </row>
    <row r="8" spans="2:18" ht="15" customHeight="1" x14ac:dyDescent="0.35">
      <c r="B8" s="497" t="s">
        <v>135</v>
      </c>
      <c r="E8" s="498" t="s">
        <v>95</v>
      </c>
      <c r="F8" s="40" t="s">
        <v>91</v>
      </c>
      <c r="I8" s="498" t="s">
        <v>137</v>
      </c>
      <c r="J8" s="40" t="s">
        <v>105</v>
      </c>
      <c r="N8" s="503"/>
      <c r="P8" s="498" t="s">
        <v>340</v>
      </c>
      <c r="Q8" s="50">
        <v>1141</v>
      </c>
    </row>
    <row r="9" spans="2:18" ht="15" customHeight="1" x14ac:dyDescent="0.35">
      <c r="E9" s="498" t="s">
        <v>113</v>
      </c>
      <c r="F9" s="40" t="s">
        <v>116</v>
      </c>
      <c r="I9" s="498" t="s">
        <v>96</v>
      </c>
      <c r="J9" s="200">
        <v>3</v>
      </c>
    </row>
    <row r="10" spans="2:18" ht="15" customHeight="1" x14ac:dyDescent="0.35"/>
    <row r="11" spans="2:18" ht="15" customHeight="1" x14ac:dyDescent="0.35">
      <c r="B11" s="504" t="s">
        <v>271</v>
      </c>
      <c r="C11" s="504"/>
      <c r="D11" s="504"/>
      <c r="F11" s="505" t="s">
        <v>233</v>
      </c>
      <c r="G11" s="505"/>
      <c r="H11" s="505"/>
      <c r="I11" s="506" t="s">
        <v>232</v>
      </c>
      <c r="J11" s="506"/>
      <c r="K11" s="507" t="s">
        <v>24</v>
      </c>
    </row>
    <row r="12" spans="2:18" ht="15" customHeight="1" x14ac:dyDescent="0.3">
      <c r="B12" s="504"/>
      <c r="C12" s="504"/>
      <c r="D12" s="504"/>
      <c r="E12" s="508" t="s">
        <v>134</v>
      </c>
      <c r="F12" s="509" t="s">
        <v>134</v>
      </c>
      <c r="G12" s="509"/>
      <c r="H12" s="510" t="s">
        <v>275</v>
      </c>
      <c r="I12" s="510" t="s">
        <v>134</v>
      </c>
      <c r="J12" s="511" t="s">
        <v>230</v>
      </c>
      <c r="K12" s="512" t="s">
        <v>231</v>
      </c>
      <c r="R12" s="513"/>
    </row>
    <row r="13" spans="2:18" ht="15" customHeight="1" x14ac:dyDescent="0.3">
      <c r="C13" s="41" t="s">
        <v>126</v>
      </c>
      <c r="E13" s="40" t="s">
        <v>55</v>
      </c>
      <c r="F13" s="514">
        <f>IF('Common Inputs'!N53=TRUE,'Common Inputs'!T53,0)</f>
        <v>1962.5041310924378</v>
      </c>
      <c r="G13" s="515" t="str">
        <f>IF('Common Inputs'!N53=FALSE,"",IF(E13="electric", "kWh",IF(E13="wood", "","litres")))</f>
        <v>litres</v>
      </c>
      <c r="H13" s="516">
        <f>'Common Inputs'!P53</f>
        <v>1807.3000000000002</v>
      </c>
      <c r="I13" s="517">
        <f>IF('Common Inputs'!N53=FALSE,0,IF(E13="electric",F13*'Electric Rates'!$P$52,IF(E13="propane",F13*($M$5+$O$5),IF(E13="oil",F13*($M$6+$O$6),$Q$8/COUNTIF('Common Inputs'!Y$53:Y$60,"wood")))))</f>
        <v>1882.0414617176477</v>
      </c>
      <c r="J13" s="518">
        <f>IF('Common Inputs'!N53=FALSE,0,IF($F$4="union south",'South M1 Rates'!$F$37*H13,IF($F$4="union nw",'NW 01 Rates'!$F$42*H13,'NE 01 Rates'!$F$42*H13)))</f>
        <v>543.71774989816959</v>
      </c>
      <c r="K13" s="519">
        <f t="shared" ref="K13:K22" si="0">I13-J13</f>
        <v>1338.3237118194781</v>
      </c>
      <c r="R13" s="520"/>
    </row>
    <row r="14" spans="2:18" ht="15" customHeight="1" x14ac:dyDescent="0.3">
      <c r="C14" s="41" t="s">
        <v>127</v>
      </c>
      <c r="E14" s="40" t="s">
        <v>110</v>
      </c>
      <c r="F14" s="514">
        <f>IF('Common Inputs'!N54=TRUE,'Common Inputs'!T54,0)</f>
        <v>0</v>
      </c>
      <c r="G14" s="515" t="str">
        <f>IF('Common Inputs'!N54=FALSE,"",IF(E14="electric", "kWh",IF(E14="wood", "","litres")))</f>
        <v/>
      </c>
      <c r="H14" s="516">
        <f>'Common Inputs'!P54</f>
        <v>0</v>
      </c>
      <c r="I14" s="517">
        <f>IF('Common Inputs'!N54=FALSE,0,IF(E14="electric",F14*'Electric Rates'!$P$52,IF(E14="propane",F14*($M$5+$O$5),IF(E14="oil",F14*($M$6+$O$6),$Q$8/COUNTIF('Common Inputs'!Y$53:Y$60,"wood")))))</f>
        <v>0</v>
      </c>
      <c r="J14" s="518">
        <f>IF('Common Inputs'!N54=FALSE,0,IF($F$4="union south",'South M1 Rates'!$F$37*H14,IF($F$4="union nw",'NW 01 Rates'!$F$42*H14,'NE 01 Rates'!$F$42*H14)))</f>
        <v>0</v>
      </c>
      <c r="K14" s="519">
        <f t="shared" si="0"/>
        <v>0</v>
      </c>
      <c r="R14" s="520"/>
    </row>
    <row r="15" spans="2:18" ht="15" customHeight="1" x14ac:dyDescent="0.3">
      <c r="C15" s="41" t="s">
        <v>132</v>
      </c>
      <c r="E15" s="40" t="s">
        <v>110</v>
      </c>
      <c r="F15" s="514">
        <f>IF('Common Inputs'!N55=TRUE,'Common Inputs'!T55,0)</f>
        <v>0</v>
      </c>
      <c r="G15" s="515" t="str">
        <f>IF('Common Inputs'!N55=FALSE,"",IF(E15="electric", "kWh",IF(E15="wood", "","litres")))</f>
        <v/>
      </c>
      <c r="H15" s="516">
        <f>'Common Inputs'!P55</f>
        <v>0</v>
      </c>
      <c r="I15" s="517">
        <f>IF('Common Inputs'!N55=FALSE,0,IF(E15="electric",F15*'Electric Rates'!$P$52,IF(E15="propane",F15*($M$5+$O$5),IF(E15="oil",F15*($M$6+$O$6),$Q$8/COUNTIF('Common Inputs'!Y$53:Y$60,"wood")))))</f>
        <v>0</v>
      </c>
      <c r="J15" s="518">
        <f>IF('Common Inputs'!N55=FALSE,0,IF($F$4="union south",'South M1 Rates'!$F$37*H15,IF($F$4="union nw",'NW 01 Rates'!$F$42*H15,'NE 01 Rates'!$F$42*H15)))</f>
        <v>0</v>
      </c>
      <c r="K15" s="519">
        <f t="shared" si="0"/>
        <v>0</v>
      </c>
      <c r="R15" s="520"/>
    </row>
    <row r="16" spans="2:18" ht="15" customHeight="1" x14ac:dyDescent="0.3">
      <c r="C16" s="41" t="s">
        <v>128</v>
      </c>
      <c r="E16" s="40" t="s">
        <v>110</v>
      </c>
      <c r="F16" s="514">
        <f>IF('Common Inputs'!N56=TRUE,'Common Inputs'!T56,0)</f>
        <v>0</v>
      </c>
      <c r="G16" s="515" t="str">
        <f>IF('Common Inputs'!N56=FALSE,"",IF(E16="electric", "kWh",IF(E16="wood", "","litres")))</f>
        <v/>
      </c>
      <c r="H16" s="516">
        <f>'Common Inputs'!P56</f>
        <v>0</v>
      </c>
      <c r="I16" s="517">
        <f>IF('Common Inputs'!N56=FALSE,0,IF(E16="electric",F16*'Electric Rates'!$P$52,IF(E16="propane",F16*($M$5+$O$5),IF(E16="oil",F16*($M$6+$O$6),$Q$8/COUNTIF('Common Inputs'!Y$53:Y$60,"wood")))))</f>
        <v>0</v>
      </c>
      <c r="J16" s="518">
        <f>IF('Common Inputs'!N56=FALSE,0,IF($F$4="union south",'South M1 Rates'!$F$37*H16,IF($F$4="union nw",'NW 01 Rates'!$F$42*H16,'NE 01 Rates'!$F$42*H16)))</f>
        <v>0</v>
      </c>
      <c r="K16" s="519">
        <f t="shared" si="0"/>
        <v>0</v>
      </c>
      <c r="R16" s="520"/>
    </row>
    <row r="17" spans="2:19" ht="15" customHeight="1" x14ac:dyDescent="0.3">
      <c r="C17" s="41" t="s">
        <v>129</v>
      </c>
      <c r="E17" s="521" t="s">
        <v>54</v>
      </c>
      <c r="F17" s="514">
        <f>IF('Common Inputs'!N57=TRUE,'Common Inputs'!T57,0)</f>
        <v>0</v>
      </c>
      <c r="G17" s="515" t="str">
        <f>IF('Common Inputs'!N57=FALSE,"",IF(E17="electric", "kWh",IF(E17="wood", "","litres")))</f>
        <v/>
      </c>
      <c r="H17" s="516">
        <f>'Common Inputs'!P57</f>
        <v>0</v>
      </c>
      <c r="I17" s="517">
        <f>IF('Common Inputs'!N57=FALSE,0,IF(E17="electric",F17*'Electric Rates'!$P$52,IF(E17="propane",F17*($M$5+$O$5),IF(E17="oil",F17*($M$6+$O$6),$Q$8/COUNTIF('Common Inputs'!Y$53:Y$60,"wood")))))</f>
        <v>0</v>
      </c>
      <c r="J17" s="518">
        <f>IF('Common Inputs'!N57=FALSE,0,IF($F$4="union south",'South M1 Rates'!$F$37*H17,IF($F$4="union nw",'NW 01 Rates'!$F$42*H17,'NE 01 Rates'!$F$42*H17)))</f>
        <v>0</v>
      </c>
      <c r="K17" s="519">
        <f t="shared" si="0"/>
        <v>0</v>
      </c>
      <c r="R17" s="520"/>
    </row>
    <row r="18" spans="2:19" ht="15" customHeight="1" x14ac:dyDescent="0.3">
      <c r="C18" s="41" t="s">
        <v>130</v>
      </c>
      <c r="E18" s="40" t="s">
        <v>111</v>
      </c>
      <c r="F18" s="514">
        <f>IF('Common Inputs'!N58=TRUE,'Common Inputs'!T58,0)</f>
        <v>0</v>
      </c>
      <c r="G18" s="515" t="str">
        <f>IF('Common Inputs'!N58=FALSE,"",IF(E18="electric", "kWh",IF(E18="wood", "","litres")))</f>
        <v/>
      </c>
      <c r="H18" s="516">
        <f>'Common Inputs'!P58</f>
        <v>0</v>
      </c>
      <c r="I18" s="517">
        <f>IF('Common Inputs'!N58=FALSE,0,IF(E18="electric",F18*'Electric Rates'!$P$52,IF(E18="propane",F18*($M$5+$O$5),IF(E18="oil",F18*($M$6+$O$6),$Q$8/COUNTIF('Common Inputs'!Y$53:Y$60,"wood")))))</f>
        <v>0</v>
      </c>
      <c r="J18" s="518">
        <f>IF('Common Inputs'!N58=FALSE,0,IF($F$4="union south",'South M1 Rates'!$F$37*H18,IF($F$4="union nw",'NW 01 Rates'!$F$42*H18,'NE 01 Rates'!$F$42*H18)))</f>
        <v>0</v>
      </c>
      <c r="K18" s="519">
        <f t="shared" si="0"/>
        <v>0</v>
      </c>
      <c r="R18" s="520"/>
    </row>
    <row r="19" spans="2:19" ht="15" customHeight="1" x14ac:dyDescent="0.3">
      <c r="C19" s="41" t="s">
        <v>131</v>
      </c>
      <c r="E19" s="40" t="s">
        <v>54</v>
      </c>
      <c r="F19" s="514">
        <f>IF('Common Inputs'!N59=TRUE,'Common Inputs'!T59,0)</f>
        <v>0</v>
      </c>
      <c r="G19" s="515" t="str">
        <f>IF('Common Inputs'!N59=FALSE,"",IF(E19="electric", "kWh",IF(E19="wood", "","litres")))</f>
        <v/>
      </c>
      <c r="H19" s="516">
        <f>'Common Inputs'!P59</f>
        <v>0</v>
      </c>
      <c r="I19" s="517">
        <f>IF('Common Inputs'!N59=FALSE,0,IF(E19="electric",F19*'Electric Rates'!$P$52,IF(E19="propane",F19*($M$5+$O$5),IF(E19="oil",F19*($M$6+$O$6),$Q$8/COUNTIF('Common Inputs'!Y$53:Y$60,"wood")))))</f>
        <v>0</v>
      </c>
      <c r="J19" s="518">
        <f>IF('Common Inputs'!N59=FALSE,0,IF($F$4="union south",'South M1 Rates'!$F$37*H19,IF($F$4="union nw",'NW 01 Rates'!$F$42*H19,'NE 01 Rates'!$F$42*H19)))</f>
        <v>0</v>
      </c>
      <c r="K19" s="519">
        <f t="shared" si="0"/>
        <v>0</v>
      </c>
      <c r="R19" s="520"/>
    </row>
    <row r="20" spans="2:19" ht="15" customHeight="1" x14ac:dyDescent="0.3">
      <c r="C20" s="41" t="s">
        <v>124</v>
      </c>
      <c r="E20" s="40" t="s">
        <v>55</v>
      </c>
      <c r="F20" s="514">
        <f>IF('Common Inputs'!N60=TRUE,'Common Inputs'!T60,0)</f>
        <v>0</v>
      </c>
      <c r="G20" s="515" t="str">
        <f>IF('Common Inputs'!N60=FALSE,"",IF(E20="electric", "kWh",IF(E20="wood", "","litres")))</f>
        <v/>
      </c>
      <c r="H20" s="516">
        <f>'Common Inputs'!P60</f>
        <v>0</v>
      </c>
      <c r="I20" s="517">
        <f>IF('Common Inputs'!N60=FALSE,0,IF(E20="electric",F20*'Electric Rates'!$P$52,IF(E20="propane",F20*($M$5+$O$5),IF(E20="oil",F20*($M$6+$O$6),$Q$8/COUNTIF('Common Inputs'!Y$53:Y$60,"wood")))))</f>
        <v>0</v>
      </c>
      <c r="J20" s="518">
        <f>IF('Common Inputs'!N60=FALSE,0,IF($F$4="union south",'South M1 Rates'!$F$37*H20,IF($F$4="union nw",'NW 01 Rates'!$F$42*H20,'NE 01 Rates'!$F$42*H20)))</f>
        <v>0</v>
      </c>
      <c r="K20" s="519">
        <f t="shared" si="0"/>
        <v>0</v>
      </c>
      <c r="R20" s="520"/>
    </row>
    <row r="21" spans="2:19" ht="15" customHeight="1" x14ac:dyDescent="0.35">
      <c r="D21" s="498" t="s">
        <v>140</v>
      </c>
      <c r="E21" s="42">
        <v>433</v>
      </c>
      <c r="F21" s="522"/>
      <c r="G21" s="522"/>
      <c r="H21" s="523" t="s">
        <v>348</v>
      </c>
      <c r="I21" s="517">
        <f>IF('Common Inputs'!W62&gt;=1,'APPLIANCE Conversion'!Q5,0)+IF('Common Inputs'!X62&gt;=1,'APPLIANCE Conversion'!Q6,0)</f>
        <v>0</v>
      </c>
      <c r="J21" s="518">
        <f>IF('Common Inputs'!N62&gt;0,IF(F4="union south",'South M1 Rates'!B33,IF(F4="union nw",'NW 01 Rates'!B38,'NE 01 Rates'!B38)),0)</f>
        <v>252</v>
      </c>
      <c r="K21" s="519">
        <f t="shared" si="0"/>
        <v>-252</v>
      </c>
      <c r="R21" s="524"/>
      <c r="S21" s="525"/>
    </row>
    <row r="22" spans="2:19" ht="15" customHeight="1" x14ac:dyDescent="0.35">
      <c r="F22" s="522"/>
      <c r="G22" s="522"/>
      <c r="H22" s="523" t="s">
        <v>138</v>
      </c>
      <c r="I22" s="517">
        <f>'Common Inputs'!V62</f>
        <v>244.66539002329421</v>
      </c>
      <c r="J22" s="518">
        <f>SUM(J13:J21)*0.13</f>
        <v>103.44330748676205</v>
      </c>
      <c r="K22" s="519">
        <f t="shared" si="0"/>
        <v>141.22208253653216</v>
      </c>
      <c r="R22" s="526"/>
      <c r="S22" s="525"/>
    </row>
    <row r="23" spans="2:19" ht="15" customHeight="1" x14ac:dyDescent="0.35">
      <c r="F23" s="527" t="s">
        <v>139</v>
      </c>
      <c r="G23" s="528"/>
      <c r="H23" s="529">
        <f>SUM(H13:H20)</f>
        <v>1807.3000000000002</v>
      </c>
      <c r="I23" s="530">
        <f>SUM(I13:I22)</f>
        <v>2126.7068517409421</v>
      </c>
      <c r="J23" s="531">
        <f>SUM(J13:J22)</f>
        <v>899.16105738493161</v>
      </c>
      <c r="K23" s="532">
        <f>SUM(K13:K22)</f>
        <v>1227.5457943560102</v>
      </c>
      <c r="S23" s="533"/>
    </row>
    <row r="24" spans="2:19" ht="8.15" customHeight="1" x14ac:dyDescent="0.35">
      <c r="E24" s="534"/>
      <c r="F24" s="535"/>
      <c r="G24" s="536"/>
      <c r="H24" s="537"/>
    </row>
    <row r="25" spans="2:19" ht="21.75" customHeight="1" x14ac:dyDescent="0.35">
      <c r="F25" s="538"/>
      <c r="G25" s="538"/>
      <c r="H25" s="538"/>
      <c r="I25" s="539" t="s">
        <v>9</v>
      </c>
      <c r="J25" s="540">
        <f>K23</f>
        <v>1227.5457943560102</v>
      </c>
    </row>
    <row r="26" spans="2:19" ht="8.15" customHeight="1" x14ac:dyDescent="0.35">
      <c r="K26" s="541"/>
    </row>
    <row r="27" spans="2:19" ht="12" customHeight="1" x14ac:dyDescent="0.35">
      <c r="G27" s="534" t="s">
        <v>146</v>
      </c>
      <c r="H27" s="542">
        <f>'Common Inputs'!C4</f>
        <v>43101</v>
      </c>
      <c r="I27" s="543" t="str">
        <f xml:space="preserve"> IF(F5="including SES","including SES Surcharge","")</f>
        <v>including SES Surcharge</v>
      </c>
      <c r="K27" s="541"/>
    </row>
    <row r="28" spans="2:19" ht="12" customHeight="1" x14ac:dyDescent="0.35">
      <c r="B28" s="543" t="s">
        <v>349</v>
      </c>
      <c r="F28" s="543"/>
      <c r="G28" s="543"/>
      <c r="H28" s="543"/>
    </row>
    <row r="29" spans="2:19" ht="15" customHeight="1" x14ac:dyDescent="0.35">
      <c r="B29" s="544" t="s">
        <v>357</v>
      </c>
      <c r="C29" s="544"/>
      <c r="D29" s="544"/>
      <c r="E29" s="544"/>
      <c r="F29" s="544"/>
      <c r="G29" s="544"/>
      <c r="H29" s="544"/>
      <c r="I29" s="544"/>
      <c r="J29" s="544"/>
      <c r="K29" s="503"/>
      <c r="L29" s="545"/>
      <c r="Q29" s="501" t="str">
        <f>IF('Common Inputs'!V26&gt;0.0049,"Projected annual greenhouse gas emission reductions:","")</f>
        <v>Projected annual greenhouse gas emission reductions:</v>
      </c>
      <c r="R29" s="546">
        <f>IF('Common Inputs'!V26&gt;0.0049,'Common Inputs'!V26,"")</f>
        <v>0.34799867228497267</v>
      </c>
    </row>
    <row r="30" spans="2:19" ht="10.5" customHeight="1" x14ac:dyDescent="0.35">
      <c r="B30" s="544"/>
      <c r="C30" s="544"/>
      <c r="D30" s="544"/>
      <c r="E30" s="544"/>
      <c r="F30" s="544"/>
      <c r="G30" s="544"/>
      <c r="H30" s="544"/>
      <c r="I30" s="544"/>
      <c r="J30" s="544"/>
      <c r="K30" s="503"/>
      <c r="L30" s="545"/>
      <c r="Q30" s="501"/>
      <c r="R30" s="546"/>
    </row>
    <row r="31" spans="2:19" ht="15" customHeight="1" x14ac:dyDescent="0.35">
      <c r="B31" s="543"/>
      <c r="L31" s="545"/>
    </row>
    <row r="32" spans="2:19" ht="15" customHeight="1" x14ac:dyDescent="0.35">
      <c r="B32" s="543"/>
      <c r="G32" s="534"/>
      <c r="H32" s="542"/>
      <c r="I32" s="543"/>
      <c r="L32" s="545"/>
    </row>
    <row r="33" spans="5:15" s="547" customFormat="1" ht="15" hidden="1" customHeight="1" x14ac:dyDescent="0.35">
      <c r="L33" s="548"/>
    </row>
    <row r="34" spans="5:15" s="547" customFormat="1" ht="15" hidden="1" customHeight="1" x14ac:dyDescent="0.35">
      <c r="F34" s="549" t="s">
        <v>100</v>
      </c>
      <c r="G34" s="549"/>
      <c r="J34" s="549" t="s">
        <v>99</v>
      </c>
      <c r="K34" s="549"/>
      <c r="O34" s="549" t="s">
        <v>98</v>
      </c>
    </row>
    <row r="35" spans="5:15" s="547" customFormat="1" ht="15" hidden="1" customHeight="1" x14ac:dyDescent="0.35">
      <c r="F35" s="550" t="s">
        <v>91</v>
      </c>
      <c r="J35" s="550" t="s">
        <v>101</v>
      </c>
      <c r="O35" s="550" t="s">
        <v>8</v>
      </c>
    </row>
    <row r="36" spans="5:15" s="547" customFormat="1" ht="15" hidden="1" customHeight="1" x14ac:dyDescent="0.35">
      <c r="F36" s="550" t="s">
        <v>97</v>
      </c>
      <c r="J36" s="550" t="s">
        <v>102</v>
      </c>
      <c r="O36" s="550" t="s">
        <v>43</v>
      </c>
    </row>
    <row r="37" spans="5:15" s="547" customFormat="1" ht="15" hidden="1" customHeight="1" x14ac:dyDescent="0.35">
      <c r="F37" s="550" t="s">
        <v>92</v>
      </c>
      <c r="J37" s="550" t="s">
        <v>103</v>
      </c>
      <c r="O37" s="550" t="s">
        <v>44</v>
      </c>
    </row>
    <row r="38" spans="5:15" s="547" customFormat="1" ht="12" hidden="1" x14ac:dyDescent="0.35">
      <c r="F38" s="550" t="s">
        <v>211</v>
      </c>
      <c r="J38" s="550" t="s">
        <v>104</v>
      </c>
    </row>
    <row r="39" spans="5:15" s="547" customFormat="1" ht="12" hidden="1" x14ac:dyDescent="0.35">
      <c r="J39" s="550" t="s">
        <v>105</v>
      </c>
      <c r="O39" s="549" t="s">
        <v>38</v>
      </c>
    </row>
    <row r="40" spans="5:15" s="547" customFormat="1" ht="12" hidden="1" x14ac:dyDescent="0.35">
      <c r="E40" s="549" t="s">
        <v>99</v>
      </c>
      <c r="F40" s="549" t="s">
        <v>214</v>
      </c>
      <c r="J40" s="550" t="s">
        <v>106</v>
      </c>
      <c r="O40" s="550" t="s">
        <v>61</v>
      </c>
    </row>
    <row r="41" spans="5:15" s="547" customFormat="1" ht="12" hidden="1" x14ac:dyDescent="0.35">
      <c r="E41" s="550" t="s">
        <v>114</v>
      </c>
      <c r="F41" s="547">
        <v>1000</v>
      </c>
      <c r="J41" s="550" t="s">
        <v>107</v>
      </c>
      <c r="O41" s="550" t="s">
        <v>62</v>
      </c>
    </row>
    <row r="42" spans="5:15" s="547" customFormat="1" ht="12" hidden="1" x14ac:dyDescent="0.35">
      <c r="E42" s="550" t="s">
        <v>115</v>
      </c>
      <c r="F42" s="547">
        <v>1250</v>
      </c>
      <c r="J42" s="550" t="s">
        <v>108</v>
      </c>
    </row>
    <row r="43" spans="5:15" s="547" customFormat="1" ht="12" hidden="1" x14ac:dyDescent="0.35">
      <c r="E43" s="550" t="s">
        <v>116</v>
      </c>
      <c r="F43" s="547">
        <v>1750</v>
      </c>
      <c r="J43" s="550" t="s">
        <v>109</v>
      </c>
      <c r="O43" s="549" t="s">
        <v>125</v>
      </c>
    </row>
    <row r="44" spans="5:15" s="547" customFormat="1" ht="12" hidden="1" x14ac:dyDescent="0.35">
      <c r="E44" s="550" t="s">
        <v>117</v>
      </c>
      <c r="F44" s="547">
        <v>2250</v>
      </c>
      <c r="O44" s="550" t="s">
        <v>303</v>
      </c>
    </row>
    <row r="45" spans="5:15" s="547" customFormat="1" ht="12" hidden="1" x14ac:dyDescent="0.35">
      <c r="E45" s="550" t="s">
        <v>118</v>
      </c>
      <c r="F45" s="547">
        <v>2750</v>
      </c>
      <c r="J45" s="549" t="s">
        <v>122</v>
      </c>
      <c r="K45" s="549"/>
      <c r="O45" s="550" t="s">
        <v>304</v>
      </c>
    </row>
    <row r="46" spans="5:15" s="547" customFormat="1" ht="12" hidden="1" x14ac:dyDescent="0.35">
      <c r="E46" s="550" t="s">
        <v>119</v>
      </c>
      <c r="F46" s="547">
        <v>3500</v>
      </c>
      <c r="J46" s="550" t="s">
        <v>110</v>
      </c>
      <c r="O46" s="550" t="s">
        <v>305</v>
      </c>
    </row>
    <row r="47" spans="5:15" s="547" customFormat="1" ht="12" hidden="1" x14ac:dyDescent="0.35">
      <c r="E47" s="550" t="s">
        <v>120</v>
      </c>
      <c r="F47" s="547">
        <v>4500</v>
      </c>
      <c r="J47" s="550" t="s">
        <v>55</v>
      </c>
      <c r="O47" s="550" t="s">
        <v>270</v>
      </c>
    </row>
    <row r="48" spans="5:15" s="547" customFormat="1" ht="12" hidden="1" x14ac:dyDescent="0.35">
      <c r="J48" s="550" t="s">
        <v>54</v>
      </c>
      <c r="O48" s="550" t="s">
        <v>306</v>
      </c>
    </row>
    <row r="49" spans="5:15" s="547" customFormat="1" ht="12" hidden="1" x14ac:dyDescent="0.35">
      <c r="E49" s="551" t="s">
        <v>93</v>
      </c>
      <c r="F49" s="551" t="s">
        <v>214</v>
      </c>
      <c r="G49" s="551"/>
      <c r="J49" s="550" t="s">
        <v>111</v>
      </c>
      <c r="O49" s="550" t="str">
        <f>'Common Inputs'!H63</f>
        <v>N Bay Hydro</v>
      </c>
    </row>
    <row r="50" spans="5:15" s="547" customFormat="1" ht="12" hidden="1" x14ac:dyDescent="0.35">
      <c r="E50" s="550">
        <v>1</v>
      </c>
      <c r="F50" s="552">
        <v>1</v>
      </c>
      <c r="G50" s="552"/>
    </row>
    <row r="51" spans="5:15" s="547" customFormat="1" ht="12" hidden="1" x14ac:dyDescent="0.35">
      <c r="E51" s="550">
        <v>2</v>
      </c>
      <c r="F51" s="552">
        <v>2</v>
      </c>
      <c r="G51" s="552"/>
    </row>
    <row r="52" spans="5:15" s="547" customFormat="1" ht="12" hidden="1" x14ac:dyDescent="0.35">
      <c r="E52" s="550">
        <v>3</v>
      </c>
      <c r="F52" s="552">
        <v>3</v>
      </c>
      <c r="G52" s="552"/>
      <c r="J52" s="549" t="s">
        <v>133</v>
      </c>
      <c r="K52" s="549"/>
    </row>
    <row r="53" spans="5:15" s="547" customFormat="1" ht="12" hidden="1" x14ac:dyDescent="0.35">
      <c r="E53" s="550">
        <v>4</v>
      </c>
      <c r="F53" s="552">
        <v>4</v>
      </c>
      <c r="G53" s="552"/>
      <c r="J53" s="550" t="s">
        <v>110</v>
      </c>
    </row>
    <row r="54" spans="5:15" s="547" customFormat="1" ht="12" hidden="1" x14ac:dyDescent="0.35">
      <c r="E54" s="553" t="s">
        <v>112</v>
      </c>
      <c r="F54" s="552">
        <v>5.5</v>
      </c>
      <c r="G54" s="552"/>
      <c r="J54" s="550" t="s">
        <v>54</v>
      </c>
    </row>
    <row r="55" spans="5:15" s="547" customFormat="1" ht="12" hidden="1" x14ac:dyDescent="0.35">
      <c r="E55" s="550" t="s">
        <v>299</v>
      </c>
      <c r="F55" s="552">
        <v>7</v>
      </c>
      <c r="G55" s="552"/>
    </row>
    <row r="56" spans="5:15" hidden="1" x14ac:dyDescent="0.35"/>
  </sheetData>
  <sheetProtection selectLockedCells="1"/>
  <mergeCells count="6">
    <mergeCell ref="I1:Q1"/>
    <mergeCell ref="B29:J30"/>
    <mergeCell ref="B11:D12"/>
    <mergeCell ref="F11:H11"/>
    <mergeCell ref="I11:J11"/>
    <mergeCell ref="I4:J4"/>
  </mergeCells>
  <dataValidations count="11">
    <dataValidation type="list" showInputMessage="1" showErrorMessage="1" sqref="I4" xr:uid="{00000000-0002-0000-0000-000000000000}">
      <formula1>$O$44:$O$49</formula1>
    </dataValidation>
    <dataValidation type="list" showInputMessage="1" showErrorMessage="1" sqref="J8" xr:uid="{00000000-0002-0000-0000-000001000000}">
      <formula1>$J$35:$J$43</formula1>
    </dataValidation>
    <dataValidation type="list" showInputMessage="1" showErrorMessage="1" sqref="F4" xr:uid="{00000000-0002-0000-0000-000002000000}">
      <formula1>$O$35:$O$37</formula1>
    </dataValidation>
    <dataValidation type="list" showInputMessage="1" showErrorMessage="1" sqref="F5" xr:uid="{00000000-0002-0000-0000-000003000000}">
      <formula1>$O$40:$O$41</formula1>
    </dataValidation>
    <dataValidation type="list" showInputMessage="1" showErrorMessage="1" sqref="E13 E20" xr:uid="{00000000-0002-0000-0000-000004000000}">
      <formula1>$J$46:$J$49</formula1>
    </dataValidation>
    <dataValidation type="list" showInputMessage="1" showErrorMessage="1" sqref="E18" xr:uid="{00000000-0002-0000-0000-000005000000}">
      <formula1>$J$48:$J$49</formula1>
    </dataValidation>
    <dataValidation type="list" showInputMessage="1" showErrorMessage="1" sqref="E14 E19" xr:uid="{00000000-0002-0000-0000-000006000000}">
      <formula1>$J$46:$J$48</formula1>
    </dataValidation>
    <dataValidation type="list" showInputMessage="1" showErrorMessage="1" sqref="E15:E16" xr:uid="{00000000-0002-0000-0000-000007000000}">
      <formula1>$J$53:$J$54</formula1>
    </dataValidation>
    <dataValidation type="list" showInputMessage="1" showErrorMessage="1" sqref="F8" xr:uid="{00000000-0002-0000-0000-000008000000}">
      <formula1>$F$35:$F$38</formula1>
    </dataValidation>
    <dataValidation type="list" showInputMessage="1" showErrorMessage="1" sqref="J9" xr:uid="{00000000-0002-0000-0000-000009000000}">
      <formula1>$E$50:$E$55</formula1>
    </dataValidation>
    <dataValidation type="list" showInputMessage="1" showErrorMessage="1" sqref="F9" xr:uid="{00000000-0002-0000-0000-00000A000000}">
      <formula1>$E$41:$E$47</formula1>
    </dataValidation>
  </dataValidations>
  <pageMargins left="0.25" right="0.25" top="0.75" bottom="0.75" header="0.3" footer="0.3"/>
  <pageSetup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1</xdr:col>
                    <xdr:colOff>584200</xdr:colOff>
                    <xdr:row>11</xdr:row>
                    <xdr:rowOff>146050</xdr:rowOff>
                  </from>
                  <to>
                    <xdr:col>1</xdr:col>
                    <xdr:colOff>838200</xdr:colOff>
                    <xdr:row>13</xdr:row>
                    <xdr:rowOff>38100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1</xdr:col>
                    <xdr:colOff>584200</xdr:colOff>
                    <xdr:row>12</xdr:row>
                    <xdr:rowOff>165100</xdr:rowOff>
                  </from>
                  <to>
                    <xdr:col>1</xdr:col>
                    <xdr:colOff>838200</xdr:colOff>
                    <xdr:row>14</xdr:row>
                    <xdr:rowOff>50800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1</xdr:col>
                    <xdr:colOff>584200</xdr:colOff>
                    <xdr:row>13</xdr:row>
                    <xdr:rowOff>165100</xdr:rowOff>
                  </from>
                  <to>
                    <xdr:col>1</xdr:col>
                    <xdr:colOff>838200</xdr:colOff>
                    <xdr:row>15</xdr:row>
                    <xdr:rowOff>50800</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1</xdr:col>
                    <xdr:colOff>584200</xdr:colOff>
                    <xdr:row>14</xdr:row>
                    <xdr:rowOff>165100</xdr:rowOff>
                  </from>
                  <to>
                    <xdr:col>1</xdr:col>
                    <xdr:colOff>838200</xdr:colOff>
                    <xdr:row>16</xdr:row>
                    <xdr:rowOff>50800</xdr:rowOff>
                  </to>
                </anchor>
              </controlPr>
            </control>
          </mc:Choice>
        </mc:AlternateContent>
        <mc:AlternateContent xmlns:mc="http://schemas.openxmlformats.org/markup-compatibility/2006">
          <mc:Choice Requires="x14">
            <control shapeId="1030" r:id="rId8" name="Check Box 6">
              <controlPr locked="0" defaultSize="0" autoFill="0" autoLine="0" autoPict="0">
                <anchor moveWithCells="1">
                  <from>
                    <xdr:col>1</xdr:col>
                    <xdr:colOff>584200</xdr:colOff>
                    <xdr:row>15</xdr:row>
                    <xdr:rowOff>165100</xdr:rowOff>
                  </from>
                  <to>
                    <xdr:col>1</xdr:col>
                    <xdr:colOff>838200</xdr:colOff>
                    <xdr:row>17</xdr:row>
                    <xdr:rowOff>50800</xdr:rowOff>
                  </to>
                </anchor>
              </controlPr>
            </control>
          </mc:Choice>
        </mc:AlternateContent>
        <mc:AlternateContent xmlns:mc="http://schemas.openxmlformats.org/markup-compatibility/2006">
          <mc:Choice Requires="x14">
            <control shapeId="1031" r:id="rId9" name="Check Box 7">
              <controlPr locked="0" defaultSize="0" autoFill="0" autoLine="0" autoPict="0">
                <anchor moveWithCells="1">
                  <from>
                    <xdr:col>1</xdr:col>
                    <xdr:colOff>584200</xdr:colOff>
                    <xdr:row>16</xdr:row>
                    <xdr:rowOff>146050</xdr:rowOff>
                  </from>
                  <to>
                    <xdr:col>1</xdr:col>
                    <xdr:colOff>838200</xdr:colOff>
                    <xdr:row>18</xdr:row>
                    <xdr:rowOff>38100</xdr:rowOff>
                  </to>
                </anchor>
              </controlPr>
            </control>
          </mc:Choice>
        </mc:AlternateContent>
        <mc:AlternateContent xmlns:mc="http://schemas.openxmlformats.org/markup-compatibility/2006">
          <mc:Choice Requires="x14">
            <control shapeId="1032" r:id="rId10" name="Check Box 8">
              <controlPr locked="0" defaultSize="0" autoFill="0" autoLine="0" autoPict="0">
                <anchor moveWithCells="1">
                  <from>
                    <xdr:col>1</xdr:col>
                    <xdr:colOff>584200</xdr:colOff>
                    <xdr:row>17</xdr:row>
                    <xdr:rowOff>146050</xdr:rowOff>
                  </from>
                  <to>
                    <xdr:col>1</xdr:col>
                    <xdr:colOff>838200</xdr:colOff>
                    <xdr:row>19</xdr:row>
                    <xdr:rowOff>38100</xdr:rowOff>
                  </to>
                </anchor>
              </controlPr>
            </control>
          </mc:Choice>
        </mc:AlternateContent>
        <mc:AlternateContent xmlns:mc="http://schemas.openxmlformats.org/markup-compatibility/2006">
          <mc:Choice Requires="x14">
            <control shapeId="1033" r:id="rId11" name="Check Box 9">
              <controlPr locked="0" defaultSize="0" autoFill="0" autoLine="0" autoPict="0">
                <anchor moveWithCells="1">
                  <from>
                    <xdr:col>1</xdr:col>
                    <xdr:colOff>584200</xdr:colOff>
                    <xdr:row>18</xdr:row>
                    <xdr:rowOff>146050</xdr:rowOff>
                  </from>
                  <to>
                    <xdr:col>1</xdr:col>
                    <xdr:colOff>838200</xdr:colOff>
                    <xdr:row>20</xdr:row>
                    <xdr:rowOff>38100</xdr:rowOff>
                  </to>
                </anchor>
              </controlPr>
            </control>
          </mc:Choice>
        </mc:AlternateContent>
      </controls>
    </mc:Choice>
  </mc:AlternateContent>
  <tableParts count="9">
    <tablePart r:id="rId12"/>
    <tablePart r:id="rId13"/>
    <tablePart r:id="rId14"/>
    <tablePart r:id="rId15"/>
    <tablePart r:id="rId16"/>
    <tablePart r:id="rId17"/>
    <tablePart r:id="rId18"/>
    <tablePart r:id="rId19"/>
    <tablePart r:id="rId20"/>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91"/>
  <sheetViews>
    <sheetView topLeftCell="A32" zoomScale="80" zoomScaleNormal="80" workbookViewId="0">
      <selection activeCell="U13" sqref="U13"/>
    </sheetView>
  </sheetViews>
  <sheetFormatPr defaultRowHeight="14.5" x14ac:dyDescent="0.35"/>
  <cols>
    <col min="1" max="1" width="4.26953125" customWidth="1"/>
    <col min="2" max="2" width="37.54296875" customWidth="1"/>
    <col min="3" max="3" width="15.26953125" customWidth="1"/>
    <col min="4" max="7" width="10.1796875" customWidth="1"/>
    <col min="8" max="8" width="15.54296875" customWidth="1"/>
    <col min="9" max="9" width="6.26953125" customWidth="1"/>
    <col min="10" max="10" width="2.54296875" customWidth="1"/>
    <col min="11" max="11" width="5.1796875" customWidth="1"/>
    <col min="12" max="12" width="19.453125" customWidth="1"/>
    <col min="13" max="13" width="9" customWidth="1"/>
    <col min="14" max="15" width="11" customWidth="1"/>
    <col min="16" max="19" width="12.1796875" bestFit="1" customWidth="1"/>
    <col min="20" max="20" width="10.54296875" bestFit="1" customWidth="1"/>
    <col min="21" max="21" width="9.453125" customWidth="1"/>
    <col min="22" max="22" width="10.54296875" customWidth="1"/>
    <col min="23" max="23" width="7.54296875" customWidth="1"/>
    <col min="24" max="24" width="7.81640625" customWidth="1"/>
    <col min="25" max="28" width="7.1796875" customWidth="1"/>
  </cols>
  <sheetData>
    <row r="1" spans="2:25" ht="18.5" x14ac:dyDescent="0.45">
      <c r="C1" s="424" t="s">
        <v>63</v>
      </c>
      <c r="D1" s="425"/>
      <c r="E1" s="426"/>
      <c r="F1" t="s">
        <v>241</v>
      </c>
    </row>
    <row r="2" spans="2:25" ht="15" thickBot="1" x14ac:dyDescent="0.4"/>
    <row r="3" spans="2:25" ht="21" x14ac:dyDescent="0.5">
      <c r="B3" s="173" t="s">
        <v>300</v>
      </c>
      <c r="C3" s="174"/>
      <c r="D3" s="174"/>
      <c r="E3" s="174"/>
      <c r="F3" s="174"/>
      <c r="G3" s="174"/>
      <c r="H3" s="174"/>
      <c r="I3" s="404"/>
      <c r="J3" s="173"/>
      <c r="K3" s="188"/>
      <c r="L3" s="187" t="s">
        <v>52</v>
      </c>
      <c r="M3" s="187"/>
      <c r="N3" s="187"/>
      <c r="O3" s="187"/>
      <c r="P3" s="187"/>
      <c r="Q3" s="187"/>
      <c r="R3" s="188"/>
      <c r="S3" s="188"/>
      <c r="T3" s="188"/>
      <c r="U3" s="189"/>
      <c r="V3" s="194" t="s">
        <v>228</v>
      </c>
      <c r="W3" s="102"/>
      <c r="X3" s="102"/>
      <c r="Y3" s="189"/>
    </row>
    <row r="4" spans="2:25" ht="21" x14ac:dyDescent="0.5">
      <c r="B4" s="175" t="s">
        <v>56</v>
      </c>
      <c r="C4" s="35">
        <v>43101</v>
      </c>
      <c r="D4" s="176"/>
      <c r="E4" s="176"/>
      <c r="F4" s="176"/>
      <c r="G4" s="176"/>
      <c r="H4" s="176"/>
      <c r="I4" s="405"/>
      <c r="J4" s="332"/>
      <c r="K4" s="139"/>
      <c r="L4" s="176"/>
      <c r="M4" s="176"/>
      <c r="N4" s="176"/>
      <c r="O4" s="176"/>
      <c r="P4" s="176"/>
      <c r="Q4" s="176"/>
      <c r="R4" s="139"/>
      <c r="S4" s="139"/>
      <c r="T4" s="139"/>
      <c r="U4" s="178"/>
      <c r="V4" s="109" t="s">
        <v>58</v>
      </c>
      <c r="W4" s="113" t="s">
        <v>59</v>
      </c>
      <c r="X4" s="154" t="s">
        <v>60</v>
      </c>
      <c r="Y4" s="178"/>
    </row>
    <row r="5" spans="2:25" ht="18.5" x14ac:dyDescent="0.45">
      <c r="B5" s="177" t="s">
        <v>237</v>
      </c>
      <c r="C5" s="113"/>
      <c r="D5" s="113"/>
      <c r="E5" s="113"/>
      <c r="F5" s="113"/>
      <c r="G5" s="113"/>
      <c r="H5" s="113"/>
      <c r="I5" s="178"/>
      <c r="J5" s="109"/>
      <c r="K5" s="139"/>
      <c r="L5" s="139"/>
      <c r="M5" s="69" t="s">
        <v>0</v>
      </c>
      <c r="N5" s="69" t="s">
        <v>45</v>
      </c>
      <c r="O5" s="139" t="s">
        <v>2</v>
      </c>
      <c r="P5" s="139"/>
      <c r="Q5" s="139"/>
      <c r="R5" s="139"/>
      <c r="S5" s="139"/>
      <c r="T5" s="139"/>
      <c r="U5" s="178"/>
      <c r="V5" s="109" t="s">
        <v>25</v>
      </c>
      <c r="W5" s="34">
        <v>398</v>
      </c>
      <c r="X5" s="79">
        <f t="shared" ref="X5:X16" si="0">W5/W$17</f>
        <v>0.1796028880866426</v>
      </c>
      <c r="Y5" s="178"/>
    </row>
    <row r="6" spans="2:25" x14ac:dyDescent="0.35">
      <c r="B6" s="179" t="s">
        <v>10</v>
      </c>
      <c r="C6" s="9" t="s">
        <v>11</v>
      </c>
      <c r="D6" s="113"/>
      <c r="E6" s="113"/>
      <c r="F6" s="113"/>
      <c r="G6" s="113"/>
      <c r="H6" s="113"/>
      <c r="I6" s="178"/>
      <c r="J6" s="109"/>
      <c r="K6" s="139"/>
      <c r="L6" s="69" t="s">
        <v>1</v>
      </c>
      <c r="M6" s="185">
        <v>38.21</v>
      </c>
      <c r="N6" s="185">
        <v>38.950000000000003</v>
      </c>
      <c r="O6" s="190" t="s">
        <v>83</v>
      </c>
      <c r="P6" s="139"/>
      <c r="Q6" s="139"/>
      <c r="R6" s="139"/>
      <c r="S6" s="139"/>
      <c r="T6" s="139"/>
      <c r="U6" s="178"/>
      <c r="V6" s="109" t="s">
        <v>26</v>
      </c>
      <c r="W6" s="34">
        <v>350</v>
      </c>
      <c r="X6" s="79">
        <f t="shared" si="0"/>
        <v>0.15794223826714801</v>
      </c>
      <c r="Y6" s="178"/>
    </row>
    <row r="7" spans="2:25" x14ac:dyDescent="0.35">
      <c r="B7" s="180" t="s">
        <v>12</v>
      </c>
      <c r="C7" s="36">
        <v>21</v>
      </c>
      <c r="D7" s="113"/>
      <c r="E7" s="113"/>
      <c r="F7" s="113"/>
      <c r="G7" s="113"/>
      <c r="H7" s="113"/>
      <c r="I7" s="178"/>
      <c r="J7" s="109"/>
      <c r="K7" s="139"/>
      <c r="L7" s="220" t="s">
        <v>53</v>
      </c>
      <c r="M7" s="208">
        <v>1000</v>
      </c>
      <c r="N7" s="105" t="s">
        <v>88</v>
      </c>
      <c r="O7" s="208">
        <v>1</v>
      </c>
      <c r="P7" s="208" t="s">
        <v>89</v>
      </c>
      <c r="Q7" s="139"/>
      <c r="R7" s="139"/>
      <c r="S7" s="139"/>
      <c r="T7" s="139"/>
      <c r="U7" s="178"/>
      <c r="V7" s="109" t="s">
        <v>27</v>
      </c>
      <c r="W7" s="34">
        <v>303</v>
      </c>
      <c r="X7" s="79">
        <f t="shared" si="0"/>
        <v>0.13673285198555957</v>
      </c>
      <c r="Y7" s="178"/>
    </row>
    <row r="8" spans="2:25" x14ac:dyDescent="0.35">
      <c r="B8" s="180" t="s">
        <v>13</v>
      </c>
      <c r="C8" s="37">
        <v>13.625999999999999</v>
      </c>
      <c r="D8" s="113"/>
      <c r="E8" s="113"/>
      <c r="F8" s="113"/>
      <c r="G8" s="113"/>
      <c r="H8" s="113"/>
      <c r="I8" s="178"/>
      <c r="J8" s="109"/>
      <c r="K8" s="139"/>
      <c r="L8" s="220" t="s">
        <v>84</v>
      </c>
      <c r="M8" s="220">
        <f>M6/M7</f>
        <v>3.8210000000000001E-2</v>
      </c>
      <c r="N8" s="220">
        <f>N6/M7</f>
        <v>3.8950000000000005E-2</v>
      </c>
      <c r="O8" s="208"/>
      <c r="P8" s="208"/>
      <c r="Q8" s="139"/>
      <c r="R8" s="139"/>
      <c r="S8" s="139"/>
      <c r="T8" s="139"/>
      <c r="U8" s="178"/>
      <c r="V8" s="109" t="s">
        <v>28</v>
      </c>
      <c r="W8" s="34">
        <v>185</v>
      </c>
      <c r="X8" s="79">
        <f t="shared" si="0"/>
        <v>8.3483754512635386E-2</v>
      </c>
      <c r="Y8" s="178"/>
    </row>
    <row r="9" spans="2:25" x14ac:dyDescent="0.35">
      <c r="B9" s="180" t="s">
        <v>14</v>
      </c>
      <c r="C9" s="37">
        <v>2.2892999999999999</v>
      </c>
      <c r="D9" s="113"/>
      <c r="E9" s="113"/>
      <c r="F9" s="113"/>
      <c r="G9" s="113"/>
      <c r="H9" s="113"/>
      <c r="I9" s="178"/>
      <c r="J9" s="109"/>
      <c r="K9" s="139"/>
      <c r="L9" s="69" t="s">
        <v>296</v>
      </c>
      <c r="M9" s="185">
        <v>25.66</v>
      </c>
      <c r="N9" s="139"/>
      <c r="O9" s="191" t="s">
        <v>85</v>
      </c>
      <c r="P9" s="190" t="s">
        <v>86</v>
      </c>
      <c r="Q9" s="139"/>
      <c r="R9" s="139"/>
      <c r="S9" s="139"/>
      <c r="T9" s="139"/>
      <c r="U9" s="178"/>
      <c r="V9" s="109" t="s">
        <v>29</v>
      </c>
      <c r="W9" s="34">
        <v>99</v>
      </c>
      <c r="X9" s="79">
        <f t="shared" si="0"/>
        <v>4.4675090252707585E-2</v>
      </c>
      <c r="Y9" s="178"/>
    </row>
    <row r="10" spans="2:25" x14ac:dyDescent="0.35">
      <c r="B10" s="180"/>
      <c r="C10" s="37"/>
      <c r="D10" s="113"/>
      <c r="E10" s="113"/>
      <c r="F10" s="113"/>
      <c r="G10" s="113"/>
      <c r="H10" s="113"/>
      <c r="I10" s="178"/>
      <c r="J10" s="109"/>
      <c r="K10" s="139"/>
      <c r="L10" s="69" t="s">
        <v>297</v>
      </c>
      <c r="M10" s="186">
        <v>38.5</v>
      </c>
      <c r="N10" s="139"/>
      <c r="O10" s="191" t="s">
        <v>85</v>
      </c>
      <c r="P10" s="190" t="s">
        <v>86</v>
      </c>
      <c r="Q10" s="139"/>
      <c r="R10" s="139"/>
      <c r="S10" s="139"/>
      <c r="T10" s="139"/>
      <c r="U10" s="178"/>
      <c r="V10" s="109" t="s">
        <v>30</v>
      </c>
      <c r="W10" s="34">
        <v>69</v>
      </c>
      <c r="X10" s="79">
        <f t="shared" si="0"/>
        <v>3.1137184115523464E-2</v>
      </c>
      <c r="Y10" s="178"/>
    </row>
    <row r="11" spans="2:25" x14ac:dyDescent="0.35">
      <c r="B11" s="180" t="s">
        <v>15</v>
      </c>
      <c r="C11" s="37">
        <v>0</v>
      </c>
      <c r="D11" s="113"/>
      <c r="E11" s="113"/>
      <c r="F11" s="113"/>
      <c r="G11" s="113"/>
      <c r="H11" s="113"/>
      <c r="I11" s="178"/>
      <c r="J11" s="109"/>
      <c r="K11" s="139"/>
      <c r="L11" s="108" t="s">
        <v>208</v>
      </c>
      <c r="M11" s="185">
        <v>3.5999999999999999E-3</v>
      </c>
      <c r="N11" s="139"/>
      <c r="O11" s="139"/>
      <c r="P11" s="139"/>
      <c r="Q11" s="139"/>
      <c r="R11" s="139"/>
      <c r="S11" s="139"/>
      <c r="T11" s="139"/>
      <c r="U11" s="178"/>
      <c r="V11" s="109" t="s">
        <v>31</v>
      </c>
      <c r="W11" s="34">
        <v>49</v>
      </c>
      <c r="X11" s="79">
        <f t="shared" si="0"/>
        <v>2.2111913357400721E-2</v>
      </c>
      <c r="Y11" s="178"/>
    </row>
    <row r="12" spans="2:25" x14ac:dyDescent="0.35">
      <c r="B12" s="180" t="s">
        <v>16</v>
      </c>
      <c r="C12" s="37">
        <v>0.71530000000000005</v>
      </c>
      <c r="D12" s="113"/>
      <c r="E12" s="113"/>
      <c r="F12" s="113"/>
      <c r="G12" s="113"/>
      <c r="H12" s="113"/>
      <c r="I12" s="178"/>
      <c r="J12" s="109"/>
      <c r="K12" s="139"/>
      <c r="L12" s="220" t="s">
        <v>3</v>
      </c>
      <c r="M12" s="207">
        <f>M9/M7</f>
        <v>2.5659999999999999E-2</v>
      </c>
      <c r="N12" s="208" t="s">
        <v>4</v>
      </c>
      <c r="O12" s="139"/>
      <c r="P12" s="139"/>
      <c r="Q12" s="139"/>
      <c r="R12" s="139"/>
      <c r="S12" s="139"/>
      <c r="T12" s="139"/>
      <c r="U12" s="178"/>
      <c r="V12" s="109" t="s">
        <v>32</v>
      </c>
      <c r="W12" s="34">
        <v>49</v>
      </c>
      <c r="X12" s="79">
        <f t="shared" si="0"/>
        <v>2.2111913357400721E-2</v>
      </c>
      <c r="Y12" s="178"/>
    </row>
    <row r="13" spans="2:25" x14ac:dyDescent="0.35">
      <c r="B13" s="180" t="s">
        <v>17</v>
      </c>
      <c r="C13" s="37">
        <v>0</v>
      </c>
      <c r="D13" s="113"/>
      <c r="E13" s="113"/>
      <c r="F13" s="113"/>
      <c r="G13" s="113"/>
      <c r="H13" s="113"/>
      <c r="I13" s="178"/>
      <c r="J13" s="109"/>
      <c r="K13" s="139"/>
      <c r="L13" s="220" t="s">
        <v>69</v>
      </c>
      <c r="M13" s="208">
        <f>M10/M7</f>
        <v>3.85E-2</v>
      </c>
      <c r="N13" s="208" t="s">
        <v>4</v>
      </c>
      <c r="O13" s="139"/>
      <c r="P13" s="139"/>
      <c r="Q13" s="139"/>
      <c r="R13" s="139"/>
      <c r="S13" s="139"/>
      <c r="T13" s="139"/>
      <c r="U13" s="178"/>
      <c r="V13" s="109" t="s">
        <v>33</v>
      </c>
      <c r="W13" s="34">
        <v>60</v>
      </c>
      <c r="X13" s="79">
        <f t="shared" si="0"/>
        <v>2.7075812274368231E-2</v>
      </c>
      <c r="Y13" s="178"/>
    </row>
    <row r="14" spans="2:25" x14ac:dyDescent="0.35">
      <c r="B14" s="181" t="s">
        <v>18</v>
      </c>
      <c r="C14" s="39"/>
      <c r="D14" s="113"/>
      <c r="E14" s="113"/>
      <c r="F14" s="113"/>
      <c r="G14" s="113"/>
      <c r="H14" s="113"/>
      <c r="I14" s="178"/>
      <c r="J14" s="109"/>
      <c r="K14" s="139"/>
      <c r="L14" s="221" t="s">
        <v>209</v>
      </c>
      <c r="M14" s="208">
        <f>M11</f>
        <v>3.5999999999999999E-3</v>
      </c>
      <c r="N14" s="208" t="s">
        <v>4</v>
      </c>
      <c r="O14" s="139"/>
      <c r="P14" s="139"/>
      <c r="Q14" s="139"/>
      <c r="R14" s="139"/>
      <c r="S14" s="139"/>
      <c r="T14" s="139"/>
      <c r="U14" s="178"/>
      <c r="V14" s="109" t="s">
        <v>34</v>
      </c>
      <c r="W14" s="34">
        <v>108</v>
      </c>
      <c r="X14" s="79">
        <f t="shared" si="0"/>
        <v>4.8736462093862815E-2</v>
      </c>
      <c r="Y14" s="178"/>
    </row>
    <row r="15" spans="2:25" ht="16.5" x14ac:dyDescent="0.35">
      <c r="B15" s="180" t="s">
        <v>329</v>
      </c>
      <c r="C15" s="37">
        <f>4.659+3.3421</f>
        <v>8.0010999999999992</v>
      </c>
      <c r="D15" s="113"/>
      <c r="E15" s="113"/>
      <c r="F15" s="113"/>
      <c r="G15" s="113"/>
      <c r="H15" s="113"/>
      <c r="I15" s="178"/>
      <c r="J15" s="109"/>
      <c r="K15" s="139"/>
      <c r="L15" s="69"/>
      <c r="M15" s="204" t="s">
        <v>0</v>
      </c>
      <c r="N15" s="204" t="s">
        <v>45</v>
      </c>
      <c r="O15" s="139"/>
      <c r="P15" s="139"/>
      <c r="Q15" s="139"/>
      <c r="R15" s="204" t="s">
        <v>0</v>
      </c>
      <c r="S15" s="204" t="s">
        <v>45</v>
      </c>
      <c r="T15" s="113"/>
      <c r="U15" s="178"/>
      <c r="V15" s="109" t="s">
        <v>35</v>
      </c>
      <c r="W15" s="34">
        <v>217</v>
      </c>
      <c r="X15" s="79">
        <f t="shared" si="0"/>
        <v>9.7924187725631773E-2</v>
      </c>
      <c r="Y15" s="178"/>
    </row>
    <row r="16" spans="2:25" ht="16.5" x14ac:dyDescent="0.35">
      <c r="B16" s="180" t="s">
        <v>328</v>
      </c>
      <c r="C16" s="37">
        <f>4.4181+3.3421</f>
        <v>7.7601999999999993</v>
      </c>
      <c r="D16" s="113"/>
      <c r="E16" s="113"/>
      <c r="F16" s="113"/>
      <c r="G16" s="113"/>
      <c r="H16" s="113"/>
      <c r="I16" s="178"/>
      <c r="J16" s="109"/>
      <c r="K16" s="139"/>
      <c r="L16" s="69" t="s">
        <v>5</v>
      </c>
      <c r="M16" s="207">
        <f>M12/M8</f>
        <v>0.67155194975137389</v>
      </c>
      <c r="N16" s="207">
        <f>M12/N8</f>
        <v>0.65879332477535291</v>
      </c>
      <c r="O16" s="208" t="s">
        <v>6</v>
      </c>
      <c r="P16" s="208"/>
      <c r="Q16" s="69" t="s">
        <v>82</v>
      </c>
      <c r="R16" s="207">
        <f t="shared" ref="R16:S18" si="1">1/M16</f>
        <v>1.48908807482463</v>
      </c>
      <c r="S16" s="207">
        <f t="shared" si="1"/>
        <v>1.51792673421668</v>
      </c>
      <c r="T16" s="209" t="s">
        <v>80</v>
      </c>
      <c r="U16" s="210"/>
      <c r="V16" s="109" t="s">
        <v>36</v>
      </c>
      <c r="W16" s="34">
        <v>329</v>
      </c>
      <c r="X16" s="79">
        <f t="shared" si="0"/>
        <v>0.14846570397111913</v>
      </c>
      <c r="Y16" s="178"/>
    </row>
    <row r="17" spans="2:30" ht="16.5" x14ac:dyDescent="0.35">
      <c r="B17" s="180" t="s">
        <v>330</v>
      </c>
      <c r="C17" s="37">
        <f>3.7957+3.3421</f>
        <v>7.1378000000000004</v>
      </c>
      <c r="D17" s="113"/>
      <c r="E17" s="113"/>
      <c r="F17" s="113"/>
      <c r="G17" s="113"/>
      <c r="H17" s="113"/>
      <c r="I17" s="178"/>
      <c r="J17" s="109"/>
      <c r="K17" s="139"/>
      <c r="L17" s="69" t="s">
        <v>7</v>
      </c>
      <c r="M17" s="207">
        <f>M13/M8</f>
        <v>1.0075896362208845</v>
      </c>
      <c r="N17" s="207">
        <f>M13/N8</f>
        <v>0.98844672657252874</v>
      </c>
      <c r="O17" s="208" t="s">
        <v>6</v>
      </c>
      <c r="P17" s="208"/>
      <c r="Q17" s="69" t="s">
        <v>82</v>
      </c>
      <c r="R17" s="207">
        <f t="shared" si="1"/>
        <v>0.99246753246753261</v>
      </c>
      <c r="S17" s="207">
        <f t="shared" si="1"/>
        <v>1.0116883116883117</v>
      </c>
      <c r="T17" s="209" t="s">
        <v>81</v>
      </c>
      <c r="U17" s="210"/>
      <c r="V17" s="109" t="s">
        <v>40</v>
      </c>
      <c r="W17" s="38">
        <f>SUM(W5:W16)</f>
        <v>2216</v>
      </c>
      <c r="X17" s="195">
        <f>SUM(X5:X16)</f>
        <v>1</v>
      </c>
      <c r="Y17" s="178"/>
    </row>
    <row r="18" spans="2:30" ht="15" thickBot="1" x14ac:dyDescent="0.4">
      <c r="B18" s="180" t="s">
        <v>22</v>
      </c>
      <c r="C18" s="37">
        <v>0.51429999999999998</v>
      </c>
      <c r="D18" s="113"/>
      <c r="E18" s="113"/>
      <c r="F18" s="113"/>
      <c r="G18" s="113"/>
      <c r="H18" s="113"/>
      <c r="I18" s="178"/>
      <c r="J18" s="94"/>
      <c r="K18" s="120"/>
      <c r="L18" s="193" t="s">
        <v>207</v>
      </c>
      <c r="M18" s="211">
        <f>M14/M8</f>
        <v>9.4216173776498296E-2</v>
      </c>
      <c r="N18" s="211">
        <f>M14/N8</f>
        <v>9.2426187419768921E-2</v>
      </c>
      <c r="O18" s="212" t="s">
        <v>6</v>
      </c>
      <c r="P18" s="212"/>
      <c r="Q18" s="193" t="s">
        <v>82</v>
      </c>
      <c r="R18" s="211">
        <f t="shared" si="1"/>
        <v>10.613888888888889</v>
      </c>
      <c r="S18" s="211">
        <f t="shared" si="1"/>
        <v>10.819444444444446</v>
      </c>
      <c r="T18" s="213" t="s">
        <v>298</v>
      </c>
      <c r="U18" s="214"/>
      <c r="V18" s="94"/>
      <c r="W18" s="95"/>
      <c r="X18" s="95"/>
      <c r="Y18" s="96"/>
    </row>
    <row r="19" spans="2:30" ht="21" x14ac:dyDescent="0.5">
      <c r="B19" s="182" t="s">
        <v>64</v>
      </c>
      <c r="C19" s="37">
        <v>23</v>
      </c>
      <c r="D19" s="113"/>
      <c r="E19" s="113"/>
      <c r="F19" s="113"/>
      <c r="G19" s="113"/>
      <c r="H19" s="113"/>
      <c r="I19" s="178"/>
      <c r="J19" s="197"/>
      <c r="K19" s="188"/>
      <c r="L19" s="331" t="s">
        <v>321</v>
      </c>
      <c r="M19" s="188"/>
      <c r="N19" s="188"/>
      <c r="O19" s="363" t="s">
        <v>54</v>
      </c>
      <c r="P19" s="363" t="s">
        <v>315</v>
      </c>
      <c r="Q19" s="363" t="s">
        <v>314</v>
      </c>
      <c r="R19" s="363" t="s">
        <v>111</v>
      </c>
      <c r="S19" s="363" t="s">
        <v>235</v>
      </c>
      <c r="T19" s="188"/>
      <c r="U19" s="102"/>
      <c r="V19" s="102"/>
      <c r="W19" s="102"/>
      <c r="X19" s="102"/>
      <c r="Y19" s="189"/>
    </row>
    <row r="20" spans="2:30" ht="16.5" x14ac:dyDescent="0.35">
      <c r="B20" s="109"/>
      <c r="C20" s="113"/>
      <c r="D20" s="113"/>
      <c r="E20" s="113"/>
      <c r="F20" s="113"/>
      <c r="G20" s="113"/>
      <c r="H20" s="113"/>
      <c r="I20" s="178"/>
      <c r="J20" s="109"/>
      <c r="K20" s="113"/>
      <c r="L20" s="380" t="s">
        <v>323</v>
      </c>
      <c r="M20" s="152"/>
      <c r="N20" s="381" t="s">
        <v>316</v>
      </c>
      <c r="O20" s="364">
        <v>6.0948241E-2</v>
      </c>
      <c r="P20" s="364">
        <v>7.0484851999999987E-2</v>
      </c>
      <c r="Q20" s="364">
        <v>1.3888888888888888E-2</v>
      </c>
      <c r="R20" s="364">
        <v>7.9472487843854425E-2</v>
      </c>
      <c r="S20" s="365">
        <v>4.9326223999999995E-2</v>
      </c>
      <c r="T20" s="113" t="s">
        <v>87</v>
      </c>
      <c r="U20" s="113"/>
      <c r="V20" s="113"/>
      <c r="W20" s="113"/>
      <c r="X20" s="113"/>
      <c r="Y20" s="178"/>
    </row>
    <row r="21" spans="2:30" x14ac:dyDescent="0.35">
      <c r="B21" s="109"/>
      <c r="C21" s="113"/>
      <c r="D21" s="113"/>
      <c r="E21" s="113"/>
      <c r="F21" s="113"/>
      <c r="G21" s="113"/>
      <c r="H21" s="113"/>
      <c r="I21" s="178"/>
      <c r="J21" s="109"/>
      <c r="K21" s="113"/>
      <c r="L21" s="143" t="s">
        <v>57</v>
      </c>
      <c r="M21" s="113"/>
      <c r="N21" s="382"/>
      <c r="O21" s="374">
        <f>1-$S20/O20</f>
        <v>0.19068666805330781</v>
      </c>
      <c r="P21" s="375">
        <f t="shared" ref="P21:S21" si="2">1-$S20/P20</f>
        <v>0.30018688270779081</v>
      </c>
      <c r="Q21" s="375">
        <f t="shared" si="2"/>
        <v>-2.5514881279999999</v>
      </c>
      <c r="R21" s="375">
        <f t="shared" si="2"/>
        <v>0.37932955997407636</v>
      </c>
      <c r="S21" s="376">
        <f t="shared" si="2"/>
        <v>0</v>
      </c>
      <c r="T21" s="113"/>
      <c r="U21" s="113"/>
      <c r="V21" s="113"/>
      <c r="W21" s="113"/>
      <c r="X21" s="113"/>
      <c r="Y21" s="178"/>
    </row>
    <row r="22" spans="2:30" ht="18.5" x14ac:dyDescent="0.45">
      <c r="B22" s="183" t="s">
        <v>238</v>
      </c>
      <c r="C22" s="113"/>
      <c r="D22" s="113"/>
      <c r="E22" s="113"/>
      <c r="F22" s="113"/>
      <c r="G22" s="113"/>
      <c r="H22" s="113"/>
      <c r="I22" s="178"/>
      <c r="J22" s="109"/>
      <c r="K22" s="113"/>
      <c r="L22" s="143" t="s">
        <v>355</v>
      </c>
      <c r="M22" s="113"/>
      <c r="N22" s="382"/>
      <c r="O22" s="275">
        <f>SUMIF(O53:O60,"propane",T53:T60)</f>
        <v>0</v>
      </c>
      <c r="P22" s="78">
        <f>SUMIF(O53:O60,"oil",T53:T60)</f>
        <v>1962.5041310924378</v>
      </c>
      <c r="Q22" s="78">
        <f>SUMIF(O53:O60,"electric",T53:T60)</f>
        <v>0</v>
      </c>
      <c r="R22" s="113">
        <f>SUMIF(O53:O60,"wood",P53:P60)</f>
        <v>0</v>
      </c>
      <c r="S22" s="158">
        <f>SUM(P53:P60)</f>
        <v>1807.3000000000002</v>
      </c>
      <c r="T22" s="113"/>
      <c r="U22" s="113"/>
      <c r="V22" s="113"/>
      <c r="W22" s="113"/>
      <c r="X22" s="113"/>
      <c r="Y22" s="178"/>
      <c r="Z22" s="113"/>
      <c r="AA22" s="113"/>
      <c r="AB22" s="113"/>
      <c r="AC22" s="113"/>
      <c r="AD22" s="113"/>
    </row>
    <row r="23" spans="2:30" x14ac:dyDescent="0.35">
      <c r="B23" s="179" t="s">
        <v>10</v>
      </c>
      <c r="C23" s="9" t="s">
        <v>11</v>
      </c>
      <c r="D23" s="113"/>
      <c r="E23" s="113"/>
      <c r="F23" s="113"/>
      <c r="G23" s="113"/>
      <c r="H23" s="113"/>
      <c r="I23" s="178"/>
      <c r="J23" s="109"/>
      <c r="K23" s="113"/>
      <c r="L23" s="143" t="s">
        <v>317</v>
      </c>
      <c r="M23" s="113"/>
      <c r="N23" s="382"/>
      <c r="O23" s="275">
        <f>O22*M12</f>
        <v>0</v>
      </c>
      <c r="P23" s="78">
        <f>P22*M13</f>
        <v>75.55640904705885</v>
      </c>
      <c r="Q23" s="78">
        <f>Q22*M14</f>
        <v>0</v>
      </c>
      <c r="R23" s="78">
        <f>IF('APPLIANCE Conversion'!$F$4="union south",R22*$M8,R22*$N8)</f>
        <v>0</v>
      </c>
      <c r="S23" s="273">
        <f>IF('APPLIANCE Conversion'!$F$4="union south",S22*$M8,S22*$N8)</f>
        <v>70.394335000000012</v>
      </c>
      <c r="T23" s="113"/>
      <c r="U23" s="113"/>
      <c r="V23" s="113"/>
      <c r="W23" s="113"/>
      <c r="X23" s="113"/>
      <c r="Y23" s="178"/>
      <c r="AC23" s="113"/>
      <c r="AD23" s="113"/>
    </row>
    <row r="24" spans="2:30" ht="16.5" x14ac:dyDescent="0.45">
      <c r="B24" s="180" t="s">
        <v>12</v>
      </c>
      <c r="C24" s="36">
        <v>21</v>
      </c>
      <c r="D24" s="113"/>
      <c r="E24" s="113"/>
      <c r="F24" s="113"/>
      <c r="G24" s="113"/>
      <c r="H24" s="113"/>
      <c r="I24" s="178"/>
      <c r="J24" s="109"/>
      <c r="K24" s="113"/>
      <c r="L24" s="151" t="s">
        <v>324</v>
      </c>
      <c r="M24" s="150"/>
      <c r="N24" s="383"/>
      <c r="O24" s="377">
        <f>O20*O23</f>
        <v>0</v>
      </c>
      <c r="P24" s="378">
        <f t="shared" ref="P24:R24" si="3">P20*P23</f>
        <v>5.3255823093334032</v>
      </c>
      <c r="Q24" s="378">
        <f t="shared" si="3"/>
        <v>0</v>
      </c>
      <c r="R24" s="378">
        <f t="shared" si="3"/>
        <v>0</v>
      </c>
      <c r="S24" s="379">
        <f>S20*S23</f>
        <v>3.4722867365410401</v>
      </c>
      <c r="T24" s="430" t="s">
        <v>322</v>
      </c>
      <c r="U24" s="431"/>
      <c r="V24" s="431"/>
      <c r="W24" s="113"/>
      <c r="X24" s="113"/>
      <c r="Y24" s="178"/>
      <c r="AC24" s="113"/>
      <c r="AD24" s="113"/>
    </row>
    <row r="25" spans="2:30" ht="15" customHeight="1" x14ac:dyDescent="0.35">
      <c r="B25" s="180" t="s">
        <v>13</v>
      </c>
      <c r="C25" s="37">
        <v>10.188700000000001</v>
      </c>
      <c r="D25" s="113"/>
      <c r="E25" s="113"/>
      <c r="F25" s="113"/>
      <c r="G25" s="113"/>
      <c r="H25" s="113"/>
      <c r="I25" s="178"/>
      <c r="J25" s="109"/>
      <c r="K25" s="113"/>
      <c r="L25" s="113"/>
      <c r="M25" s="113"/>
      <c r="N25" s="113"/>
      <c r="O25" s="113"/>
      <c r="P25" s="113"/>
      <c r="Q25" s="113"/>
      <c r="R25" s="154" t="s">
        <v>319</v>
      </c>
      <c r="S25" s="154" t="s">
        <v>320</v>
      </c>
      <c r="T25" s="113"/>
      <c r="U25" s="69" t="s">
        <v>318</v>
      </c>
      <c r="V25" s="69" t="s">
        <v>60</v>
      </c>
      <c r="W25" s="113"/>
      <c r="X25" s="113"/>
      <c r="Y25" s="178"/>
      <c r="AC25" s="113"/>
      <c r="AD25" s="113"/>
    </row>
    <row r="26" spans="2:30" ht="15" customHeight="1" thickBot="1" x14ac:dyDescent="0.4">
      <c r="B26" s="180" t="s">
        <v>14</v>
      </c>
      <c r="C26" s="37">
        <v>0.23880000000000001</v>
      </c>
      <c r="D26" s="113"/>
      <c r="E26" s="113"/>
      <c r="F26" s="113"/>
      <c r="G26" s="113"/>
      <c r="H26" s="113"/>
      <c r="I26" s="178"/>
      <c r="J26" s="94"/>
      <c r="K26" s="95"/>
      <c r="L26" s="95"/>
      <c r="M26" s="95"/>
      <c r="N26" s="95"/>
      <c r="O26" s="95"/>
      <c r="P26" s="95"/>
      <c r="Q26" s="95"/>
      <c r="R26" s="384">
        <f>SUM(O24:R24)</f>
        <v>5.3255823093334032</v>
      </c>
      <c r="S26" s="384">
        <f>S24</f>
        <v>3.4722867365410401</v>
      </c>
      <c r="T26" s="95"/>
      <c r="U26" s="385">
        <f>R26-S26</f>
        <v>1.853295572792363</v>
      </c>
      <c r="V26" s="386">
        <f>U26/R26</f>
        <v>0.34799867228497267</v>
      </c>
      <c r="W26" s="95"/>
      <c r="X26" s="95"/>
      <c r="Y26" s="96"/>
      <c r="AC26" s="113"/>
      <c r="AD26" s="113"/>
    </row>
    <row r="27" spans="2:30" x14ac:dyDescent="0.35">
      <c r="B27" s="180" t="s">
        <v>15</v>
      </c>
      <c r="C27" s="37">
        <v>6.8558000000000003</v>
      </c>
      <c r="D27" s="113"/>
      <c r="E27" s="113"/>
      <c r="F27" s="113"/>
      <c r="G27" s="113"/>
      <c r="H27" s="113"/>
      <c r="I27" s="178"/>
      <c r="J27" s="197"/>
      <c r="K27" s="102"/>
      <c r="L27" s="102"/>
      <c r="M27" s="102"/>
      <c r="N27" s="102"/>
      <c r="O27" s="102"/>
      <c r="P27" s="102"/>
      <c r="Q27" s="102"/>
      <c r="R27" s="102"/>
      <c r="S27" s="102"/>
      <c r="T27" s="102"/>
      <c r="U27" s="102"/>
      <c r="V27" s="102"/>
      <c r="W27" s="102"/>
      <c r="X27" s="102"/>
      <c r="Y27" s="102"/>
      <c r="Z27" s="102"/>
      <c r="AA27" s="189"/>
      <c r="AC27" s="113"/>
      <c r="AD27" s="113"/>
    </row>
    <row r="28" spans="2:30" ht="15" customHeight="1" x14ac:dyDescent="0.5">
      <c r="B28" s="180" t="s">
        <v>47</v>
      </c>
      <c r="C28" s="37">
        <v>0.70799999999999996</v>
      </c>
      <c r="D28" s="113"/>
      <c r="E28" s="113"/>
      <c r="F28" s="113"/>
      <c r="G28" s="113"/>
      <c r="H28" s="113"/>
      <c r="I28" s="178"/>
      <c r="J28" s="109"/>
      <c r="K28" s="113"/>
      <c r="L28" s="196" t="s">
        <v>212</v>
      </c>
      <c r="M28" s="113"/>
      <c r="N28" s="113"/>
      <c r="O28" s="113"/>
      <c r="P28" s="113"/>
      <c r="Q28" s="113"/>
      <c r="R28" s="113"/>
      <c r="S28" s="196" t="s">
        <v>351</v>
      </c>
      <c r="T28" s="113"/>
      <c r="U28" s="113"/>
      <c r="V28" s="113"/>
      <c r="W28" s="342" t="s">
        <v>235</v>
      </c>
      <c r="X28" s="342" t="s">
        <v>54</v>
      </c>
      <c r="Y28" s="342" t="s">
        <v>55</v>
      </c>
      <c r="Z28" s="413" t="s">
        <v>110</v>
      </c>
      <c r="AA28" s="178"/>
      <c r="AC28" s="113"/>
      <c r="AD28" s="113"/>
    </row>
    <row r="29" spans="2:30" ht="15" customHeight="1" x14ac:dyDescent="0.35">
      <c r="B29" s="180" t="s">
        <v>16</v>
      </c>
      <c r="C29" s="37">
        <v>2.0541</v>
      </c>
      <c r="D29" s="113"/>
      <c r="E29" s="113"/>
      <c r="F29" s="113"/>
      <c r="G29" s="113"/>
      <c r="H29" s="113"/>
      <c r="I29" s="178"/>
      <c r="J29" s="109"/>
      <c r="K29" s="113"/>
      <c r="L29" s="113"/>
      <c r="M29" s="69" t="s">
        <v>0</v>
      </c>
      <c r="N29" s="69" t="s">
        <v>147</v>
      </c>
      <c r="O29" s="69" t="s">
        <v>148</v>
      </c>
      <c r="P29" s="108" t="s">
        <v>292</v>
      </c>
      <c r="Q29" s="113"/>
      <c r="R29" s="113"/>
      <c r="S29" s="113"/>
      <c r="U29" s="113"/>
      <c r="V29" s="154" t="s">
        <v>352</v>
      </c>
      <c r="W29" s="202">
        <v>0.93</v>
      </c>
      <c r="X29" s="202">
        <v>0.93</v>
      </c>
      <c r="Y29" s="202">
        <v>0.85</v>
      </c>
      <c r="Z29" s="202">
        <v>0.95</v>
      </c>
      <c r="AA29" s="178"/>
      <c r="AC29" s="113"/>
      <c r="AD29" s="113"/>
    </row>
    <row r="30" spans="2:30" ht="15" customHeight="1" x14ac:dyDescent="0.35">
      <c r="B30" s="180" t="s">
        <v>17</v>
      </c>
      <c r="C30" s="37">
        <v>0</v>
      </c>
      <c r="D30" s="113"/>
      <c r="E30" s="113"/>
      <c r="F30" s="113"/>
      <c r="G30" s="113"/>
      <c r="H30" s="113"/>
      <c r="I30" s="178"/>
      <c r="J30" s="109"/>
      <c r="K30" s="113"/>
      <c r="L30" s="113" t="s">
        <v>234</v>
      </c>
      <c r="M30" s="203">
        <v>2216</v>
      </c>
      <c r="N30" s="203">
        <v>2363</v>
      </c>
      <c r="O30" s="203">
        <v>2238</v>
      </c>
      <c r="P30" s="203">
        <v>2230</v>
      </c>
      <c r="U30" s="328"/>
      <c r="V30" s="154" t="s">
        <v>127</v>
      </c>
      <c r="W30" s="202">
        <v>0.62</v>
      </c>
      <c r="X30" s="202">
        <v>0.62</v>
      </c>
      <c r="Y30" s="202">
        <v>0.55000000000000004</v>
      </c>
      <c r="Z30" s="202">
        <v>0.95</v>
      </c>
      <c r="AA30" s="178"/>
      <c r="AC30" s="113"/>
      <c r="AD30" s="113"/>
    </row>
    <row r="31" spans="2:30" x14ac:dyDescent="0.35">
      <c r="B31" s="181" t="s">
        <v>18</v>
      </c>
      <c r="C31" s="39"/>
      <c r="D31" s="113"/>
      <c r="E31" s="113"/>
      <c r="F31" s="113"/>
      <c r="G31" s="113"/>
      <c r="H31" s="113"/>
      <c r="I31" s="178"/>
      <c r="J31" s="109"/>
      <c r="K31" s="113"/>
      <c r="L31" s="113"/>
      <c r="M31" s="427" t="s">
        <v>294</v>
      </c>
      <c r="N31" s="428"/>
      <c r="O31" s="428"/>
      <c r="P31" s="429"/>
      <c r="Q31" s="113"/>
      <c r="R31" s="113"/>
      <c r="S31" s="113"/>
      <c r="T31" s="113"/>
      <c r="U31" s="113"/>
      <c r="V31" s="154" t="s">
        <v>132</v>
      </c>
      <c r="W31" s="202">
        <v>0.52</v>
      </c>
      <c r="X31" s="202">
        <v>0.52</v>
      </c>
      <c r="Y31" s="412"/>
      <c r="Z31" s="202">
        <v>0.75</v>
      </c>
      <c r="AA31" s="178"/>
      <c r="AC31" s="113"/>
      <c r="AD31" s="113"/>
    </row>
    <row r="32" spans="2:30" ht="15" customHeight="1" x14ac:dyDescent="0.35">
      <c r="B32" s="180" t="s">
        <v>331</v>
      </c>
      <c r="C32" s="37">
        <f>9.0997+3.3421</f>
        <v>12.441800000000001</v>
      </c>
      <c r="D32" s="113"/>
      <c r="E32" s="113"/>
      <c r="F32" s="113"/>
      <c r="G32" s="113"/>
      <c r="H32" s="113"/>
      <c r="I32" s="178"/>
      <c r="J32" s="109"/>
      <c r="K32" s="113"/>
      <c r="L32" s="113"/>
      <c r="M32" s="113"/>
      <c r="N32" s="113"/>
      <c r="S32" s="113"/>
      <c r="T32" s="113"/>
      <c r="U32" s="113"/>
      <c r="V32" s="154" t="s">
        <v>128</v>
      </c>
      <c r="W32" s="202">
        <v>0.85</v>
      </c>
      <c r="X32" s="202">
        <v>0.85</v>
      </c>
      <c r="Y32" s="412"/>
      <c r="Z32" s="202">
        <v>1</v>
      </c>
      <c r="AA32" s="178"/>
      <c r="AC32" s="113"/>
      <c r="AD32" s="113"/>
    </row>
    <row r="33" spans="2:30" ht="15" customHeight="1" x14ac:dyDescent="0.35">
      <c r="B33" s="180" t="s">
        <v>332</v>
      </c>
      <c r="C33" s="37">
        <f>8.8667+3.3421</f>
        <v>12.2088</v>
      </c>
      <c r="D33" s="113"/>
      <c r="E33" s="113"/>
      <c r="F33" s="113"/>
      <c r="G33" s="113"/>
      <c r="H33" s="113"/>
      <c r="I33" s="178"/>
      <c r="J33" s="109"/>
      <c r="K33" s="113"/>
      <c r="L33" s="113"/>
      <c r="M33" s="113"/>
      <c r="S33" s="113"/>
      <c r="T33" s="113"/>
      <c r="U33" s="113"/>
      <c r="V33" s="411" t="s">
        <v>129</v>
      </c>
      <c r="W33" s="60"/>
      <c r="X33" s="60"/>
      <c r="Y33" s="60"/>
      <c r="Z33" s="60"/>
      <c r="AA33" s="178"/>
      <c r="AC33" s="113"/>
      <c r="AD33" s="113"/>
    </row>
    <row r="34" spans="2:30" x14ac:dyDescent="0.35">
      <c r="B34" s="180" t="s">
        <v>332</v>
      </c>
      <c r="C34" s="37">
        <f>8.499+3.3421</f>
        <v>11.841100000000001</v>
      </c>
      <c r="D34" s="113"/>
      <c r="E34" s="113"/>
      <c r="F34" s="113"/>
      <c r="G34" s="113"/>
      <c r="H34" s="113"/>
      <c r="I34" s="178"/>
      <c r="J34" s="109"/>
      <c r="K34" s="113"/>
      <c r="L34" s="113"/>
      <c r="M34" s="113"/>
      <c r="N34" s="113"/>
      <c r="O34" s="113"/>
      <c r="P34" s="113"/>
      <c r="Q34" s="113"/>
      <c r="R34" s="113"/>
      <c r="S34" s="113"/>
      <c r="T34" s="113"/>
      <c r="U34" s="113"/>
      <c r="V34" s="411" t="s">
        <v>130</v>
      </c>
      <c r="W34" s="60"/>
      <c r="X34" s="60"/>
      <c r="Y34" s="60"/>
      <c r="Z34" s="60"/>
      <c r="AA34" s="178"/>
      <c r="AC34" s="113"/>
      <c r="AD34" s="113"/>
    </row>
    <row r="35" spans="2:30" x14ac:dyDescent="0.35">
      <c r="B35" s="180" t="s">
        <v>333</v>
      </c>
      <c r="C35" s="37">
        <f>8.1615+3.3421</f>
        <v>11.5036</v>
      </c>
      <c r="D35" s="113"/>
      <c r="E35" s="113"/>
      <c r="F35" s="113"/>
      <c r="G35" s="113"/>
      <c r="H35" s="113"/>
      <c r="I35" s="178"/>
      <c r="J35" s="109"/>
      <c r="K35" s="113"/>
      <c r="L35" s="113"/>
      <c r="M35" s="113"/>
      <c r="N35" s="113"/>
      <c r="O35" s="113"/>
      <c r="P35" s="113"/>
      <c r="Q35" s="113"/>
      <c r="R35" s="113"/>
      <c r="S35" s="113"/>
      <c r="T35" s="113"/>
      <c r="U35" s="113"/>
      <c r="V35" s="411" t="s">
        <v>131</v>
      </c>
      <c r="W35" s="202">
        <v>0.62</v>
      </c>
      <c r="X35" s="202">
        <v>0.62</v>
      </c>
      <c r="Y35" s="202">
        <v>0.62</v>
      </c>
      <c r="Z35" s="202">
        <v>0.95</v>
      </c>
      <c r="AA35" s="178"/>
      <c r="AC35" s="113"/>
      <c r="AD35" s="113"/>
    </row>
    <row r="36" spans="2:30" x14ac:dyDescent="0.35">
      <c r="B36" s="180" t="s">
        <v>334</v>
      </c>
      <c r="C36" s="37">
        <f>7.8827+3.3421</f>
        <v>11.2248</v>
      </c>
      <c r="D36" s="113"/>
      <c r="E36" s="113"/>
      <c r="F36" s="113"/>
      <c r="G36" s="113"/>
      <c r="H36" s="113"/>
      <c r="I36" s="178"/>
      <c r="J36" s="109"/>
      <c r="K36" s="113"/>
      <c r="L36" s="113"/>
      <c r="M36" s="432" t="s">
        <v>312</v>
      </c>
      <c r="N36" s="432" t="s">
        <v>225</v>
      </c>
      <c r="O36" s="432" t="s">
        <v>293</v>
      </c>
      <c r="P36" s="113"/>
      <c r="Q36" s="113"/>
      <c r="R36" s="113"/>
      <c r="S36" s="113"/>
      <c r="T36" s="113"/>
      <c r="U36" s="113"/>
      <c r="V36" s="113"/>
      <c r="W36" s="113"/>
      <c r="X36" s="113"/>
      <c r="Y36" s="113"/>
      <c r="Z36" s="113"/>
      <c r="AA36" s="178"/>
      <c r="AC36" s="113"/>
      <c r="AD36" s="113"/>
    </row>
    <row r="37" spans="2:30" x14ac:dyDescent="0.35">
      <c r="B37" s="180" t="s">
        <v>22</v>
      </c>
      <c r="C37" s="37">
        <v>1.2219</v>
      </c>
      <c r="D37" s="113"/>
      <c r="E37" s="113"/>
      <c r="F37" s="113"/>
      <c r="G37" s="113"/>
      <c r="H37" s="113"/>
      <c r="I37" s="178"/>
      <c r="J37" s="109"/>
      <c r="K37" s="113"/>
      <c r="L37" s="113"/>
      <c r="M37" s="433"/>
      <c r="N37" s="433"/>
      <c r="O37" s="433"/>
      <c r="P37" s="436" t="s">
        <v>223</v>
      </c>
      <c r="Q37" s="437"/>
      <c r="R37" s="438"/>
      <c r="S37" s="439" t="s">
        <v>354</v>
      </c>
      <c r="T37" s="437" t="s">
        <v>224</v>
      </c>
      <c r="U37" s="437"/>
      <c r="V37" s="438"/>
      <c r="W37" s="113"/>
      <c r="X37" s="113"/>
      <c r="Y37" s="113"/>
      <c r="Z37" s="113"/>
      <c r="AA37" s="178"/>
      <c r="AC37" s="113"/>
      <c r="AD37" s="113"/>
    </row>
    <row r="38" spans="2:30" x14ac:dyDescent="0.35">
      <c r="B38" s="182" t="s">
        <v>65</v>
      </c>
      <c r="C38" s="37">
        <v>23</v>
      </c>
      <c r="D38" s="113"/>
      <c r="E38" s="113"/>
      <c r="F38" s="113"/>
      <c r="G38" s="113"/>
      <c r="H38" s="113"/>
      <c r="I38" s="178"/>
      <c r="J38" s="109"/>
      <c r="K38" s="113"/>
      <c r="L38" s="113"/>
      <c r="M38" s="434"/>
      <c r="N38" s="434"/>
      <c r="O38" s="434"/>
      <c r="P38" s="342" t="s">
        <v>0</v>
      </c>
      <c r="Q38" s="342" t="s">
        <v>147</v>
      </c>
      <c r="R38" s="343" t="s">
        <v>148</v>
      </c>
      <c r="S38" s="440"/>
      <c r="T38" s="342" t="s">
        <v>0</v>
      </c>
      <c r="U38" s="342" t="s">
        <v>147</v>
      </c>
      <c r="V38" s="343" t="s">
        <v>148</v>
      </c>
      <c r="W38" s="113"/>
      <c r="X38" s="113"/>
      <c r="Y38" s="113"/>
      <c r="Z38" s="113"/>
      <c r="AA38" s="178"/>
      <c r="AC38" s="113"/>
      <c r="AD38" s="113"/>
    </row>
    <row r="39" spans="2:30" x14ac:dyDescent="0.35">
      <c r="B39" s="109"/>
      <c r="C39" s="113"/>
      <c r="D39" s="113"/>
      <c r="E39" s="113"/>
      <c r="F39" s="113"/>
      <c r="G39" s="113"/>
      <c r="H39" s="113"/>
      <c r="I39" s="178"/>
      <c r="J39" s="109"/>
      <c r="K39" s="113"/>
      <c r="L39" s="148" t="s">
        <v>126</v>
      </c>
      <c r="M39" s="203">
        <v>1635</v>
      </c>
      <c r="N39" s="202">
        <v>0.95</v>
      </c>
      <c r="O39" s="205">
        <f t="shared" ref="O39:O46" si="4">M39*N39</f>
        <v>1553.25</v>
      </c>
      <c r="P39" s="329">
        <f>$O39/$N39+(M30-$P30)</f>
        <v>1621</v>
      </c>
      <c r="Q39" s="329">
        <f>$O39/$N39+(N30-$P30)</f>
        <v>1768</v>
      </c>
      <c r="R39" s="329">
        <f>$O39/$N39+(O30-$P30)</f>
        <v>1643</v>
      </c>
      <c r="S39" s="169">
        <f>N70*Q73*T75</f>
        <v>1.1000000000000001</v>
      </c>
      <c r="T39" s="170">
        <f t="shared" ref="T39:T46" si="5">P39*S39</f>
        <v>1783.1000000000001</v>
      </c>
      <c r="U39" s="170">
        <f t="shared" ref="U39:U46" si="6">Q39*S39</f>
        <v>1944.8000000000002</v>
      </c>
      <c r="V39" s="171">
        <f t="shared" ref="V39:V46" si="7">R39*S39</f>
        <v>1807.3000000000002</v>
      </c>
      <c r="W39" s="113"/>
      <c r="X39" s="113"/>
      <c r="Y39" s="113"/>
      <c r="Z39" s="113"/>
      <c r="AA39" s="178"/>
      <c r="AC39" s="113"/>
      <c r="AD39" s="113"/>
    </row>
    <row r="40" spans="2:30" x14ac:dyDescent="0.35">
      <c r="B40" s="109"/>
      <c r="C40" s="113"/>
      <c r="D40" s="113"/>
      <c r="E40" s="113"/>
      <c r="F40" s="113"/>
      <c r="G40" s="113"/>
      <c r="H40" s="113"/>
      <c r="I40" s="178"/>
      <c r="J40" s="109"/>
      <c r="K40" s="113"/>
      <c r="L40" s="143" t="s">
        <v>127</v>
      </c>
      <c r="M40" s="203">
        <v>550</v>
      </c>
      <c r="N40" s="202">
        <v>0.86</v>
      </c>
      <c r="O40" s="205">
        <f t="shared" si="4"/>
        <v>473</v>
      </c>
      <c r="P40" s="156">
        <f t="shared" ref="P40:P46" si="8">M40</f>
        <v>550</v>
      </c>
      <c r="Q40" s="157">
        <f>P40</f>
        <v>550</v>
      </c>
      <c r="R40" s="158">
        <f>Q40</f>
        <v>550</v>
      </c>
      <c r="S40" s="165">
        <f>W72</f>
        <v>1.1111111111111109</v>
      </c>
      <c r="T40" s="163">
        <f t="shared" si="5"/>
        <v>611.11111111111097</v>
      </c>
      <c r="U40" s="163">
        <f t="shared" si="6"/>
        <v>611.11111111111097</v>
      </c>
      <c r="V40" s="164">
        <f t="shared" si="7"/>
        <v>611.11111111111097</v>
      </c>
      <c r="W40" s="113"/>
      <c r="X40" s="113"/>
      <c r="Y40" s="113"/>
      <c r="Z40" s="113"/>
      <c r="AA40" s="178"/>
      <c r="AC40" s="113"/>
      <c r="AD40" s="113"/>
    </row>
    <row r="41" spans="2:30" ht="21" x14ac:dyDescent="0.5">
      <c r="B41" s="184" t="s">
        <v>239</v>
      </c>
      <c r="C41" s="113"/>
      <c r="D41" s="113"/>
      <c r="E41" s="113"/>
      <c r="F41" s="113"/>
      <c r="G41" s="113"/>
      <c r="H41" s="113"/>
      <c r="I41" s="178"/>
      <c r="J41" s="109"/>
      <c r="K41" s="113"/>
      <c r="L41" s="143" t="s">
        <v>132</v>
      </c>
      <c r="M41" s="203">
        <v>120</v>
      </c>
      <c r="N41" s="202">
        <v>0.31</v>
      </c>
      <c r="O41" s="205">
        <f t="shared" si="4"/>
        <v>37.200000000000003</v>
      </c>
      <c r="P41" s="156">
        <f t="shared" si="8"/>
        <v>120</v>
      </c>
      <c r="Q41" s="157">
        <f t="shared" ref="Q41" si="9">P41</f>
        <v>120</v>
      </c>
      <c r="R41" s="158">
        <f t="shared" ref="R41:R46" si="10">Q41</f>
        <v>120</v>
      </c>
      <c r="S41" s="165">
        <f>X72</f>
        <v>1</v>
      </c>
      <c r="T41" s="163">
        <f t="shared" si="5"/>
        <v>120</v>
      </c>
      <c r="U41" s="163">
        <f t="shared" si="6"/>
        <v>120</v>
      </c>
      <c r="V41" s="164">
        <f t="shared" si="7"/>
        <v>120</v>
      </c>
      <c r="W41" s="113"/>
      <c r="X41" s="113"/>
      <c r="Y41" s="113"/>
      <c r="Z41" s="113"/>
      <c r="AA41" s="178"/>
      <c r="AC41" s="113"/>
      <c r="AD41" s="113"/>
    </row>
    <row r="42" spans="2:30" x14ac:dyDescent="0.35">
      <c r="B42" s="179" t="s">
        <v>10</v>
      </c>
      <c r="C42" s="9" t="s">
        <v>11</v>
      </c>
      <c r="D42" s="113"/>
      <c r="E42" s="113"/>
      <c r="F42" s="113"/>
      <c r="G42" s="113"/>
      <c r="H42" s="113"/>
      <c r="I42" s="178"/>
      <c r="J42" s="109"/>
      <c r="K42" s="113"/>
      <c r="L42" s="143" t="s">
        <v>128</v>
      </c>
      <c r="M42" s="203">
        <v>130</v>
      </c>
      <c r="N42" s="202">
        <v>0.19</v>
      </c>
      <c r="O42" s="205">
        <f t="shared" si="4"/>
        <v>24.7</v>
      </c>
      <c r="P42" s="156">
        <f t="shared" si="8"/>
        <v>130</v>
      </c>
      <c r="Q42" s="157">
        <f t="shared" ref="Q42" si="11">P42</f>
        <v>130</v>
      </c>
      <c r="R42" s="158">
        <f t="shared" si="10"/>
        <v>130</v>
      </c>
      <c r="S42" s="165">
        <f>Y72</f>
        <v>1</v>
      </c>
      <c r="T42" s="163">
        <f t="shared" si="5"/>
        <v>130</v>
      </c>
      <c r="U42" s="163">
        <f t="shared" si="6"/>
        <v>130</v>
      </c>
      <c r="V42" s="164">
        <f t="shared" si="7"/>
        <v>130</v>
      </c>
      <c r="W42" s="113"/>
      <c r="X42" s="113"/>
      <c r="Y42" s="113"/>
      <c r="Z42" s="113"/>
      <c r="AA42" s="178"/>
      <c r="AC42" s="113"/>
      <c r="AD42" s="113"/>
    </row>
    <row r="43" spans="2:30" x14ac:dyDescent="0.35">
      <c r="B43" s="180" t="s">
        <v>12</v>
      </c>
      <c r="C43" s="36">
        <v>21</v>
      </c>
      <c r="D43" s="113"/>
      <c r="E43" s="113"/>
      <c r="F43" s="113"/>
      <c r="G43" s="113"/>
      <c r="H43" s="113"/>
      <c r="I43" s="178"/>
      <c r="J43" s="109"/>
      <c r="K43" s="113"/>
      <c r="L43" s="143" t="s">
        <v>129</v>
      </c>
      <c r="M43" s="203">
        <v>80</v>
      </c>
      <c r="N43" s="202">
        <v>0.26</v>
      </c>
      <c r="O43" s="205">
        <f t="shared" si="4"/>
        <v>20.8</v>
      </c>
      <c r="P43" s="156">
        <f t="shared" si="8"/>
        <v>80</v>
      </c>
      <c r="Q43" s="157">
        <f t="shared" ref="Q43" si="12">P43</f>
        <v>80</v>
      </c>
      <c r="R43" s="158">
        <f t="shared" si="10"/>
        <v>80</v>
      </c>
      <c r="S43" s="165">
        <f>Z72</f>
        <v>1</v>
      </c>
      <c r="T43" s="163">
        <f t="shared" si="5"/>
        <v>80</v>
      </c>
      <c r="U43" s="163">
        <f t="shared" si="6"/>
        <v>80</v>
      </c>
      <c r="V43" s="164">
        <f t="shared" si="7"/>
        <v>80</v>
      </c>
      <c r="W43" s="113"/>
      <c r="X43" s="113"/>
      <c r="Y43" s="113"/>
      <c r="Z43" s="113"/>
      <c r="AA43" s="178"/>
      <c r="AC43" s="113"/>
      <c r="AD43" s="113"/>
    </row>
    <row r="44" spans="2:30" x14ac:dyDescent="0.35">
      <c r="B44" s="180" t="s">
        <v>13</v>
      </c>
      <c r="C44" s="37">
        <v>13.9084</v>
      </c>
      <c r="D44" s="113"/>
      <c r="E44" s="113"/>
      <c r="F44" s="113"/>
      <c r="G44" s="113"/>
      <c r="H44" s="113"/>
      <c r="I44" s="178"/>
      <c r="J44" s="109"/>
      <c r="K44" s="113"/>
      <c r="L44" s="143" t="s">
        <v>130</v>
      </c>
      <c r="M44" s="203">
        <v>280</v>
      </c>
      <c r="N44" s="202">
        <v>0.44</v>
      </c>
      <c r="O44" s="205">
        <f t="shared" si="4"/>
        <v>123.2</v>
      </c>
      <c r="P44" s="156">
        <f t="shared" si="8"/>
        <v>280</v>
      </c>
      <c r="Q44" s="157">
        <f t="shared" ref="Q44" si="13">P44</f>
        <v>280</v>
      </c>
      <c r="R44" s="158">
        <f t="shared" si="10"/>
        <v>280</v>
      </c>
      <c r="S44" s="165">
        <f>AA72</f>
        <v>1</v>
      </c>
      <c r="T44" s="163">
        <f t="shared" si="5"/>
        <v>280</v>
      </c>
      <c r="U44" s="163">
        <f t="shared" si="6"/>
        <v>280</v>
      </c>
      <c r="V44" s="164">
        <f t="shared" si="7"/>
        <v>280</v>
      </c>
      <c r="W44" s="113"/>
      <c r="X44" s="113"/>
      <c r="Y44" s="113"/>
      <c r="Z44" s="113"/>
      <c r="AA44" s="178"/>
      <c r="AC44" s="113"/>
      <c r="AD44" s="113"/>
    </row>
    <row r="45" spans="2:30" x14ac:dyDescent="0.35">
      <c r="B45" s="180" t="s">
        <v>14</v>
      </c>
      <c r="C45" s="37">
        <v>0.65349999999999997</v>
      </c>
      <c r="D45" s="113"/>
      <c r="E45" s="113"/>
      <c r="F45" s="113"/>
      <c r="G45" s="113"/>
      <c r="H45" s="113"/>
      <c r="I45" s="178"/>
      <c r="J45" s="109"/>
      <c r="K45" s="113"/>
      <c r="L45" s="143" t="s">
        <v>131</v>
      </c>
      <c r="M45" s="203">
        <v>1300</v>
      </c>
      <c r="N45" s="202">
        <v>0</v>
      </c>
      <c r="O45" s="205">
        <f t="shared" si="4"/>
        <v>0</v>
      </c>
      <c r="P45" s="156">
        <f t="shared" si="8"/>
        <v>1300</v>
      </c>
      <c r="Q45" s="157">
        <f t="shared" ref="Q45" si="14">P45</f>
        <v>1300</v>
      </c>
      <c r="R45" s="158">
        <f t="shared" si="10"/>
        <v>1300</v>
      </c>
      <c r="S45" s="165">
        <v>1</v>
      </c>
      <c r="T45" s="163">
        <f t="shared" si="5"/>
        <v>1300</v>
      </c>
      <c r="U45" s="163">
        <f t="shared" si="6"/>
        <v>1300</v>
      </c>
      <c r="V45" s="164">
        <f t="shared" si="7"/>
        <v>1300</v>
      </c>
      <c r="W45" s="113"/>
      <c r="X45" s="113"/>
      <c r="Y45" s="113"/>
      <c r="Z45" s="113"/>
      <c r="AA45" s="178"/>
      <c r="AC45" s="113"/>
      <c r="AD45" s="113"/>
    </row>
    <row r="46" spans="2:30" x14ac:dyDescent="0.35">
      <c r="B46" s="180" t="s">
        <v>15</v>
      </c>
      <c r="C46" s="37">
        <v>2.9990999999999999</v>
      </c>
      <c r="D46" s="113"/>
      <c r="E46" s="113"/>
      <c r="F46" s="113"/>
      <c r="G46" s="113"/>
      <c r="H46" s="113"/>
      <c r="I46" s="178"/>
      <c r="J46" s="109"/>
      <c r="K46" s="113"/>
      <c r="L46" s="151" t="s">
        <v>124</v>
      </c>
      <c r="M46" s="203">
        <f>'APPLIANCE Conversion'!E21</f>
        <v>433</v>
      </c>
      <c r="N46" s="202">
        <v>0</v>
      </c>
      <c r="O46" s="205">
        <f t="shared" si="4"/>
        <v>0</v>
      </c>
      <c r="P46" s="159">
        <f t="shared" si="8"/>
        <v>433</v>
      </c>
      <c r="Q46" s="160">
        <f t="shared" ref="Q46" si="15">P46</f>
        <v>433</v>
      </c>
      <c r="R46" s="161">
        <f t="shared" si="10"/>
        <v>433</v>
      </c>
      <c r="S46" s="166">
        <v>1</v>
      </c>
      <c r="T46" s="167">
        <f t="shared" si="5"/>
        <v>433</v>
      </c>
      <c r="U46" s="167">
        <f t="shared" si="6"/>
        <v>433</v>
      </c>
      <c r="V46" s="168">
        <f t="shared" si="7"/>
        <v>433</v>
      </c>
      <c r="W46" s="113"/>
      <c r="X46" s="113"/>
      <c r="Y46" s="113"/>
      <c r="Z46" s="113"/>
      <c r="AA46" s="178"/>
      <c r="AC46" s="113"/>
      <c r="AD46" s="113"/>
    </row>
    <row r="47" spans="2:30" ht="15" customHeight="1" x14ac:dyDescent="0.35">
      <c r="B47" s="180" t="s">
        <v>47</v>
      </c>
      <c r="C47" s="37">
        <v>0.88190000000000002</v>
      </c>
      <c r="D47" s="113"/>
      <c r="E47" s="113"/>
      <c r="F47" s="113"/>
      <c r="G47" s="113"/>
      <c r="H47" s="113"/>
      <c r="I47" s="178"/>
      <c r="J47" s="109"/>
      <c r="K47" s="113"/>
      <c r="L47" s="154" t="s">
        <v>295</v>
      </c>
      <c r="M47" s="157">
        <f>SUMIF(N39:N46,"&gt;0",M39:M46)</f>
        <v>2795</v>
      </c>
      <c r="N47" s="154" t="s">
        <v>302</v>
      </c>
      <c r="O47" s="362">
        <f>SUM(O39:O46)</f>
        <v>2232.1499999999996</v>
      </c>
      <c r="P47" s="78">
        <f>P39*$N39+P40*$N40+P41*$N41+P42*$N42+P43*$N43+P44*$N44+P45*$N45+P46*$N46</f>
        <v>2218.8499999999995</v>
      </c>
      <c r="Q47" s="78">
        <f>Q39*$N39+Q40*$N40+Q41*$N41+Q42*$N42+Q43*$N43+Q44*$N44+Q45*$N45+Q46*$N46</f>
        <v>2358.4999999999995</v>
      </c>
      <c r="R47" s="78">
        <f>R39*$N39+R40*$N40+R41*$N41+R42*$N42+R43*$N43+R44*$N44+R45*$N45+R46*$N46</f>
        <v>2239.7499999999995</v>
      </c>
      <c r="S47" s="113"/>
      <c r="T47" s="113"/>
      <c r="U47" s="113"/>
      <c r="V47" s="113"/>
      <c r="W47" s="113"/>
      <c r="X47" s="113"/>
      <c r="Y47" s="113"/>
      <c r="Z47" s="113"/>
      <c r="AA47" s="178"/>
      <c r="AC47" s="113"/>
      <c r="AD47" s="113"/>
    </row>
    <row r="48" spans="2:30" x14ac:dyDescent="0.35">
      <c r="B48" s="180" t="s">
        <v>16</v>
      </c>
      <c r="C48" s="37">
        <v>6.6687000000000003</v>
      </c>
      <c r="D48" s="113"/>
      <c r="E48" s="113"/>
      <c r="F48" s="113"/>
      <c r="G48" s="113"/>
      <c r="H48" s="113"/>
      <c r="I48" s="178"/>
      <c r="J48" s="109"/>
      <c r="K48" s="113"/>
      <c r="L48" s="154" t="s">
        <v>301</v>
      </c>
      <c r="M48" s="206">
        <v>2.7</v>
      </c>
      <c r="N48" s="154" t="s">
        <v>240</v>
      </c>
      <c r="O48" s="330">
        <f>(O47-P30)/P30</f>
        <v>9.6412556053795343E-4</v>
      </c>
      <c r="P48" s="330">
        <f>(P47-M30)/M30</f>
        <v>1.2861010830322447E-3</v>
      </c>
      <c r="Q48" s="330">
        <f>(Q47-N30)/N30</f>
        <v>-1.9043588658486901E-3</v>
      </c>
      <c r="R48" s="330">
        <f>(R47-O30)/O30</f>
        <v>7.81948168006946E-4</v>
      </c>
      <c r="S48" s="113" t="s">
        <v>311</v>
      </c>
      <c r="T48" s="113"/>
      <c r="U48" s="113"/>
      <c r="V48" s="113"/>
      <c r="W48" s="113"/>
      <c r="X48" s="113"/>
      <c r="Y48" s="113"/>
      <c r="Z48" s="113"/>
      <c r="AA48" s="178"/>
      <c r="AC48" s="113"/>
      <c r="AD48" s="113"/>
    </row>
    <row r="49" spans="1:30" x14ac:dyDescent="0.35">
      <c r="B49" s="180" t="s">
        <v>17</v>
      </c>
      <c r="C49" s="37">
        <v>0</v>
      </c>
      <c r="D49" s="113"/>
      <c r="E49" s="113"/>
      <c r="F49" s="113"/>
      <c r="G49" s="113"/>
      <c r="H49" s="113"/>
      <c r="I49" s="178"/>
      <c r="J49" s="109"/>
      <c r="K49" s="113"/>
      <c r="L49" s="113"/>
      <c r="M49" s="113"/>
      <c r="N49" s="113"/>
      <c r="O49" s="113"/>
      <c r="P49" s="113"/>
      <c r="Q49" s="113"/>
      <c r="R49" s="113"/>
      <c r="S49" s="113"/>
      <c r="T49" s="113"/>
      <c r="U49" s="113"/>
      <c r="V49" s="113"/>
      <c r="W49" s="113"/>
      <c r="X49" s="113"/>
      <c r="Y49" s="113"/>
      <c r="Z49" s="113"/>
      <c r="AA49" s="178"/>
      <c r="AC49" s="113"/>
      <c r="AD49" s="113"/>
    </row>
    <row r="50" spans="1:30" x14ac:dyDescent="0.35">
      <c r="B50" s="181" t="s">
        <v>18</v>
      </c>
      <c r="C50" s="39"/>
      <c r="D50" s="113"/>
      <c r="E50" s="113"/>
      <c r="F50" s="113"/>
      <c r="G50" s="113"/>
      <c r="H50" s="113"/>
      <c r="I50" s="178"/>
      <c r="J50" s="109"/>
      <c r="K50" s="113"/>
      <c r="L50" s="113"/>
      <c r="M50" s="113"/>
      <c r="N50" s="113"/>
      <c r="O50" s="113"/>
      <c r="P50" s="113"/>
      <c r="Q50" s="113"/>
      <c r="R50" s="113"/>
      <c r="S50" s="113"/>
      <c r="T50" s="113"/>
      <c r="U50" s="113"/>
      <c r="V50" s="113"/>
      <c r="W50" s="113"/>
      <c r="X50" s="366"/>
      <c r="Y50" s="366"/>
      <c r="Z50" s="113"/>
      <c r="AA50" s="178"/>
      <c r="AC50" s="113"/>
      <c r="AD50" s="113"/>
    </row>
    <row r="51" spans="1:30" ht="25.5" customHeight="1" x14ac:dyDescent="0.35">
      <c r="B51" s="180" t="s">
        <v>331</v>
      </c>
      <c r="C51" s="37">
        <f>9.0997+3.3421</f>
        <v>12.441800000000001</v>
      </c>
      <c r="D51" s="113"/>
      <c r="E51" s="113"/>
      <c r="F51" s="113"/>
      <c r="G51" s="113"/>
      <c r="H51" s="113"/>
      <c r="I51" s="178"/>
      <c r="J51" s="109"/>
      <c r="K51" s="113"/>
      <c r="L51" s="113"/>
      <c r="M51" s="344"/>
      <c r="N51" s="422" t="s">
        <v>236</v>
      </c>
      <c r="O51" s="432" t="s">
        <v>134</v>
      </c>
      <c r="P51" s="367" t="s">
        <v>273</v>
      </c>
      <c r="Q51" s="435" t="s">
        <v>359</v>
      </c>
      <c r="R51" s="435"/>
      <c r="S51" s="435"/>
      <c r="T51" s="441" t="s">
        <v>358</v>
      </c>
      <c r="U51" s="417" t="s">
        <v>263</v>
      </c>
      <c r="V51" s="432" t="s">
        <v>268</v>
      </c>
      <c r="W51" s="439" t="s">
        <v>345</v>
      </c>
      <c r="X51" s="441" t="s">
        <v>346</v>
      </c>
      <c r="Y51" s="422" t="s">
        <v>272</v>
      </c>
      <c r="Z51" s="113"/>
      <c r="AA51" s="178"/>
      <c r="AC51" s="113"/>
      <c r="AD51" s="113"/>
    </row>
    <row r="52" spans="1:30" x14ac:dyDescent="0.35">
      <c r="B52" s="180" t="s">
        <v>332</v>
      </c>
      <c r="C52" s="37">
        <f>8.8667+3.3421</f>
        <v>12.2088</v>
      </c>
      <c r="D52" s="113"/>
      <c r="E52" s="113"/>
      <c r="F52" s="113"/>
      <c r="G52" s="113"/>
      <c r="H52" s="113"/>
      <c r="I52" s="178"/>
      <c r="J52" s="109"/>
      <c r="K52" s="113"/>
      <c r="L52" s="113"/>
      <c r="M52" s="345" t="s">
        <v>210</v>
      </c>
      <c r="N52" s="423"/>
      <c r="O52" s="434"/>
      <c r="P52" s="368"/>
      <c r="Q52" s="346" t="s">
        <v>0</v>
      </c>
      <c r="R52" s="346" t="s">
        <v>147</v>
      </c>
      <c r="S52" s="346" t="s">
        <v>148</v>
      </c>
      <c r="T52" s="442"/>
      <c r="U52" s="418" t="s">
        <v>269</v>
      </c>
      <c r="V52" s="434"/>
      <c r="W52" s="440"/>
      <c r="X52" s="442"/>
      <c r="Y52" s="423"/>
      <c r="Z52" s="113"/>
      <c r="AA52" s="178"/>
      <c r="AC52" s="113"/>
      <c r="AD52" s="113"/>
    </row>
    <row r="53" spans="1:30" x14ac:dyDescent="0.35">
      <c r="B53" s="180" t="s">
        <v>332</v>
      </c>
      <c r="C53" s="37">
        <f>8.499+3.3421</f>
        <v>11.841100000000001</v>
      </c>
      <c r="D53" s="113"/>
      <c r="E53" s="113"/>
      <c r="F53" s="113"/>
      <c r="G53" s="113"/>
      <c r="H53" s="113"/>
      <c r="I53" s="178"/>
      <c r="J53" s="109"/>
      <c r="K53" s="113"/>
      <c r="L53" s="215" t="str">
        <f>L39</f>
        <v>Furnace</v>
      </c>
      <c r="M53" s="277" t="str">
        <f>'APPLIANCE Conversion'!$F$4</f>
        <v>Union NE</v>
      </c>
      <c r="N53" s="278" t="b">
        <v>1</v>
      </c>
      <c r="O53" s="396" t="str">
        <f>'APPLIANCE Conversion'!E13</f>
        <v>Oil</v>
      </c>
      <c r="P53" s="397">
        <f>IF(N53=FALSE,0,IF(M53="union south",'Common Inputs'!T39,IF(M53="union nw",'Common Inputs'!U39,'Common Inputs'!V39)))</f>
        <v>1807.3000000000002</v>
      </c>
      <c r="Q53" s="397">
        <f>IF(O53="propane",T39*$R$16*W29/X29,IF(O53="oil",T39*$R$17*W29/Y29,IF(O53="electric",T39*$R$18*W29/Z29,0)))</f>
        <v>1936.2259260504209</v>
      </c>
      <c r="R53" s="397">
        <f>IF(O53="propane",U39*$R$16*W29/X29,IF(O53="oil",U39*$R$17*W29/Y29,IF(O53="electric",U39*$R$18*W29/Z29,0)))</f>
        <v>2111.8121142857149</v>
      </c>
      <c r="S53" s="397">
        <f>IF(O53="propane",V39*$R$16*W29/X29,IF(O53="oil",V39*$R$17*W29/Y29,IF(O53="electric",V39*$R$18*W29/Z29,0)))</f>
        <v>1962.5041310924378</v>
      </c>
      <c r="T53" s="397">
        <f t="shared" ref="T53:T60" si="16">IF(N53=FALSE,0,IF(M53="union south",Q53,IF(M53="Union NW",R53,IF(M53="union ne",S53))))</f>
        <v>1962.5041310924378</v>
      </c>
      <c r="U53" s="398">
        <f t="shared" ref="U53:U60" si="17">IF(N53=FALSE,0,IF(O53="electric",T53,0))</f>
        <v>0</v>
      </c>
      <c r="V53" s="414">
        <f>IF(N53=FALSE,0,IF(O53="electric",'APPLIANCE Conversion'!I13*'Electric Rates'!$Q$20,'APPLIANCE Conversion'!I13*0.13))</f>
        <v>244.66539002329421</v>
      </c>
      <c r="W53" s="143" t="str">
        <f>IF(N53=FALSE,"",IF(O53="Propane","Propane",""))</f>
        <v/>
      </c>
      <c r="X53" s="113" t="str">
        <f>IF(N53=FALSE,"",IF(O53="Oil","Oil",""))</f>
        <v>Oil</v>
      </c>
      <c r="Y53" s="392" t="str">
        <f t="shared" ref="Y53:Y59" si="18">IF(N53=FALSE,"",IF(O53="Wood","Wood",""))</f>
        <v/>
      </c>
      <c r="Z53" s="113"/>
      <c r="AA53" s="178"/>
      <c r="AC53" s="113"/>
      <c r="AD53" s="113"/>
    </row>
    <row r="54" spans="1:30" x14ac:dyDescent="0.35">
      <c r="B54" s="180" t="s">
        <v>50</v>
      </c>
      <c r="C54" s="37">
        <f>8.1615+3.3421</f>
        <v>11.5036</v>
      </c>
      <c r="D54" s="113"/>
      <c r="E54" s="113"/>
      <c r="F54" s="113"/>
      <c r="G54" s="113"/>
      <c r="H54" s="113"/>
      <c r="I54" s="178"/>
      <c r="J54" s="109"/>
      <c r="K54" s="113"/>
      <c r="L54" s="216" t="str">
        <f t="shared" ref="L54:L60" si="19">L40</f>
        <v>Water Heater</v>
      </c>
      <c r="M54" s="279" t="str">
        <f>'APPLIANCE Conversion'!$F$4</f>
        <v>Union NE</v>
      </c>
      <c r="N54" s="280" t="b">
        <v>0</v>
      </c>
      <c r="O54" s="335" t="str">
        <f>'APPLIANCE Conversion'!E14</f>
        <v>Electric</v>
      </c>
      <c r="P54" s="78">
        <f>IF(N54=FALSE,0,IF(M54="union south",'Common Inputs'!T40,IF(M54="union nw",'Common Inputs'!U40,'Common Inputs'!V40)))</f>
        <v>0</v>
      </c>
      <c r="Q54" s="78">
        <f>IF(O54="propane",T40*$R$16*W30/X30,IF(O54="oil",T40*$R$17*W30/Y30,IF(O54="electric",T40*$R$18*W30/Z30,0)))</f>
        <v>4233.1416504223516</v>
      </c>
      <c r="R54" s="78">
        <f>IF(O54="propane",U40*$R$16*W30/X30,IF(O54="oil",U40*$R$17*W30/Y30,IF(O54="electric",U40*$R$18*W30/Z30,0)))</f>
        <v>4233.1416504223516</v>
      </c>
      <c r="S54" s="78">
        <f>IF(O54="propane",V40*$R$16*W30/X30,IF(O54="oil",V40*$R$17*W30/Y30,IF(O54="electric",V40*$R$18*W30/Z30,0)))</f>
        <v>4233.1416504223516</v>
      </c>
      <c r="T54" s="78">
        <f t="shared" si="16"/>
        <v>0</v>
      </c>
      <c r="U54" s="273">
        <f t="shared" si="17"/>
        <v>0</v>
      </c>
      <c r="V54" s="415">
        <f>IF(N54=FALSE,0,IF(O54="electric",'APPLIANCE Conversion'!I14*'Electric Rates'!$Q$20,'APPLIANCE Conversion'!I14*0.13))</f>
        <v>0</v>
      </c>
      <c r="W54" s="143" t="str">
        <f t="shared" ref="W54:W60" si="20">IF(N54=FALSE,"",IF(O54="Propane","Propane",""))</f>
        <v/>
      </c>
      <c r="X54" s="113" t="str">
        <f t="shared" ref="X54:X60" si="21">IF(N54=FALSE,"",IF(O54="Oil","Oil",""))</f>
        <v/>
      </c>
      <c r="Y54" s="155" t="str">
        <f t="shared" si="18"/>
        <v/>
      </c>
      <c r="Z54" s="113"/>
      <c r="AA54" s="178"/>
      <c r="AC54" s="113"/>
      <c r="AD54" s="113"/>
    </row>
    <row r="55" spans="1:30" x14ac:dyDescent="0.35">
      <c r="B55" s="180" t="s">
        <v>334</v>
      </c>
      <c r="C55" s="37">
        <f>7.8827+3.3421</f>
        <v>11.2248</v>
      </c>
      <c r="D55" s="113"/>
      <c r="E55" s="113"/>
      <c r="F55" s="113"/>
      <c r="G55" s="113"/>
      <c r="H55" s="113"/>
      <c r="I55" s="178"/>
      <c r="J55" s="109"/>
      <c r="K55" s="113"/>
      <c r="L55" s="216" t="str">
        <f t="shared" si="19"/>
        <v>Range/Oven</v>
      </c>
      <c r="M55" s="279" t="str">
        <f>'APPLIANCE Conversion'!$F$4</f>
        <v>Union NE</v>
      </c>
      <c r="N55" s="280" t="b">
        <v>0</v>
      </c>
      <c r="O55" s="335" t="str">
        <f>'APPLIANCE Conversion'!E15</f>
        <v>Electric</v>
      </c>
      <c r="P55" s="78">
        <f>IF(N55=FALSE,0,IF(M55="union south",'Common Inputs'!T41,IF(M55="union nw",'Common Inputs'!U41,'Common Inputs'!V41)))</f>
        <v>0</v>
      </c>
      <c r="Q55" s="78">
        <f>IF(O55="propane",T41*$R$16*W31/X31,IF(O55="oil",T41*$R$17,IF(O55="electric",T41*$R$18*W31/Z31,0)))</f>
        <v>883.07555555555564</v>
      </c>
      <c r="R55" s="78">
        <f>IF(O55="propane",U41*$R$16*W31/X31,IF(O55="oil",U41*$R$17,IF(O55="electric",U41*$R$18*W31/Z31,0)))</f>
        <v>883.07555555555564</v>
      </c>
      <c r="S55" s="78">
        <f>IF(O55="propane",V41*$R$16*W31/X31,IF(O55="oil",V41*$R$17,IF(O55="electric",V41*$R$18*W31/Z31,0)))</f>
        <v>883.07555555555564</v>
      </c>
      <c r="T55" s="78">
        <f t="shared" si="16"/>
        <v>0</v>
      </c>
      <c r="U55" s="273">
        <f t="shared" si="17"/>
        <v>0</v>
      </c>
      <c r="V55" s="415">
        <f>IF(N55=FALSE,0,IF(O55="electric",'APPLIANCE Conversion'!I15*'Electric Rates'!$Q$20,'APPLIANCE Conversion'!I15*0.13))</f>
        <v>0</v>
      </c>
      <c r="W55" s="143" t="str">
        <f t="shared" si="20"/>
        <v/>
      </c>
      <c r="X55" s="113" t="str">
        <f t="shared" si="21"/>
        <v/>
      </c>
      <c r="Y55" s="155" t="str">
        <f t="shared" si="18"/>
        <v/>
      </c>
      <c r="Z55" s="113"/>
      <c r="AA55" s="178"/>
      <c r="AC55" s="113"/>
      <c r="AD55" s="113"/>
    </row>
    <row r="56" spans="1:30" x14ac:dyDescent="0.35">
      <c r="B56" s="180" t="s">
        <v>22</v>
      </c>
      <c r="C56" s="37">
        <v>1.2219</v>
      </c>
      <c r="D56" s="113"/>
      <c r="E56" s="113"/>
      <c r="F56" s="113"/>
      <c r="G56" s="113"/>
      <c r="H56" s="113"/>
      <c r="I56" s="178"/>
      <c r="J56" s="109"/>
      <c r="K56" s="113"/>
      <c r="L56" s="216" t="str">
        <f t="shared" si="19"/>
        <v>Dryer</v>
      </c>
      <c r="M56" s="279" t="str">
        <f>'APPLIANCE Conversion'!$F$4</f>
        <v>Union NE</v>
      </c>
      <c r="N56" s="280" t="b">
        <v>0</v>
      </c>
      <c r="O56" s="335" t="str">
        <f>'APPLIANCE Conversion'!E16</f>
        <v>Electric</v>
      </c>
      <c r="P56" s="78">
        <f>IF(N56=FALSE,0,IF(M56="union south",'Common Inputs'!T42,IF(M56="union nw",'Common Inputs'!U42,'Common Inputs'!V42)))</f>
        <v>0</v>
      </c>
      <c r="Q56" s="78">
        <f>IF(O56="propane",T42*$R$16*W32/X32,IF(O56="oil",T42*$R$17,IF(O56="electric",T42*$R$18*W32/Z32,0)))</f>
        <v>1172.8347222222224</v>
      </c>
      <c r="R56" s="78">
        <f>IF(O56="propane",U42*$R$16*W32/X32,IF(O56="oil",U42*$R$17,IF(O56="electric",U42*$R$18*W32/Z32,0)))</f>
        <v>1172.8347222222224</v>
      </c>
      <c r="S56" s="78">
        <f>IF(O56="propane",V42*$R$16*W32/X32,IF(O56="oil",V42*$R$17,IF(O56="electric",V42*$R$18*W32/Z32,0)))</f>
        <v>1172.8347222222224</v>
      </c>
      <c r="T56" s="78">
        <f t="shared" si="16"/>
        <v>0</v>
      </c>
      <c r="U56" s="273">
        <f t="shared" si="17"/>
        <v>0</v>
      </c>
      <c r="V56" s="415">
        <f>IF(N56=FALSE,0,IF(O56="electric",'APPLIANCE Conversion'!I16*'Electric Rates'!$Q$20,'APPLIANCE Conversion'!I16*0.13))</f>
        <v>0</v>
      </c>
      <c r="W56" s="143" t="str">
        <f t="shared" si="20"/>
        <v/>
      </c>
      <c r="X56" s="113" t="str">
        <f t="shared" si="21"/>
        <v/>
      </c>
      <c r="Y56" s="155" t="str">
        <f t="shared" si="18"/>
        <v/>
      </c>
      <c r="Z56" s="113"/>
      <c r="AA56" s="178"/>
      <c r="AC56" s="113"/>
      <c r="AD56" s="113"/>
    </row>
    <row r="57" spans="1:30" x14ac:dyDescent="0.35">
      <c r="B57" s="182" t="s">
        <v>65</v>
      </c>
      <c r="C57" s="37">
        <v>23</v>
      </c>
      <c r="D57" s="113"/>
      <c r="E57" s="113"/>
      <c r="F57" s="113"/>
      <c r="G57" s="113"/>
      <c r="H57" s="113"/>
      <c r="I57" s="178"/>
      <c r="J57" s="109"/>
      <c r="K57" s="113"/>
      <c r="L57" s="216" t="str">
        <f t="shared" si="19"/>
        <v>BBQ</v>
      </c>
      <c r="M57" s="279" t="str">
        <f>'APPLIANCE Conversion'!$F$4</f>
        <v>Union NE</v>
      </c>
      <c r="N57" s="280" t="b">
        <v>0</v>
      </c>
      <c r="O57" s="335" t="str">
        <f>'APPLIANCE Conversion'!E17</f>
        <v>Propane</v>
      </c>
      <c r="P57" s="78">
        <f>IF(N57=FALSE,0,IF(M57="union south",'Common Inputs'!T43,IF(M57="union nw",'Common Inputs'!U43,'Common Inputs'!V43)))</f>
        <v>0</v>
      </c>
      <c r="Q57" s="78">
        <f t="shared" ref="Q57:Q60" si="22">IF(O57="propane",T43*$R$16,IF(O57="oil",T43*$R$17,IF(O57="electric",T43*$R$18,0)))</f>
        <v>119.1270459859704</v>
      </c>
      <c r="R57" s="78">
        <f t="shared" ref="R57:R60" si="23">IF(O57="propane",U43*$R$16,IF(O57="oil",U43*$R$17,IF(O57="electric",U43*$R$18,0)))</f>
        <v>119.1270459859704</v>
      </c>
      <c r="S57" s="78">
        <f t="shared" ref="S57:S60" si="24">IF(O57="propane",V43*$R$16,IF(O57="oil",V43*$R$17,IF(O57="electric",V43*$R$18,0)))</f>
        <v>119.1270459859704</v>
      </c>
      <c r="T57" s="78">
        <f t="shared" si="16"/>
        <v>0</v>
      </c>
      <c r="U57" s="273">
        <f t="shared" si="17"/>
        <v>0</v>
      </c>
      <c r="V57" s="415">
        <f>IF(N57=FALSE,0,IF(O57="electric",'APPLIANCE Conversion'!I17*'Electric Rates'!$Q$20,'APPLIANCE Conversion'!I17*0.13))</f>
        <v>0</v>
      </c>
      <c r="W57" s="143" t="str">
        <f t="shared" si="20"/>
        <v/>
      </c>
      <c r="X57" s="113" t="str">
        <f t="shared" si="21"/>
        <v/>
      </c>
      <c r="Y57" s="155" t="str">
        <f t="shared" si="18"/>
        <v/>
      </c>
      <c r="Z57" s="113"/>
      <c r="AA57" s="178"/>
      <c r="AC57" s="113"/>
      <c r="AD57" s="113"/>
    </row>
    <row r="58" spans="1:30" x14ac:dyDescent="0.35">
      <c r="B58" s="109"/>
      <c r="C58" s="113"/>
      <c r="D58" s="113"/>
      <c r="E58" s="113"/>
      <c r="F58" s="113"/>
      <c r="G58" s="113"/>
      <c r="H58" s="113"/>
      <c r="I58" s="178"/>
      <c r="J58" s="109"/>
      <c r="K58" s="113"/>
      <c r="L58" s="216" t="str">
        <f t="shared" si="19"/>
        <v>Fireplace</v>
      </c>
      <c r="M58" s="279" t="str">
        <f>'APPLIANCE Conversion'!$F$4</f>
        <v>Union NE</v>
      </c>
      <c r="N58" s="280" t="b">
        <v>0</v>
      </c>
      <c r="O58" s="335" t="str">
        <f>'APPLIANCE Conversion'!E18</f>
        <v>Wood</v>
      </c>
      <c r="P58" s="78">
        <f>IF(N58=FALSE,0,IF(M58="union south",'Common Inputs'!T44,IF(M58="union nw",'Common Inputs'!U44,'Common Inputs'!V44)))</f>
        <v>0</v>
      </c>
      <c r="Q58" s="78">
        <f t="shared" si="22"/>
        <v>0</v>
      </c>
      <c r="R58" s="78">
        <f t="shared" si="23"/>
        <v>0</v>
      </c>
      <c r="S58" s="78">
        <f t="shared" si="24"/>
        <v>0</v>
      </c>
      <c r="T58" s="78">
        <f t="shared" si="16"/>
        <v>0</v>
      </c>
      <c r="U58" s="273">
        <f t="shared" si="17"/>
        <v>0</v>
      </c>
      <c r="V58" s="415">
        <f>IF(N58=FALSE,0,IF(O58="electric",'APPLIANCE Conversion'!I18*'Electric Rates'!$Q$20,'APPLIANCE Conversion'!I18*0.13))</f>
        <v>0</v>
      </c>
      <c r="W58" s="143" t="str">
        <f t="shared" si="20"/>
        <v/>
      </c>
      <c r="X58" s="113" t="str">
        <f t="shared" si="21"/>
        <v/>
      </c>
      <c r="Y58" s="155" t="str">
        <f t="shared" si="18"/>
        <v/>
      </c>
      <c r="Z58" s="113"/>
      <c r="AA58" s="178"/>
      <c r="AC58" s="113"/>
      <c r="AD58" s="113"/>
    </row>
    <row r="59" spans="1:30" ht="15" thickBot="1" x14ac:dyDescent="0.4">
      <c r="B59" s="94"/>
      <c r="C59" s="95"/>
      <c r="D59" s="95"/>
      <c r="E59" s="95"/>
      <c r="F59" s="95"/>
      <c r="G59" s="95"/>
      <c r="H59" s="95"/>
      <c r="I59" s="96"/>
      <c r="J59" s="109"/>
      <c r="K59" s="113"/>
      <c r="L59" s="216" t="str">
        <f t="shared" si="19"/>
        <v>Pool Heater</v>
      </c>
      <c r="M59" s="279" t="str">
        <f>'APPLIANCE Conversion'!$F$4</f>
        <v>Union NE</v>
      </c>
      <c r="N59" s="280" t="b">
        <v>0</v>
      </c>
      <c r="O59" s="335" t="str">
        <f>'APPLIANCE Conversion'!E19</f>
        <v>Propane</v>
      </c>
      <c r="P59" s="78">
        <f>IF(N59=FALSE,0,IF(M59="union south",'Common Inputs'!T45,IF(M59="union nw",'Common Inputs'!U45,'Common Inputs'!V45)))</f>
        <v>0</v>
      </c>
      <c r="Q59" s="78">
        <f>IF(O59="propane",T45*$R$16*W35/X35,IF(O59="oil",T45*$R$17*W35/Y35,IF(O59="electric",T45*$R$18*W35/Z35,0)))</f>
        <v>1935.814497272019</v>
      </c>
      <c r="R59" s="78">
        <f>IF(O59="propane",U45*$R$16*W35/X35,IF(O59="oil",U45*$R$17*W35/Y35,IF(O59="electric",U45*$R$18*W35/Z35,0)))</f>
        <v>1935.814497272019</v>
      </c>
      <c r="S59" s="78">
        <f>IF(O59="propane",V45*$R$16*W35/X35,IF(O59="oil",V45*$R$17*W35/Y35,IF(O59="electric",V45*$R$18*W35/Z35,0)))</f>
        <v>1935.814497272019</v>
      </c>
      <c r="T59" s="78">
        <f t="shared" si="16"/>
        <v>0</v>
      </c>
      <c r="U59" s="273">
        <f t="shared" si="17"/>
        <v>0</v>
      </c>
      <c r="V59" s="415">
        <f>IF(N59=FALSE,0,IF(O59="electric",'APPLIANCE Conversion'!I19*'Electric Rates'!$Q$20,'APPLIANCE Conversion'!I19*0.13))</f>
        <v>0</v>
      </c>
      <c r="W59" s="143" t="str">
        <f t="shared" si="20"/>
        <v/>
      </c>
      <c r="X59" s="113" t="str">
        <f t="shared" si="21"/>
        <v/>
      </c>
      <c r="Y59" s="155" t="str">
        <f t="shared" si="18"/>
        <v/>
      </c>
      <c r="Z59" s="113"/>
      <c r="AA59" s="178"/>
      <c r="AC59" s="113"/>
      <c r="AD59" s="113"/>
    </row>
    <row r="60" spans="1:30" x14ac:dyDescent="0.35">
      <c r="J60" s="109"/>
      <c r="K60" s="113"/>
      <c r="L60" s="217" t="str">
        <f t="shared" si="19"/>
        <v>Other</v>
      </c>
      <c r="M60" s="281" t="str">
        <f>'APPLIANCE Conversion'!$F$4</f>
        <v>Union NE</v>
      </c>
      <c r="N60" s="282" t="b">
        <v>0</v>
      </c>
      <c r="O60" s="336" t="str">
        <f>'APPLIANCE Conversion'!E20</f>
        <v>Oil</v>
      </c>
      <c r="P60" s="162">
        <f>IF(N60=FALSE,0,IF(M60="union south",'Common Inputs'!T46,IF(M60="union nw",'Common Inputs'!U46,'Common Inputs'!V46)))</f>
        <v>0</v>
      </c>
      <c r="Q60" s="162">
        <f t="shared" si="22"/>
        <v>429.73844155844159</v>
      </c>
      <c r="R60" s="162">
        <f t="shared" si="23"/>
        <v>429.73844155844159</v>
      </c>
      <c r="S60" s="162">
        <f t="shared" si="24"/>
        <v>429.73844155844159</v>
      </c>
      <c r="T60" s="162">
        <f t="shared" si="16"/>
        <v>0</v>
      </c>
      <c r="U60" s="274">
        <f t="shared" si="17"/>
        <v>0</v>
      </c>
      <c r="V60" s="416">
        <f>IF(N60=FALSE,0,IF(O60="electric",'APPLIANCE Conversion'!I20*'Electric Rates'!$Q$20,'APPLIANCE Conversion'!I20*0.13))</f>
        <v>0</v>
      </c>
      <c r="W60" s="151" t="str">
        <f t="shared" si="20"/>
        <v/>
      </c>
      <c r="X60" s="150" t="str">
        <f t="shared" si="21"/>
        <v/>
      </c>
      <c r="Y60" s="276" t="s">
        <v>347</v>
      </c>
      <c r="Z60" s="113"/>
      <c r="AA60" s="178"/>
      <c r="AC60" s="113"/>
      <c r="AD60" s="113"/>
    </row>
    <row r="61" spans="1:30" ht="15" thickBot="1" x14ac:dyDescent="0.4">
      <c r="J61" s="109"/>
      <c r="K61" s="113"/>
      <c r="L61" s="399" t="s">
        <v>343</v>
      </c>
      <c r="M61" s="150"/>
      <c r="N61" s="150"/>
      <c r="O61" s="150"/>
      <c r="P61" s="150"/>
      <c r="Q61" s="150"/>
      <c r="R61" s="150"/>
      <c r="S61" s="150"/>
      <c r="T61" s="150"/>
      <c r="U61" s="150"/>
      <c r="V61" s="127">
        <f>SUM('APPLIANCE Conversion'!Q5:Q6)*0.13</f>
        <v>0</v>
      </c>
      <c r="W61" s="400"/>
      <c r="X61" s="85"/>
      <c r="Y61" s="86"/>
      <c r="Z61" s="113"/>
      <c r="AA61" s="178"/>
      <c r="AC61" s="113"/>
      <c r="AD61" s="113"/>
    </row>
    <row r="62" spans="1:30" ht="15.75" customHeight="1" thickBot="1" x14ac:dyDescent="0.4">
      <c r="A62" s="197"/>
      <c r="B62" s="198" t="s">
        <v>229</v>
      </c>
      <c r="C62" s="102"/>
      <c r="D62" s="102"/>
      <c r="E62" s="102"/>
      <c r="F62" s="102"/>
      <c r="G62" s="102"/>
      <c r="H62" s="311" t="s">
        <v>226</v>
      </c>
      <c r="I62" s="113"/>
      <c r="J62" s="109"/>
      <c r="K62" s="113"/>
      <c r="L62" s="113"/>
      <c r="M62" s="371" t="s">
        <v>242</v>
      </c>
      <c r="N62" s="372">
        <f>COUNTIF(N53:N60,TRUE)</f>
        <v>1</v>
      </c>
      <c r="O62" s="370"/>
      <c r="P62" s="370"/>
      <c r="Q62" s="370"/>
      <c r="R62" s="370"/>
      <c r="S62" s="370"/>
      <c r="T62" s="370"/>
      <c r="U62" s="370"/>
      <c r="V62" s="373">
        <f>SUM(V53:V61)</f>
        <v>244.66539002329421</v>
      </c>
      <c r="W62" s="401">
        <f>COUNTIF(W53:W60,"Propane")</f>
        <v>0</v>
      </c>
      <c r="X62" s="402">
        <f>COUNTIF(X53:X60,"oil")</f>
        <v>1</v>
      </c>
      <c r="Y62" s="403">
        <f>COUNTIF(Y53:Y60,"wood")</f>
        <v>0</v>
      </c>
      <c r="Z62" s="113"/>
      <c r="AA62" s="178"/>
    </row>
    <row r="63" spans="1:30" ht="45" x14ac:dyDescent="0.5">
      <c r="A63" s="109"/>
      <c r="B63" s="410" t="s">
        <v>350</v>
      </c>
      <c r="C63" s="172" t="str">
        <f>'APPLIANCE Conversion'!O44</f>
        <v>Hydro One -U1 High Density</v>
      </c>
      <c r="D63" s="172" t="str">
        <f>'APPLIANCE Conversion'!O45</f>
        <v>Hydro One -R1 Med Density</v>
      </c>
      <c r="E63" s="172" t="str">
        <f>'APPLIANCE Conversion'!O46</f>
        <v>Hydro One -R2 Low Density</v>
      </c>
      <c r="F63" s="172" t="str">
        <f>'APPLIANCE Conversion'!O47</f>
        <v>Hydro One -Seasonal</v>
      </c>
      <c r="G63" s="172" t="str">
        <f>'APPLIANCE Conversion'!O48</f>
        <v>Hydro One -R1 First Nation</v>
      </c>
      <c r="H63" s="316" t="s">
        <v>360</v>
      </c>
      <c r="I63" s="178"/>
      <c r="J63" s="197"/>
      <c r="K63" s="102"/>
      <c r="L63" s="331" t="s">
        <v>353</v>
      </c>
      <c r="M63" s="102"/>
      <c r="N63" s="102"/>
      <c r="O63" s="102"/>
      <c r="P63" s="102"/>
      <c r="Q63" s="102"/>
      <c r="R63" s="102"/>
      <c r="S63" s="102"/>
      <c r="T63" s="102"/>
      <c r="U63" s="102"/>
      <c r="V63" s="102"/>
      <c r="W63" s="102"/>
      <c r="X63" s="102"/>
      <c r="Y63" s="102"/>
      <c r="Z63" s="102"/>
      <c r="AA63" s="189"/>
      <c r="AD63" t="s">
        <v>347</v>
      </c>
    </row>
    <row r="64" spans="1:30" ht="15" thickBot="1" x14ac:dyDescent="0.4">
      <c r="A64" s="109"/>
      <c r="B64" s="306" t="s">
        <v>227</v>
      </c>
      <c r="C64" s="307">
        <v>43065</v>
      </c>
      <c r="D64" s="307">
        <v>43065</v>
      </c>
      <c r="E64" s="307">
        <v>43065</v>
      </c>
      <c r="F64" s="307">
        <f>E64</f>
        <v>43065</v>
      </c>
      <c r="G64" s="307">
        <v>43065</v>
      </c>
      <c r="H64" s="308">
        <v>42917</v>
      </c>
      <c r="J64" s="109"/>
      <c r="K64" s="113"/>
      <c r="L64" s="347" t="s">
        <v>100</v>
      </c>
      <c r="M64" s="348"/>
      <c r="N64" s="349"/>
      <c r="O64" s="350" t="s">
        <v>99</v>
      </c>
      <c r="P64" s="350"/>
      <c r="Q64" s="351"/>
      <c r="R64" s="352" t="s">
        <v>213</v>
      </c>
      <c r="S64" s="350"/>
      <c r="T64" s="351"/>
      <c r="U64" s="353" t="s">
        <v>93</v>
      </c>
      <c r="V64" s="354"/>
      <c r="W64" s="348" t="s">
        <v>220</v>
      </c>
      <c r="X64" s="348"/>
      <c r="Y64" s="348"/>
      <c r="Z64" s="348"/>
      <c r="AA64" s="369"/>
    </row>
    <row r="65" spans="1:27" x14ac:dyDescent="0.35">
      <c r="A65" s="445" t="s">
        <v>284</v>
      </c>
      <c r="B65" s="312" t="s">
        <v>153</v>
      </c>
      <c r="C65" s="301">
        <f>25.5-C67</f>
        <v>24.78</v>
      </c>
      <c r="D65" s="301">
        <f>34.59-D67</f>
        <v>33.770000000000003</v>
      </c>
      <c r="E65" s="301">
        <f>21.19-E67</f>
        <v>19.830000000000002</v>
      </c>
      <c r="F65" s="301">
        <f>37.12-F67</f>
        <v>36.279999999999994</v>
      </c>
      <c r="G65" s="301">
        <v>0</v>
      </c>
      <c r="H65" s="309">
        <v>22.17</v>
      </c>
      <c r="J65" s="109"/>
      <c r="K65" s="113"/>
      <c r="L65" s="355"/>
      <c r="M65" s="356" t="s">
        <v>219</v>
      </c>
      <c r="N65" s="357" t="s">
        <v>216</v>
      </c>
      <c r="O65" s="355"/>
      <c r="P65" s="358" t="s">
        <v>215</v>
      </c>
      <c r="Q65" s="359" t="s">
        <v>216</v>
      </c>
      <c r="R65" s="355"/>
      <c r="S65" s="356" t="s">
        <v>218</v>
      </c>
      <c r="T65" s="357" t="s">
        <v>216</v>
      </c>
      <c r="U65" s="355"/>
      <c r="V65" s="360"/>
      <c r="W65" s="358" t="s">
        <v>217</v>
      </c>
      <c r="X65" s="358" t="s">
        <v>221</v>
      </c>
      <c r="Y65" s="358" t="s">
        <v>128</v>
      </c>
      <c r="Z65" s="358" t="s">
        <v>129</v>
      </c>
      <c r="AA65" s="361" t="s">
        <v>222</v>
      </c>
    </row>
    <row r="66" spans="1:27" x14ac:dyDescent="0.35">
      <c r="A66" s="446"/>
      <c r="B66" s="226" t="s">
        <v>155</v>
      </c>
      <c r="C66" s="222">
        <v>0.79</v>
      </c>
      <c r="D66" s="222">
        <f>C66</f>
        <v>0.79</v>
      </c>
      <c r="E66" s="222">
        <f t="shared" ref="E66" si="25">D66</f>
        <v>0.79</v>
      </c>
      <c r="F66" s="222">
        <f>E66</f>
        <v>0.79</v>
      </c>
      <c r="G66" s="222">
        <v>0</v>
      </c>
      <c r="H66" s="223">
        <v>0.79</v>
      </c>
      <c r="J66" s="109"/>
      <c r="K66" s="113"/>
      <c r="L66" s="143"/>
      <c r="M66" s="113" t="str">
        <f>'APPLIANCE Conversion'!F35</f>
        <v>Single detached</v>
      </c>
      <c r="N66" s="202">
        <v>1.1000000000000001</v>
      </c>
      <c r="O66" s="143"/>
      <c r="P66" s="78">
        <f>'APPLIANCE Conversion'!F41</f>
        <v>1000</v>
      </c>
      <c r="Q66" s="202">
        <v>0.65</v>
      </c>
      <c r="R66" s="143"/>
      <c r="S66" s="113" t="str">
        <f>'APPLIANCE Conversion'!J35</f>
        <v>Before 1920</v>
      </c>
      <c r="T66" s="202">
        <v>1.35</v>
      </c>
      <c r="U66" s="143"/>
      <c r="V66" s="113">
        <f>'APPLIANCE Conversion'!F50</f>
        <v>1</v>
      </c>
      <c r="W66" s="202">
        <f>V66*1.5/$M$48</f>
        <v>0.55555555555555547</v>
      </c>
      <c r="X66" s="202">
        <v>0.9</v>
      </c>
      <c r="Y66" s="202">
        <v>0.9</v>
      </c>
      <c r="Z66" s="202">
        <v>1</v>
      </c>
      <c r="AA66" s="218">
        <v>1</v>
      </c>
    </row>
    <row r="67" spans="1:27" ht="15" customHeight="1" x14ac:dyDescent="0.35">
      <c r="A67" s="446"/>
      <c r="B67" s="387" t="s">
        <v>325</v>
      </c>
      <c r="C67" s="388">
        <v>0.72</v>
      </c>
      <c r="D67" s="388">
        <v>0.82</v>
      </c>
      <c r="E67" s="388">
        <v>1.36</v>
      </c>
      <c r="F67" s="388">
        <v>0.84</v>
      </c>
      <c r="G67" s="388">
        <v>0</v>
      </c>
      <c r="H67" s="389"/>
      <c r="J67" s="109"/>
      <c r="K67" s="113"/>
      <c r="L67" s="143"/>
      <c r="M67" s="113" t="str">
        <f>'APPLIANCE Conversion'!F36</f>
        <v>Semi-detached</v>
      </c>
      <c r="N67" s="202">
        <v>0.8</v>
      </c>
      <c r="O67" s="143"/>
      <c r="P67" s="78">
        <f>'APPLIANCE Conversion'!F42</f>
        <v>1250</v>
      </c>
      <c r="Q67" s="202">
        <v>0.75</v>
      </c>
      <c r="R67" s="143"/>
      <c r="S67" s="113" t="str">
        <f>'APPLIANCE Conversion'!J36</f>
        <v>1920-1945</v>
      </c>
      <c r="T67" s="202">
        <v>1.3</v>
      </c>
      <c r="U67" s="143"/>
      <c r="V67" s="113">
        <f>'APPLIANCE Conversion'!F51</f>
        <v>2</v>
      </c>
      <c r="W67" s="202">
        <f>V67/$M$48</f>
        <v>0.7407407407407407</v>
      </c>
      <c r="X67" s="202">
        <v>1</v>
      </c>
      <c r="Y67" s="202">
        <v>1</v>
      </c>
      <c r="Z67" s="202">
        <v>1</v>
      </c>
      <c r="AA67" s="218">
        <v>1</v>
      </c>
    </row>
    <row r="68" spans="1:27" ht="15" thickBot="1" x14ac:dyDescent="0.4">
      <c r="A68" s="447"/>
      <c r="B68" s="313" t="s">
        <v>259</v>
      </c>
      <c r="C68" s="304">
        <v>0.25</v>
      </c>
      <c r="D68" s="304">
        <v>0.25</v>
      </c>
      <c r="E68" s="304">
        <v>0.25</v>
      </c>
      <c r="F68" s="304">
        <f t="shared" ref="F68:F74" si="26">E68</f>
        <v>0.25</v>
      </c>
      <c r="G68" s="304">
        <f t="shared" ref="G68:G74" si="27">E68</f>
        <v>0.25</v>
      </c>
      <c r="H68" s="310">
        <v>0.25</v>
      </c>
      <c r="J68" s="109"/>
      <c r="K68" s="113"/>
      <c r="L68" s="143"/>
      <c r="M68" s="113" t="str">
        <f>'APPLIANCE Conversion'!F37</f>
        <v>Row or Townhome</v>
      </c>
      <c r="N68" s="202">
        <v>0.45</v>
      </c>
      <c r="O68" s="143"/>
      <c r="P68" s="78">
        <f>'APPLIANCE Conversion'!F43</f>
        <v>1750</v>
      </c>
      <c r="Q68" s="202">
        <v>1</v>
      </c>
      <c r="R68" s="143"/>
      <c r="S68" s="113" t="str">
        <f>'APPLIANCE Conversion'!J37</f>
        <v>1946-1960</v>
      </c>
      <c r="T68" s="202">
        <v>1.25</v>
      </c>
      <c r="U68" s="143"/>
      <c r="V68" s="113">
        <f>'APPLIANCE Conversion'!F52</f>
        <v>3</v>
      </c>
      <c r="W68" s="202">
        <f t="shared" ref="W68:W71" si="28">V68/$M$48</f>
        <v>1.1111111111111109</v>
      </c>
      <c r="X68" s="202">
        <v>1</v>
      </c>
      <c r="Y68" s="202">
        <v>1</v>
      </c>
      <c r="Z68" s="202">
        <v>1</v>
      </c>
      <c r="AA68" s="218">
        <v>1</v>
      </c>
    </row>
    <row r="69" spans="1:27" x14ac:dyDescent="0.35">
      <c r="A69" s="445" t="s">
        <v>285</v>
      </c>
      <c r="B69" s="314" t="s">
        <v>244</v>
      </c>
      <c r="C69" s="300">
        <v>6.5</v>
      </c>
      <c r="D69" s="300">
        <f>C69</f>
        <v>6.5</v>
      </c>
      <c r="E69" s="300">
        <f t="shared" ref="E69:H69" si="29">D69</f>
        <v>6.5</v>
      </c>
      <c r="F69" s="301">
        <f t="shared" si="26"/>
        <v>6.5</v>
      </c>
      <c r="G69" s="300">
        <f t="shared" si="27"/>
        <v>6.5</v>
      </c>
      <c r="H69" s="302">
        <f t="shared" si="29"/>
        <v>6.5</v>
      </c>
      <c r="J69" s="109"/>
      <c r="K69" s="113"/>
      <c r="L69" s="143"/>
      <c r="M69" s="113" t="str">
        <f>'APPLIANCE Conversion'!F38</f>
        <v>Seasonal min heat</v>
      </c>
      <c r="N69" s="202">
        <v>0.53</v>
      </c>
      <c r="O69" s="143"/>
      <c r="P69" s="78">
        <f>'APPLIANCE Conversion'!F44</f>
        <v>2250</v>
      </c>
      <c r="Q69" s="202">
        <v>1.28</v>
      </c>
      <c r="R69" s="143"/>
      <c r="S69" s="113" t="str">
        <f>'APPLIANCE Conversion'!J38</f>
        <v>1961-1970</v>
      </c>
      <c r="T69" s="202">
        <v>1.1499999999999999</v>
      </c>
      <c r="U69" s="143"/>
      <c r="V69" s="113">
        <f>'APPLIANCE Conversion'!F53</f>
        <v>4</v>
      </c>
      <c r="W69" s="202">
        <f t="shared" si="28"/>
        <v>1.4814814814814814</v>
      </c>
      <c r="X69" s="202">
        <v>1.2</v>
      </c>
      <c r="Y69" s="202">
        <v>1.2</v>
      </c>
      <c r="Z69" s="202">
        <v>1</v>
      </c>
      <c r="AA69" s="218">
        <v>1</v>
      </c>
    </row>
    <row r="70" spans="1:27" x14ac:dyDescent="0.35">
      <c r="A70" s="446"/>
      <c r="B70" s="224" t="s">
        <v>245</v>
      </c>
      <c r="C70" s="229">
        <v>9.5</v>
      </c>
      <c r="D70" s="229">
        <f t="shared" ref="D70:H74" si="30">C70</f>
        <v>9.5</v>
      </c>
      <c r="E70" s="229">
        <f t="shared" si="30"/>
        <v>9.5</v>
      </c>
      <c r="F70" s="222">
        <f t="shared" si="26"/>
        <v>9.5</v>
      </c>
      <c r="G70" s="229">
        <f t="shared" si="27"/>
        <v>9.5</v>
      </c>
      <c r="H70" s="230">
        <f t="shared" si="30"/>
        <v>9.5</v>
      </c>
      <c r="J70" s="109"/>
      <c r="K70" s="113"/>
      <c r="L70" s="144" t="s">
        <v>313</v>
      </c>
      <c r="M70" s="145" t="str">
        <f>'APPLIANCE Conversion'!F8</f>
        <v>Single detached</v>
      </c>
      <c r="N70" s="147">
        <f>VLOOKUP(M70,M66:N69,2,FALSE)</f>
        <v>1.1000000000000001</v>
      </c>
      <c r="O70" s="143"/>
      <c r="P70" s="78">
        <f>'APPLIANCE Conversion'!F45</f>
        <v>2750</v>
      </c>
      <c r="Q70" s="202">
        <v>1.57</v>
      </c>
      <c r="R70" s="143"/>
      <c r="S70" s="113" t="str">
        <f>'APPLIANCE Conversion'!J39</f>
        <v>1971-1980</v>
      </c>
      <c r="T70" s="202">
        <v>1</v>
      </c>
      <c r="U70" s="143"/>
      <c r="V70" s="113">
        <f>'APPLIANCE Conversion'!F54</f>
        <v>5.5</v>
      </c>
      <c r="W70" s="202">
        <f t="shared" si="28"/>
        <v>2.0370370370370368</v>
      </c>
      <c r="X70" s="202">
        <v>1.3</v>
      </c>
      <c r="Y70" s="202">
        <v>1.4</v>
      </c>
      <c r="Z70" s="202">
        <v>1</v>
      </c>
      <c r="AA70" s="218">
        <v>1</v>
      </c>
    </row>
    <row r="71" spans="1:27" x14ac:dyDescent="0.35">
      <c r="A71" s="446"/>
      <c r="B71" s="224" t="s">
        <v>246</v>
      </c>
      <c r="C71" s="229">
        <v>13.2</v>
      </c>
      <c r="D71" s="229">
        <f t="shared" si="30"/>
        <v>13.2</v>
      </c>
      <c r="E71" s="229">
        <f t="shared" si="30"/>
        <v>13.2</v>
      </c>
      <c r="F71" s="222">
        <f t="shared" si="26"/>
        <v>13.2</v>
      </c>
      <c r="G71" s="229">
        <f t="shared" si="27"/>
        <v>13.2</v>
      </c>
      <c r="H71" s="230">
        <f t="shared" si="30"/>
        <v>13.2</v>
      </c>
      <c r="J71" s="109"/>
      <c r="K71" s="113"/>
      <c r="L71" s="113"/>
      <c r="M71" s="113"/>
      <c r="N71" s="113"/>
      <c r="O71" s="143"/>
      <c r="P71" s="78">
        <f>'APPLIANCE Conversion'!F46</f>
        <v>3500</v>
      </c>
      <c r="Q71" s="202">
        <v>2</v>
      </c>
      <c r="R71" s="143"/>
      <c r="S71" s="113" t="str">
        <f>'APPLIANCE Conversion'!J40</f>
        <v>1981-1985</v>
      </c>
      <c r="T71" s="202">
        <v>1</v>
      </c>
      <c r="U71" s="143"/>
      <c r="V71" s="113">
        <f>'APPLIANCE Conversion'!F55</f>
        <v>7</v>
      </c>
      <c r="W71" s="202">
        <f t="shared" si="28"/>
        <v>2.5925925925925926</v>
      </c>
      <c r="X71" s="202">
        <v>1.3</v>
      </c>
      <c r="Y71" s="202">
        <v>1.6</v>
      </c>
      <c r="Z71" s="202">
        <v>1</v>
      </c>
      <c r="AA71" s="218">
        <v>1</v>
      </c>
    </row>
    <row r="72" spans="1:27" x14ac:dyDescent="0.35">
      <c r="A72" s="446"/>
      <c r="B72" s="225" t="s">
        <v>247</v>
      </c>
      <c r="C72" s="229">
        <v>6.5</v>
      </c>
      <c r="D72" s="229">
        <f t="shared" si="30"/>
        <v>6.5</v>
      </c>
      <c r="E72" s="229">
        <f t="shared" si="30"/>
        <v>6.5</v>
      </c>
      <c r="F72" s="222">
        <f t="shared" si="26"/>
        <v>6.5</v>
      </c>
      <c r="G72" s="229">
        <f t="shared" si="27"/>
        <v>6.5</v>
      </c>
      <c r="H72" s="230">
        <f t="shared" si="30"/>
        <v>6.5</v>
      </c>
      <c r="J72" s="109"/>
      <c r="K72" s="113"/>
      <c r="L72" s="113"/>
      <c r="M72" s="113"/>
      <c r="N72" s="113"/>
      <c r="O72" s="143"/>
      <c r="P72" s="78">
        <f>'APPLIANCE Conversion'!F47</f>
        <v>4500</v>
      </c>
      <c r="Q72" s="202">
        <v>2.57</v>
      </c>
      <c r="R72" s="143"/>
      <c r="S72" s="113" t="str">
        <f>'APPLIANCE Conversion'!J41</f>
        <v>1986-1990</v>
      </c>
      <c r="T72" s="202">
        <v>0.95</v>
      </c>
      <c r="U72" s="144" t="s">
        <v>313</v>
      </c>
      <c r="V72" s="150">
        <f>VLOOKUP('APPLIANCE Conversion'!J9,Table10[],2,FALSE)</f>
        <v>3</v>
      </c>
      <c r="W72" s="153">
        <f>VLOOKUP(V72,V66:AA71,2,FALSE)</f>
        <v>1.1111111111111109</v>
      </c>
      <c r="X72" s="153">
        <f>VLOOKUP(V72,V66:AA71,3,FALSE)</f>
        <v>1</v>
      </c>
      <c r="Y72" s="153">
        <f>VLOOKUP(V72,V66:AA71,4,FALSE)</f>
        <v>1</v>
      </c>
      <c r="Z72" s="153">
        <f>VLOOKUP(V72,V66:AA71,5,FALSE)</f>
        <v>1</v>
      </c>
      <c r="AA72" s="219">
        <f>VLOOKUP(V72,V66:AA71,6,FALSE)</f>
        <v>1</v>
      </c>
    </row>
    <row r="73" spans="1:27" x14ac:dyDescent="0.35">
      <c r="A73" s="446"/>
      <c r="B73" s="225" t="s">
        <v>248</v>
      </c>
      <c r="C73" s="229">
        <v>9.5</v>
      </c>
      <c r="D73" s="229">
        <f t="shared" si="30"/>
        <v>9.5</v>
      </c>
      <c r="E73" s="229">
        <f t="shared" si="30"/>
        <v>9.5</v>
      </c>
      <c r="F73" s="222">
        <f t="shared" si="26"/>
        <v>9.5</v>
      </c>
      <c r="G73" s="229">
        <f t="shared" si="27"/>
        <v>9.5</v>
      </c>
      <c r="H73" s="230">
        <f t="shared" si="30"/>
        <v>9.5</v>
      </c>
      <c r="J73" s="109"/>
      <c r="K73" s="113"/>
      <c r="L73" s="113"/>
      <c r="M73" s="113"/>
      <c r="N73" s="113"/>
      <c r="O73" s="144" t="s">
        <v>313</v>
      </c>
      <c r="P73" s="149">
        <f>VLOOKUP('APPLIANCE Conversion'!F9,Table9[],2,FALSE)</f>
        <v>1750</v>
      </c>
      <c r="Q73" s="147">
        <f>VLOOKUP(P73,P66:Q72,2,FALSE)</f>
        <v>1</v>
      </c>
      <c r="R73" s="143"/>
      <c r="S73" s="113" t="str">
        <f>'APPLIANCE Conversion'!J42</f>
        <v>1991-1995</v>
      </c>
      <c r="T73" s="202">
        <v>0.9</v>
      </c>
      <c r="U73" s="113"/>
      <c r="V73" s="113"/>
      <c r="W73" s="113"/>
      <c r="X73" s="113"/>
      <c r="Y73" s="113"/>
      <c r="Z73" s="113"/>
      <c r="AA73" s="178"/>
    </row>
    <row r="74" spans="1:27" x14ac:dyDescent="0.35">
      <c r="A74" s="446"/>
      <c r="B74" s="225" t="s">
        <v>249</v>
      </c>
      <c r="C74" s="229">
        <v>13.2</v>
      </c>
      <c r="D74" s="229">
        <f t="shared" si="30"/>
        <v>13.2</v>
      </c>
      <c r="E74" s="229">
        <f t="shared" si="30"/>
        <v>13.2</v>
      </c>
      <c r="F74" s="222">
        <f t="shared" si="26"/>
        <v>13.2</v>
      </c>
      <c r="G74" s="229">
        <f t="shared" si="27"/>
        <v>13.2</v>
      </c>
      <c r="H74" s="230">
        <f t="shared" si="30"/>
        <v>13.2</v>
      </c>
      <c r="J74" s="109"/>
      <c r="K74" s="113"/>
      <c r="L74" s="113"/>
      <c r="M74" s="113"/>
      <c r="N74" s="113"/>
      <c r="O74" s="113"/>
      <c r="P74" s="113"/>
      <c r="Q74" s="113"/>
      <c r="R74" s="143"/>
      <c r="S74" s="113" t="str">
        <f>'APPLIANCE Conversion'!J43</f>
        <v>1996 or later</v>
      </c>
      <c r="T74" s="202">
        <v>0.85</v>
      </c>
      <c r="U74" s="113"/>
      <c r="V74" s="113"/>
      <c r="W74" s="113"/>
      <c r="X74" s="113"/>
      <c r="Y74" s="113"/>
      <c r="Z74" s="113"/>
      <c r="AA74" s="178"/>
    </row>
    <row r="75" spans="1:27" x14ac:dyDescent="0.35">
      <c r="A75" s="446"/>
      <c r="B75" s="226" t="s">
        <v>250</v>
      </c>
      <c r="C75" s="229">
        <v>0.91</v>
      </c>
      <c r="D75" s="229">
        <v>2.2799999999999998</v>
      </c>
      <c r="E75" s="229">
        <v>3.74</v>
      </c>
      <c r="F75" s="229">
        <v>6.38</v>
      </c>
      <c r="G75" s="229">
        <v>0</v>
      </c>
      <c r="H75" s="230">
        <v>0.73</v>
      </c>
      <c r="J75" s="109"/>
      <c r="K75" s="113"/>
      <c r="L75" s="113"/>
      <c r="M75" s="113"/>
      <c r="N75" s="113"/>
      <c r="O75" s="113"/>
      <c r="P75" s="113"/>
      <c r="Q75" s="113"/>
      <c r="R75" s="144" t="s">
        <v>313</v>
      </c>
      <c r="S75" s="145" t="str">
        <f>'APPLIANCE Conversion'!J8</f>
        <v>1971-1980</v>
      </c>
      <c r="T75" s="146">
        <f>VLOOKUP(S75,S66:T74,2,FALSE)</f>
        <v>1</v>
      </c>
      <c r="U75" s="113"/>
      <c r="V75" s="113"/>
      <c r="W75" s="113"/>
      <c r="X75" s="113"/>
      <c r="Y75" s="113"/>
      <c r="Z75" s="113"/>
      <c r="AA75" s="178"/>
    </row>
    <row r="76" spans="1:27" ht="15" thickBot="1" x14ac:dyDescent="0.4">
      <c r="A76" s="446"/>
      <c r="B76" s="227" t="s">
        <v>251</v>
      </c>
      <c r="C76" s="229">
        <v>0</v>
      </c>
      <c r="D76" s="229">
        <v>0</v>
      </c>
      <c r="E76" s="229">
        <v>0</v>
      </c>
      <c r="F76" s="222">
        <f>E76</f>
        <v>0</v>
      </c>
      <c r="G76" s="229">
        <f>E76</f>
        <v>0</v>
      </c>
      <c r="H76" s="230"/>
      <c r="J76" s="94"/>
      <c r="K76" s="95"/>
      <c r="L76" s="95"/>
      <c r="M76" s="95"/>
      <c r="N76" s="95"/>
      <c r="O76" s="95"/>
      <c r="P76" s="95"/>
      <c r="Q76" s="95"/>
      <c r="R76" s="95"/>
      <c r="S76" s="95"/>
      <c r="T76" s="95"/>
      <c r="U76" s="95"/>
      <c r="V76" s="95"/>
      <c r="W76" s="95"/>
      <c r="X76" s="95"/>
      <c r="Y76" s="95"/>
      <c r="Z76" s="95"/>
      <c r="AA76" s="96"/>
    </row>
    <row r="77" spans="1:27" x14ac:dyDescent="0.35">
      <c r="A77" s="446"/>
      <c r="B77" s="226" t="s">
        <v>252</v>
      </c>
      <c r="C77" s="229">
        <v>0.47</v>
      </c>
      <c r="D77" s="229">
        <v>0.47</v>
      </c>
      <c r="E77" s="229">
        <v>0.44</v>
      </c>
      <c r="F77" s="229">
        <v>0.42</v>
      </c>
      <c r="G77" s="229">
        <v>0</v>
      </c>
      <c r="H77" s="230">
        <v>0.57999999999999996</v>
      </c>
    </row>
    <row r="78" spans="1:27" x14ac:dyDescent="0.35">
      <c r="A78" s="446"/>
      <c r="B78" s="226" t="s">
        <v>253</v>
      </c>
      <c r="C78" s="229">
        <v>0.97</v>
      </c>
      <c r="D78" s="229">
        <v>0.64</v>
      </c>
      <c r="E78" s="229">
        <v>0.62</v>
      </c>
      <c r="F78" s="229">
        <v>0.51</v>
      </c>
      <c r="G78" s="229">
        <v>0</v>
      </c>
      <c r="H78" s="230">
        <v>0.67</v>
      </c>
    </row>
    <row r="79" spans="1:27" x14ac:dyDescent="0.35">
      <c r="A79" s="446"/>
      <c r="B79" s="228" t="s">
        <v>254</v>
      </c>
      <c r="C79" s="229">
        <v>0.03</v>
      </c>
      <c r="D79" s="229">
        <f>C79</f>
        <v>0.03</v>
      </c>
      <c r="E79" s="229">
        <f t="shared" ref="E79:F80" si="31">D79</f>
        <v>0.03</v>
      </c>
      <c r="F79" s="222">
        <f t="shared" si="31"/>
        <v>0.03</v>
      </c>
      <c r="G79" s="229">
        <f>E79</f>
        <v>0.03</v>
      </c>
      <c r="H79" s="230">
        <v>0.21</v>
      </c>
    </row>
    <row r="80" spans="1:27" x14ac:dyDescent="0.35">
      <c r="A80" s="446"/>
      <c r="B80" s="228" t="s">
        <v>255</v>
      </c>
      <c r="C80" s="229">
        <v>0.36</v>
      </c>
      <c r="D80" s="229">
        <f>C80</f>
        <v>0.36</v>
      </c>
      <c r="E80" s="229">
        <f t="shared" si="31"/>
        <v>0.36</v>
      </c>
      <c r="F80" s="222">
        <f t="shared" si="31"/>
        <v>0.36</v>
      </c>
      <c r="G80" s="229">
        <f>E80</f>
        <v>0.36</v>
      </c>
      <c r="H80" s="230">
        <v>0.32</v>
      </c>
      <c r="R80" s="113"/>
      <c r="S80" s="113"/>
      <c r="T80" s="113"/>
      <c r="U80" s="113"/>
      <c r="V80" s="113"/>
      <c r="W80" s="113"/>
    </row>
    <row r="81" spans="1:23" x14ac:dyDescent="0.35">
      <c r="A81" s="446"/>
      <c r="B81" s="228" t="s">
        <v>256</v>
      </c>
      <c r="C81" s="229">
        <v>0</v>
      </c>
      <c r="D81" s="229">
        <v>0</v>
      </c>
      <c r="E81" s="229">
        <v>0</v>
      </c>
      <c r="F81" s="222">
        <f t="shared" ref="F81:F82" si="32">E81</f>
        <v>0</v>
      </c>
      <c r="G81" s="229">
        <f>E81</f>
        <v>0</v>
      </c>
      <c r="H81" s="230"/>
      <c r="R81" s="113"/>
      <c r="S81" s="113"/>
      <c r="T81" s="113"/>
      <c r="U81" s="113"/>
      <c r="V81" s="113"/>
      <c r="W81" s="113"/>
    </row>
    <row r="82" spans="1:23" ht="15" thickBot="1" x14ac:dyDescent="0.4">
      <c r="A82" s="447"/>
      <c r="B82" s="315" t="s">
        <v>257</v>
      </c>
      <c r="C82" s="303">
        <v>0</v>
      </c>
      <c r="D82" s="303">
        <v>0</v>
      </c>
      <c r="E82" s="303">
        <v>0</v>
      </c>
      <c r="F82" s="304">
        <f t="shared" si="32"/>
        <v>0</v>
      </c>
      <c r="G82" s="303">
        <v>0</v>
      </c>
      <c r="H82" s="305">
        <f>0.0007+0.21+0.02-0.23-0.36+0.004</f>
        <v>-0.3553</v>
      </c>
      <c r="R82" s="113"/>
      <c r="S82" s="113"/>
      <c r="T82" s="113"/>
      <c r="U82" s="113"/>
      <c r="V82" s="113"/>
      <c r="W82" s="113"/>
    </row>
    <row r="83" spans="1:23" x14ac:dyDescent="0.35">
      <c r="A83" s="109"/>
      <c r="B83" s="319" t="s">
        <v>287</v>
      </c>
      <c r="C83" s="333">
        <v>0</v>
      </c>
      <c r="D83" s="320">
        <v>36.43</v>
      </c>
      <c r="E83" s="320">
        <v>36.43</v>
      </c>
      <c r="F83" s="333">
        <v>0</v>
      </c>
      <c r="G83" s="333">
        <v>0</v>
      </c>
      <c r="H83" s="334">
        <v>0</v>
      </c>
      <c r="R83" s="113"/>
      <c r="S83" s="113"/>
      <c r="T83" s="113"/>
      <c r="U83" s="113"/>
      <c r="V83" s="113"/>
      <c r="W83" s="113"/>
    </row>
    <row r="84" spans="1:23" x14ac:dyDescent="0.35">
      <c r="A84" s="109"/>
      <c r="B84" s="296" t="s">
        <v>258</v>
      </c>
      <c r="C84" s="297">
        <v>1.0569999999999999</v>
      </c>
      <c r="D84" s="298">
        <v>1.0760000000000001</v>
      </c>
      <c r="E84" s="298">
        <v>1.105</v>
      </c>
      <c r="F84" s="298">
        <v>1.1040000000000001</v>
      </c>
      <c r="G84" s="298">
        <v>1.105</v>
      </c>
      <c r="H84" s="299">
        <v>1.0366</v>
      </c>
      <c r="R84" s="113"/>
      <c r="S84" s="113"/>
      <c r="T84" s="113"/>
      <c r="U84" s="113"/>
      <c r="V84" s="113"/>
      <c r="W84" s="113"/>
    </row>
    <row r="85" spans="1:23" ht="15" thickBot="1" x14ac:dyDescent="0.4">
      <c r="A85" s="109"/>
      <c r="B85" s="235" t="s">
        <v>243</v>
      </c>
      <c r="C85" s="249">
        <v>0.05</v>
      </c>
      <c r="D85" s="249">
        <v>0.05</v>
      </c>
      <c r="E85" s="249">
        <v>0.05</v>
      </c>
      <c r="F85" s="249">
        <f>E85</f>
        <v>0.05</v>
      </c>
      <c r="G85" s="249">
        <v>0</v>
      </c>
      <c r="H85" s="250">
        <v>0.05</v>
      </c>
    </row>
    <row r="86" spans="1:23" ht="28.5" customHeight="1" x14ac:dyDescent="0.35">
      <c r="A86" s="109"/>
      <c r="B86" s="443" t="s">
        <v>288</v>
      </c>
      <c r="C86" s="443"/>
      <c r="D86" s="443"/>
      <c r="E86" s="443"/>
      <c r="F86" s="443"/>
      <c r="G86" s="443"/>
      <c r="H86" s="444"/>
    </row>
    <row r="87" spans="1:23" x14ac:dyDescent="0.35">
      <c r="A87" s="109"/>
      <c r="B87" s="406" t="s">
        <v>203</v>
      </c>
      <c r="C87" s="407" t="s">
        <v>182</v>
      </c>
      <c r="D87" s="407"/>
      <c r="E87" s="407"/>
      <c r="F87" s="407"/>
      <c r="G87" s="407"/>
      <c r="H87" s="408"/>
    </row>
    <row r="88" spans="1:23" x14ac:dyDescent="0.35">
      <c r="A88" s="109"/>
      <c r="B88" s="291" t="s">
        <v>204</v>
      </c>
      <c r="C88" s="407" t="s">
        <v>260</v>
      </c>
      <c r="D88" s="113"/>
      <c r="E88" s="113"/>
      <c r="F88" s="113"/>
      <c r="G88" s="113"/>
      <c r="H88" s="178"/>
    </row>
    <row r="89" spans="1:23" x14ac:dyDescent="0.35">
      <c r="A89" s="109"/>
      <c r="B89" s="292" t="s">
        <v>205</v>
      </c>
      <c r="C89" s="407" t="s">
        <v>260</v>
      </c>
      <c r="D89" s="113"/>
      <c r="E89" s="113"/>
      <c r="F89" s="113"/>
      <c r="G89" s="113"/>
      <c r="H89" s="178"/>
    </row>
    <row r="90" spans="1:23" x14ac:dyDescent="0.35">
      <c r="A90" s="109"/>
      <c r="B90" s="293" t="s">
        <v>206</v>
      </c>
      <c r="C90" s="113"/>
      <c r="D90" s="113"/>
      <c r="E90" s="113"/>
      <c r="F90" s="113"/>
      <c r="G90" s="113"/>
      <c r="H90" s="178"/>
    </row>
    <row r="91" spans="1:23" ht="15" thickBot="1" x14ac:dyDescent="0.4">
      <c r="A91" s="94"/>
      <c r="B91" s="409" t="s">
        <v>171</v>
      </c>
      <c r="C91" s="95"/>
      <c r="D91" s="95"/>
      <c r="E91" s="95"/>
      <c r="F91" s="95"/>
      <c r="G91" s="95"/>
      <c r="H91" s="96"/>
    </row>
  </sheetData>
  <sheetProtection sheet="1" objects="1" scenarios="1" selectLockedCells="1"/>
  <mergeCells count="20">
    <mergeCell ref="B86:H86"/>
    <mergeCell ref="A65:A68"/>
    <mergeCell ref="A69:A82"/>
    <mergeCell ref="X51:X52"/>
    <mergeCell ref="W51:W52"/>
    <mergeCell ref="Y51:Y52"/>
    <mergeCell ref="C1:E1"/>
    <mergeCell ref="M31:P31"/>
    <mergeCell ref="T24:V24"/>
    <mergeCell ref="O36:O38"/>
    <mergeCell ref="N36:N38"/>
    <mergeCell ref="M36:M38"/>
    <mergeCell ref="O51:O52"/>
    <mergeCell ref="N51:N52"/>
    <mergeCell ref="V51:V52"/>
    <mergeCell ref="Q51:S51"/>
    <mergeCell ref="P37:R37"/>
    <mergeCell ref="S37:S38"/>
    <mergeCell ref="T37:V37"/>
    <mergeCell ref="T51:T52"/>
  </mergeCells>
  <hyperlinks>
    <hyperlink ref="O6" r:id="rId1" xr:uid="{00000000-0004-0000-0300-000000000000}"/>
    <hyperlink ref="P9" r:id="rId2" xr:uid="{00000000-0004-0000-0300-000001000000}"/>
    <hyperlink ref="P10" r:id="rId3" xr:uid="{00000000-0004-0000-0300-000002000000}"/>
    <hyperlink ref="C87" r:id="rId4" xr:uid="{00000000-0004-0000-0300-000003000000}"/>
  </hyperlinks>
  <pageMargins left="1.95" right="0.7" top="0.75" bottom="0.75" header="0.3" footer="0.3"/>
  <pageSetup paperSize="3" scale="57" orientation="landscape" r:id="rId5"/>
  <rowBreaks count="1" manualBreakCount="1">
    <brk id="77" max="27" man="1"/>
  </rowBreaks>
  <colBreaks count="1" manualBreakCount="1">
    <brk id="28" max="1048575" man="1"/>
  </colBreaks>
  <drawing r:id="rId6"/>
  <legacy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7"/>
  <sheetViews>
    <sheetView workbookViewId="0">
      <selection activeCell="D29" sqref="D29"/>
    </sheetView>
  </sheetViews>
  <sheetFormatPr defaultRowHeight="14.5" x14ac:dyDescent="0.35"/>
  <cols>
    <col min="1" max="1" width="20.453125" customWidth="1"/>
  </cols>
  <sheetData>
    <row r="1" spans="1:14" x14ac:dyDescent="0.35">
      <c r="A1" s="5" t="s">
        <v>142</v>
      </c>
    </row>
    <row r="2" spans="1:14" x14ac:dyDescent="0.35">
      <c r="B2" s="32" t="s">
        <v>72</v>
      </c>
      <c r="C2" s="32" t="s">
        <v>73</v>
      </c>
      <c r="D2" s="32" t="s">
        <v>74</v>
      </c>
      <c r="E2" s="32" t="s">
        <v>75</v>
      </c>
      <c r="F2" s="32" t="s">
        <v>74</v>
      </c>
      <c r="G2" s="32" t="s">
        <v>72</v>
      </c>
      <c r="H2" s="32" t="s">
        <v>72</v>
      </c>
      <c r="I2" s="32" t="s">
        <v>75</v>
      </c>
      <c r="J2" s="32" t="s">
        <v>76</v>
      </c>
      <c r="K2" s="32" t="s">
        <v>77</v>
      </c>
      <c r="L2" s="32" t="s">
        <v>78</v>
      </c>
      <c r="M2" s="32" t="s">
        <v>79</v>
      </c>
      <c r="N2" s="32" t="s">
        <v>40</v>
      </c>
    </row>
    <row r="3" spans="1:14" x14ac:dyDescent="0.35">
      <c r="A3" t="s">
        <v>327</v>
      </c>
      <c r="B3" s="4">
        <f>IF('APPLIANCE Conversion'!$F$4="union south",'South M1 Rates'!C36,IF('APPLIANCE Conversion'!$F$4="union nw",'NW 01 Rates'!C41,'NE 01 Rates'!C41))</f>
        <v>23.73</v>
      </c>
      <c r="C3" s="4">
        <f>IF('APPLIANCE Conversion'!$F$4="union south",'South M1 Rates'!D36,IF('APPLIANCE Conversion'!$F$4="union nw",'NW 01 Rates'!D41,'NE 01 Rates'!D41))</f>
        <v>173.5461908723484</v>
      </c>
      <c r="D3" s="4">
        <f>IF('APPLIANCE Conversion'!$F$4="union south",'South M1 Rates'!E36,IF('APPLIANCE Conversion'!$F$4="union nw",'NW 01 Rates'!E41,'NE 01 Rates'!E41))</f>
        <v>149.94545300384956</v>
      </c>
      <c r="E3" s="4">
        <f>IF('APPLIANCE Conversion'!$F$4="union south",'South M1 Rates'!F36,IF('APPLIANCE Conversion'!$F$4="union nw",'NW 01 Rates'!F41,'NE 01 Rates'!F41))</f>
        <v>89.550339926909729</v>
      </c>
      <c r="F3" s="4">
        <f>IF('APPLIANCE Conversion'!$F$4="union south",'South M1 Rates'!G36,IF('APPLIANCE Conversion'!$F$4="union nw",'NW 01 Rates'!G41,'NE 01 Rates'!G41))</f>
        <v>46.022952721933528</v>
      </c>
      <c r="G3" s="4">
        <f>IF('APPLIANCE Conversion'!$F$4="union south",'South M1 Rates'!H36,IF('APPLIANCE Conversion'!$F$4="union nw",'NW 01 Rates'!H41,'NE 01 Rates'!H41))</f>
        <v>23.73</v>
      </c>
      <c r="H3" s="4">
        <f>IF('APPLIANCE Conversion'!$F$4="union south",'South M1 Rates'!I36,IF('APPLIANCE Conversion'!$F$4="union nw",'NW 01 Rates'!I41,'NE 01 Rates'!I41))</f>
        <v>23.73</v>
      </c>
      <c r="I3" s="4">
        <f>IF('APPLIANCE Conversion'!$F$4="union south",'South M1 Rates'!J36,IF('APPLIANCE Conversion'!$F$4="union nw",'NW 01 Rates'!J41,'NE 01 Rates'!J41))</f>
        <v>23.73</v>
      </c>
      <c r="J3" s="4">
        <f>IF('APPLIANCE Conversion'!$F$4="union south",'South M1 Rates'!K36,IF('APPLIANCE Conversion'!$F$4="union nw",'NW 01 Rates'!K41,'NE 01 Rates'!K41))</f>
        <v>25.559630489770878</v>
      </c>
      <c r="K3" s="4">
        <f>IF('APPLIANCE Conversion'!$F$4="union south",'South M1 Rates'!L36,IF('APPLIANCE Conversion'!$F$4="union nw",'NW 01 Rates'!L41,'NE 01 Rates'!L41))</f>
        <v>50.549313616303564</v>
      </c>
      <c r="L3" s="4">
        <f>IF('APPLIANCE Conversion'!$F$4="union south",'South M1 Rates'!M36,IF('APPLIANCE Conversion'!$F$4="union nw",'NW 01 Rates'!M41,'NE 01 Rates'!M41))</f>
        <v>106.0694389993114</v>
      </c>
      <c r="M3" s="4">
        <f>IF('APPLIANCE Conversion'!$F$4="union south",'South M1 Rates'!N36,IF('APPLIANCE Conversion'!$F$4="union nw",'NW 01 Rates'!N41,'NE 01 Rates'!N41))</f>
        <v>162.99773775450461</v>
      </c>
      <c r="N3" s="4">
        <f>IF('APPLIANCE Conversion'!$F$4="union south",'South M1 Rates'!B36,IF('APPLIANCE Conversion'!$F$4="union nw",'NW 01 Rates'!B41,'NE 01 Rates'!B41))</f>
        <v>899.16105738493161</v>
      </c>
    </row>
    <row r="4" spans="1:14" x14ac:dyDescent="0.35">
      <c r="A4" t="s">
        <v>274</v>
      </c>
      <c r="B4" s="4">
        <f>$N3/12</f>
        <v>74.930088115410967</v>
      </c>
      <c r="C4" s="4">
        <f t="shared" ref="C4:M4" si="0">$N3/12</f>
        <v>74.930088115410967</v>
      </c>
      <c r="D4" s="4">
        <f t="shared" si="0"/>
        <v>74.930088115410967</v>
      </c>
      <c r="E4" s="4">
        <f t="shared" si="0"/>
        <v>74.930088115410967</v>
      </c>
      <c r="F4" s="4">
        <f t="shared" si="0"/>
        <v>74.930088115410967</v>
      </c>
      <c r="G4" s="4">
        <f t="shared" si="0"/>
        <v>74.930088115410967</v>
      </c>
      <c r="H4" s="4">
        <f t="shared" si="0"/>
        <v>74.930088115410967</v>
      </c>
      <c r="I4" s="4">
        <f t="shared" si="0"/>
        <v>74.930088115410967</v>
      </c>
      <c r="J4" s="4">
        <f t="shared" si="0"/>
        <v>74.930088115410967</v>
      </c>
      <c r="K4" s="4">
        <f t="shared" si="0"/>
        <v>74.930088115410967</v>
      </c>
      <c r="L4" s="4">
        <f t="shared" si="0"/>
        <v>74.930088115410967</v>
      </c>
      <c r="M4" s="4">
        <f t="shared" si="0"/>
        <v>74.930088115410967</v>
      </c>
      <c r="N4" s="4">
        <f>N3</f>
        <v>899.16105738493161</v>
      </c>
    </row>
    <row r="5" spans="1:14" x14ac:dyDescent="0.35">
      <c r="A5" t="s">
        <v>344</v>
      </c>
      <c r="B5" s="1">
        <f>IF('APPLIANCE Conversion'!$F$4="union south",'South M1 Rates'!C27,IF('APPLIANCE Conversion'!$F$4="union nw",'NW 01 Rates'!C30,'NE 01 Rates'!C30))</f>
        <v>399.71909761453725</v>
      </c>
      <c r="C5" s="1">
        <f>IF('APPLIANCE Conversion'!$F$4="union south",'South M1 Rates'!D27,IF('APPLIANCE Conversion'!$F$4="union nw",'NW 01 Rates'!D30,'NE 01 Rates'!D30))</f>
        <v>343.80085157941136</v>
      </c>
      <c r="D5" s="1">
        <f>IF('APPLIANCE Conversion'!$F$4="union south",'South M1 Rates'!E27,IF('APPLIANCE Conversion'!$F$4="union nw",'NW 01 Rates'!E30,'NE 01 Rates'!E30))</f>
        <v>289.19418704604851</v>
      </c>
      <c r="E5" s="1">
        <f>IF('APPLIANCE Conversion'!$F$4="union south",'South M1 Rates'!F27,IF('APPLIANCE Conversion'!$F$4="union nw",'NW 01 Rates'!F30,'NE 01 Rates'!F30))</f>
        <v>150.52316138604482</v>
      </c>
      <c r="F5" s="1">
        <f>IF('APPLIANCE Conversion'!$F$4="union south",'South M1 Rates'!G27,IF('APPLIANCE Conversion'!$F$4="union nw",'NW 01 Rates'!G30,'NE 01 Rates'!G30))</f>
        <v>50.8784632100175</v>
      </c>
      <c r="G5" s="1">
        <f>IF('APPLIANCE Conversion'!$F$4="union south",'South M1 Rates'!H27,IF('APPLIANCE Conversion'!$F$4="union nw",'NW 01 Rates'!H30,'NE 01 Rates'!H30))</f>
        <v>0</v>
      </c>
      <c r="H5" s="1">
        <f>IF('APPLIANCE Conversion'!$F$4="union south",'South M1 Rates'!I27,IF('APPLIANCE Conversion'!$F$4="union nw",'NW 01 Rates'!I30,'NE 01 Rates'!I30))</f>
        <v>0</v>
      </c>
      <c r="I5" s="1">
        <f>IF('APPLIANCE Conversion'!$F$4="union south",'South M1 Rates'!J27,IF('APPLIANCE Conversion'!$F$4="union nw",'NW 01 Rates'!J30,'NE 01 Rates'!J30))</f>
        <v>0</v>
      </c>
      <c r="J5" s="1">
        <f>IF('APPLIANCE Conversion'!$F$4="union south",'South M1 Rates'!K27,IF('APPLIANCE Conversion'!$F$4="union nw",'NW 01 Rates'!K30,'NE 01 Rates'!K30))</f>
        <v>4.1757047046596902</v>
      </c>
      <c r="K5" s="1">
        <f>IF('APPLIANCE Conversion'!$F$4="union south",'South M1 Rates'!L27,IF('APPLIANCE Conversion'!$F$4="union nw",'NW 01 Rates'!L30,'NE 01 Rates'!L30))</f>
        <v>61.208825863722247</v>
      </c>
      <c r="L5" s="1">
        <f>IF('APPLIANCE Conversion'!$F$4="union south",'South M1 Rates'!M27,IF('APPLIANCE Conversion'!$F$4="union nw",'NW 01 Rates'!M30,'NE 01 Rates'!M30))</f>
        <v>188.45206481289847</v>
      </c>
      <c r="M5" s="1">
        <f>IF('APPLIANCE Conversion'!$F$4="union south",'South M1 Rates'!N27,IF('APPLIANCE Conversion'!$F$4="union nw",'NW 01 Rates'!N30,'NE 01 Rates'!N30))</f>
        <v>319.34764378266016</v>
      </c>
      <c r="N5" s="1">
        <f>IF('APPLIANCE Conversion'!$F$4="union south",'South M1 Rates'!B27,IF('APPLIANCE Conversion'!$F$4="union nw",'NW 01 Rates'!B30,'NE 01 Rates'!B30))</f>
        <v>1807.3000000000002</v>
      </c>
    </row>
    <row r="7" spans="1:14" x14ac:dyDescent="0.35">
      <c r="A7" s="5" t="s">
        <v>70</v>
      </c>
    </row>
    <row r="8" spans="1:14" x14ac:dyDescent="0.35">
      <c r="B8" s="32" t="s">
        <v>72</v>
      </c>
      <c r="C8" s="32" t="s">
        <v>73</v>
      </c>
      <c r="D8" s="32" t="s">
        <v>74</v>
      </c>
      <c r="E8" s="32" t="s">
        <v>75</v>
      </c>
      <c r="F8" s="32" t="s">
        <v>74</v>
      </c>
      <c r="G8" s="32" t="s">
        <v>72</v>
      </c>
      <c r="H8" s="32" t="s">
        <v>72</v>
      </c>
      <c r="I8" s="32" t="s">
        <v>75</v>
      </c>
      <c r="J8" s="32" t="s">
        <v>76</v>
      </c>
      <c r="K8" s="32" t="s">
        <v>77</v>
      </c>
      <c r="L8" s="32" t="s">
        <v>78</v>
      </c>
      <c r="M8" s="32" t="s">
        <v>79</v>
      </c>
      <c r="N8" s="32" t="s">
        <v>40</v>
      </c>
    </row>
    <row r="9" spans="1:14" x14ac:dyDescent="0.35">
      <c r="A9" t="s">
        <v>327</v>
      </c>
      <c r="B9" s="4" t="e">
        <f>IF(#REF!="union south",'South M1 Rates'!#REF!,IF(#REF!="union nw",'NW 01 Rates'!#REF!,'NE 01 Rates'!#REF!))</f>
        <v>#REF!</v>
      </c>
      <c r="C9" s="4" t="e">
        <f>IF(#REF!="union south",'South M1 Rates'!#REF!,IF(#REF!="union nw",'NW 01 Rates'!#REF!,'NE 01 Rates'!#REF!))</f>
        <v>#REF!</v>
      </c>
      <c r="D9" s="4" t="e">
        <f>IF(#REF!="union south",'South M1 Rates'!#REF!,IF(#REF!="union nw",'NW 01 Rates'!#REF!,'NE 01 Rates'!#REF!))</f>
        <v>#REF!</v>
      </c>
      <c r="E9" s="4" t="e">
        <f>IF(#REF!="union south",'South M1 Rates'!#REF!,IF(#REF!="union nw",'NW 01 Rates'!#REF!,'NE 01 Rates'!#REF!))</f>
        <v>#REF!</v>
      </c>
      <c r="F9" s="4" t="e">
        <f>IF(#REF!="union south",'South M1 Rates'!#REF!,IF(#REF!="union nw",'NW 01 Rates'!#REF!,'NE 01 Rates'!#REF!))</f>
        <v>#REF!</v>
      </c>
      <c r="G9" s="4" t="e">
        <f>IF(#REF!="union south",'South M1 Rates'!#REF!,IF(#REF!="union nw",'NW 01 Rates'!#REF!,'NE 01 Rates'!#REF!))</f>
        <v>#REF!</v>
      </c>
      <c r="H9" s="4" t="e">
        <f>IF(#REF!="union south",'South M1 Rates'!#REF!,IF(#REF!="union nw",'NW 01 Rates'!#REF!,'NE 01 Rates'!#REF!))</f>
        <v>#REF!</v>
      </c>
      <c r="I9" s="4" t="e">
        <f>IF(#REF!="union south",'South M1 Rates'!#REF!,IF(#REF!="union nw",'NW 01 Rates'!#REF!,'NE 01 Rates'!#REF!))</f>
        <v>#REF!</v>
      </c>
      <c r="J9" s="4" t="e">
        <f>IF(#REF!="union south",'South M1 Rates'!#REF!,IF(#REF!="union nw",'NW 01 Rates'!#REF!,'NE 01 Rates'!#REF!))</f>
        <v>#REF!</v>
      </c>
      <c r="K9" s="4" t="e">
        <f>IF(#REF!="union south",'South M1 Rates'!#REF!,IF(#REF!="union nw",'NW 01 Rates'!#REF!,'NE 01 Rates'!#REF!))</f>
        <v>#REF!</v>
      </c>
      <c r="L9" s="4" t="e">
        <f>IF(#REF!="union south",'South M1 Rates'!#REF!,IF(#REF!="union nw",'NW 01 Rates'!#REF!,'NE 01 Rates'!#REF!))</f>
        <v>#REF!</v>
      </c>
      <c r="M9" s="4" t="e">
        <f>IF(#REF!="union south",'South M1 Rates'!#REF!,IF(#REF!="union nw",'NW 01 Rates'!#REF!,'NE 01 Rates'!#REF!))</f>
        <v>#REF!</v>
      </c>
      <c r="N9" s="4" t="e">
        <f>IF(#REF!="union south",'South M1 Rates'!#REF!,IF(#REF!="union nw",'NW 01 Rates'!#REF!,'NE 01 Rates'!#REF!))</f>
        <v>#REF!</v>
      </c>
    </row>
    <row r="10" spans="1:14" x14ac:dyDescent="0.35">
      <c r="A10" t="s">
        <v>90</v>
      </c>
      <c r="B10" s="4" t="e">
        <f>$N9/12</f>
        <v>#REF!</v>
      </c>
      <c r="C10" s="4" t="e">
        <f t="shared" ref="C10:M10" si="1">$N9/12</f>
        <v>#REF!</v>
      </c>
      <c r="D10" s="4" t="e">
        <f t="shared" si="1"/>
        <v>#REF!</v>
      </c>
      <c r="E10" s="4" t="e">
        <f t="shared" si="1"/>
        <v>#REF!</v>
      </c>
      <c r="F10" s="4" t="e">
        <f t="shared" si="1"/>
        <v>#REF!</v>
      </c>
      <c r="G10" s="4" t="e">
        <f t="shared" si="1"/>
        <v>#REF!</v>
      </c>
      <c r="H10" s="4" t="e">
        <f t="shared" si="1"/>
        <v>#REF!</v>
      </c>
      <c r="I10" s="4" t="e">
        <f t="shared" si="1"/>
        <v>#REF!</v>
      </c>
      <c r="J10" s="4" t="e">
        <f t="shared" si="1"/>
        <v>#REF!</v>
      </c>
      <c r="K10" s="4" t="e">
        <f t="shared" si="1"/>
        <v>#REF!</v>
      </c>
      <c r="L10" s="4" t="e">
        <f t="shared" si="1"/>
        <v>#REF!</v>
      </c>
      <c r="M10" s="4" t="e">
        <f t="shared" si="1"/>
        <v>#REF!</v>
      </c>
      <c r="N10" s="4" t="e">
        <f>N9</f>
        <v>#REF!</v>
      </c>
    </row>
    <row r="11" spans="1:14" x14ac:dyDescent="0.35">
      <c r="A11" t="s">
        <v>344</v>
      </c>
      <c r="B11" s="1" t="e">
        <f>IF(#REF!="union south",'South M1 Rates'!#REF!,IF(#REF!="union nw",'NW 01 Rates'!#REF!,'NE 01 Rates'!#REF!))</f>
        <v>#REF!</v>
      </c>
      <c r="C11" s="1" t="e">
        <f>IF(#REF!="union south",'South M1 Rates'!#REF!,IF(#REF!="union nw",'NW 01 Rates'!#REF!,'NE 01 Rates'!#REF!))</f>
        <v>#REF!</v>
      </c>
      <c r="D11" s="1" t="e">
        <f>IF(#REF!="union south",'South M1 Rates'!#REF!,IF(#REF!="union nw",'NW 01 Rates'!#REF!,'NE 01 Rates'!#REF!))</f>
        <v>#REF!</v>
      </c>
      <c r="E11" s="1" t="e">
        <f>IF(#REF!="union south",'South M1 Rates'!#REF!,IF(#REF!="union nw",'NW 01 Rates'!#REF!,'NE 01 Rates'!#REF!))</f>
        <v>#REF!</v>
      </c>
      <c r="F11" s="1" t="e">
        <f>IF(#REF!="union south",'South M1 Rates'!#REF!,IF(#REF!="union nw",'NW 01 Rates'!#REF!,'NE 01 Rates'!#REF!))</f>
        <v>#REF!</v>
      </c>
      <c r="G11" s="1" t="e">
        <f>IF(#REF!="union south",'South M1 Rates'!#REF!,IF(#REF!="union nw",'NW 01 Rates'!#REF!,'NE 01 Rates'!#REF!))</f>
        <v>#REF!</v>
      </c>
      <c r="H11" s="1" t="e">
        <f>IF(#REF!="union south",'South M1 Rates'!#REF!,IF(#REF!="union nw",'NW 01 Rates'!#REF!,'NE 01 Rates'!#REF!))</f>
        <v>#REF!</v>
      </c>
      <c r="I11" s="1" t="e">
        <f>IF(#REF!="union south",'South M1 Rates'!#REF!,IF(#REF!="union nw",'NW 01 Rates'!#REF!,'NE 01 Rates'!#REF!))</f>
        <v>#REF!</v>
      </c>
      <c r="J11" s="1" t="e">
        <f>IF(#REF!="union south",'South M1 Rates'!#REF!,IF(#REF!="union nw",'NW 01 Rates'!#REF!,'NE 01 Rates'!#REF!))</f>
        <v>#REF!</v>
      </c>
      <c r="K11" s="1" t="e">
        <f>IF(#REF!="union south",'South M1 Rates'!#REF!,IF(#REF!="union nw",'NW 01 Rates'!#REF!,'NE 01 Rates'!#REF!))</f>
        <v>#REF!</v>
      </c>
      <c r="L11" s="1" t="e">
        <f>IF(#REF!="union south",'South M1 Rates'!#REF!,IF(#REF!="union nw",'NW 01 Rates'!#REF!,'NE 01 Rates'!#REF!))</f>
        <v>#REF!</v>
      </c>
      <c r="M11" s="1" t="e">
        <f>IF(#REF!="union south",'South M1 Rates'!#REF!,IF(#REF!="union nw",'NW 01 Rates'!#REF!,'NE 01 Rates'!#REF!))</f>
        <v>#REF!</v>
      </c>
      <c r="N11" s="1" t="e">
        <f>IF(#REF!="union south",'South M1 Rates'!#REF!,IF(#REF!="union nw",'NW 01 Rates'!#REF!,'NE 01 Rates'!#REF!))</f>
        <v>#REF!</v>
      </c>
    </row>
    <row r="13" spans="1:14" x14ac:dyDescent="0.35">
      <c r="A13" s="5" t="s">
        <v>71</v>
      </c>
    </row>
    <row r="14" spans="1:14" x14ac:dyDescent="0.35">
      <c r="B14" s="32" t="s">
        <v>72</v>
      </c>
      <c r="C14" s="32" t="s">
        <v>73</v>
      </c>
      <c r="D14" s="32" t="s">
        <v>74</v>
      </c>
      <c r="E14" s="32" t="s">
        <v>75</v>
      </c>
      <c r="F14" s="32" t="s">
        <v>74</v>
      </c>
      <c r="G14" s="32" t="s">
        <v>72</v>
      </c>
      <c r="H14" s="32" t="s">
        <v>72</v>
      </c>
      <c r="I14" s="32" t="s">
        <v>75</v>
      </c>
      <c r="J14" s="32" t="s">
        <v>76</v>
      </c>
      <c r="K14" s="32" t="s">
        <v>77</v>
      </c>
      <c r="L14" s="32" t="s">
        <v>78</v>
      </c>
      <c r="M14" s="32" t="s">
        <v>79</v>
      </c>
      <c r="N14" s="32" t="s">
        <v>40</v>
      </c>
    </row>
    <row r="15" spans="1:14" x14ac:dyDescent="0.35">
      <c r="A15" t="s">
        <v>327</v>
      </c>
      <c r="B15" s="4" t="e">
        <f>IF(#REF!="union south",'South M1 Rates'!#REF!,IF(#REF!="union nw",'NW 01 Rates'!#REF!,'NE 01 Rates'!#REF!))</f>
        <v>#REF!</v>
      </c>
      <c r="C15" s="4" t="e">
        <f>IF(#REF!="union south",'South M1 Rates'!#REF!,IF(#REF!="union nw",'NW 01 Rates'!#REF!,'NE 01 Rates'!#REF!))</f>
        <v>#REF!</v>
      </c>
      <c r="D15" s="4" t="e">
        <f>IF(#REF!="union south",'South M1 Rates'!#REF!,IF(#REF!="union nw",'NW 01 Rates'!#REF!,'NE 01 Rates'!#REF!))</f>
        <v>#REF!</v>
      </c>
      <c r="E15" s="4" t="e">
        <f>IF(#REF!="union south",'South M1 Rates'!#REF!,IF(#REF!="union nw",'NW 01 Rates'!#REF!,'NE 01 Rates'!#REF!))</f>
        <v>#REF!</v>
      </c>
      <c r="F15" s="4" t="e">
        <f>IF(#REF!="union south",'South M1 Rates'!#REF!,IF(#REF!="union nw",'NW 01 Rates'!#REF!,'NE 01 Rates'!#REF!))</f>
        <v>#REF!</v>
      </c>
      <c r="G15" s="4" t="e">
        <f>IF(#REF!="union south",'South M1 Rates'!#REF!,IF(#REF!="union nw",'NW 01 Rates'!#REF!,'NE 01 Rates'!#REF!))</f>
        <v>#REF!</v>
      </c>
      <c r="H15" s="4" t="e">
        <f>IF(#REF!="union south",'South M1 Rates'!#REF!,IF(#REF!="union nw",'NW 01 Rates'!#REF!,'NE 01 Rates'!#REF!))</f>
        <v>#REF!</v>
      </c>
      <c r="I15" s="4" t="e">
        <f>IF(#REF!="union south",'South M1 Rates'!#REF!,IF(#REF!="union nw",'NW 01 Rates'!#REF!,'NE 01 Rates'!#REF!))</f>
        <v>#REF!</v>
      </c>
      <c r="J15" s="4" t="e">
        <f>IF(#REF!="union south",'South M1 Rates'!#REF!,IF(#REF!="union nw",'NW 01 Rates'!#REF!,'NE 01 Rates'!#REF!))</f>
        <v>#REF!</v>
      </c>
      <c r="K15" s="4" t="e">
        <f>IF(#REF!="union south",'South M1 Rates'!#REF!,IF(#REF!="union nw",'NW 01 Rates'!#REF!,'NE 01 Rates'!#REF!))</f>
        <v>#REF!</v>
      </c>
      <c r="L15" s="4" t="e">
        <f>IF(#REF!="union south",'South M1 Rates'!#REF!,IF(#REF!="union nw",'NW 01 Rates'!#REF!,'NE 01 Rates'!#REF!))</f>
        <v>#REF!</v>
      </c>
      <c r="M15" s="4" t="e">
        <f>IF(#REF!="union south",'South M1 Rates'!#REF!,IF(#REF!="union nw",'NW 01 Rates'!#REF!,'NE 01 Rates'!#REF!))</f>
        <v>#REF!</v>
      </c>
      <c r="N15" s="4" t="e">
        <f>IF(#REF!="union south",'South M1 Rates'!#REF!,IF(#REF!="union nw",'NW 01 Rates'!#REF!,'NE 01 Rates'!#REF!))</f>
        <v>#REF!</v>
      </c>
    </row>
    <row r="16" spans="1:14" x14ac:dyDescent="0.35">
      <c r="A16" t="s">
        <v>90</v>
      </c>
      <c r="B16" s="4" t="e">
        <f>$N15/12</f>
        <v>#REF!</v>
      </c>
      <c r="C16" s="4" t="e">
        <f t="shared" ref="C16:M16" si="2">$N15/12</f>
        <v>#REF!</v>
      </c>
      <c r="D16" s="4" t="e">
        <f t="shared" si="2"/>
        <v>#REF!</v>
      </c>
      <c r="E16" s="4" t="e">
        <f t="shared" si="2"/>
        <v>#REF!</v>
      </c>
      <c r="F16" s="4" t="e">
        <f t="shared" si="2"/>
        <v>#REF!</v>
      </c>
      <c r="G16" s="4" t="e">
        <f t="shared" si="2"/>
        <v>#REF!</v>
      </c>
      <c r="H16" s="4" t="e">
        <f t="shared" si="2"/>
        <v>#REF!</v>
      </c>
      <c r="I16" s="4" t="e">
        <f t="shared" si="2"/>
        <v>#REF!</v>
      </c>
      <c r="J16" s="4" t="e">
        <f t="shared" si="2"/>
        <v>#REF!</v>
      </c>
      <c r="K16" s="4" t="e">
        <f t="shared" si="2"/>
        <v>#REF!</v>
      </c>
      <c r="L16" s="4" t="e">
        <f t="shared" si="2"/>
        <v>#REF!</v>
      </c>
      <c r="M16" s="4" t="e">
        <f t="shared" si="2"/>
        <v>#REF!</v>
      </c>
      <c r="N16" s="4" t="e">
        <f>N15</f>
        <v>#REF!</v>
      </c>
    </row>
    <row r="17" spans="1:14" x14ac:dyDescent="0.35">
      <c r="A17" t="s">
        <v>344</v>
      </c>
      <c r="B17" s="1" t="e">
        <f>IF(#REF!="union south",'South M1 Rates'!#REF!,IF(#REF!="union nw",'NW 01 Rates'!#REF!,'NE 01 Rates'!#REF!))</f>
        <v>#REF!</v>
      </c>
      <c r="C17" s="1" t="e">
        <f>IF(#REF!="union south",'South M1 Rates'!#REF!,IF(#REF!="union nw",'NW 01 Rates'!#REF!,'NE 01 Rates'!#REF!))</f>
        <v>#REF!</v>
      </c>
      <c r="D17" s="1" t="e">
        <f>IF(#REF!="union south",'South M1 Rates'!#REF!,IF(#REF!="union nw",'NW 01 Rates'!#REF!,'NE 01 Rates'!#REF!))</f>
        <v>#REF!</v>
      </c>
      <c r="E17" s="1" t="e">
        <f>IF(#REF!="union south",'South M1 Rates'!#REF!,IF(#REF!="union nw",'NW 01 Rates'!#REF!,'NE 01 Rates'!#REF!))</f>
        <v>#REF!</v>
      </c>
      <c r="F17" s="1" t="e">
        <f>IF(#REF!="union south",'South M1 Rates'!#REF!,IF(#REF!="union nw",'NW 01 Rates'!#REF!,'NE 01 Rates'!#REF!))</f>
        <v>#REF!</v>
      </c>
      <c r="G17" s="1" t="e">
        <f>IF(#REF!="union south",'South M1 Rates'!#REF!,IF(#REF!="union nw",'NW 01 Rates'!#REF!,'NE 01 Rates'!#REF!))</f>
        <v>#REF!</v>
      </c>
      <c r="H17" s="1" t="e">
        <f>IF(#REF!="union south",'South M1 Rates'!#REF!,IF(#REF!="union nw",'NW 01 Rates'!#REF!,'NE 01 Rates'!#REF!))</f>
        <v>#REF!</v>
      </c>
      <c r="I17" s="1" t="e">
        <f>IF(#REF!="union south",'South M1 Rates'!#REF!,IF(#REF!="union nw",'NW 01 Rates'!#REF!,'NE 01 Rates'!#REF!))</f>
        <v>#REF!</v>
      </c>
      <c r="J17" s="1" t="e">
        <f>IF(#REF!="union south",'South M1 Rates'!#REF!,IF(#REF!="union nw",'NW 01 Rates'!#REF!,'NE 01 Rates'!#REF!))</f>
        <v>#REF!</v>
      </c>
      <c r="K17" s="1" t="e">
        <f>IF(#REF!="union south",'South M1 Rates'!#REF!,IF(#REF!="union nw",'NW 01 Rates'!#REF!,'NE 01 Rates'!#REF!))</f>
        <v>#REF!</v>
      </c>
      <c r="L17" s="1" t="e">
        <f>IF(#REF!="union south",'South M1 Rates'!#REF!,IF(#REF!="union nw",'NW 01 Rates'!#REF!,'NE 01 Rates'!#REF!))</f>
        <v>#REF!</v>
      </c>
      <c r="M17" s="1" t="e">
        <f>IF(#REF!="union south",'South M1 Rates'!#REF!,IF(#REF!="union nw",'NW 01 Rates'!#REF!,'NE 01 Rates'!#REF!))</f>
        <v>#REF!</v>
      </c>
      <c r="N17" s="1" t="e">
        <f>IF(#REF!="union south",'South M1 Rates'!#REF!,IF(#REF!="union nw",'NW 01 Rates'!#REF!,'NE 01 Rates'!#REF!))</f>
        <v>#REF!</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8"/>
  <sheetViews>
    <sheetView view="pageBreakPreview" zoomScale="60" zoomScaleNormal="100" workbookViewId="0">
      <selection activeCell="U13" sqref="U13"/>
    </sheetView>
  </sheetViews>
  <sheetFormatPr defaultRowHeight="14.5" x14ac:dyDescent="0.35"/>
  <cols>
    <col min="1" max="1" width="33.7265625" customWidth="1"/>
    <col min="2" max="2" width="12" customWidth="1"/>
    <col min="3" max="14" width="11.54296875" customWidth="1"/>
  </cols>
  <sheetData>
    <row r="1" spans="1:14" ht="21" x14ac:dyDescent="0.5">
      <c r="A1" s="6" t="s">
        <v>68</v>
      </c>
      <c r="C1" s="7"/>
      <c r="D1" s="1"/>
      <c r="E1" s="1"/>
      <c r="F1" s="1"/>
      <c r="G1" s="1"/>
      <c r="H1" s="1"/>
      <c r="I1" s="1"/>
      <c r="J1" s="1"/>
      <c r="K1" s="1"/>
      <c r="L1" s="1"/>
      <c r="M1" s="1"/>
      <c r="N1" s="1"/>
    </row>
    <row r="2" spans="1:14" ht="29" x14ac:dyDescent="0.35">
      <c r="A2" s="8" t="s">
        <v>10</v>
      </c>
      <c r="B2" s="9" t="s">
        <v>145</v>
      </c>
      <c r="C2" s="1"/>
      <c r="D2" s="1"/>
      <c r="E2" s="1"/>
      <c r="F2" s="1"/>
      <c r="G2" s="1"/>
      <c r="H2" s="1"/>
      <c r="I2" s="1"/>
      <c r="J2" s="1"/>
      <c r="K2" s="1"/>
      <c r="L2" s="1"/>
      <c r="M2" s="1"/>
      <c r="N2" s="1"/>
    </row>
    <row r="3" spans="1:14" ht="22.5" customHeight="1" x14ac:dyDescent="0.35">
      <c r="A3" s="11" t="s">
        <v>12</v>
      </c>
      <c r="B3" s="12">
        <f>'Common Inputs'!C7</f>
        <v>21</v>
      </c>
      <c r="C3" s="1"/>
      <c r="D3" s="1"/>
      <c r="E3" s="1"/>
      <c r="F3" s="1"/>
      <c r="G3" s="1"/>
      <c r="H3" s="1"/>
      <c r="I3" s="1"/>
      <c r="J3" s="1"/>
      <c r="K3" s="1"/>
      <c r="L3" s="1"/>
      <c r="M3" s="1"/>
      <c r="N3" s="1"/>
    </row>
    <row r="4" spans="1:14" x14ac:dyDescent="0.35">
      <c r="A4" s="11" t="s">
        <v>13</v>
      </c>
      <c r="B4" s="13">
        <f>'Common Inputs'!C8</f>
        <v>13.625999999999999</v>
      </c>
      <c r="C4" s="1"/>
      <c r="D4" s="1"/>
      <c r="E4" s="1"/>
      <c r="F4" s="1"/>
      <c r="G4" s="1"/>
      <c r="H4" s="1"/>
      <c r="I4" s="1"/>
      <c r="J4" s="1"/>
      <c r="K4" s="1"/>
      <c r="L4" s="1"/>
      <c r="M4" s="1"/>
      <c r="N4" s="1"/>
    </row>
    <row r="5" spans="1:14" x14ac:dyDescent="0.35">
      <c r="A5" s="11" t="s">
        <v>14</v>
      </c>
      <c r="B5" s="13">
        <f>'Common Inputs'!C9</f>
        <v>2.2892999999999999</v>
      </c>
      <c r="C5" s="1"/>
      <c r="D5" s="1"/>
      <c r="E5" s="1"/>
      <c r="F5" s="1"/>
      <c r="G5" s="1"/>
      <c r="H5" s="1"/>
      <c r="I5" s="1"/>
      <c r="J5" s="1"/>
      <c r="K5" s="1"/>
      <c r="L5" s="1"/>
      <c r="M5" s="1"/>
      <c r="N5" s="1"/>
    </row>
    <row r="6" spans="1:14" x14ac:dyDescent="0.35">
      <c r="A6" s="11" t="s">
        <v>15</v>
      </c>
      <c r="B6" s="13">
        <f>'Common Inputs'!C11</f>
        <v>0</v>
      </c>
      <c r="C6" s="1"/>
      <c r="D6" s="1"/>
      <c r="E6" s="1"/>
      <c r="F6" s="1"/>
      <c r="G6" s="1"/>
      <c r="H6" s="1"/>
      <c r="I6" s="1"/>
      <c r="J6" s="1"/>
      <c r="K6" s="1"/>
      <c r="L6" s="1"/>
      <c r="N6" s="1"/>
    </row>
    <row r="7" spans="1:14" x14ac:dyDescent="0.35">
      <c r="A7" s="11" t="s">
        <v>16</v>
      </c>
      <c r="B7" s="13">
        <f>'Common Inputs'!C12</f>
        <v>0.71530000000000005</v>
      </c>
      <c r="C7" s="1"/>
      <c r="D7" s="1"/>
      <c r="E7" s="1"/>
      <c r="F7" s="1"/>
      <c r="G7" s="1"/>
      <c r="H7" s="1"/>
      <c r="I7" s="1"/>
      <c r="J7" s="1"/>
      <c r="K7" s="1"/>
      <c r="L7" s="1"/>
      <c r="N7" s="1"/>
    </row>
    <row r="8" spans="1:14" x14ac:dyDescent="0.35">
      <c r="A8" s="11" t="s">
        <v>17</v>
      </c>
      <c r="B8" s="13">
        <f>'Common Inputs'!C13</f>
        <v>0</v>
      </c>
      <c r="C8" s="1"/>
      <c r="D8" s="1"/>
      <c r="E8" s="1"/>
      <c r="F8" s="1"/>
      <c r="G8" s="1"/>
      <c r="H8" s="1"/>
      <c r="I8" s="1"/>
      <c r="J8" s="1"/>
      <c r="K8" s="1"/>
      <c r="L8" s="1"/>
      <c r="N8" s="1"/>
    </row>
    <row r="9" spans="1:14" x14ac:dyDescent="0.35">
      <c r="A9" s="14" t="s">
        <v>18</v>
      </c>
      <c r="B9" s="31"/>
      <c r="C9" s="1"/>
      <c r="D9" s="1"/>
      <c r="E9" s="1"/>
      <c r="F9" s="1"/>
      <c r="G9" s="1"/>
      <c r="H9" s="1"/>
      <c r="I9" s="1"/>
      <c r="J9" s="1"/>
      <c r="K9" s="1"/>
      <c r="L9" s="1"/>
      <c r="N9" s="1"/>
    </row>
    <row r="10" spans="1:14" ht="16.5" x14ac:dyDescent="0.35">
      <c r="A10" s="11" t="s">
        <v>19</v>
      </c>
      <c r="B10" s="13">
        <f>'Common Inputs'!C15</f>
        <v>8.0010999999999992</v>
      </c>
      <c r="C10" s="1"/>
      <c r="D10" s="1"/>
      <c r="E10" s="1"/>
      <c r="F10" s="1"/>
      <c r="G10" s="1"/>
      <c r="H10" s="1"/>
      <c r="I10" s="1"/>
      <c r="J10" s="1"/>
      <c r="K10" s="1"/>
      <c r="L10" s="1"/>
      <c r="N10" s="1"/>
    </row>
    <row r="11" spans="1:14" ht="16.5" x14ac:dyDescent="0.35">
      <c r="A11" s="11" t="s">
        <v>20</v>
      </c>
      <c r="B11" s="13">
        <f>'Common Inputs'!C16</f>
        <v>7.7601999999999993</v>
      </c>
      <c r="C11" s="1"/>
      <c r="D11" s="1"/>
      <c r="E11" s="1"/>
      <c r="F11" s="1"/>
      <c r="G11" s="1"/>
      <c r="H11" s="1"/>
      <c r="I11" s="1"/>
      <c r="J11" s="1"/>
      <c r="K11" s="1"/>
      <c r="L11" s="1"/>
      <c r="N11" s="1"/>
    </row>
    <row r="12" spans="1:14" ht="16.5" x14ac:dyDescent="0.35">
      <c r="A12" s="11" t="s">
        <v>21</v>
      </c>
      <c r="B12" s="13">
        <f>'Common Inputs'!C17</f>
        <v>7.1378000000000004</v>
      </c>
      <c r="C12" s="1"/>
      <c r="D12" s="33"/>
      <c r="E12" s="1"/>
      <c r="F12" s="33"/>
      <c r="G12" s="1"/>
      <c r="H12" s="1"/>
      <c r="I12" s="1"/>
      <c r="J12" s="1"/>
      <c r="K12" s="1"/>
      <c r="L12" s="1"/>
      <c r="N12" s="1"/>
    </row>
    <row r="13" spans="1:14" x14ac:dyDescent="0.35">
      <c r="A13" s="11" t="s">
        <v>22</v>
      </c>
      <c r="B13" s="13">
        <f>'Common Inputs'!C18</f>
        <v>0.51429999999999998</v>
      </c>
      <c r="C13" s="1"/>
      <c r="D13" s="1"/>
      <c r="E13" s="1"/>
      <c r="F13" s="1"/>
      <c r="G13" s="1"/>
      <c r="H13" s="1"/>
      <c r="I13" s="1"/>
      <c r="J13" s="1"/>
      <c r="K13" s="1"/>
      <c r="L13" s="1"/>
      <c r="N13" s="1"/>
    </row>
    <row r="14" spans="1:14" x14ac:dyDescent="0.35">
      <c r="A14" s="15" t="s">
        <v>23</v>
      </c>
      <c r="B14" s="13">
        <f>IF('APPLIANCE Conversion'!F5="including SES",'Common Inputs'!C19,0)</f>
        <v>23</v>
      </c>
      <c r="C14" s="1"/>
      <c r="D14" s="1"/>
      <c r="E14" s="1"/>
      <c r="F14" s="1"/>
      <c r="G14" s="1"/>
      <c r="H14" s="1"/>
      <c r="I14" s="1"/>
      <c r="J14" s="1"/>
      <c r="K14" s="1"/>
      <c r="L14" s="1"/>
      <c r="M14" s="1"/>
      <c r="N14" s="1"/>
    </row>
    <row r="15" spans="1:14" x14ac:dyDescent="0.35">
      <c r="C15" s="10"/>
      <c r="D15" s="1"/>
      <c r="E15" s="1"/>
      <c r="F15" s="1"/>
      <c r="G15" s="1"/>
      <c r="H15" s="1"/>
      <c r="I15" s="1"/>
      <c r="J15" s="1"/>
      <c r="K15" s="1"/>
      <c r="L15" s="1"/>
      <c r="M15" s="1"/>
      <c r="N15" s="1"/>
    </row>
    <row r="17" spans="1:14" x14ac:dyDescent="0.35">
      <c r="A17" s="26" t="s">
        <v>142</v>
      </c>
      <c r="B17" s="25" t="s">
        <v>24</v>
      </c>
      <c r="C17" s="25" t="s">
        <v>25</v>
      </c>
      <c r="D17" s="25" t="s">
        <v>26</v>
      </c>
      <c r="E17" s="25" t="s">
        <v>27</v>
      </c>
      <c r="F17" s="25" t="s">
        <v>28</v>
      </c>
      <c r="G17" s="25" t="s">
        <v>29</v>
      </c>
      <c r="H17" s="25" t="s">
        <v>30</v>
      </c>
      <c r="I17" s="25" t="s">
        <v>31</v>
      </c>
      <c r="J17" s="25" t="s">
        <v>32</v>
      </c>
      <c r="K17" s="25" t="s">
        <v>33</v>
      </c>
      <c r="L17" s="25" t="s">
        <v>34</v>
      </c>
      <c r="M17" s="25" t="s">
        <v>35</v>
      </c>
      <c r="N17" s="25" t="s">
        <v>36</v>
      </c>
    </row>
    <row r="18" spans="1:14" x14ac:dyDescent="0.35">
      <c r="A18" s="29" t="s">
        <v>143</v>
      </c>
      <c r="B18" s="45">
        <f>SUM(C18:N18)</f>
        <v>1</v>
      </c>
      <c r="C18" s="48">
        <v>0.22116920135812385</v>
      </c>
      <c r="D18" s="48">
        <v>0.19022898886704551</v>
      </c>
      <c r="E18" s="48">
        <v>0.16001448959555606</v>
      </c>
      <c r="F18" s="48">
        <v>8.3286206709480878E-2</v>
      </c>
      <c r="G18" s="48">
        <v>2.8151642344944112E-2</v>
      </c>
      <c r="H18" s="48"/>
      <c r="I18" s="48"/>
      <c r="J18" s="48"/>
      <c r="K18" s="48">
        <v>2.3104657249265145E-3</v>
      </c>
      <c r="L18" s="48">
        <v>3.3867551520899819E-2</v>
      </c>
      <c r="M18" s="48">
        <v>0.10427270780329688</v>
      </c>
      <c r="N18" s="48">
        <v>0.17669874607572628</v>
      </c>
    </row>
    <row r="19" spans="1:14" x14ac:dyDescent="0.35">
      <c r="A19" t="s">
        <v>126</v>
      </c>
      <c r="B19" s="43">
        <f>'APPLIANCE Conversion'!H13</f>
        <v>1807.3000000000002</v>
      </c>
      <c r="C19" s="44">
        <f>$B19*C18</f>
        <v>399.71909761453725</v>
      </c>
      <c r="D19" s="44">
        <f t="shared" ref="D19:N19" si="0">$B19*D18</f>
        <v>343.80085157941136</v>
      </c>
      <c r="E19" s="44">
        <f t="shared" si="0"/>
        <v>289.19418704604851</v>
      </c>
      <c r="F19" s="44">
        <f t="shared" si="0"/>
        <v>150.52316138604482</v>
      </c>
      <c r="G19" s="44">
        <f t="shared" si="0"/>
        <v>50.8784632100175</v>
      </c>
      <c r="H19" s="44">
        <f t="shared" si="0"/>
        <v>0</v>
      </c>
      <c r="I19" s="44">
        <f t="shared" si="0"/>
        <v>0</v>
      </c>
      <c r="J19" s="44">
        <f t="shared" si="0"/>
        <v>0</v>
      </c>
      <c r="K19" s="44">
        <f t="shared" si="0"/>
        <v>4.1757047046596902</v>
      </c>
      <c r="L19" s="44">
        <f t="shared" si="0"/>
        <v>61.208825863722247</v>
      </c>
      <c r="M19" s="44">
        <f t="shared" si="0"/>
        <v>188.45206481289847</v>
      </c>
      <c r="N19" s="44">
        <f t="shared" si="0"/>
        <v>319.34764378266016</v>
      </c>
    </row>
    <row r="20" spans="1:14" x14ac:dyDescent="0.35">
      <c r="A20" t="s">
        <v>127</v>
      </c>
      <c r="B20" s="43">
        <f>'APPLIANCE Conversion'!H14</f>
        <v>0</v>
      </c>
      <c r="C20" s="44">
        <f>$B20/12</f>
        <v>0</v>
      </c>
      <c r="D20" s="44">
        <f>$B20/12</f>
        <v>0</v>
      </c>
      <c r="E20" s="44">
        <f t="shared" ref="E20:N22" si="1">$B20/12</f>
        <v>0</v>
      </c>
      <c r="F20" s="44">
        <f t="shared" si="1"/>
        <v>0</v>
      </c>
      <c r="G20" s="44">
        <f t="shared" si="1"/>
        <v>0</v>
      </c>
      <c r="H20" s="44">
        <f t="shared" si="1"/>
        <v>0</v>
      </c>
      <c r="I20" s="44">
        <f t="shared" si="1"/>
        <v>0</v>
      </c>
      <c r="J20" s="44">
        <f t="shared" si="1"/>
        <v>0</v>
      </c>
      <c r="K20" s="44">
        <f t="shared" si="1"/>
        <v>0</v>
      </c>
      <c r="L20" s="44">
        <f t="shared" si="1"/>
        <v>0</v>
      </c>
      <c r="M20" s="44">
        <f t="shared" si="1"/>
        <v>0</v>
      </c>
      <c r="N20" s="44">
        <f t="shared" si="1"/>
        <v>0</v>
      </c>
    </row>
    <row r="21" spans="1:14" x14ac:dyDescent="0.35">
      <c r="A21" t="s">
        <v>132</v>
      </c>
      <c r="B21" s="43">
        <f>'APPLIANCE Conversion'!H15</f>
        <v>0</v>
      </c>
      <c r="C21" s="44">
        <f>$B21/12</f>
        <v>0</v>
      </c>
      <c r="D21" s="44">
        <f t="shared" ref="D21:D22" si="2">$B21/12</f>
        <v>0</v>
      </c>
      <c r="E21" s="44">
        <f t="shared" si="1"/>
        <v>0</v>
      </c>
      <c r="F21" s="44">
        <f t="shared" si="1"/>
        <v>0</v>
      </c>
      <c r="G21" s="44">
        <f t="shared" si="1"/>
        <v>0</v>
      </c>
      <c r="H21" s="44">
        <f t="shared" si="1"/>
        <v>0</v>
      </c>
      <c r="I21" s="44">
        <f t="shared" si="1"/>
        <v>0</v>
      </c>
      <c r="J21" s="44">
        <f t="shared" si="1"/>
        <v>0</v>
      </c>
      <c r="K21" s="44">
        <f t="shared" si="1"/>
        <v>0</v>
      </c>
      <c r="L21" s="44">
        <f t="shared" si="1"/>
        <v>0</v>
      </c>
      <c r="M21" s="44">
        <f t="shared" si="1"/>
        <v>0</v>
      </c>
      <c r="N21" s="44">
        <f t="shared" si="1"/>
        <v>0</v>
      </c>
    </row>
    <row r="22" spans="1:14" x14ac:dyDescent="0.35">
      <c r="A22" t="s">
        <v>128</v>
      </c>
      <c r="B22" s="43">
        <f>'APPLIANCE Conversion'!H16</f>
        <v>0</v>
      </c>
      <c r="C22" s="44">
        <f>$B22/12</f>
        <v>0</v>
      </c>
      <c r="D22" s="44">
        <f t="shared" si="2"/>
        <v>0</v>
      </c>
      <c r="E22" s="44">
        <f t="shared" si="1"/>
        <v>0</v>
      </c>
      <c r="F22" s="44">
        <f t="shared" si="1"/>
        <v>0</v>
      </c>
      <c r="G22" s="44">
        <f t="shared" si="1"/>
        <v>0</v>
      </c>
      <c r="H22" s="44">
        <f t="shared" si="1"/>
        <v>0</v>
      </c>
      <c r="I22" s="44">
        <f t="shared" si="1"/>
        <v>0</v>
      </c>
      <c r="J22" s="44">
        <f t="shared" si="1"/>
        <v>0</v>
      </c>
      <c r="K22" s="44">
        <f t="shared" si="1"/>
        <v>0</v>
      </c>
      <c r="L22" s="44">
        <f t="shared" si="1"/>
        <v>0</v>
      </c>
      <c r="M22" s="44">
        <f t="shared" si="1"/>
        <v>0</v>
      </c>
      <c r="N22" s="44">
        <f t="shared" si="1"/>
        <v>0</v>
      </c>
    </row>
    <row r="23" spans="1:14" x14ac:dyDescent="0.35">
      <c r="A23" t="s">
        <v>129</v>
      </c>
      <c r="B23" s="43">
        <f>'APPLIANCE Conversion'!H17</f>
        <v>0</v>
      </c>
      <c r="C23" s="44"/>
      <c r="D23" s="44"/>
      <c r="E23" s="44"/>
      <c r="F23" s="44"/>
      <c r="G23" s="44">
        <f>$B23/5</f>
        <v>0</v>
      </c>
      <c r="H23" s="44">
        <f t="shared" ref="H23:K23" si="3">$B23/5</f>
        <v>0</v>
      </c>
      <c r="I23" s="44">
        <f t="shared" si="3"/>
        <v>0</v>
      </c>
      <c r="J23" s="44">
        <f t="shared" si="3"/>
        <v>0</v>
      </c>
      <c r="K23" s="44">
        <f t="shared" si="3"/>
        <v>0</v>
      </c>
      <c r="L23" s="44"/>
      <c r="M23" s="44"/>
      <c r="N23" s="44"/>
    </row>
    <row r="24" spans="1:14" x14ac:dyDescent="0.35">
      <c r="A24" t="s">
        <v>130</v>
      </c>
      <c r="B24" s="43">
        <f>'APPLIANCE Conversion'!H18</f>
        <v>0</v>
      </c>
      <c r="C24" s="44">
        <f>$B24*C18</f>
        <v>0</v>
      </c>
      <c r="D24" s="44">
        <f t="shared" ref="D24:N24" si="4">$B24*D18</f>
        <v>0</v>
      </c>
      <c r="E24" s="44">
        <f t="shared" si="4"/>
        <v>0</v>
      </c>
      <c r="F24" s="44">
        <f>$B24*(F18+G18)</f>
        <v>0</v>
      </c>
      <c r="G24" s="44"/>
      <c r="H24" s="44"/>
      <c r="I24" s="44"/>
      <c r="J24" s="44"/>
      <c r="K24" s="44"/>
      <c r="L24" s="44">
        <f>$B24*(L18+K18)</f>
        <v>0</v>
      </c>
      <c r="M24" s="44">
        <f t="shared" si="4"/>
        <v>0</v>
      </c>
      <c r="N24" s="44">
        <f t="shared" si="4"/>
        <v>0</v>
      </c>
    </row>
    <row r="25" spans="1:14" x14ac:dyDescent="0.35">
      <c r="A25" t="s">
        <v>131</v>
      </c>
      <c r="B25" s="43">
        <f>'APPLIANCE Conversion'!H19</f>
        <v>0</v>
      </c>
      <c r="C25" s="44"/>
      <c r="D25" s="44"/>
      <c r="E25" s="44"/>
      <c r="F25" s="44"/>
      <c r="G25" s="44">
        <f>$B25/5</f>
        <v>0</v>
      </c>
      <c r="H25" s="44">
        <f t="shared" ref="H25:K25" si="5">$B25/5</f>
        <v>0</v>
      </c>
      <c r="I25" s="44">
        <f t="shared" si="5"/>
        <v>0</v>
      </c>
      <c r="J25" s="44">
        <f t="shared" si="5"/>
        <v>0</v>
      </c>
      <c r="K25" s="44">
        <f t="shared" si="5"/>
        <v>0</v>
      </c>
      <c r="L25" s="44"/>
      <c r="M25" s="44"/>
      <c r="N25" s="44"/>
    </row>
    <row r="26" spans="1:14" x14ac:dyDescent="0.35">
      <c r="A26" t="s">
        <v>124</v>
      </c>
      <c r="B26" s="43">
        <f>'APPLIANCE Conversion'!H20</f>
        <v>0</v>
      </c>
      <c r="C26" s="44">
        <f>$B26/12</f>
        <v>0</v>
      </c>
      <c r="D26" s="44">
        <f t="shared" ref="D26:N26" si="6">$B26/12</f>
        <v>0</v>
      </c>
      <c r="E26" s="44">
        <f t="shared" si="6"/>
        <v>0</v>
      </c>
      <c r="F26" s="44">
        <f t="shared" si="6"/>
        <v>0</v>
      </c>
      <c r="G26" s="44">
        <f t="shared" si="6"/>
        <v>0</v>
      </c>
      <c r="H26" s="44">
        <f t="shared" si="6"/>
        <v>0</v>
      </c>
      <c r="I26" s="44">
        <f t="shared" si="6"/>
        <v>0</v>
      </c>
      <c r="J26" s="44">
        <f t="shared" si="6"/>
        <v>0</v>
      </c>
      <c r="K26" s="44">
        <f t="shared" si="6"/>
        <v>0</v>
      </c>
      <c r="L26" s="44">
        <f t="shared" si="6"/>
        <v>0</v>
      </c>
      <c r="M26" s="44">
        <f t="shared" si="6"/>
        <v>0</v>
      </c>
      <c r="N26" s="44">
        <f t="shared" si="6"/>
        <v>0</v>
      </c>
    </row>
    <row r="27" spans="1:14" ht="16.5" x14ac:dyDescent="0.35">
      <c r="A27" s="5" t="s">
        <v>141</v>
      </c>
      <c r="B27" s="1">
        <f>SUM(B19:B26)</f>
        <v>1807.3000000000002</v>
      </c>
      <c r="C27" s="1">
        <f>SUM(C19:C26)</f>
        <v>399.71909761453725</v>
      </c>
      <c r="D27" s="1">
        <f t="shared" ref="D27:N27" si="7">SUM(D19:D26)</f>
        <v>343.80085157941136</v>
      </c>
      <c r="E27" s="1">
        <f t="shared" si="7"/>
        <v>289.19418704604851</v>
      </c>
      <c r="F27" s="1">
        <f t="shared" si="7"/>
        <v>150.52316138604482</v>
      </c>
      <c r="G27" s="1">
        <f t="shared" si="7"/>
        <v>50.8784632100175</v>
      </c>
      <c r="H27" s="1">
        <f t="shared" si="7"/>
        <v>0</v>
      </c>
      <c r="I27" s="1">
        <f t="shared" si="7"/>
        <v>0</v>
      </c>
      <c r="J27" s="1">
        <f t="shared" si="7"/>
        <v>0</v>
      </c>
      <c r="K27" s="1">
        <f t="shared" si="7"/>
        <v>4.1757047046596902</v>
      </c>
      <c r="L27" s="1">
        <f t="shared" si="7"/>
        <v>61.208825863722247</v>
      </c>
      <c r="M27" s="1">
        <f t="shared" si="7"/>
        <v>188.45206481289847</v>
      </c>
      <c r="N27" s="1">
        <f t="shared" si="7"/>
        <v>319.34764378266016</v>
      </c>
    </row>
    <row r="28" spans="1:14" x14ac:dyDescent="0.35">
      <c r="A28" s="28" t="s">
        <v>37</v>
      </c>
      <c r="B28" s="29">
        <f t="shared" ref="B28:B35" si="8">SUM(C28:N28)</f>
        <v>0</v>
      </c>
      <c r="C28" s="2">
        <f>SUM($D$4:$D$8,$D$13)/100*C27</f>
        <v>0</v>
      </c>
      <c r="D28" s="2">
        <f t="shared" ref="D28:N28" si="9">SUM($D$4:$D$8,$D$13)/100*D27</f>
        <v>0</v>
      </c>
      <c r="E28" s="2">
        <f t="shared" si="9"/>
        <v>0</v>
      </c>
      <c r="F28" s="2">
        <f t="shared" si="9"/>
        <v>0</v>
      </c>
      <c r="G28" s="2">
        <f t="shared" si="9"/>
        <v>0</v>
      </c>
      <c r="H28" s="2">
        <f t="shared" si="9"/>
        <v>0</v>
      </c>
      <c r="I28" s="2">
        <f t="shared" si="9"/>
        <v>0</v>
      </c>
      <c r="J28" s="2">
        <f t="shared" si="9"/>
        <v>0</v>
      </c>
      <c r="K28" s="2">
        <f t="shared" si="9"/>
        <v>0</v>
      </c>
      <c r="L28" s="2">
        <f t="shared" si="9"/>
        <v>0</v>
      </c>
      <c r="M28" s="2">
        <f t="shared" si="9"/>
        <v>0</v>
      </c>
      <c r="N28" s="2">
        <f t="shared" si="9"/>
        <v>0</v>
      </c>
    </row>
    <row r="29" spans="1:14" ht="16.5" x14ac:dyDescent="0.35">
      <c r="A29" s="30" t="s">
        <v>19</v>
      </c>
      <c r="B29" s="29">
        <f t="shared" si="8"/>
        <v>0</v>
      </c>
      <c r="C29" s="2">
        <f>IF(C27&lt;=100, C27*$D$10, 100*$D$10)/100</f>
        <v>0</v>
      </c>
      <c r="D29" s="2">
        <f t="shared" ref="D29:N29" si="10">IF(D27&lt;=100, D27*$D$10, 100*$D$10)/100</f>
        <v>0</v>
      </c>
      <c r="E29" s="2">
        <f t="shared" si="10"/>
        <v>0</v>
      </c>
      <c r="F29" s="2">
        <f t="shared" si="10"/>
        <v>0</v>
      </c>
      <c r="G29" s="2">
        <f t="shared" si="10"/>
        <v>0</v>
      </c>
      <c r="H29" s="2">
        <f t="shared" si="10"/>
        <v>0</v>
      </c>
      <c r="I29" s="2">
        <f t="shared" si="10"/>
        <v>0</v>
      </c>
      <c r="J29" s="2">
        <f t="shared" si="10"/>
        <v>0</v>
      </c>
      <c r="K29" s="2">
        <f t="shared" si="10"/>
        <v>0</v>
      </c>
      <c r="L29" s="2">
        <f t="shared" si="10"/>
        <v>0</v>
      </c>
      <c r="M29" s="2">
        <f t="shared" si="10"/>
        <v>0</v>
      </c>
      <c r="N29" s="2">
        <f t="shared" si="10"/>
        <v>0</v>
      </c>
    </row>
    <row r="30" spans="1:14" ht="16.5" x14ac:dyDescent="0.35">
      <c r="A30" s="30" t="s">
        <v>20</v>
      </c>
      <c r="B30" s="29">
        <f t="shared" si="8"/>
        <v>0</v>
      </c>
      <c r="C30" s="2">
        <f>IF(C27&lt;100,0,IF(C27&lt;=250, (C27-100)*$D$11,150*$D$11))/100</f>
        <v>0</v>
      </c>
      <c r="D30" s="2">
        <f t="shared" ref="D30:N30" si="11">IF(D27&lt;100,0,IF(D27&lt;=250, (D27-100)*$D$11,150*$D$11))/100</f>
        <v>0</v>
      </c>
      <c r="E30" s="2">
        <f t="shared" si="11"/>
        <v>0</v>
      </c>
      <c r="F30" s="2">
        <f t="shared" si="11"/>
        <v>0</v>
      </c>
      <c r="G30" s="2">
        <f t="shared" si="11"/>
        <v>0</v>
      </c>
      <c r="H30" s="2">
        <f t="shared" si="11"/>
        <v>0</v>
      </c>
      <c r="I30" s="2">
        <f t="shared" si="11"/>
        <v>0</v>
      </c>
      <c r="J30" s="2">
        <f t="shared" si="11"/>
        <v>0</v>
      </c>
      <c r="K30" s="2">
        <f t="shared" si="11"/>
        <v>0</v>
      </c>
      <c r="L30" s="2">
        <f t="shared" si="11"/>
        <v>0</v>
      </c>
      <c r="M30" s="2">
        <f t="shared" si="11"/>
        <v>0</v>
      </c>
      <c r="N30" s="2">
        <f t="shared" si="11"/>
        <v>0</v>
      </c>
    </row>
    <row r="31" spans="1:14" ht="16.5" x14ac:dyDescent="0.35">
      <c r="A31" s="30" t="s">
        <v>21</v>
      </c>
      <c r="B31" s="29">
        <f t="shared" si="8"/>
        <v>0</v>
      </c>
      <c r="C31" s="2">
        <f>IF(C27&gt;=250, (C27-250)*$D$12, 0)/100</f>
        <v>0</v>
      </c>
      <c r="D31" s="2">
        <f t="shared" ref="D31:N31" si="12">IF(D27&gt;=250, (D27-250)*$D$12, 0)/100</f>
        <v>0</v>
      </c>
      <c r="E31" s="2">
        <f t="shared" si="12"/>
        <v>0</v>
      </c>
      <c r="F31" s="2">
        <f t="shared" si="12"/>
        <v>0</v>
      </c>
      <c r="G31" s="2">
        <f t="shared" si="12"/>
        <v>0</v>
      </c>
      <c r="H31" s="2">
        <f t="shared" si="12"/>
        <v>0</v>
      </c>
      <c r="I31" s="2">
        <f t="shared" si="12"/>
        <v>0</v>
      </c>
      <c r="J31" s="2">
        <f t="shared" si="12"/>
        <v>0</v>
      </c>
      <c r="K31" s="2">
        <f t="shared" si="12"/>
        <v>0</v>
      </c>
      <c r="L31" s="2">
        <f t="shared" si="12"/>
        <v>0</v>
      </c>
      <c r="M31" s="2">
        <f t="shared" si="12"/>
        <v>0</v>
      </c>
      <c r="N31" s="2">
        <f t="shared" si="12"/>
        <v>0</v>
      </c>
    </row>
    <row r="32" spans="1:14" x14ac:dyDescent="0.35">
      <c r="A32" s="30" t="s">
        <v>38</v>
      </c>
      <c r="B32" s="29">
        <f t="shared" si="8"/>
        <v>0</v>
      </c>
      <c r="C32" s="2">
        <f>C27*$D$14/100</f>
        <v>0</v>
      </c>
      <c r="D32" s="2">
        <f t="shared" ref="D32:N32" si="13">D27*$D$14/100</f>
        <v>0</v>
      </c>
      <c r="E32" s="2">
        <f t="shared" si="13"/>
        <v>0</v>
      </c>
      <c r="F32" s="2">
        <f t="shared" si="13"/>
        <v>0</v>
      </c>
      <c r="G32" s="2">
        <f t="shared" si="13"/>
        <v>0</v>
      </c>
      <c r="H32" s="2">
        <f t="shared" si="13"/>
        <v>0</v>
      </c>
      <c r="I32" s="2">
        <f t="shared" si="13"/>
        <v>0</v>
      </c>
      <c r="J32" s="2">
        <f t="shared" si="13"/>
        <v>0</v>
      </c>
      <c r="K32" s="2">
        <f t="shared" si="13"/>
        <v>0</v>
      </c>
      <c r="L32" s="2">
        <f t="shared" si="13"/>
        <v>0</v>
      </c>
      <c r="M32" s="2">
        <f t="shared" si="13"/>
        <v>0</v>
      </c>
      <c r="N32" s="2">
        <f t="shared" si="13"/>
        <v>0</v>
      </c>
    </row>
    <row r="33" spans="1:14" x14ac:dyDescent="0.35">
      <c r="A33" s="28" t="s">
        <v>39</v>
      </c>
      <c r="B33" s="29">
        <f t="shared" si="8"/>
        <v>0</v>
      </c>
      <c r="C33" s="2">
        <f>$D$3</f>
        <v>0</v>
      </c>
      <c r="D33" s="2">
        <f t="shared" ref="D33:N33" si="14">$D$3</f>
        <v>0</v>
      </c>
      <c r="E33" s="2">
        <f t="shared" si="14"/>
        <v>0</v>
      </c>
      <c r="F33" s="2">
        <f t="shared" si="14"/>
        <v>0</v>
      </c>
      <c r="G33" s="2">
        <f t="shared" si="14"/>
        <v>0</v>
      </c>
      <c r="H33" s="2">
        <f t="shared" si="14"/>
        <v>0</v>
      </c>
      <c r="I33" s="2">
        <f t="shared" si="14"/>
        <v>0</v>
      </c>
      <c r="J33" s="2">
        <f t="shared" si="14"/>
        <v>0</v>
      </c>
      <c r="K33" s="2">
        <f t="shared" si="14"/>
        <v>0</v>
      </c>
      <c r="L33" s="2">
        <f t="shared" si="14"/>
        <v>0</v>
      </c>
      <c r="M33" s="2">
        <f t="shared" si="14"/>
        <v>0</v>
      </c>
      <c r="N33" s="2">
        <f t="shared" si="14"/>
        <v>0</v>
      </c>
    </row>
    <row r="34" spans="1:14" x14ac:dyDescent="0.35">
      <c r="A34" s="16" t="s">
        <v>40</v>
      </c>
      <c r="B34" s="19">
        <f t="shared" si="8"/>
        <v>0</v>
      </c>
      <c r="C34" s="20">
        <f>SUM(C28:C33)</f>
        <v>0</v>
      </c>
      <c r="D34" s="20">
        <f t="shared" ref="D34:N34" si="15">SUM(D28:D33)</f>
        <v>0</v>
      </c>
      <c r="E34" s="20">
        <f t="shared" si="15"/>
        <v>0</v>
      </c>
      <c r="F34" s="20">
        <f t="shared" si="15"/>
        <v>0</v>
      </c>
      <c r="G34" s="20">
        <f t="shared" si="15"/>
        <v>0</v>
      </c>
      <c r="H34" s="20">
        <f t="shared" si="15"/>
        <v>0</v>
      </c>
      <c r="I34" s="20">
        <f t="shared" si="15"/>
        <v>0</v>
      </c>
      <c r="J34" s="20">
        <f t="shared" si="15"/>
        <v>0</v>
      </c>
      <c r="K34" s="20">
        <f t="shared" si="15"/>
        <v>0</v>
      </c>
      <c r="L34" s="20">
        <f t="shared" si="15"/>
        <v>0</v>
      </c>
      <c r="M34" s="20">
        <f t="shared" si="15"/>
        <v>0</v>
      </c>
      <c r="N34" s="20">
        <f t="shared" si="15"/>
        <v>0</v>
      </c>
    </row>
    <row r="35" spans="1:14" x14ac:dyDescent="0.35">
      <c r="A35" s="28" t="s">
        <v>41</v>
      </c>
      <c r="B35" s="29">
        <f t="shared" si="8"/>
        <v>0</v>
      </c>
      <c r="C35" s="29">
        <f>C34*0.13</f>
        <v>0</v>
      </c>
      <c r="D35" s="29">
        <f t="shared" ref="D35:N35" si="16">D34*0.13</f>
        <v>0</v>
      </c>
      <c r="E35" s="29">
        <f t="shared" si="16"/>
        <v>0</v>
      </c>
      <c r="F35" s="29">
        <f t="shared" si="16"/>
        <v>0</v>
      </c>
      <c r="G35" s="29">
        <f t="shared" si="16"/>
        <v>0</v>
      </c>
      <c r="H35" s="29">
        <f t="shared" si="16"/>
        <v>0</v>
      </c>
      <c r="I35" s="29">
        <f t="shared" si="16"/>
        <v>0</v>
      </c>
      <c r="J35" s="29">
        <f t="shared" si="16"/>
        <v>0</v>
      </c>
      <c r="K35" s="29">
        <f t="shared" si="16"/>
        <v>0</v>
      </c>
      <c r="L35" s="29">
        <f t="shared" si="16"/>
        <v>0</v>
      </c>
      <c r="M35" s="29">
        <f t="shared" si="16"/>
        <v>0</v>
      </c>
      <c r="N35" s="29">
        <f t="shared" si="16"/>
        <v>0</v>
      </c>
    </row>
    <row r="36" spans="1:14" x14ac:dyDescent="0.35">
      <c r="A36" s="16" t="s">
        <v>42</v>
      </c>
      <c r="B36" s="19">
        <f>SUM(C36:N36)</f>
        <v>0</v>
      </c>
      <c r="C36" s="19">
        <f>SUM(C34:C35)</f>
        <v>0</v>
      </c>
      <c r="D36" s="19">
        <f t="shared" ref="D36:N36" si="17">SUM(D34:D35)</f>
        <v>0</v>
      </c>
      <c r="E36" s="19">
        <f t="shared" si="17"/>
        <v>0</v>
      </c>
      <c r="F36" s="19">
        <f t="shared" si="17"/>
        <v>0</v>
      </c>
      <c r="G36" s="19">
        <f t="shared" si="17"/>
        <v>0</v>
      </c>
      <c r="H36" s="19">
        <f t="shared" si="17"/>
        <v>0</v>
      </c>
      <c r="I36" s="19">
        <f t="shared" si="17"/>
        <v>0</v>
      </c>
      <c r="J36" s="19">
        <f t="shared" si="17"/>
        <v>0</v>
      </c>
      <c r="K36" s="19">
        <f t="shared" si="17"/>
        <v>0</v>
      </c>
      <c r="L36" s="19">
        <f t="shared" si="17"/>
        <v>0</v>
      </c>
      <c r="M36" s="19">
        <f t="shared" si="17"/>
        <v>0</v>
      </c>
      <c r="N36" s="19">
        <f t="shared" si="17"/>
        <v>0</v>
      </c>
    </row>
    <row r="37" spans="1:14" x14ac:dyDescent="0.35">
      <c r="A37" s="21" t="s">
        <v>46</v>
      </c>
      <c r="B37" s="22">
        <f>B36/B27</f>
        <v>0</v>
      </c>
      <c r="C37" s="27"/>
      <c r="E37" s="24" t="s">
        <v>144</v>
      </c>
      <c r="F37" s="22">
        <f>SUM(B28:B32)/B27</f>
        <v>0</v>
      </c>
      <c r="G37" s="46"/>
      <c r="H37" s="27"/>
      <c r="I37" s="27"/>
      <c r="J37" s="27"/>
      <c r="K37" s="27"/>
      <c r="L37" s="27"/>
      <c r="M37" s="27"/>
      <c r="N37" s="27"/>
    </row>
    <row r="38" spans="1:14" x14ac:dyDescent="0.35">
      <c r="A38" s="4"/>
      <c r="B38" s="4"/>
      <c r="C38" s="4"/>
      <c r="D38" s="4"/>
      <c r="E38" s="4"/>
      <c r="F38" s="4"/>
      <c r="G38" s="4"/>
      <c r="H38" s="4"/>
      <c r="I38" s="4"/>
      <c r="J38" s="4"/>
      <c r="K38" s="4"/>
      <c r="L38" s="4"/>
      <c r="M38" s="4"/>
      <c r="N38" s="4"/>
    </row>
  </sheetData>
  <pageMargins left="0.7" right="0.7" top="0.75" bottom="0.75" header="0.3" footer="0.3"/>
  <pageSetup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3"/>
  <sheetViews>
    <sheetView view="pageBreakPreview" zoomScale="60" zoomScaleNormal="100" workbookViewId="0">
      <selection activeCell="U13" sqref="U13"/>
    </sheetView>
  </sheetViews>
  <sheetFormatPr defaultRowHeight="14.5" x14ac:dyDescent="0.35"/>
  <cols>
    <col min="1" max="1" width="37.1796875" customWidth="1"/>
    <col min="2" max="2" width="12" customWidth="1"/>
    <col min="3" max="14" width="11.54296875" customWidth="1"/>
  </cols>
  <sheetData>
    <row r="1" spans="1:15" ht="42" customHeight="1" x14ac:dyDescent="0.5">
      <c r="A1" s="23" t="s">
        <v>66</v>
      </c>
      <c r="C1" s="18"/>
      <c r="D1" s="18"/>
      <c r="E1" s="18"/>
      <c r="F1" s="18"/>
      <c r="G1" s="18"/>
      <c r="H1" s="18"/>
      <c r="I1" s="18"/>
      <c r="J1" s="18"/>
      <c r="K1" s="18"/>
      <c r="L1" s="18"/>
      <c r="M1" s="18"/>
      <c r="N1" s="18"/>
      <c r="O1" s="18"/>
    </row>
    <row r="2" spans="1:15" ht="29" x14ac:dyDescent="0.35">
      <c r="A2" s="8" t="s">
        <v>10</v>
      </c>
      <c r="B2" s="9" t="s">
        <v>145</v>
      </c>
      <c r="C2" s="18"/>
      <c r="D2" s="18"/>
      <c r="E2" s="18"/>
      <c r="F2" s="18"/>
      <c r="G2" s="18"/>
      <c r="H2" s="18"/>
      <c r="I2" s="18"/>
      <c r="J2" s="18"/>
      <c r="K2" s="18"/>
      <c r="L2" s="18"/>
      <c r="M2" s="18"/>
      <c r="N2" s="18"/>
      <c r="O2" s="18"/>
    </row>
    <row r="3" spans="1:15" ht="22.5" customHeight="1" x14ac:dyDescent="0.35">
      <c r="A3" s="11" t="s">
        <v>12</v>
      </c>
      <c r="B3" s="12">
        <f>'Common Inputs'!C24</f>
        <v>21</v>
      </c>
      <c r="C3" s="18"/>
      <c r="D3" s="18"/>
      <c r="E3" s="18"/>
      <c r="F3" s="18"/>
      <c r="G3" s="18"/>
      <c r="H3" s="18"/>
      <c r="I3" s="18"/>
      <c r="J3" s="18"/>
      <c r="K3" s="18"/>
      <c r="L3" s="18"/>
      <c r="M3" s="18"/>
      <c r="N3" s="18"/>
      <c r="O3" s="18"/>
    </row>
    <row r="4" spans="1:15" ht="19.5" customHeight="1" x14ac:dyDescent="0.35">
      <c r="A4" s="11" t="s">
        <v>13</v>
      </c>
      <c r="B4" s="13">
        <f>'Common Inputs'!C25</f>
        <v>10.188700000000001</v>
      </c>
      <c r="C4" s="18"/>
      <c r="D4" s="18"/>
      <c r="E4" s="18"/>
      <c r="F4" s="18"/>
      <c r="G4" s="18"/>
      <c r="H4" s="18"/>
      <c r="I4" s="18"/>
      <c r="J4" s="18"/>
      <c r="K4" s="18"/>
      <c r="L4" s="18"/>
      <c r="M4" s="18"/>
      <c r="N4" s="18"/>
      <c r="O4" s="18"/>
    </row>
    <row r="5" spans="1:15" x14ac:dyDescent="0.35">
      <c r="A5" s="11" t="s">
        <v>14</v>
      </c>
      <c r="B5" s="13">
        <f>'Common Inputs'!C26</f>
        <v>0.23880000000000001</v>
      </c>
      <c r="C5" s="18"/>
      <c r="D5" s="18"/>
      <c r="E5" s="18"/>
      <c r="F5" s="18"/>
      <c r="G5" s="18"/>
      <c r="H5" s="18"/>
      <c r="I5" s="18"/>
      <c r="J5" s="18"/>
      <c r="K5" s="18"/>
      <c r="L5" s="18"/>
      <c r="M5" s="18"/>
      <c r="N5" s="18"/>
      <c r="O5" s="18"/>
    </row>
    <row r="6" spans="1:15" x14ac:dyDescent="0.35">
      <c r="A6" s="11" t="s">
        <v>15</v>
      </c>
      <c r="B6" s="13">
        <f>'Common Inputs'!C27</f>
        <v>6.8558000000000003</v>
      </c>
      <c r="C6" s="18"/>
      <c r="D6" s="18"/>
      <c r="E6" s="18"/>
      <c r="F6" s="18"/>
      <c r="G6" s="18"/>
      <c r="H6" s="18"/>
      <c r="I6" s="18"/>
      <c r="J6" s="18"/>
      <c r="K6" s="18"/>
      <c r="L6" s="18"/>
      <c r="M6" s="18"/>
      <c r="N6" s="18"/>
      <c r="O6" s="18"/>
    </row>
    <row r="7" spans="1:15" x14ac:dyDescent="0.35">
      <c r="A7" s="11" t="s">
        <v>47</v>
      </c>
      <c r="B7" s="13">
        <f>'Common Inputs'!C28</f>
        <v>0.70799999999999996</v>
      </c>
      <c r="C7" s="18"/>
      <c r="D7" s="18"/>
      <c r="E7" s="18"/>
      <c r="F7" s="18"/>
      <c r="G7" s="18"/>
      <c r="H7" s="18"/>
      <c r="I7" s="18"/>
      <c r="J7" s="18"/>
      <c r="K7" s="18"/>
      <c r="L7" s="18"/>
      <c r="M7" s="18"/>
      <c r="N7" s="18"/>
      <c r="O7" s="18"/>
    </row>
    <row r="8" spans="1:15" x14ac:dyDescent="0.35">
      <c r="A8" s="11" t="s">
        <v>16</v>
      </c>
      <c r="B8" s="13">
        <f>'Common Inputs'!C29</f>
        <v>2.0541</v>
      </c>
      <c r="C8" s="18"/>
      <c r="D8" s="18"/>
      <c r="E8" s="18"/>
      <c r="F8" s="18"/>
      <c r="G8" s="18"/>
      <c r="H8" s="18"/>
      <c r="I8" s="18"/>
      <c r="J8" s="18"/>
      <c r="K8" s="18"/>
      <c r="L8" s="18"/>
      <c r="M8" s="18"/>
      <c r="N8" s="18"/>
      <c r="O8" s="18"/>
    </row>
    <row r="9" spans="1:15" x14ac:dyDescent="0.35">
      <c r="A9" s="11" t="s">
        <v>17</v>
      </c>
      <c r="B9" s="13">
        <f>'Common Inputs'!C30</f>
        <v>0</v>
      </c>
      <c r="C9" s="18"/>
      <c r="D9" s="18"/>
      <c r="E9" s="18"/>
      <c r="F9" s="18"/>
      <c r="G9" s="18"/>
      <c r="H9" s="18"/>
      <c r="I9" s="18"/>
      <c r="J9" s="18"/>
      <c r="K9" s="18"/>
      <c r="L9" s="18"/>
      <c r="M9" s="18"/>
      <c r="N9" s="18"/>
      <c r="O9" s="18"/>
    </row>
    <row r="10" spans="1:15" x14ac:dyDescent="0.35">
      <c r="A10" s="14" t="s">
        <v>18</v>
      </c>
      <c r="B10" s="31"/>
      <c r="C10" s="18"/>
      <c r="D10" s="18"/>
      <c r="E10" s="18"/>
      <c r="F10" s="18"/>
      <c r="G10" s="18"/>
      <c r="H10" s="18"/>
      <c r="I10" s="18"/>
      <c r="J10" s="18"/>
      <c r="K10" s="18"/>
      <c r="L10" s="18"/>
      <c r="M10" s="18"/>
      <c r="N10" s="18"/>
      <c r="O10" s="18"/>
    </row>
    <row r="11" spans="1:15" x14ac:dyDescent="0.35">
      <c r="A11" s="11" t="s">
        <v>48</v>
      </c>
      <c r="B11" s="13">
        <f>'Common Inputs'!C32</f>
        <v>12.441800000000001</v>
      </c>
      <c r="C11" s="18"/>
      <c r="D11" s="18"/>
      <c r="E11" s="18"/>
      <c r="F11" s="18"/>
      <c r="G11" s="18"/>
      <c r="H11" s="18"/>
      <c r="I11" s="18"/>
      <c r="J11" s="18"/>
      <c r="K11" s="18"/>
      <c r="L11" s="18"/>
      <c r="M11" s="18"/>
      <c r="N11" s="18"/>
      <c r="O11" s="18"/>
    </row>
    <row r="12" spans="1:15" x14ac:dyDescent="0.35">
      <c r="A12" s="11" t="s">
        <v>49</v>
      </c>
      <c r="B12" s="13">
        <f>'Common Inputs'!C33</f>
        <v>12.2088</v>
      </c>
      <c r="C12" s="18"/>
      <c r="D12" s="18"/>
      <c r="E12" s="18"/>
      <c r="F12" s="18"/>
      <c r="G12" s="18"/>
      <c r="H12" s="18"/>
      <c r="I12" s="18"/>
      <c r="J12" s="18"/>
      <c r="K12" s="18"/>
      <c r="L12" s="18"/>
      <c r="M12" s="18"/>
      <c r="N12" s="18"/>
      <c r="O12" s="18"/>
    </row>
    <row r="13" spans="1:15" x14ac:dyDescent="0.35">
      <c r="A13" s="11" t="s">
        <v>49</v>
      </c>
      <c r="B13" s="13">
        <f>'Common Inputs'!C34</f>
        <v>11.841100000000001</v>
      </c>
      <c r="C13" s="18"/>
      <c r="D13" s="18"/>
      <c r="E13" s="18"/>
      <c r="F13" s="18"/>
      <c r="G13" s="18"/>
      <c r="H13" s="18"/>
      <c r="I13" s="18"/>
      <c r="J13" s="18"/>
      <c r="K13" s="18"/>
      <c r="L13" s="18"/>
      <c r="M13" s="18"/>
      <c r="N13" s="18"/>
      <c r="O13" s="18"/>
    </row>
    <row r="14" spans="1:15" x14ac:dyDescent="0.35">
      <c r="A14" s="11" t="s">
        <v>50</v>
      </c>
      <c r="B14" s="13">
        <f>'Common Inputs'!C35</f>
        <v>11.5036</v>
      </c>
      <c r="C14" s="18"/>
      <c r="D14" s="18"/>
      <c r="E14" s="18"/>
      <c r="F14" s="18"/>
      <c r="G14" s="18"/>
      <c r="H14" s="18"/>
      <c r="I14" s="18"/>
      <c r="J14" s="18"/>
      <c r="K14" s="18"/>
      <c r="L14" s="18"/>
      <c r="M14" s="18"/>
      <c r="N14" s="18"/>
      <c r="O14" s="18"/>
    </row>
    <row r="15" spans="1:15" x14ac:dyDescent="0.35">
      <c r="A15" s="11" t="s">
        <v>51</v>
      </c>
      <c r="B15" s="13">
        <f>'Common Inputs'!C36</f>
        <v>11.2248</v>
      </c>
      <c r="C15" s="18"/>
      <c r="D15" s="18"/>
      <c r="E15" s="18"/>
      <c r="F15" s="18"/>
      <c r="G15" s="18"/>
      <c r="H15" s="18"/>
      <c r="I15" s="18"/>
      <c r="J15" s="18"/>
      <c r="K15" s="18"/>
      <c r="L15" s="18"/>
      <c r="M15" s="18"/>
      <c r="N15" s="18"/>
      <c r="O15" s="18"/>
    </row>
    <row r="16" spans="1:15" x14ac:dyDescent="0.35">
      <c r="A16" s="11" t="s">
        <v>22</v>
      </c>
      <c r="B16" s="13">
        <f>'Common Inputs'!C37</f>
        <v>1.2219</v>
      </c>
      <c r="C16" s="18"/>
      <c r="D16" s="18"/>
      <c r="E16" s="18"/>
      <c r="F16" s="18"/>
      <c r="G16" s="18"/>
      <c r="H16" s="18"/>
      <c r="I16" s="18"/>
      <c r="J16" s="18"/>
      <c r="K16" s="18"/>
      <c r="L16" s="18"/>
      <c r="M16" s="18"/>
      <c r="N16" s="18"/>
      <c r="O16" s="18"/>
    </row>
    <row r="17" spans="1:15" x14ac:dyDescent="0.35">
      <c r="A17" s="15" t="s">
        <v>23</v>
      </c>
      <c r="B17" s="13">
        <f>IF('APPLIANCE Conversion'!F5="including SES",'Common Inputs'!C38,0)</f>
        <v>23</v>
      </c>
      <c r="C17" s="18"/>
      <c r="D17" s="18"/>
      <c r="E17" s="18"/>
      <c r="F17" s="18"/>
      <c r="G17" s="18"/>
      <c r="H17" s="18"/>
      <c r="I17" s="18"/>
      <c r="J17" s="18"/>
      <c r="K17" s="18"/>
      <c r="L17" s="18"/>
      <c r="M17" s="18"/>
      <c r="N17" s="18"/>
      <c r="O17" s="18"/>
    </row>
    <row r="18" spans="1:15" x14ac:dyDescent="0.35">
      <c r="A18" s="17"/>
      <c r="B18" s="18"/>
      <c r="C18" s="18"/>
      <c r="D18" s="18"/>
      <c r="E18" s="18"/>
      <c r="F18" s="18"/>
      <c r="G18" s="18"/>
      <c r="H18" s="18"/>
      <c r="I18" s="18"/>
      <c r="J18" s="18"/>
      <c r="K18" s="18"/>
      <c r="L18" s="18"/>
      <c r="M18" s="18"/>
      <c r="N18" s="18"/>
      <c r="O18" s="18"/>
    </row>
    <row r="19" spans="1:15" x14ac:dyDescent="0.35">
      <c r="A19" s="17"/>
      <c r="B19" s="18"/>
      <c r="C19" s="18"/>
      <c r="D19" s="18"/>
      <c r="E19" s="18"/>
      <c r="F19" s="18"/>
      <c r="G19" s="18"/>
      <c r="H19" s="18"/>
      <c r="I19" s="18"/>
      <c r="J19" s="18"/>
      <c r="K19" s="18"/>
      <c r="L19" s="18"/>
      <c r="M19" s="18"/>
      <c r="N19" s="18"/>
      <c r="O19" s="18"/>
    </row>
    <row r="20" spans="1:15" x14ac:dyDescent="0.35">
      <c r="A20" s="26" t="s">
        <v>142</v>
      </c>
      <c r="B20" s="25" t="s">
        <v>24</v>
      </c>
      <c r="C20" s="25" t="s">
        <v>25</v>
      </c>
      <c r="D20" s="25" t="s">
        <v>26</v>
      </c>
      <c r="E20" s="25" t="s">
        <v>27</v>
      </c>
      <c r="F20" s="25" t="s">
        <v>28</v>
      </c>
      <c r="G20" s="25" t="s">
        <v>29</v>
      </c>
      <c r="H20" s="25" t="s">
        <v>30</v>
      </c>
      <c r="I20" s="25" t="s">
        <v>31</v>
      </c>
      <c r="J20" s="25" t="s">
        <v>32</v>
      </c>
      <c r="K20" s="25" t="s">
        <v>33</v>
      </c>
      <c r="L20" s="25" t="s">
        <v>34</v>
      </c>
      <c r="M20" s="25" t="s">
        <v>35</v>
      </c>
      <c r="N20" s="25" t="s">
        <v>36</v>
      </c>
      <c r="O20" s="18"/>
    </row>
    <row r="21" spans="1:15" x14ac:dyDescent="0.35">
      <c r="A21" s="29" t="s">
        <v>143</v>
      </c>
      <c r="B21" s="49">
        <f>SUM(C21:N21)</f>
        <v>1</v>
      </c>
      <c r="C21" s="48">
        <v>0.22116920135812385</v>
      </c>
      <c r="D21" s="48">
        <v>0.19022898886704551</v>
      </c>
      <c r="E21" s="48">
        <v>0.16001448959555606</v>
      </c>
      <c r="F21" s="48">
        <v>8.3286206709480878E-2</v>
      </c>
      <c r="G21" s="48">
        <v>2.8151642344944112E-2</v>
      </c>
      <c r="H21" s="48"/>
      <c r="I21" s="48"/>
      <c r="J21" s="48"/>
      <c r="K21" s="48">
        <v>2.3104657249265145E-3</v>
      </c>
      <c r="L21" s="48">
        <v>3.3867551520899819E-2</v>
      </c>
      <c r="M21" s="48">
        <v>0.10427270780329688</v>
      </c>
      <c r="N21" s="48">
        <v>0.17669874607572628</v>
      </c>
      <c r="O21" s="18"/>
    </row>
    <row r="22" spans="1:15" x14ac:dyDescent="0.35">
      <c r="A22" t="s">
        <v>126</v>
      </c>
      <c r="B22" s="43">
        <f>'APPLIANCE Conversion'!H13</f>
        <v>1807.3000000000002</v>
      </c>
      <c r="C22" s="44">
        <f>$B22*C21</f>
        <v>399.71909761453725</v>
      </c>
      <c r="D22" s="44">
        <f t="shared" ref="D22:N22" si="0">$B22*D21</f>
        <v>343.80085157941136</v>
      </c>
      <c r="E22" s="44">
        <f t="shared" si="0"/>
        <v>289.19418704604851</v>
      </c>
      <c r="F22" s="44">
        <f t="shared" si="0"/>
        <v>150.52316138604482</v>
      </c>
      <c r="G22" s="44">
        <f t="shared" si="0"/>
        <v>50.8784632100175</v>
      </c>
      <c r="H22" s="44">
        <f t="shared" si="0"/>
        <v>0</v>
      </c>
      <c r="I22" s="44">
        <f t="shared" si="0"/>
        <v>0</v>
      </c>
      <c r="J22" s="44">
        <f t="shared" si="0"/>
        <v>0</v>
      </c>
      <c r="K22" s="44">
        <f t="shared" si="0"/>
        <v>4.1757047046596902</v>
      </c>
      <c r="L22" s="44">
        <f t="shared" si="0"/>
        <v>61.208825863722247</v>
      </c>
      <c r="M22" s="44">
        <f t="shared" si="0"/>
        <v>188.45206481289847</v>
      </c>
      <c r="N22" s="44">
        <f t="shared" si="0"/>
        <v>319.34764378266016</v>
      </c>
      <c r="O22" s="18"/>
    </row>
    <row r="23" spans="1:15" x14ac:dyDescent="0.35">
      <c r="A23" t="s">
        <v>127</v>
      </c>
      <c r="B23" s="43">
        <f>'APPLIANCE Conversion'!H14</f>
        <v>0</v>
      </c>
      <c r="C23" s="44">
        <f>$B23/12</f>
        <v>0</v>
      </c>
      <c r="D23" s="44">
        <f>$B23/12</f>
        <v>0</v>
      </c>
      <c r="E23" s="44">
        <f t="shared" ref="E23:N25" si="1">$B23/12</f>
        <v>0</v>
      </c>
      <c r="F23" s="44">
        <f t="shared" si="1"/>
        <v>0</v>
      </c>
      <c r="G23" s="44">
        <f t="shared" si="1"/>
        <v>0</v>
      </c>
      <c r="H23" s="44">
        <f t="shared" si="1"/>
        <v>0</v>
      </c>
      <c r="I23" s="44">
        <f t="shared" si="1"/>
        <v>0</v>
      </c>
      <c r="J23" s="44">
        <f t="shared" si="1"/>
        <v>0</v>
      </c>
      <c r="K23" s="44">
        <f t="shared" si="1"/>
        <v>0</v>
      </c>
      <c r="L23" s="44">
        <f t="shared" si="1"/>
        <v>0</v>
      </c>
      <c r="M23" s="44">
        <f t="shared" si="1"/>
        <v>0</v>
      </c>
      <c r="N23" s="44">
        <f t="shared" si="1"/>
        <v>0</v>
      </c>
      <c r="O23" s="18"/>
    </row>
    <row r="24" spans="1:15" x14ac:dyDescent="0.35">
      <c r="A24" t="s">
        <v>132</v>
      </c>
      <c r="B24" s="43">
        <f>'APPLIANCE Conversion'!H15</f>
        <v>0</v>
      </c>
      <c r="C24" s="44">
        <f>$B24/12</f>
        <v>0</v>
      </c>
      <c r="D24" s="44">
        <f t="shared" ref="D24:D25" si="2">$B24/12</f>
        <v>0</v>
      </c>
      <c r="E24" s="44">
        <f t="shared" si="1"/>
        <v>0</v>
      </c>
      <c r="F24" s="44">
        <f t="shared" si="1"/>
        <v>0</v>
      </c>
      <c r="G24" s="44">
        <f t="shared" si="1"/>
        <v>0</v>
      </c>
      <c r="H24" s="44">
        <f t="shared" si="1"/>
        <v>0</v>
      </c>
      <c r="I24" s="44">
        <f t="shared" si="1"/>
        <v>0</v>
      </c>
      <c r="J24" s="44">
        <f t="shared" si="1"/>
        <v>0</v>
      </c>
      <c r="K24" s="44">
        <f t="shared" si="1"/>
        <v>0</v>
      </c>
      <c r="L24" s="44">
        <f t="shared" si="1"/>
        <v>0</v>
      </c>
      <c r="M24" s="44">
        <f t="shared" si="1"/>
        <v>0</v>
      </c>
      <c r="N24" s="44">
        <f t="shared" si="1"/>
        <v>0</v>
      </c>
      <c r="O24" s="18"/>
    </row>
    <row r="25" spans="1:15" x14ac:dyDescent="0.35">
      <c r="A25" t="s">
        <v>128</v>
      </c>
      <c r="B25" s="43">
        <f>'APPLIANCE Conversion'!H16</f>
        <v>0</v>
      </c>
      <c r="C25" s="44">
        <f>$B25/12</f>
        <v>0</v>
      </c>
      <c r="D25" s="44">
        <f t="shared" si="2"/>
        <v>0</v>
      </c>
      <c r="E25" s="44">
        <f t="shared" si="1"/>
        <v>0</v>
      </c>
      <c r="F25" s="44">
        <f t="shared" si="1"/>
        <v>0</v>
      </c>
      <c r="G25" s="44">
        <f t="shared" si="1"/>
        <v>0</v>
      </c>
      <c r="H25" s="44">
        <f t="shared" si="1"/>
        <v>0</v>
      </c>
      <c r="I25" s="44">
        <f t="shared" si="1"/>
        <v>0</v>
      </c>
      <c r="J25" s="44">
        <f t="shared" si="1"/>
        <v>0</v>
      </c>
      <c r="K25" s="44">
        <f t="shared" si="1"/>
        <v>0</v>
      </c>
      <c r="L25" s="44">
        <f t="shared" si="1"/>
        <v>0</v>
      </c>
      <c r="M25" s="44">
        <f t="shared" si="1"/>
        <v>0</v>
      </c>
      <c r="N25" s="44">
        <f t="shared" si="1"/>
        <v>0</v>
      </c>
      <c r="O25" s="18"/>
    </row>
    <row r="26" spans="1:15" x14ac:dyDescent="0.35">
      <c r="A26" t="s">
        <v>129</v>
      </c>
      <c r="B26" s="43">
        <f>'APPLIANCE Conversion'!H17</f>
        <v>0</v>
      </c>
      <c r="C26" s="44"/>
      <c r="D26" s="44"/>
      <c r="E26" s="44"/>
      <c r="F26" s="44"/>
      <c r="G26" s="44">
        <f>$B26/5</f>
        <v>0</v>
      </c>
      <c r="H26" s="44">
        <f t="shared" ref="H26:K26" si="3">$B26/5</f>
        <v>0</v>
      </c>
      <c r="I26" s="44">
        <f t="shared" si="3"/>
        <v>0</v>
      </c>
      <c r="J26" s="44">
        <f t="shared" si="3"/>
        <v>0</v>
      </c>
      <c r="K26" s="44">
        <f t="shared" si="3"/>
        <v>0</v>
      </c>
      <c r="L26" s="44"/>
      <c r="M26" s="44"/>
      <c r="N26" s="44"/>
      <c r="O26" s="18"/>
    </row>
    <row r="27" spans="1:15" x14ac:dyDescent="0.35">
      <c r="A27" t="s">
        <v>130</v>
      </c>
      <c r="B27" s="43">
        <f>'APPLIANCE Conversion'!H18</f>
        <v>0</v>
      </c>
      <c r="C27" s="44">
        <f>$B27*C21</f>
        <v>0</v>
      </c>
      <c r="D27" s="44">
        <f t="shared" ref="D27:N27" si="4">$B27*D21</f>
        <v>0</v>
      </c>
      <c r="E27" s="44">
        <f t="shared" si="4"/>
        <v>0</v>
      </c>
      <c r="F27" s="44">
        <f>$B27*(F21+G21)</f>
        <v>0</v>
      </c>
      <c r="G27" s="44"/>
      <c r="H27" s="44"/>
      <c r="I27" s="44"/>
      <c r="J27" s="44"/>
      <c r="K27" s="44"/>
      <c r="L27" s="44">
        <f>$B27*(L21+K21)</f>
        <v>0</v>
      </c>
      <c r="M27" s="44">
        <f t="shared" si="4"/>
        <v>0</v>
      </c>
      <c r="N27" s="44">
        <f t="shared" si="4"/>
        <v>0</v>
      </c>
      <c r="O27" s="18"/>
    </row>
    <row r="28" spans="1:15" x14ac:dyDescent="0.35">
      <c r="A28" t="s">
        <v>131</v>
      </c>
      <c r="B28" s="43">
        <f>'APPLIANCE Conversion'!H19</f>
        <v>0</v>
      </c>
      <c r="C28" s="44"/>
      <c r="D28" s="44"/>
      <c r="E28" s="44"/>
      <c r="F28" s="44"/>
      <c r="G28" s="44">
        <f>$B28/5</f>
        <v>0</v>
      </c>
      <c r="H28" s="44">
        <f t="shared" ref="H28:K28" si="5">$B28/5</f>
        <v>0</v>
      </c>
      <c r="I28" s="44">
        <f t="shared" si="5"/>
        <v>0</v>
      </c>
      <c r="J28" s="44">
        <f t="shared" si="5"/>
        <v>0</v>
      </c>
      <c r="K28" s="44">
        <f t="shared" si="5"/>
        <v>0</v>
      </c>
      <c r="L28" s="44"/>
      <c r="M28" s="44"/>
      <c r="N28" s="44"/>
      <c r="O28" s="18"/>
    </row>
    <row r="29" spans="1:15" x14ac:dyDescent="0.35">
      <c r="A29" t="s">
        <v>124</v>
      </c>
      <c r="B29" s="43">
        <f>'APPLIANCE Conversion'!H20</f>
        <v>0</v>
      </c>
      <c r="C29" s="44">
        <f>$B29/12</f>
        <v>0</v>
      </c>
      <c r="D29" s="44">
        <f t="shared" ref="D29:N29" si="6">$B29/12</f>
        <v>0</v>
      </c>
      <c r="E29" s="44">
        <f t="shared" si="6"/>
        <v>0</v>
      </c>
      <c r="F29" s="44">
        <f t="shared" si="6"/>
        <v>0</v>
      </c>
      <c r="G29" s="44">
        <f t="shared" si="6"/>
        <v>0</v>
      </c>
      <c r="H29" s="44">
        <f t="shared" si="6"/>
        <v>0</v>
      </c>
      <c r="I29" s="44">
        <f t="shared" si="6"/>
        <v>0</v>
      </c>
      <c r="J29" s="44">
        <f t="shared" si="6"/>
        <v>0</v>
      </c>
      <c r="K29" s="44">
        <f t="shared" si="6"/>
        <v>0</v>
      </c>
      <c r="L29" s="44">
        <f t="shared" si="6"/>
        <v>0</v>
      </c>
      <c r="M29" s="44">
        <f t="shared" si="6"/>
        <v>0</v>
      </c>
      <c r="N29" s="44">
        <f t="shared" si="6"/>
        <v>0</v>
      </c>
      <c r="O29" s="18"/>
    </row>
    <row r="30" spans="1:15" ht="16.5" x14ac:dyDescent="0.35">
      <c r="A30" s="5" t="s">
        <v>141</v>
      </c>
      <c r="B30" s="1">
        <f>SUM(B22:B29)</f>
        <v>1807.3000000000002</v>
      </c>
      <c r="C30" s="1">
        <f t="shared" ref="C30:N30" si="7">SUM(C22:C29)</f>
        <v>399.71909761453725</v>
      </c>
      <c r="D30" s="1">
        <f t="shared" si="7"/>
        <v>343.80085157941136</v>
      </c>
      <c r="E30" s="1">
        <f t="shared" si="7"/>
        <v>289.19418704604851</v>
      </c>
      <c r="F30" s="1">
        <f t="shared" si="7"/>
        <v>150.52316138604482</v>
      </c>
      <c r="G30" s="1">
        <f t="shared" si="7"/>
        <v>50.8784632100175</v>
      </c>
      <c r="H30" s="1">
        <f t="shared" si="7"/>
        <v>0</v>
      </c>
      <c r="I30" s="1">
        <f t="shared" si="7"/>
        <v>0</v>
      </c>
      <c r="J30" s="1">
        <f t="shared" si="7"/>
        <v>0</v>
      </c>
      <c r="K30" s="1">
        <f t="shared" si="7"/>
        <v>4.1757047046596902</v>
      </c>
      <c r="L30" s="1">
        <f t="shared" si="7"/>
        <v>61.208825863722247</v>
      </c>
      <c r="M30" s="1">
        <f t="shared" si="7"/>
        <v>188.45206481289847</v>
      </c>
      <c r="N30" s="1">
        <f t="shared" si="7"/>
        <v>319.34764378266016</v>
      </c>
      <c r="O30" s="18"/>
    </row>
    <row r="31" spans="1:15" x14ac:dyDescent="0.35">
      <c r="A31" s="28" t="s">
        <v>37</v>
      </c>
      <c r="B31" s="29">
        <f t="shared" ref="B31:B35" si="8">SUM(C31:N31)</f>
        <v>0</v>
      </c>
      <c r="C31" s="2">
        <f>SUM($D$4:$D$9,$D$16)/100*C30</f>
        <v>0</v>
      </c>
      <c r="D31" s="2">
        <f t="shared" ref="D31:N31" si="9">SUM($D$4:$D$9,$D$16)/100*D30</f>
        <v>0</v>
      </c>
      <c r="E31" s="2">
        <f t="shared" si="9"/>
        <v>0</v>
      </c>
      <c r="F31" s="2">
        <f t="shared" si="9"/>
        <v>0</v>
      </c>
      <c r="G31" s="2">
        <f t="shared" si="9"/>
        <v>0</v>
      </c>
      <c r="H31" s="2">
        <f t="shared" si="9"/>
        <v>0</v>
      </c>
      <c r="I31" s="2">
        <f t="shared" si="9"/>
        <v>0</v>
      </c>
      <c r="J31" s="2">
        <f t="shared" si="9"/>
        <v>0</v>
      </c>
      <c r="K31" s="2">
        <f t="shared" si="9"/>
        <v>0</v>
      </c>
      <c r="L31" s="2">
        <f t="shared" si="9"/>
        <v>0</v>
      </c>
      <c r="M31" s="2">
        <f t="shared" si="9"/>
        <v>0</v>
      </c>
      <c r="N31" s="2">
        <f t="shared" si="9"/>
        <v>0</v>
      </c>
      <c r="O31" s="18"/>
    </row>
    <row r="32" spans="1:15" x14ac:dyDescent="0.35">
      <c r="A32" s="30" t="s">
        <v>48</v>
      </c>
      <c r="B32" s="29">
        <f t="shared" si="8"/>
        <v>0</v>
      </c>
      <c r="C32" s="2">
        <f>IF(C30&lt;=100, C30*$D$11, 100*$D$11)/100</f>
        <v>0</v>
      </c>
      <c r="D32" s="2">
        <f t="shared" ref="D32:N32" si="10">IF(D30&lt;=100, D30*$D$11, 100*$D$11)/100</f>
        <v>0</v>
      </c>
      <c r="E32" s="2">
        <f t="shared" si="10"/>
        <v>0</v>
      </c>
      <c r="F32" s="2">
        <f t="shared" si="10"/>
        <v>0</v>
      </c>
      <c r="G32" s="2">
        <f t="shared" si="10"/>
        <v>0</v>
      </c>
      <c r="H32" s="2">
        <f t="shared" si="10"/>
        <v>0</v>
      </c>
      <c r="I32" s="2">
        <f t="shared" si="10"/>
        <v>0</v>
      </c>
      <c r="J32" s="2">
        <f t="shared" si="10"/>
        <v>0</v>
      </c>
      <c r="K32" s="2">
        <f t="shared" si="10"/>
        <v>0</v>
      </c>
      <c r="L32" s="2">
        <f t="shared" si="10"/>
        <v>0</v>
      </c>
      <c r="M32" s="2">
        <f t="shared" si="10"/>
        <v>0</v>
      </c>
      <c r="N32" s="2">
        <f t="shared" si="10"/>
        <v>0</v>
      </c>
      <c r="O32" s="18"/>
    </row>
    <row r="33" spans="1:15" x14ac:dyDescent="0.35">
      <c r="A33" s="30" t="s">
        <v>49</v>
      </c>
      <c r="B33" s="29">
        <f t="shared" si="8"/>
        <v>0</v>
      </c>
      <c r="C33" s="2">
        <f>IF(C30&lt;100,0,IF(C30&lt;=300, (C30-100)*$D$12,200*$D$12))/100</f>
        <v>0</v>
      </c>
      <c r="D33" s="2">
        <f t="shared" ref="D33:N33" si="11">IF(D30&lt;100,0,IF(D30&lt;=300, (D30-100)*$D$12,200*$D$12))/100</f>
        <v>0</v>
      </c>
      <c r="E33" s="2">
        <f t="shared" si="11"/>
        <v>0</v>
      </c>
      <c r="F33" s="2">
        <f t="shared" si="11"/>
        <v>0</v>
      </c>
      <c r="G33" s="2">
        <f t="shared" si="11"/>
        <v>0</v>
      </c>
      <c r="H33" s="2">
        <f t="shared" si="11"/>
        <v>0</v>
      </c>
      <c r="I33" s="2">
        <f t="shared" si="11"/>
        <v>0</v>
      </c>
      <c r="J33" s="2">
        <f t="shared" si="11"/>
        <v>0</v>
      </c>
      <c r="K33" s="2">
        <f t="shared" si="11"/>
        <v>0</v>
      </c>
      <c r="L33" s="2">
        <f t="shared" si="11"/>
        <v>0</v>
      </c>
      <c r="M33" s="2">
        <f t="shared" si="11"/>
        <v>0</v>
      </c>
      <c r="N33" s="2">
        <f t="shared" si="11"/>
        <v>0</v>
      </c>
      <c r="O33" s="18"/>
    </row>
    <row r="34" spans="1:15" x14ac:dyDescent="0.35">
      <c r="A34" s="30" t="s">
        <v>49</v>
      </c>
      <c r="B34" s="29">
        <f t="shared" si="8"/>
        <v>0</v>
      </c>
      <c r="C34" s="2">
        <f>IF(C30&lt;300,0,IF(C30&lt;=500, (C30-300)*$D$13,200*$D$13))/100</f>
        <v>0</v>
      </c>
      <c r="D34" s="2">
        <f t="shared" ref="D34:N34" si="12">IF(D30&lt;300,0,IF(D30&lt;=500, (D30-300)*$D$13,200*$D$13))/100</f>
        <v>0</v>
      </c>
      <c r="E34" s="2">
        <f t="shared" si="12"/>
        <v>0</v>
      </c>
      <c r="F34" s="2">
        <f t="shared" si="12"/>
        <v>0</v>
      </c>
      <c r="G34" s="2">
        <f t="shared" si="12"/>
        <v>0</v>
      </c>
      <c r="H34" s="2">
        <f t="shared" si="12"/>
        <v>0</v>
      </c>
      <c r="I34" s="2">
        <f t="shared" si="12"/>
        <v>0</v>
      </c>
      <c r="J34" s="2">
        <f t="shared" si="12"/>
        <v>0</v>
      </c>
      <c r="K34" s="2">
        <f t="shared" si="12"/>
        <v>0</v>
      </c>
      <c r="L34" s="2">
        <f t="shared" si="12"/>
        <v>0</v>
      </c>
      <c r="M34" s="2">
        <f t="shared" si="12"/>
        <v>0</v>
      </c>
      <c r="N34" s="2">
        <f t="shared" si="12"/>
        <v>0</v>
      </c>
      <c r="O34" s="18"/>
    </row>
    <row r="35" spans="1:15" x14ac:dyDescent="0.35">
      <c r="A35" s="30" t="s">
        <v>50</v>
      </c>
      <c r="B35" s="29">
        <f t="shared" si="8"/>
        <v>0</v>
      </c>
      <c r="C35" s="2">
        <f>IF(C30&lt;500,0,IF(C30&lt;=1000, (C30-500)*$D$14,500*$D$14))/100</f>
        <v>0</v>
      </c>
      <c r="D35" s="2">
        <f t="shared" ref="D35:N35" si="13">IF(D30&lt;500,0,IF(D30&lt;=1000, (D30-500)*$D$14,500*$D$14))/100</f>
        <v>0</v>
      </c>
      <c r="E35" s="2">
        <f t="shared" si="13"/>
        <v>0</v>
      </c>
      <c r="F35" s="2">
        <f t="shared" si="13"/>
        <v>0</v>
      </c>
      <c r="G35" s="2">
        <f t="shared" si="13"/>
        <v>0</v>
      </c>
      <c r="H35" s="2">
        <f t="shared" si="13"/>
        <v>0</v>
      </c>
      <c r="I35" s="2">
        <f t="shared" si="13"/>
        <v>0</v>
      </c>
      <c r="J35" s="2">
        <f t="shared" si="13"/>
        <v>0</v>
      </c>
      <c r="K35" s="2">
        <f t="shared" si="13"/>
        <v>0</v>
      </c>
      <c r="L35" s="2">
        <f t="shared" si="13"/>
        <v>0</v>
      </c>
      <c r="M35" s="2">
        <f t="shared" si="13"/>
        <v>0</v>
      </c>
      <c r="N35" s="2">
        <f t="shared" si="13"/>
        <v>0</v>
      </c>
      <c r="O35" s="18"/>
    </row>
    <row r="36" spans="1:15" x14ac:dyDescent="0.35">
      <c r="A36" s="30" t="s">
        <v>51</v>
      </c>
      <c r="B36" s="29">
        <f t="shared" ref="B36" si="14">SUM(C36:N36)</f>
        <v>0</v>
      </c>
      <c r="C36" s="2">
        <f>IF(C30&gt;=1000, (C30-1000)*$D$15, 0)/100</f>
        <v>0</v>
      </c>
      <c r="D36" s="2">
        <f t="shared" ref="D36:N36" si="15">IF(D30&gt;=1000, (D30-1000)*$D$15, 0)/100</f>
        <v>0</v>
      </c>
      <c r="E36" s="2">
        <f t="shared" si="15"/>
        <v>0</v>
      </c>
      <c r="F36" s="2">
        <f t="shared" si="15"/>
        <v>0</v>
      </c>
      <c r="G36" s="2">
        <f t="shared" si="15"/>
        <v>0</v>
      </c>
      <c r="H36" s="2">
        <f t="shared" si="15"/>
        <v>0</v>
      </c>
      <c r="I36" s="2">
        <f t="shared" si="15"/>
        <v>0</v>
      </c>
      <c r="J36" s="2">
        <f t="shared" si="15"/>
        <v>0</v>
      </c>
      <c r="K36" s="2">
        <f t="shared" si="15"/>
        <v>0</v>
      </c>
      <c r="L36" s="2">
        <f t="shared" si="15"/>
        <v>0</v>
      </c>
      <c r="M36" s="2">
        <f t="shared" si="15"/>
        <v>0</v>
      </c>
      <c r="N36" s="2">
        <f t="shared" si="15"/>
        <v>0</v>
      </c>
      <c r="O36" s="18"/>
    </row>
    <row r="37" spans="1:15" x14ac:dyDescent="0.35">
      <c r="A37" s="30" t="s">
        <v>38</v>
      </c>
      <c r="B37" s="29">
        <f t="shared" ref="B37:B40" si="16">SUM(C37:N37)</f>
        <v>0</v>
      </c>
      <c r="C37" s="2">
        <f>C30*$D$17/100</f>
        <v>0</v>
      </c>
      <c r="D37" s="2">
        <f t="shared" ref="D37:N37" si="17">D30*$D$17/100</f>
        <v>0</v>
      </c>
      <c r="E37" s="2">
        <f t="shared" si="17"/>
        <v>0</v>
      </c>
      <c r="F37" s="2">
        <f t="shared" si="17"/>
        <v>0</v>
      </c>
      <c r="G37" s="2">
        <f t="shared" si="17"/>
        <v>0</v>
      </c>
      <c r="H37" s="2">
        <f t="shared" si="17"/>
        <v>0</v>
      </c>
      <c r="I37" s="2">
        <f t="shared" si="17"/>
        <v>0</v>
      </c>
      <c r="J37" s="2">
        <f t="shared" si="17"/>
        <v>0</v>
      </c>
      <c r="K37" s="2">
        <f t="shared" si="17"/>
        <v>0</v>
      </c>
      <c r="L37" s="2">
        <f t="shared" si="17"/>
        <v>0</v>
      </c>
      <c r="M37" s="2">
        <f t="shared" si="17"/>
        <v>0</v>
      </c>
      <c r="N37" s="2">
        <f t="shared" si="17"/>
        <v>0</v>
      </c>
      <c r="O37" s="18"/>
    </row>
    <row r="38" spans="1:15" x14ac:dyDescent="0.35">
      <c r="A38" s="28" t="s">
        <v>39</v>
      </c>
      <c r="B38" s="29">
        <f t="shared" si="16"/>
        <v>0</v>
      </c>
      <c r="C38" s="2">
        <f>$D$3</f>
        <v>0</v>
      </c>
      <c r="D38" s="2">
        <f t="shared" ref="D38:N38" si="18">$D$3</f>
        <v>0</v>
      </c>
      <c r="E38" s="2">
        <f t="shared" si="18"/>
        <v>0</v>
      </c>
      <c r="F38" s="2">
        <f t="shared" si="18"/>
        <v>0</v>
      </c>
      <c r="G38" s="2">
        <f t="shared" si="18"/>
        <v>0</v>
      </c>
      <c r="H38" s="2">
        <f t="shared" si="18"/>
        <v>0</v>
      </c>
      <c r="I38" s="2">
        <f t="shared" si="18"/>
        <v>0</v>
      </c>
      <c r="J38" s="2">
        <f t="shared" si="18"/>
        <v>0</v>
      </c>
      <c r="K38" s="2">
        <f t="shared" si="18"/>
        <v>0</v>
      </c>
      <c r="L38" s="2">
        <f t="shared" si="18"/>
        <v>0</v>
      </c>
      <c r="M38" s="2">
        <f t="shared" si="18"/>
        <v>0</v>
      </c>
      <c r="N38" s="2">
        <f t="shared" si="18"/>
        <v>0</v>
      </c>
      <c r="O38" s="18"/>
    </row>
    <row r="39" spans="1:15" x14ac:dyDescent="0.35">
      <c r="A39" s="16" t="s">
        <v>40</v>
      </c>
      <c r="B39" s="19">
        <f t="shared" si="16"/>
        <v>0</v>
      </c>
      <c r="C39" s="20">
        <f>SUM(C31:C38)</f>
        <v>0</v>
      </c>
      <c r="D39" s="20">
        <f t="shared" ref="D39:N39" si="19">SUM(D31:D38)</f>
        <v>0</v>
      </c>
      <c r="E39" s="20">
        <f t="shared" si="19"/>
        <v>0</v>
      </c>
      <c r="F39" s="20">
        <f t="shared" si="19"/>
        <v>0</v>
      </c>
      <c r="G39" s="20">
        <f t="shared" si="19"/>
        <v>0</v>
      </c>
      <c r="H39" s="20">
        <f t="shared" si="19"/>
        <v>0</v>
      </c>
      <c r="I39" s="20">
        <f t="shared" si="19"/>
        <v>0</v>
      </c>
      <c r="J39" s="20">
        <f t="shared" si="19"/>
        <v>0</v>
      </c>
      <c r="K39" s="20">
        <f t="shared" si="19"/>
        <v>0</v>
      </c>
      <c r="L39" s="20">
        <f t="shared" si="19"/>
        <v>0</v>
      </c>
      <c r="M39" s="20">
        <f t="shared" si="19"/>
        <v>0</v>
      </c>
      <c r="N39" s="20">
        <f t="shared" si="19"/>
        <v>0</v>
      </c>
      <c r="O39" s="18"/>
    </row>
    <row r="40" spans="1:15" x14ac:dyDescent="0.35">
      <c r="A40" s="28" t="s">
        <v>41</v>
      </c>
      <c r="B40" s="29">
        <f t="shared" si="16"/>
        <v>0</v>
      </c>
      <c r="C40" s="29">
        <f>C39*0.13</f>
        <v>0</v>
      </c>
      <c r="D40" s="29">
        <f t="shared" ref="D40:N40" si="20">D39*0.13</f>
        <v>0</v>
      </c>
      <c r="E40" s="29">
        <f t="shared" si="20"/>
        <v>0</v>
      </c>
      <c r="F40" s="29">
        <f t="shared" si="20"/>
        <v>0</v>
      </c>
      <c r="G40" s="29">
        <f t="shared" si="20"/>
        <v>0</v>
      </c>
      <c r="H40" s="29">
        <f t="shared" si="20"/>
        <v>0</v>
      </c>
      <c r="I40" s="29">
        <f t="shared" si="20"/>
        <v>0</v>
      </c>
      <c r="J40" s="29">
        <f t="shared" si="20"/>
        <v>0</v>
      </c>
      <c r="K40" s="29">
        <f t="shared" si="20"/>
        <v>0</v>
      </c>
      <c r="L40" s="29">
        <f t="shared" si="20"/>
        <v>0</v>
      </c>
      <c r="M40" s="29">
        <f t="shared" si="20"/>
        <v>0</v>
      </c>
      <c r="N40" s="29">
        <f t="shared" si="20"/>
        <v>0</v>
      </c>
      <c r="O40" s="18"/>
    </row>
    <row r="41" spans="1:15" x14ac:dyDescent="0.35">
      <c r="A41" s="16" t="s">
        <v>42</v>
      </c>
      <c r="B41" s="19">
        <f>SUM(C41:N41)</f>
        <v>0</v>
      </c>
      <c r="C41" s="19">
        <f>SUM(C39:C40)</f>
        <v>0</v>
      </c>
      <c r="D41" s="19">
        <f t="shared" ref="D41:N41" si="21">SUM(D39:D40)</f>
        <v>0</v>
      </c>
      <c r="E41" s="19">
        <f t="shared" si="21"/>
        <v>0</v>
      </c>
      <c r="F41" s="19">
        <f t="shared" si="21"/>
        <v>0</v>
      </c>
      <c r="G41" s="19">
        <f t="shared" si="21"/>
        <v>0</v>
      </c>
      <c r="H41" s="19">
        <f t="shared" si="21"/>
        <v>0</v>
      </c>
      <c r="I41" s="19">
        <f t="shared" si="21"/>
        <v>0</v>
      </c>
      <c r="J41" s="19">
        <f t="shared" si="21"/>
        <v>0</v>
      </c>
      <c r="K41" s="19">
        <f t="shared" si="21"/>
        <v>0</v>
      </c>
      <c r="L41" s="19">
        <f t="shared" si="21"/>
        <v>0</v>
      </c>
      <c r="M41" s="19">
        <f t="shared" si="21"/>
        <v>0</v>
      </c>
      <c r="N41" s="19">
        <f t="shared" si="21"/>
        <v>0</v>
      </c>
      <c r="O41" s="18"/>
    </row>
    <row r="42" spans="1:15" x14ac:dyDescent="0.35">
      <c r="A42" s="21" t="s">
        <v>46</v>
      </c>
      <c r="B42" s="22">
        <f>B41/B30</f>
        <v>0</v>
      </c>
      <c r="C42" s="27"/>
      <c r="D42" s="27"/>
      <c r="E42" s="24" t="s">
        <v>144</v>
      </c>
      <c r="F42" s="22">
        <f>SUM(B31:B37)/B30</f>
        <v>0</v>
      </c>
      <c r="G42" s="27"/>
      <c r="H42" s="27"/>
      <c r="I42" s="27"/>
      <c r="J42" s="27"/>
      <c r="K42" s="27"/>
      <c r="L42" s="27"/>
      <c r="M42" s="27"/>
      <c r="N42" s="27"/>
      <c r="O42" s="18"/>
    </row>
    <row r="43" spans="1:15" x14ac:dyDescent="0.35">
      <c r="A43" s="17"/>
      <c r="B43" s="18"/>
      <c r="C43" s="18"/>
      <c r="D43" s="18"/>
      <c r="E43" s="18"/>
      <c r="F43" s="18"/>
      <c r="G43" s="18"/>
      <c r="H43" s="18"/>
      <c r="I43" s="18"/>
      <c r="J43" s="18"/>
      <c r="K43" s="18"/>
      <c r="L43" s="18"/>
      <c r="M43" s="18"/>
      <c r="N43" s="18"/>
      <c r="O43" s="18"/>
    </row>
  </sheetData>
  <pageMargins left="0.7" right="0.7" top="0.75" bottom="0.75" header="0.3" footer="0.3"/>
  <pageSetup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3"/>
  <sheetViews>
    <sheetView view="pageBreakPreview" zoomScale="60" zoomScaleNormal="100" workbookViewId="0">
      <selection activeCell="U13" sqref="U13"/>
    </sheetView>
  </sheetViews>
  <sheetFormatPr defaultRowHeight="14.5" x14ac:dyDescent="0.35"/>
  <cols>
    <col min="1" max="1" width="37.7265625" customWidth="1"/>
    <col min="2" max="2" width="12" customWidth="1"/>
    <col min="3" max="14" width="11.54296875" customWidth="1"/>
  </cols>
  <sheetData>
    <row r="1" spans="1:3" ht="21" customHeight="1" x14ac:dyDescent="0.5">
      <c r="A1" s="23" t="s">
        <v>67</v>
      </c>
      <c r="C1" s="7"/>
    </row>
    <row r="2" spans="1:3" ht="29" x14ac:dyDescent="0.35">
      <c r="A2" s="8" t="s">
        <v>10</v>
      </c>
      <c r="B2" s="9" t="s">
        <v>145</v>
      </c>
    </row>
    <row r="3" spans="1:3" ht="22.5" customHeight="1" x14ac:dyDescent="0.35">
      <c r="A3" s="11" t="s">
        <v>12</v>
      </c>
      <c r="B3" s="12">
        <f>'Common Inputs'!C43</f>
        <v>21</v>
      </c>
    </row>
    <row r="4" spans="1:3" ht="19.5" customHeight="1" x14ac:dyDescent="0.35">
      <c r="A4" s="11" t="s">
        <v>13</v>
      </c>
      <c r="B4" s="13">
        <f>'Common Inputs'!C44</f>
        <v>13.9084</v>
      </c>
    </row>
    <row r="5" spans="1:3" x14ac:dyDescent="0.35">
      <c r="A5" s="11" t="s">
        <v>14</v>
      </c>
      <c r="B5" s="13">
        <f>'Common Inputs'!C45</f>
        <v>0.65349999999999997</v>
      </c>
    </row>
    <row r="6" spans="1:3" x14ac:dyDescent="0.35">
      <c r="A6" s="11" t="s">
        <v>15</v>
      </c>
      <c r="B6" s="13">
        <f>'Common Inputs'!C46</f>
        <v>2.9990999999999999</v>
      </c>
    </row>
    <row r="7" spans="1:3" x14ac:dyDescent="0.35">
      <c r="A7" s="11" t="s">
        <v>47</v>
      </c>
      <c r="B7" s="13">
        <f>'Common Inputs'!C47</f>
        <v>0.88190000000000002</v>
      </c>
    </row>
    <row r="8" spans="1:3" x14ac:dyDescent="0.35">
      <c r="A8" s="11" t="s">
        <v>16</v>
      </c>
      <c r="B8" s="13">
        <f>'Common Inputs'!C48</f>
        <v>6.6687000000000003</v>
      </c>
    </row>
    <row r="9" spans="1:3" x14ac:dyDescent="0.35">
      <c r="A9" s="11" t="s">
        <v>17</v>
      </c>
      <c r="B9" s="13">
        <f>'Common Inputs'!C49</f>
        <v>0</v>
      </c>
    </row>
    <row r="10" spans="1:3" x14ac:dyDescent="0.35">
      <c r="A10" s="14" t="s">
        <v>18</v>
      </c>
      <c r="B10" s="31"/>
    </row>
    <row r="11" spans="1:3" x14ac:dyDescent="0.35">
      <c r="A11" s="11" t="s">
        <v>48</v>
      </c>
      <c r="B11" s="13">
        <f>'Common Inputs'!C51</f>
        <v>12.441800000000001</v>
      </c>
    </row>
    <row r="12" spans="1:3" x14ac:dyDescent="0.35">
      <c r="A12" s="11" t="s">
        <v>49</v>
      </c>
      <c r="B12" s="13">
        <f>'Common Inputs'!C52</f>
        <v>12.2088</v>
      </c>
    </row>
    <row r="13" spans="1:3" x14ac:dyDescent="0.35">
      <c r="A13" s="11" t="s">
        <v>49</v>
      </c>
      <c r="B13" s="13">
        <f>'Common Inputs'!C53</f>
        <v>11.841100000000001</v>
      </c>
    </row>
    <row r="14" spans="1:3" x14ac:dyDescent="0.35">
      <c r="A14" s="11" t="s">
        <v>50</v>
      </c>
      <c r="B14" s="13">
        <f>'Common Inputs'!C54</f>
        <v>11.5036</v>
      </c>
    </row>
    <row r="15" spans="1:3" x14ac:dyDescent="0.35">
      <c r="A15" s="11" t="s">
        <v>51</v>
      </c>
      <c r="B15" s="13">
        <f>'Common Inputs'!C55</f>
        <v>11.2248</v>
      </c>
    </row>
    <row r="16" spans="1:3" x14ac:dyDescent="0.35">
      <c r="A16" s="11" t="s">
        <v>22</v>
      </c>
      <c r="B16" s="13">
        <f>'Common Inputs'!C56</f>
        <v>1.2219</v>
      </c>
    </row>
    <row r="17" spans="1:14" x14ac:dyDescent="0.35">
      <c r="A17" s="15" t="s">
        <v>23</v>
      </c>
      <c r="B17" s="13">
        <f>IF('APPLIANCE Conversion'!F5="including SES",'Common Inputs'!C57,0)</f>
        <v>23</v>
      </c>
    </row>
    <row r="18" spans="1:14" x14ac:dyDescent="0.35">
      <c r="C18" s="10"/>
    </row>
    <row r="19" spans="1:14" x14ac:dyDescent="0.35">
      <c r="C19" s="10"/>
    </row>
    <row r="20" spans="1:14" x14ac:dyDescent="0.35">
      <c r="A20" s="26" t="s">
        <v>142</v>
      </c>
      <c r="B20" s="25" t="s">
        <v>24</v>
      </c>
      <c r="C20" s="25" t="s">
        <v>25</v>
      </c>
      <c r="D20" s="25" t="s">
        <v>26</v>
      </c>
      <c r="E20" s="25" t="s">
        <v>27</v>
      </c>
      <c r="F20" s="25" t="s">
        <v>28</v>
      </c>
      <c r="G20" s="25" t="s">
        <v>29</v>
      </c>
      <c r="H20" s="25" t="s">
        <v>30</v>
      </c>
      <c r="I20" s="25" t="s">
        <v>31</v>
      </c>
      <c r="J20" s="25" t="s">
        <v>32</v>
      </c>
      <c r="K20" s="25" t="s">
        <v>33</v>
      </c>
      <c r="L20" s="25" t="s">
        <v>34</v>
      </c>
      <c r="M20" s="25" t="s">
        <v>35</v>
      </c>
      <c r="N20" s="25" t="s">
        <v>36</v>
      </c>
    </row>
    <row r="21" spans="1:14" x14ac:dyDescent="0.35">
      <c r="A21" s="29" t="s">
        <v>143</v>
      </c>
      <c r="B21" s="45">
        <f>SUM(C21:N21)</f>
        <v>1</v>
      </c>
      <c r="C21" s="48">
        <v>0.22116920135812385</v>
      </c>
      <c r="D21" s="48">
        <v>0.19022898886704551</v>
      </c>
      <c r="E21" s="48">
        <v>0.16001448959555606</v>
      </c>
      <c r="F21" s="48">
        <v>8.3286206709480878E-2</v>
      </c>
      <c r="G21" s="48">
        <v>2.8151642344944112E-2</v>
      </c>
      <c r="H21" s="48"/>
      <c r="I21" s="48"/>
      <c r="J21" s="48"/>
      <c r="K21" s="48">
        <v>2.3104657249265145E-3</v>
      </c>
      <c r="L21" s="48">
        <v>3.3867551520899819E-2</v>
      </c>
      <c r="M21" s="48">
        <v>0.10427270780329688</v>
      </c>
      <c r="N21" s="48">
        <v>0.17669874607572628</v>
      </c>
    </row>
    <row r="22" spans="1:14" x14ac:dyDescent="0.35">
      <c r="A22" t="s">
        <v>126</v>
      </c>
      <c r="B22" s="43">
        <f>'APPLIANCE Conversion'!H13</f>
        <v>1807.3000000000002</v>
      </c>
      <c r="C22" s="44">
        <f>$B22*C21</f>
        <v>399.71909761453725</v>
      </c>
      <c r="D22" s="44">
        <f t="shared" ref="D22:N22" si="0">$B22*D21</f>
        <v>343.80085157941136</v>
      </c>
      <c r="E22" s="44">
        <f t="shared" si="0"/>
        <v>289.19418704604851</v>
      </c>
      <c r="F22" s="44">
        <f t="shared" si="0"/>
        <v>150.52316138604482</v>
      </c>
      <c r="G22" s="44">
        <f t="shared" si="0"/>
        <v>50.8784632100175</v>
      </c>
      <c r="H22" s="44">
        <f t="shared" si="0"/>
        <v>0</v>
      </c>
      <c r="I22" s="44">
        <f t="shared" si="0"/>
        <v>0</v>
      </c>
      <c r="J22" s="44">
        <f t="shared" si="0"/>
        <v>0</v>
      </c>
      <c r="K22" s="44">
        <f t="shared" si="0"/>
        <v>4.1757047046596902</v>
      </c>
      <c r="L22" s="44">
        <f t="shared" si="0"/>
        <v>61.208825863722247</v>
      </c>
      <c r="M22" s="44">
        <f t="shared" si="0"/>
        <v>188.45206481289847</v>
      </c>
      <c r="N22" s="44">
        <f t="shared" si="0"/>
        <v>319.34764378266016</v>
      </c>
    </row>
    <row r="23" spans="1:14" x14ac:dyDescent="0.35">
      <c r="A23" t="s">
        <v>127</v>
      </c>
      <c r="B23" s="43">
        <f>'APPLIANCE Conversion'!H14</f>
        <v>0</v>
      </c>
      <c r="C23" s="44">
        <f>$B23/12</f>
        <v>0</v>
      </c>
      <c r="D23" s="44">
        <f>$B23/12</f>
        <v>0</v>
      </c>
      <c r="E23" s="44">
        <f t="shared" ref="E23:N25" si="1">$B23/12</f>
        <v>0</v>
      </c>
      <c r="F23" s="44">
        <f t="shared" si="1"/>
        <v>0</v>
      </c>
      <c r="G23" s="44">
        <f t="shared" si="1"/>
        <v>0</v>
      </c>
      <c r="H23" s="44">
        <f t="shared" si="1"/>
        <v>0</v>
      </c>
      <c r="I23" s="44">
        <f t="shared" si="1"/>
        <v>0</v>
      </c>
      <c r="J23" s="44">
        <f t="shared" si="1"/>
        <v>0</v>
      </c>
      <c r="K23" s="44">
        <f t="shared" si="1"/>
        <v>0</v>
      </c>
      <c r="L23" s="44">
        <f t="shared" si="1"/>
        <v>0</v>
      </c>
      <c r="M23" s="44">
        <f t="shared" si="1"/>
        <v>0</v>
      </c>
      <c r="N23" s="44">
        <f t="shared" si="1"/>
        <v>0</v>
      </c>
    </row>
    <row r="24" spans="1:14" x14ac:dyDescent="0.35">
      <c r="A24" t="s">
        <v>132</v>
      </c>
      <c r="B24" s="43">
        <f>'APPLIANCE Conversion'!H15</f>
        <v>0</v>
      </c>
      <c r="C24" s="44">
        <f>$B24/12</f>
        <v>0</v>
      </c>
      <c r="D24" s="44">
        <f t="shared" ref="D24:D25" si="2">$B24/12</f>
        <v>0</v>
      </c>
      <c r="E24" s="44">
        <f t="shared" si="1"/>
        <v>0</v>
      </c>
      <c r="F24" s="44">
        <f t="shared" si="1"/>
        <v>0</v>
      </c>
      <c r="G24" s="44">
        <f t="shared" si="1"/>
        <v>0</v>
      </c>
      <c r="H24" s="44">
        <f t="shared" si="1"/>
        <v>0</v>
      </c>
      <c r="I24" s="44">
        <f t="shared" si="1"/>
        <v>0</v>
      </c>
      <c r="J24" s="44">
        <f t="shared" si="1"/>
        <v>0</v>
      </c>
      <c r="K24" s="44">
        <f t="shared" si="1"/>
        <v>0</v>
      </c>
      <c r="L24" s="44">
        <f t="shared" si="1"/>
        <v>0</v>
      </c>
      <c r="M24" s="44">
        <f t="shared" si="1"/>
        <v>0</v>
      </c>
      <c r="N24" s="44">
        <f t="shared" si="1"/>
        <v>0</v>
      </c>
    </row>
    <row r="25" spans="1:14" x14ac:dyDescent="0.35">
      <c r="A25" t="s">
        <v>128</v>
      </c>
      <c r="B25" s="43">
        <f>'APPLIANCE Conversion'!H16</f>
        <v>0</v>
      </c>
      <c r="C25" s="44">
        <f>$B25/12</f>
        <v>0</v>
      </c>
      <c r="D25" s="44">
        <f t="shared" si="2"/>
        <v>0</v>
      </c>
      <c r="E25" s="44">
        <f t="shared" si="1"/>
        <v>0</v>
      </c>
      <c r="F25" s="44">
        <f t="shared" si="1"/>
        <v>0</v>
      </c>
      <c r="G25" s="44">
        <f t="shared" si="1"/>
        <v>0</v>
      </c>
      <c r="H25" s="44">
        <f t="shared" si="1"/>
        <v>0</v>
      </c>
      <c r="I25" s="44">
        <f t="shared" si="1"/>
        <v>0</v>
      </c>
      <c r="J25" s="44">
        <f t="shared" si="1"/>
        <v>0</v>
      </c>
      <c r="K25" s="44">
        <f t="shared" si="1"/>
        <v>0</v>
      </c>
      <c r="L25" s="44">
        <f t="shared" si="1"/>
        <v>0</v>
      </c>
      <c r="M25" s="44">
        <f t="shared" si="1"/>
        <v>0</v>
      </c>
      <c r="N25" s="44">
        <f t="shared" si="1"/>
        <v>0</v>
      </c>
    </row>
    <row r="26" spans="1:14" x14ac:dyDescent="0.35">
      <c r="A26" t="s">
        <v>129</v>
      </c>
      <c r="B26" s="43">
        <f>'APPLIANCE Conversion'!H17</f>
        <v>0</v>
      </c>
      <c r="C26" s="44"/>
      <c r="D26" s="44"/>
      <c r="E26" s="44"/>
      <c r="F26" s="44"/>
      <c r="G26" s="44">
        <f>$B26/5</f>
        <v>0</v>
      </c>
      <c r="H26" s="44">
        <f t="shared" ref="H26:K26" si="3">$B26/5</f>
        <v>0</v>
      </c>
      <c r="I26" s="44">
        <f t="shared" si="3"/>
        <v>0</v>
      </c>
      <c r="J26" s="44">
        <f t="shared" si="3"/>
        <v>0</v>
      </c>
      <c r="K26" s="44">
        <f t="shared" si="3"/>
        <v>0</v>
      </c>
      <c r="L26" s="44"/>
      <c r="M26" s="44"/>
      <c r="N26" s="44"/>
    </row>
    <row r="27" spans="1:14" x14ac:dyDescent="0.35">
      <c r="A27" t="s">
        <v>130</v>
      </c>
      <c r="B27" s="43">
        <f>'APPLIANCE Conversion'!H18</f>
        <v>0</v>
      </c>
      <c r="C27" s="44">
        <f>$B27*C21</f>
        <v>0</v>
      </c>
      <c r="D27" s="44">
        <f t="shared" ref="D27:N27" si="4">$B27*D21</f>
        <v>0</v>
      </c>
      <c r="E27" s="44">
        <f t="shared" si="4"/>
        <v>0</v>
      </c>
      <c r="F27" s="44">
        <f>$B27*(F21+G21)</f>
        <v>0</v>
      </c>
      <c r="G27" s="44"/>
      <c r="H27" s="44"/>
      <c r="I27" s="44"/>
      <c r="J27" s="44"/>
      <c r="K27" s="44"/>
      <c r="L27" s="44">
        <f>$B27*(L21+K21)</f>
        <v>0</v>
      </c>
      <c r="M27" s="44">
        <f t="shared" si="4"/>
        <v>0</v>
      </c>
      <c r="N27" s="44">
        <f t="shared" si="4"/>
        <v>0</v>
      </c>
    </row>
    <row r="28" spans="1:14" x14ac:dyDescent="0.35">
      <c r="A28" t="s">
        <v>131</v>
      </c>
      <c r="B28" s="43">
        <f>'APPLIANCE Conversion'!H19</f>
        <v>0</v>
      </c>
      <c r="C28" s="44"/>
      <c r="D28" s="44"/>
      <c r="E28" s="44"/>
      <c r="F28" s="44"/>
      <c r="G28" s="44">
        <f>$B28/5</f>
        <v>0</v>
      </c>
      <c r="H28" s="44">
        <f t="shared" ref="H28:K28" si="5">$B28/5</f>
        <v>0</v>
      </c>
      <c r="I28" s="44">
        <f t="shared" si="5"/>
        <v>0</v>
      </c>
      <c r="J28" s="44">
        <f t="shared" si="5"/>
        <v>0</v>
      </c>
      <c r="K28" s="44">
        <f t="shared" si="5"/>
        <v>0</v>
      </c>
      <c r="L28" s="44"/>
      <c r="M28" s="44"/>
      <c r="N28" s="44"/>
    </row>
    <row r="29" spans="1:14" x14ac:dyDescent="0.35">
      <c r="A29" t="s">
        <v>124</v>
      </c>
      <c r="B29" s="43">
        <f>'APPLIANCE Conversion'!H20</f>
        <v>0</v>
      </c>
      <c r="C29" s="44">
        <f>$B29/12</f>
        <v>0</v>
      </c>
      <c r="D29" s="44">
        <f t="shared" ref="D29:N29" si="6">$B29/12</f>
        <v>0</v>
      </c>
      <c r="E29" s="44">
        <f t="shared" si="6"/>
        <v>0</v>
      </c>
      <c r="F29" s="44">
        <f t="shared" si="6"/>
        <v>0</v>
      </c>
      <c r="G29" s="44">
        <f t="shared" si="6"/>
        <v>0</v>
      </c>
      <c r="H29" s="44">
        <f t="shared" si="6"/>
        <v>0</v>
      </c>
      <c r="I29" s="44">
        <f t="shared" si="6"/>
        <v>0</v>
      </c>
      <c r="J29" s="44">
        <f t="shared" si="6"/>
        <v>0</v>
      </c>
      <c r="K29" s="44">
        <f t="shared" si="6"/>
        <v>0</v>
      </c>
      <c r="L29" s="44">
        <f t="shared" si="6"/>
        <v>0</v>
      </c>
      <c r="M29" s="44">
        <f t="shared" si="6"/>
        <v>0</v>
      </c>
      <c r="N29" s="44">
        <f t="shared" si="6"/>
        <v>0</v>
      </c>
    </row>
    <row r="30" spans="1:14" ht="16.5" x14ac:dyDescent="0.35">
      <c r="A30" s="5" t="s">
        <v>141</v>
      </c>
      <c r="B30" s="1">
        <f>SUM(B22:B29)</f>
        <v>1807.3000000000002</v>
      </c>
      <c r="C30" s="1">
        <f t="shared" ref="C30:N30" si="7">SUM(C22:C29)</f>
        <v>399.71909761453725</v>
      </c>
      <c r="D30" s="1">
        <f t="shared" si="7"/>
        <v>343.80085157941136</v>
      </c>
      <c r="E30" s="1">
        <f t="shared" si="7"/>
        <v>289.19418704604851</v>
      </c>
      <c r="F30" s="1">
        <f t="shared" si="7"/>
        <v>150.52316138604482</v>
      </c>
      <c r="G30" s="1">
        <f t="shared" si="7"/>
        <v>50.8784632100175</v>
      </c>
      <c r="H30" s="1">
        <f t="shared" si="7"/>
        <v>0</v>
      </c>
      <c r="I30" s="1">
        <f t="shared" si="7"/>
        <v>0</v>
      </c>
      <c r="J30" s="1">
        <f t="shared" si="7"/>
        <v>0</v>
      </c>
      <c r="K30" s="1">
        <f t="shared" si="7"/>
        <v>4.1757047046596902</v>
      </c>
      <c r="L30" s="1">
        <f t="shared" si="7"/>
        <v>61.208825863722247</v>
      </c>
      <c r="M30" s="1">
        <f t="shared" si="7"/>
        <v>188.45206481289847</v>
      </c>
      <c r="N30" s="1">
        <f t="shared" si="7"/>
        <v>319.34764378266016</v>
      </c>
    </row>
    <row r="31" spans="1:14" x14ac:dyDescent="0.35">
      <c r="A31" s="28" t="s">
        <v>37</v>
      </c>
      <c r="B31" s="29">
        <f t="shared" ref="B31:B33" si="8">SUM(C31:N31)</f>
        <v>370.6653169296759</v>
      </c>
      <c r="C31" s="2">
        <f>SUM($D$4:$D$9,$D$16)/100*C30</f>
        <v>0</v>
      </c>
      <c r="D31" s="2">
        <f t="shared" ref="D31:N31" si="9">SUM($B$4:$B$9,$B$16)/100*D30</f>
        <v>90.534797250664298</v>
      </c>
      <c r="E31" s="2">
        <f t="shared" si="9"/>
        <v>76.154951245771201</v>
      </c>
      <c r="F31" s="2">
        <f t="shared" si="9"/>
        <v>39.638016703594118</v>
      </c>
      <c r="G31" s="2">
        <f t="shared" si="9"/>
        <v>13.39808010940996</v>
      </c>
      <c r="H31" s="2">
        <f t="shared" si="9"/>
        <v>0</v>
      </c>
      <c r="I31" s="2">
        <f t="shared" si="9"/>
        <v>0</v>
      </c>
      <c r="J31" s="2">
        <f t="shared" si="9"/>
        <v>0</v>
      </c>
      <c r="K31" s="2">
        <f t="shared" si="9"/>
        <v>1.0996091984015597</v>
      </c>
      <c r="L31" s="2">
        <f t="shared" si="9"/>
        <v>16.118426158823301</v>
      </c>
      <c r="M31" s="2">
        <f t="shared" si="9"/>
        <v>49.62602448750463</v>
      </c>
      <c r="N31" s="2">
        <f t="shared" si="9"/>
        <v>84.095411775506832</v>
      </c>
    </row>
    <row r="32" spans="1:14" x14ac:dyDescent="0.35">
      <c r="A32" s="30" t="s">
        <v>48</v>
      </c>
      <c r="B32" s="29">
        <f t="shared" si="8"/>
        <v>76.674209159920906</v>
      </c>
      <c r="C32" s="2">
        <f>IF(C30&lt;=100, C30*$D$11, 100*$D$11)/100</f>
        <v>0</v>
      </c>
      <c r="D32" s="2">
        <f t="shared" ref="D32:N32" si="10">IF(D30&lt;=100, D30*$B$11, 100*$B$11)/100</f>
        <v>12.441800000000001</v>
      </c>
      <c r="E32" s="2">
        <f t="shared" si="10"/>
        <v>12.441800000000001</v>
      </c>
      <c r="F32" s="2">
        <f t="shared" si="10"/>
        <v>12.441800000000001</v>
      </c>
      <c r="G32" s="2">
        <f t="shared" si="10"/>
        <v>6.3301966356639578</v>
      </c>
      <c r="H32" s="2">
        <f t="shared" si="10"/>
        <v>0</v>
      </c>
      <c r="I32" s="2">
        <f t="shared" si="10"/>
        <v>0</v>
      </c>
      <c r="J32" s="2">
        <f t="shared" si="10"/>
        <v>0</v>
      </c>
      <c r="K32" s="2">
        <f t="shared" si="10"/>
        <v>0.5195328279443493</v>
      </c>
      <c r="L32" s="2">
        <f t="shared" si="10"/>
        <v>7.6154796963125939</v>
      </c>
      <c r="M32" s="2">
        <f t="shared" si="10"/>
        <v>12.441800000000001</v>
      </c>
      <c r="N32" s="2">
        <f t="shared" si="10"/>
        <v>12.441800000000001</v>
      </c>
    </row>
    <row r="33" spans="1:14" x14ac:dyDescent="0.35">
      <c r="A33" s="30" t="s">
        <v>49</v>
      </c>
      <c r="B33" s="29">
        <f t="shared" si="8"/>
        <v>88.900747324254567</v>
      </c>
      <c r="C33" s="2">
        <f>IF(C30&lt;100,0,IF(C30&lt;=300, (C30-100)*$D$12,200*$D$12))/100</f>
        <v>0</v>
      </c>
      <c r="D33" s="2">
        <f t="shared" ref="D33:N33" si="11">IF(D30&lt;100,0,IF(D30&lt;=300, (D30-100)*$B$12,200*$B$12))/100</f>
        <v>24.417600000000004</v>
      </c>
      <c r="E33" s="2">
        <f t="shared" si="11"/>
        <v>23.098339908077968</v>
      </c>
      <c r="F33" s="2">
        <f t="shared" si="11"/>
        <v>6.1682717272994401</v>
      </c>
      <c r="G33" s="2">
        <f t="shared" si="11"/>
        <v>0</v>
      </c>
      <c r="H33" s="2">
        <f t="shared" si="11"/>
        <v>0</v>
      </c>
      <c r="I33" s="2">
        <f t="shared" si="11"/>
        <v>0</v>
      </c>
      <c r="J33" s="2">
        <f t="shared" si="11"/>
        <v>0</v>
      </c>
      <c r="K33" s="2">
        <f t="shared" si="11"/>
        <v>0</v>
      </c>
      <c r="L33" s="2">
        <f t="shared" si="11"/>
        <v>0</v>
      </c>
      <c r="M33" s="2">
        <f t="shared" si="11"/>
        <v>10.798935688877147</v>
      </c>
      <c r="N33" s="2">
        <f t="shared" si="11"/>
        <v>24.417600000000004</v>
      </c>
    </row>
    <row r="34" spans="1:14" x14ac:dyDescent="0.35">
      <c r="A34" s="30" t="s">
        <v>49</v>
      </c>
      <c r="B34" s="29">
        <f t="shared" ref="B34:B36" si="12">SUM(C34:N34)</f>
        <v>7.4774764843182506</v>
      </c>
      <c r="C34" s="2">
        <f>IF(C30&lt;300,0,IF(C30&lt;=500, (C30-300)*$D$13,200*$D$13))/100</f>
        <v>0</v>
      </c>
      <c r="D34" s="2">
        <f t="shared" ref="D34:N34" si="13">IF(D30&lt;300,0,IF(D30&lt;=500, (D30-300)*$B$13,200*$B$13))/100</f>
        <v>5.1865026363696787</v>
      </c>
      <c r="E34" s="2">
        <f t="shared" si="13"/>
        <v>0</v>
      </c>
      <c r="F34" s="2">
        <f t="shared" si="13"/>
        <v>0</v>
      </c>
      <c r="G34" s="2">
        <f t="shared" si="13"/>
        <v>0</v>
      </c>
      <c r="H34" s="2">
        <f t="shared" si="13"/>
        <v>0</v>
      </c>
      <c r="I34" s="2">
        <f t="shared" si="13"/>
        <v>0</v>
      </c>
      <c r="J34" s="2">
        <f t="shared" si="13"/>
        <v>0</v>
      </c>
      <c r="K34" s="2">
        <f t="shared" si="13"/>
        <v>0</v>
      </c>
      <c r="L34" s="2">
        <f t="shared" si="13"/>
        <v>0</v>
      </c>
      <c r="M34" s="2">
        <f t="shared" si="13"/>
        <v>0</v>
      </c>
      <c r="N34" s="2">
        <f t="shared" si="13"/>
        <v>2.290973847948572</v>
      </c>
    </row>
    <row r="35" spans="1:14" x14ac:dyDescent="0.35">
      <c r="A35" s="30" t="s">
        <v>50</v>
      </c>
      <c r="B35" s="29">
        <f t="shared" si="12"/>
        <v>0</v>
      </c>
      <c r="C35" s="2">
        <f>IF(C30&lt;500,0,IF(C30&lt;=1000, (C30-500)*$D$14,500*$D$14))/100</f>
        <v>0</v>
      </c>
      <c r="D35" s="2">
        <f t="shared" ref="D35:N35" si="14">IF(D30&lt;500,0,IF(D30&lt;=1000, (D30-500)*$B$14,500*$B$14))/100</f>
        <v>0</v>
      </c>
      <c r="E35" s="2">
        <f t="shared" si="14"/>
        <v>0</v>
      </c>
      <c r="F35" s="2">
        <f t="shared" si="14"/>
        <v>0</v>
      </c>
      <c r="G35" s="2">
        <f t="shared" si="14"/>
        <v>0</v>
      </c>
      <c r="H35" s="2">
        <f t="shared" si="14"/>
        <v>0</v>
      </c>
      <c r="I35" s="2">
        <f t="shared" si="14"/>
        <v>0</v>
      </c>
      <c r="J35" s="2">
        <f t="shared" si="14"/>
        <v>0</v>
      </c>
      <c r="K35" s="2">
        <f t="shared" si="14"/>
        <v>0</v>
      </c>
      <c r="L35" s="2">
        <f t="shared" si="14"/>
        <v>0</v>
      </c>
      <c r="M35" s="2">
        <f t="shared" si="14"/>
        <v>0</v>
      </c>
      <c r="N35" s="2">
        <f t="shared" si="14"/>
        <v>0</v>
      </c>
    </row>
    <row r="36" spans="1:14" x14ac:dyDescent="0.35">
      <c r="A36" s="30" t="s">
        <v>51</v>
      </c>
      <c r="B36" s="29">
        <f t="shared" si="12"/>
        <v>0</v>
      </c>
      <c r="C36" s="2">
        <f>IF(C30&gt;=1000, (C30-1000)*$D$15, 0)/100</f>
        <v>0</v>
      </c>
      <c r="D36" s="2">
        <f t="shared" ref="D36:N36" si="15">IF(D30&gt;=1000, (D30-1000)*$B$15, 0)/100</f>
        <v>0</v>
      </c>
      <c r="E36" s="2">
        <f t="shared" si="15"/>
        <v>0</v>
      </c>
      <c r="F36" s="2">
        <f t="shared" si="15"/>
        <v>0</v>
      </c>
      <c r="G36" s="2">
        <f t="shared" si="15"/>
        <v>0</v>
      </c>
      <c r="H36" s="2">
        <f t="shared" si="15"/>
        <v>0</v>
      </c>
      <c r="I36" s="2">
        <f t="shared" si="15"/>
        <v>0</v>
      </c>
      <c r="J36" s="2">
        <f t="shared" si="15"/>
        <v>0</v>
      </c>
      <c r="K36" s="2">
        <f t="shared" si="15"/>
        <v>0</v>
      </c>
      <c r="L36" s="2">
        <f t="shared" si="15"/>
        <v>0</v>
      </c>
      <c r="M36" s="2">
        <f t="shared" si="15"/>
        <v>0</v>
      </c>
      <c r="N36" s="2">
        <f t="shared" si="15"/>
        <v>0</v>
      </c>
    </row>
    <row r="37" spans="1:14" x14ac:dyDescent="0.35">
      <c r="A37" s="30" t="s">
        <v>38</v>
      </c>
      <c r="B37" s="29">
        <f t="shared" ref="B37:B40" si="16">SUM(C37:N37)</f>
        <v>0</v>
      </c>
      <c r="C37" s="2">
        <f>C30*$D$17/100</f>
        <v>0</v>
      </c>
      <c r="D37" s="2">
        <f t="shared" ref="D37:N37" si="17">D30*$D$17/100</f>
        <v>0</v>
      </c>
      <c r="E37" s="2">
        <f t="shared" si="17"/>
        <v>0</v>
      </c>
      <c r="F37" s="2">
        <f t="shared" si="17"/>
        <v>0</v>
      </c>
      <c r="G37" s="2">
        <f t="shared" si="17"/>
        <v>0</v>
      </c>
      <c r="H37" s="2">
        <f t="shared" si="17"/>
        <v>0</v>
      </c>
      <c r="I37" s="2">
        <f t="shared" si="17"/>
        <v>0</v>
      </c>
      <c r="J37" s="2">
        <f t="shared" si="17"/>
        <v>0</v>
      </c>
      <c r="K37" s="2">
        <f t="shared" si="17"/>
        <v>0</v>
      </c>
      <c r="L37" s="2">
        <f t="shared" si="17"/>
        <v>0</v>
      </c>
      <c r="M37" s="2">
        <f t="shared" si="17"/>
        <v>0</v>
      </c>
      <c r="N37" s="2">
        <f t="shared" si="17"/>
        <v>0</v>
      </c>
    </row>
    <row r="38" spans="1:14" x14ac:dyDescent="0.35">
      <c r="A38" s="28" t="s">
        <v>39</v>
      </c>
      <c r="B38" s="29">
        <f t="shared" si="16"/>
        <v>252</v>
      </c>
      <c r="C38" s="2">
        <f t="shared" ref="C38:N38" si="18">$B$3</f>
        <v>21</v>
      </c>
      <c r="D38" s="2">
        <f t="shared" si="18"/>
        <v>21</v>
      </c>
      <c r="E38" s="2">
        <f t="shared" si="18"/>
        <v>21</v>
      </c>
      <c r="F38" s="2">
        <f t="shared" si="18"/>
        <v>21</v>
      </c>
      <c r="G38" s="2">
        <f t="shared" si="18"/>
        <v>21</v>
      </c>
      <c r="H38" s="2">
        <f t="shared" si="18"/>
        <v>21</v>
      </c>
      <c r="I38" s="2">
        <f t="shared" si="18"/>
        <v>21</v>
      </c>
      <c r="J38" s="2">
        <f t="shared" si="18"/>
        <v>21</v>
      </c>
      <c r="K38" s="2">
        <f t="shared" si="18"/>
        <v>21</v>
      </c>
      <c r="L38" s="2">
        <f t="shared" si="18"/>
        <v>21</v>
      </c>
      <c r="M38" s="2">
        <f t="shared" si="18"/>
        <v>21</v>
      </c>
      <c r="N38" s="2">
        <f t="shared" si="18"/>
        <v>21</v>
      </c>
    </row>
    <row r="39" spans="1:14" x14ac:dyDescent="0.35">
      <c r="A39" s="16" t="s">
        <v>40</v>
      </c>
      <c r="B39" s="19">
        <f t="shared" si="16"/>
        <v>795.71774989816947</v>
      </c>
      <c r="C39" s="20">
        <f>SUM(C31:C38)</f>
        <v>21</v>
      </c>
      <c r="D39" s="20">
        <f t="shared" ref="D39:N39" si="19">SUM(D31:D38)</f>
        <v>153.58069988703397</v>
      </c>
      <c r="E39" s="20">
        <f t="shared" si="19"/>
        <v>132.69509115384918</v>
      </c>
      <c r="F39" s="20">
        <f t="shared" si="19"/>
        <v>79.24808843089356</v>
      </c>
      <c r="G39" s="20">
        <f t="shared" si="19"/>
        <v>40.72827674507392</v>
      </c>
      <c r="H39" s="20">
        <f t="shared" si="19"/>
        <v>21</v>
      </c>
      <c r="I39" s="20">
        <f t="shared" si="19"/>
        <v>21</v>
      </c>
      <c r="J39" s="20">
        <f t="shared" si="19"/>
        <v>21</v>
      </c>
      <c r="K39" s="20">
        <f t="shared" si="19"/>
        <v>22.619142026345909</v>
      </c>
      <c r="L39" s="20">
        <f t="shared" si="19"/>
        <v>44.733905855135895</v>
      </c>
      <c r="M39" s="20">
        <f t="shared" si="19"/>
        <v>93.866760176381774</v>
      </c>
      <c r="N39" s="20">
        <f t="shared" si="19"/>
        <v>144.24578562345542</v>
      </c>
    </row>
    <row r="40" spans="1:14" x14ac:dyDescent="0.35">
      <c r="A40" s="28" t="s">
        <v>41</v>
      </c>
      <c r="B40" s="29">
        <f t="shared" si="16"/>
        <v>103.44330748676204</v>
      </c>
      <c r="C40" s="29">
        <f>C39*0.13</f>
        <v>2.73</v>
      </c>
      <c r="D40" s="29">
        <f t="shared" ref="D40:N40" si="20">D39*0.13</f>
        <v>19.965490985314418</v>
      </c>
      <c r="E40" s="29">
        <f t="shared" si="20"/>
        <v>17.250361850000395</v>
      </c>
      <c r="F40" s="29">
        <f t="shared" si="20"/>
        <v>10.302251496016163</v>
      </c>
      <c r="G40" s="29">
        <f t="shared" si="20"/>
        <v>5.2946759768596099</v>
      </c>
      <c r="H40" s="29">
        <f t="shared" si="20"/>
        <v>2.73</v>
      </c>
      <c r="I40" s="29">
        <f t="shared" si="20"/>
        <v>2.73</v>
      </c>
      <c r="J40" s="29">
        <f t="shared" si="20"/>
        <v>2.73</v>
      </c>
      <c r="K40" s="29">
        <f t="shared" si="20"/>
        <v>2.9404884634249684</v>
      </c>
      <c r="L40" s="29">
        <f t="shared" si="20"/>
        <v>5.8154077611676662</v>
      </c>
      <c r="M40" s="29">
        <f t="shared" si="20"/>
        <v>12.202678822929631</v>
      </c>
      <c r="N40" s="29">
        <f t="shared" si="20"/>
        <v>18.751952131049205</v>
      </c>
    </row>
    <row r="41" spans="1:14" x14ac:dyDescent="0.35">
      <c r="A41" s="16" t="s">
        <v>42</v>
      </c>
      <c r="B41" s="19">
        <f>SUM(C41:N41)</f>
        <v>899.16105738493161</v>
      </c>
      <c r="C41" s="19">
        <f>SUM(C39:C40)</f>
        <v>23.73</v>
      </c>
      <c r="D41" s="19">
        <f t="shared" ref="D41:N41" si="21">SUM(D39:D40)</f>
        <v>173.5461908723484</v>
      </c>
      <c r="E41" s="19">
        <f t="shared" si="21"/>
        <v>149.94545300384956</v>
      </c>
      <c r="F41" s="19">
        <f t="shared" si="21"/>
        <v>89.550339926909729</v>
      </c>
      <c r="G41" s="19">
        <f t="shared" si="21"/>
        <v>46.022952721933528</v>
      </c>
      <c r="H41" s="19">
        <f t="shared" si="21"/>
        <v>23.73</v>
      </c>
      <c r="I41" s="19">
        <f t="shared" si="21"/>
        <v>23.73</v>
      </c>
      <c r="J41" s="19">
        <f t="shared" si="21"/>
        <v>23.73</v>
      </c>
      <c r="K41" s="19">
        <f t="shared" si="21"/>
        <v>25.559630489770878</v>
      </c>
      <c r="L41" s="19">
        <f t="shared" si="21"/>
        <v>50.549313616303564</v>
      </c>
      <c r="M41" s="19">
        <f t="shared" si="21"/>
        <v>106.0694389993114</v>
      </c>
      <c r="N41" s="19">
        <f t="shared" si="21"/>
        <v>162.99773775450461</v>
      </c>
    </row>
    <row r="42" spans="1:14" x14ac:dyDescent="0.35">
      <c r="A42" s="21" t="s">
        <v>46</v>
      </c>
      <c r="B42" s="22">
        <f>B41/B30</f>
        <v>0.49751621611516156</v>
      </c>
      <c r="C42" s="27"/>
      <c r="D42" s="27"/>
      <c r="E42" s="24" t="s">
        <v>144</v>
      </c>
      <c r="F42" s="22">
        <f>SUM(B31:B37)/B30</f>
        <v>0.30084532169433381</v>
      </c>
      <c r="G42" s="27"/>
      <c r="H42" s="27"/>
      <c r="I42" s="27"/>
      <c r="J42" s="27"/>
      <c r="K42" s="27"/>
      <c r="L42" s="27"/>
      <c r="M42" s="27"/>
      <c r="N42" s="27"/>
    </row>
    <row r="43" spans="1:14" x14ac:dyDescent="0.35">
      <c r="C43" s="10"/>
    </row>
  </sheetData>
  <pageMargins left="0.7" right="0.7" top="0.75" bottom="0.75" header="0.3" footer="0.3"/>
  <pageSetup scale="65" orientation="landscape" horizontalDpi="1200" verticalDpi="12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7"/>
  <sheetViews>
    <sheetView topLeftCell="A4" zoomScale="80" zoomScaleNormal="80" workbookViewId="0">
      <selection activeCell="F37" sqref="F37"/>
    </sheetView>
  </sheetViews>
  <sheetFormatPr defaultRowHeight="14.5" x14ac:dyDescent="0.35"/>
  <cols>
    <col min="1" max="2" width="17.7265625" customWidth="1"/>
    <col min="3" max="3" width="12.54296875" customWidth="1"/>
    <col min="4" max="4" width="11.54296875" bestFit="1" customWidth="1"/>
    <col min="5" max="5" width="9.7265625" customWidth="1"/>
    <col min="6" max="6" width="11.54296875" customWidth="1"/>
    <col min="7" max="10" width="10.7265625" customWidth="1"/>
    <col min="11" max="15" width="9.7265625" customWidth="1"/>
    <col min="16" max="16" width="11.54296875" customWidth="1"/>
    <col min="17" max="18" width="9.7265625" customWidth="1"/>
    <col min="19" max="19" width="12" customWidth="1"/>
    <col min="20" max="20" width="12.26953125" customWidth="1"/>
    <col min="21" max="21" width="11.453125" customWidth="1"/>
    <col min="22" max="22" width="9.453125" customWidth="1"/>
    <col min="23" max="23" width="10.7265625" customWidth="1"/>
    <col min="24" max="24" width="10.81640625" customWidth="1"/>
    <col min="25" max="25" width="10" customWidth="1"/>
    <col min="26" max="26" width="12.1796875" customWidth="1"/>
    <col min="27" max="27" width="15.7265625" bestFit="1" customWidth="1"/>
    <col min="28" max="28" width="16.54296875" bestFit="1" customWidth="1"/>
  </cols>
  <sheetData>
    <row r="1" spans="1:26" ht="30.75" customHeight="1" x14ac:dyDescent="0.65">
      <c r="A1" s="473" t="s">
        <v>261</v>
      </c>
      <c r="B1" s="473"/>
      <c r="C1" s="473"/>
      <c r="D1" s="473"/>
      <c r="E1" s="473"/>
      <c r="F1" s="473"/>
      <c r="G1" s="473"/>
      <c r="H1" s="473"/>
      <c r="I1" s="473"/>
      <c r="J1" s="473"/>
      <c r="K1" s="473"/>
      <c r="L1" s="473"/>
      <c r="M1" s="473"/>
      <c r="N1" s="473"/>
      <c r="O1" s="473"/>
      <c r="P1" s="473"/>
      <c r="Q1" s="473"/>
      <c r="R1" s="473"/>
      <c r="S1" s="473"/>
      <c r="T1" s="473"/>
    </row>
    <row r="2" spans="1:26" ht="23.5" x14ac:dyDescent="0.55000000000000004">
      <c r="B2" s="51" t="s">
        <v>289</v>
      </c>
      <c r="C2" s="246" t="str">
        <f>'APPLIANCE Conversion'!I4</f>
        <v>N Bay Hydro</v>
      </c>
      <c r="D2" s="247"/>
      <c r="E2" s="247"/>
      <c r="F2" s="248"/>
      <c r="H2" s="52"/>
      <c r="I2" s="53"/>
      <c r="K2" s="259"/>
      <c r="W2" s="3"/>
    </row>
    <row r="3" spans="1:26" ht="15" customHeight="1" x14ac:dyDescent="0.55000000000000004">
      <c r="A3" s="51"/>
      <c r="B3" s="51"/>
      <c r="H3" s="52"/>
    </row>
    <row r="4" spans="1:26" ht="15" customHeight="1" x14ac:dyDescent="0.35">
      <c r="B4" s="3" t="s">
        <v>149</v>
      </c>
      <c r="C4" t="str">
        <f>C2</f>
        <v>N Bay Hydro</v>
      </c>
      <c r="F4" t="s">
        <v>291</v>
      </c>
      <c r="H4" s="52"/>
      <c r="J4" s="5" t="s">
        <v>290</v>
      </c>
    </row>
    <row r="5" spans="1:26" ht="15" customHeight="1" thickBot="1" x14ac:dyDescent="0.6">
      <c r="A5" s="51"/>
      <c r="B5" s="51"/>
      <c r="H5" s="52"/>
    </row>
    <row r="6" spans="1:26" ht="46.5" customHeight="1" thickBot="1" x14ac:dyDescent="0.4">
      <c r="A6" s="233"/>
      <c r="B6" s="283" t="s">
        <v>283</v>
      </c>
      <c r="C6" s="294" t="str">
        <f>'Common Inputs'!C63</f>
        <v>Hydro One -U1 High Density</v>
      </c>
      <c r="D6" s="294" t="str">
        <f>'Common Inputs'!D63</f>
        <v>Hydro One -R1 Med Density</v>
      </c>
      <c r="E6" s="294" t="str">
        <f>'Common Inputs'!E63</f>
        <v>Hydro One -R2 Low Density</v>
      </c>
      <c r="F6" s="294" t="str">
        <f>'Common Inputs'!F63</f>
        <v>Hydro One -Seasonal</v>
      </c>
      <c r="G6" s="294" t="str">
        <f>'Common Inputs'!G63</f>
        <v>Hydro One -R1 First Nation</v>
      </c>
      <c r="H6" s="295" t="str">
        <f>'Common Inputs'!H63</f>
        <v>N Bay Hydro</v>
      </c>
      <c r="J6" s="54" t="s">
        <v>150</v>
      </c>
      <c r="K6" s="55"/>
      <c r="L6" s="55"/>
      <c r="M6" s="56"/>
      <c r="O6" s="54" t="s">
        <v>151</v>
      </c>
      <c r="P6" s="55"/>
      <c r="Q6" s="55"/>
      <c r="R6" s="56"/>
      <c r="T6" s="57" t="s">
        <v>152</v>
      </c>
      <c r="U6" s="287"/>
      <c r="V6" s="58"/>
      <c r="W6" s="58"/>
      <c r="X6" s="55"/>
      <c r="Y6" s="55"/>
      <c r="Z6" s="59"/>
    </row>
    <row r="7" spans="1:26" ht="15" customHeight="1" x14ac:dyDescent="0.35">
      <c r="A7" s="226" t="s">
        <v>153</v>
      </c>
      <c r="B7" s="76"/>
      <c r="C7" s="231">
        <f>'Common Inputs'!C65</f>
        <v>24.78</v>
      </c>
      <c r="D7" s="231">
        <f>'Common Inputs'!D65</f>
        <v>33.770000000000003</v>
      </c>
      <c r="E7" s="231">
        <f>'Common Inputs'!E65</f>
        <v>19.830000000000002</v>
      </c>
      <c r="F7" s="231">
        <f>'Common Inputs'!F65</f>
        <v>36.279999999999994</v>
      </c>
      <c r="G7" s="231">
        <f>'Common Inputs'!G65</f>
        <v>0</v>
      </c>
      <c r="H7" s="234">
        <f>'Common Inputs'!H65</f>
        <v>22.17</v>
      </c>
      <c r="J7" s="61" t="s">
        <v>279</v>
      </c>
      <c r="K7" s="62"/>
      <c r="L7" s="63"/>
      <c r="M7" s="238">
        <f>HLOOKUP($C$4,LDClookup,6,0)</f>
        <v>6.5</v>
      </c>
      <c r="N7" s="64"/>
      <c r="O7" s="65" t="s">
        <v>153</v>
      </c>
      <c r="P7" s="66"/>
      <c r="Q7" s="67"/>
      <c r="R7" s="242">
        <f>HLOOKUP($C$4,LDClookup,2,0)</f>
        <v>22.17</v>
      </c>
      <c r="T7" s="68" t="s">
        <v>58</v>
      </c>
      <c r="U7" s="139"/>
      <c r="V7" s="69" t="s">
        <v>262</v>
      </c>
      <c r="W7" s="69" t="s">
        <v>124</v>
      </c>
      <c r="X7" s="69" t="s">
        <v>264</v>
      </c>
      <c r="Y7" s="69" t="s">
        <v>124</v>
      </c>
      <c r="Z7" s="70" t="s">
        <v>40</v>
      </c>
    </row>
    <row r="8" spans="1:26" ht="15" customHeight="1" x14ac:dyDescent="0.35">
      <c r="A8" s="226" t="s">
        <v>155</v>
      </c>
      <c r="B8" s="76"/>
      <c r="C8" s="231">
        <f>'Common Inputs'!C66</f>
        <v>0.79</v>
      </c>
      <c r="D8" s="231">
        <f>'Common Inputs'!D66</f>
        <v>0.79</v>
      </c>
      <c r="E8" s="231">
        <f>'Common Inputs'!E66</f>
        <v>0.79</v>
      </c>
      <c r="F8" s="231">
        <f>'Common Inputs'!F66</f>
        <v>0.79</v>
      </c>
      <c r="G8" s="231">
        <f>'Common Inputs'!G66</f>
        <v>0</v>
      </c>
      <c r="H8" s="234">
        <f>'Common Inputs'!H66</f>
        <v>0.79</v>
      </c>
      <c r="J8" s="71" t="s">
        <v>280</v>
      </c>
      <c r="K8" s="72"/>
      <c r="L8" s="73"/>
      <c r="M8" s="239">
        <f>HLOOKUP($C$4,LDClookup,7,0)</f>
        <v>9.5</v>
      </c>
      <c r="N8" s="64"/>
      <c r="O8" s="74" t="s">
        <v>155</v>
      </c>
      <c r="P8" s="75"/>
      <c r="Q8" s="76"/>
      <c r="R8" s="243">
        <f>HLOOKUP($C$4,LDClookup,3,0)</f>
        <v>0.79</v>
      </c>
      <c r="S8" s="64"/>
      <c r="T8" s="68"/>
      <c r="U8" s="139"/>
      <c r="V8" s="69" t="s">
        <v>60</v>
      </c>
      <c r="W8" s="69" t="s">
        <v>60</v>
      </c>
      <c r="X8" s="69" t="s">
        <v>154</v>
      </c>
      <c r="Y8" s="69" t="s">
        <v>154</v>
      </c>
      <c r="Z8" s="70" t="s">
        <v>154</v>
      </c>
    </row>
    <row r="9" spans="1:26" ht="15" customHeight="1" x14ac:dyDescent="0.35">
      <c r="A9" s="226" t="s">
        <v>325</v>
      </c>
      <c r="B9" s="76"/>
      <c r="C9" s="231">
        <f>'Common Inputs'!C67</f>
        <v>0.72</v>
      </c>
      <c r="D9" s="231">
        <f>'Common Inputs'!D67</f>
        <v>0.82</v>
      </c>
      <c r="E9" s="231">
        <f>'Common Inputs'!E67</f>
        <v>1.36</v>
      </c>
      <c r="F9" s="231">
        <f>'Common Inputs'!F67</f>
        <v>0.84</v>
      </c>
      <c r="G9" s="231">
        <f>'Common Inputs'!G67</f>
        <v>0</v>
      </c>
      <c r="H9" s="234">
        <f>'Common Inputs'!H67</f>
        <v>0</v>
      </c>
      <c r="J9" s="71" t="s">
        <v>281</v>
      </c>
      <c r="K9" s="72"/>
      <c r="L9" s="73"/>
      <c r="M9" s="239">
        <f>HLOOKUP($C$4,LDClookup,8,0)</f>
        <v>13.2</v>
      </c>
      <c r="N9" s="64"/>
      <c r="O9" s="74" t="s">
        <v>325</v>
      </c>
      <c r="P9" s="75"/>
      <c r="Q9" s="76"/>
      <c r="R9" s="243">
        <f>HLOOKUP($C$4,LDClookup,4,0)</f>
        <v>0</v>
      </c>
      <c r="S9" s="64"/>
      <c r="T9" s="68"/>
      <c r="U9" s="139"/>
      <c r="V9" s="69"/>
      <c r="W9" s="69"/>
      <c r="X9" s="69"/>
      <c r="Y9" s="69"/>
      <c r="Z9" s="70"/>
    </row>
    <row r="10" spans="1:26" ht="15" customHeight="1" x14ac:dyDescent="0.35">
      <c r="A10" s="228" t="s">
        <v>259</v>
      </c>
      <c r="B10" s="83"/>
      <c r="C10" s="231">
        <f>'Common Inputs'!C68</f>
        <v>0.25</v>
      </c>
      <c r="D10" s="231">
        <f>'Common Inputs'!D68</f>
        <v>0.25</v>
      </c>
      <c r="E10" s="231">
        <f>'Common Inputs'!E68</f>
        <v>0.25</v>
      </c>
      <c r="F10" s="231">
        <f>'Common Inputs'!F68</f>
        <v>0.25</v>
      </c>
      <c r="G10" s="231">
        <f>'Common Inputs'!G68</f>
        <v>0.25</v>
      </c>
      <c r="H10" s="234">
        <f>'Common Inputs'!H68</f>
        <v>0.25</v>
      </c>
      <c r="J10" s="337" t="s">
        <v>276</v>
      </c>
      <c r="K10" s="338"/>
      <c r="L10" s="339"/>
      <c r="M10" s="238">
        <f>HLOOKUP($C$4,LDClookup,9,0)</f>
        <v>6.5</v>
      </c>
      <c r="N10" s="64"/>
      <c r="O10" s="81" t="s">
        <v>156</v>
      </c>
      <c r="P10" s="82"/>
      <c r="Q10" s="83"/>
      <c r="R10" s="243">
        <f>HLOOKUP($C$4,LDClookup,5,0)</f>
        <v>0.25</v>
      </c>
      <c r="S10" s="64"/>
      <c r="T10" s="77" t="s">
        <v>25</v>
      </c>
      <c r="U10" s="288"/>
      <c r="V10" s="79">
        <f>'South M1 Rates'!C18</f>
        <v>0.22116920135812385</v>
      </c>
      <c r="W10" s="79">
        <f>1/12</f>
        <v>8.3333333333333329E-2</v>
      </c>
      <c r="X10" s="78">
        <f t="shared" ref="X10:X21" si="0">V10*X$22</f>
        <v>0</v>
      </c>
      <c r="Y10" s="78">
        <f t="shared" ref="Y10:Y21" si="1">W10*Y$22</f>
        <v>0</v>
      </c>
      <c r="Z10" s="80">
        <f>X10+Y10</f>
        <v>0</v>
      </c>
    </row>
    <row r="11" spans="1:26" ht="15" customHeight="1" x14ac:dyDescent="0.35">
      <c r="A11" s="224" t="s">
        <v>244</v>
      </c>
      <c r="B11" s="73"/>
      <c r="C11" s="232">
        <f>'Common Inputs'!C69</f>
        <v>6.5</v>
      </c>
      <c r="D11" s="232">
        <f>'Common Inputs'!D69</f>
        <v>6.5</v>
      </c>
      <c r="E11" s="232">
        <f>'Common Inputs'!E69</f>
        <v>6.5</v>
      </c>
      <c r="F11" s="232">
        <f>'Common Inputs'!F69</f>
        <v>6.5</v>
      </c>
      <c r="G11" s="232">
        <f>'Common Inputs'!G69</f>
        <v>6.5</v>
      </c>
      <c r="H11" s="245">
        <f>'Common Inputs'!H69</f>
        <v>6.5</v>
      </c>
      <c r="J11" s="340" t="s">
        <v>277</v>
      </c>
      <c r="K11" s="341"/>
      <c r="L11" s="284"/>
      <c r="M11" s="239">
        <f>HLOOKUP($C$4,LDClookup,10,0)</f>
        <v>9.5</v>
      </c>
      <c r="N11" s="64"/>
      <c r="O11" s="84"/>
      <c r="P11" s="85"/>
      <c r="Q11" s="86"/>
      <c r="R11" s="243"/>
      <c r="S11" s="64"/>
      <c r="T11" s="77" t="s">
        <v>26</v>
      </c>
      <c r="U11" s="288"/>
      <c r="V11" s="79">
        <f>'South M1 Rates'!D18</f>
        <v>0.19022898886704551</v>
      </c>
      <c r="W11" s="79">
        <f t="shared" ref="W11:W21" si="2">1/12</f>
        <v>8.3333333333333329E-2</v>
      </c>
      <c r="X11" s="78">
        <f t="shared" si="0"/>
        <v>0</v>
      </c>
      <c r="Y11" s="78">
        <f t="shared" si="1"/>
        <v>0</v>
      </c>
      <c r="Z11" s="80">
        <f t="shared" ref="Z11:Z22" si="3">X11+Y11</f>
        <v>0</v>
      </c>
    </row>
    <row r="12" spans="1:26" ht="15" customHeight="1" x14ac:dyDescent="0.35">
      <c r="A12" s="224" t="s">
        <v>245</v>
      </c>
      <c r="B12" s="73"/>
      <c r="C12" s="232">
        <f>'Common Inputs'!C70</f>
        <v>9.5</v>
      </c>
      <c r="D12" s="232">
        <f>'Common Inputs'!D70</f>
        <v>9.5</v>
      </c>
      <c r="E12" s="232">
        <f>'Common Inputs'!E70</f>
        <v>9.5</v>
      </c>
      <c r="F12" s="232">
        <f>'Common Inputs'!F70</f>
        <v>9.5</v>
      </c>
      <c r="G12" s="232">
        <f>'Common Inputs'!G70</f>
        <v>9.5</v>
      </c>
      <c r="H12" s="245">
        <f>'Common Inputs'!H70</f>
        <v>9.5</v>
      </c>
      <c r="J12" s="340" t="s">
        <v>278</v>
      </c>
      <c r="K12" s="341"/>
      <c r="L12" s="284"/>
      <c r="M12" s="239">
        <f>HLOOKUP($C$4,LDClookup,11,0)</f>
        <v>13.2</v>
      </c>
      <c r="N12" s="64"/>
      <c r="O12" s="84"/>
      <c r="P12" s="85"/>
      <c r="Q12" s="86"/>
      <c r="R12" s="243"/>
      <c r="S12" s="64"/>
      <c r="T12" s="77" t="s">
        <v>27</v>
      </c>
      <c r="U12" s="288"/>
      <c r="V12" s="79">
        <f>'South M1 Rates'!E18</f>
        <v>0.16001448959555606</v>
      </c>
      <c r="W12" s="79">
        <f t="shared" si="2"/>
        <v>8.3333333333333329E-2</v>
      </c>
      <c r="X12" s="78">
        <f t="shared" si="0"/>
        <v>0</v>
      </c>
      <c r="Y12" s="78">
        <f t="shared" si="1"/>
        <v>0</v>
      </c>
      <c r="Z12" s="80">
        <f t="shared" si="3"/>
        <v>0</v>
      </c>
    </row>
    <row r="13" spans="1:26" ht="15" customHeight="1" x14ac:dyDescent="0.35">
      <c r="A13" s="224" t="s">
        <v>246</v>
      </c>
      <c r="B13" s="73"/>
      <c r="C13" s="232">
        <f>'Common Inputs'!C71</f>
        <v>13.2</v>
      </c>
      <c r="D13" s="232">
        <f>'Common Inputs'!D71</f>
        <v>13.2</v>
      </c>
      <c r="E13" s="232">
        <f>'Common Inputs'!E71</f>
        <v>13.2</v>
      </c>
      <c r="F13" s="232">
        <f>'Common Inputs'!F71</f>
        <v>13.2</v>
      </c>
      <c r="G13" s="232">
        <f>'Common Inputs'!G71</f>
        <v>13.2</v>
      </c>
      <c r="H13" s="245">
        <f>'Common Inputs'!H71</f>
        <v>13.2</v>
      </c>
      <c r="J13" s="74" t="s">
        <v>157</v>
      </c>
      <c r="K13" s="75"/>
      <c r="L13" s="76"/>
      <c r="M13" s="239">
        <f>HLOOKUP($C$4,LDClookup,12,0)</f>
        <v>0.73</v>
      </c>
      <c r="N13" s="64"/>
      <c r="O13" s="84"/>
      <c r="P13" s="85"/>
      <c r="Q13" s="86"/>
      <c r="R13" s="243"/>
      <c r="S13" s="64"/>
      <c r="T13" s="77" t="s">
        <v>28</v>
      </c>
      <c r="U13" s="288"/>
      <c r="V13" s="79">
        <f>'South M1 Rates'!F18</f>
        <v>8.3286206709480878E-2</v>
      </c>
      <c r="W13" s="79">
        <f t="shared" si="2"/>
        <v>8.3333333333333329E-2</v>
      </c>
      <c r="X13" s="78">
        <f t="shared" si="0"/>
        <v>0</v>
      </c>
      <c r="Y13" s="78">
        <f t="shared" si="1"/>
        <v>0</v>
      </c>
      <c r="Z13" s="80">
        <f t="shared" si="3"/>
        <v>0</v>
      </c>
    </row>
    <row r="14" spans="1:26" ht="15" customHeight="1" thickBot="1" x14ac:dyDescent="0.4">
      <c r="A14" s="225" t="s">
        <v>247</v>
      </c>
      <c r="B14" s="284"/>
      <c r="C14" s="232">
        <f>'Common Inputs'!C72</f>
        <v>6.5</v>
      </c>
      <c r="D14" s="232">
        <f>'Common Inputs'!D72</f>
        <v>6.5</v>
      </c>
      <c r="E14" s="232">
        <f>'Common Inputs'!E72</f>
        <v>6.5</v>
      </c>
      <c r="F14" s="232">
        <f>'Common Inputs'!F72</f>
        <v>6.5</v>
      </c>
      <c r="G14" s="232">
        <f>'Common Inputs'!G72</f>
        <v>6.5</v>
      </c>
      <c r="H14" s="245">
        <f>'Common Inputs'!H72</f>
        <v>6.5</v>
      </c>
      <c r="J14" s="87" t="s">
        <v>158</v>
      </c>
      <c r="K14" s="88"/>
      <c r="L14" s="89"/>
      <c r="M14" s="239">
        <f>HLOOKUP($C$4,LDClookup,13,0)</f>
        <v>0</v>
      </c>
      <c r="N14" s="64"/>
      <c r="O14" s="322" t="s">
        <v>287</v>
      </c>
      <c r="P14" s="90"/>
      <c r="Q14" s="91"/>
      <c r="R14" s="244">
        <f>HLOOKUP($C$4,LDClookup,20,0)</f>
        <v>0</v>
      </c>
      <c r="S14" s="64"/>
      <c r="T14" s="77" t="s">
        <v>160</v>
      </c>
      <c r="U14" s="288"/>
      <c r="V14" s="79">
        <f>'South M1 Rates'!G18</f>
        <v>2.8151642344944112E-2</v>
      </c>
      <c r="W14" s="79">
        <f t="shared" si="2"/>
        <v>8.3333333333333329E-2</v>
      </c>
      <c r="X14" s="78">
        <f t="shared" si="0"/>
        <v>0</v>
      </c>
      <c r="Y14" s="78">
        <f t="shared" si="1"/>
        <v>0</v>
      </c>
      <c r="Z14" s="80">
        <f t="shared" si="3"/>
        <v>0</v>
      </c>
    </row>
    <row r="15" spans="1:26" ht="15" customHeight="1" thickBot="1" x14ac:dyDescent="0.4">
      <c r="A15" s="225" t="s">
        <v>248</v>
      </c>
      <c r="B15" s="284"/>
      <c r="C15" s="232">
        <f>'Common Inputs'!C73</f>
        <v>9.5</v>
      </c>
      <c r="D15" s="232">
        <f>'Common Inputs'!D73</f>
        <v>9.5</v>
      </c>
      <c r="E15" s="232">
        <f>'Common Inputs'!E73</f>
        <v>9.5</v>
      </c>
      <c r="F15" s="232">
        <f>'Common Inputs'!F73</f>
        <v>9.5</v>
      </c>
      <c r="G15" s="232">
        <f>'Common Inputs'!G73</f>
        <v>9.5</v>
      </c>
      <c r="H15" s="245">
        <f>'Common Inputs'!H73</f>
        <v>9.5</v>
      </c>
      <c r="J15" s="74" t="s">
        <v>159</v>
      </c>
      <c r="K15" s="75"/>
      <c r="L15" s="76"/>
      <c r="M15" s="239">
        <f>HLOOKUP($C$4,LDClookup,14,0)</f>
        <v>0.57999999999999996</v>
      </c>
      <c r="N15" s="64"/>
      <c r="S15" s="64"/>
      <c r="T15" s="77" t="s">
        <v>162</v>
      </c>
      <c r="U15" s="288"/>
      <c r="V15" s="79">
        <f>'South M1 Rates'!H18</f>
        <v>0</v>
      </c>
      <c r="W15" s="79">
        <f t="shared" si="2"/>
        <v>8.3333333333333329E-2</v>
      </c>
      <c r="X15" s="78">
        <f t="shared" si="0"/>
        <v>0</v>
      </c>
      <c r="Y15" s="78">
        <f t="shared" si="1"/>
        <v>0</v>
      </c>
      <c r="Z15" s="80">
        <f t="shared" si="3"/>
        <v>0</v>
      </c>
    </row>
    <row r="16" spans="1:26" ht="15" customHeight="1" thickBot="1" x14ac:dyDescent="0.4">
      <c r="A16" s="225" t="s">
        <v>249</v>
      </c>
      <c r="B16" s="284"/>
      <c r="C16" s="232">
        <f>'Common Inputs'!C74</f>
        <v>13.2</v>
      </c>
      <c r="D16" s="232">
        <f>'Common Inputs'!D74</f>
        <v>13.2</v>
      </c>
      <c r="E16" s="232">
        <f>'Common Inputs'!E74</f>
        <v>13.2</v>
      </c>
      <c r="F16" s="232">
        <f>'Common Inputs'!F74</f>
        <v>13.2</v>
      </c>
      <c r="G16" s="232">
        <f>'Common Inputs'!G74</f>
        <v>13.2</v>
      </c>
      <c r="H16" s="245">
        <f>'Common Inputs'!H74</f>
        <v>13.2</v>
      </c>
      <c r="J16" s="74" t="s">
        <v>161</v>
      </c>
      <c r="K16" s="75"/>
      <c r="L16" s="76"/>
      <c r="M16" s="239">
        <f>HLOOKUP($C$4,LDClookup,15,0)</f>
        <v>0.67</v>
      </c>
      <c r="N16" s="64"/>
      <c r="O16" s="54" t="s">
        <v>165</v>
      </c>
      <c r="P16" s="55"/>
      <c r="Q16" s="55"/>
      <c r="R16" s="56"/>
      <c r="T16" s="77" t="s">
        <v>31</v>
      </c>
      <c r="U16" s="288"/>
      <c r="V16" s="79">
        <f>'South M1 Rates'!I18</f>
        <v>0</v>
      </c>
      <c r="W16" s="79">
        <f t="shared" si="2"/>
        <v>8.3333333333333329E-2</v>
      </c>
      <c r="X16" s="78">
        <f t="shared" si="0"/>
        <v>0</v>
      </c>
      <c r="Y16" s="78">
        <f t="shared" si="1"/>
        <v>0</v>
      </c>
      <c r="Z16" s="80">
        <f t="shared" si="3"/>
        <v>0</v>
      </c>
    </row>
    <row r="17" spans="1:26" ht="15" customHeight="1" thickBot="1" x14ac:dyDescent="0.4">
      <c r="A17" s="226" t="s">
        <v>250</v>
      </c>
      <c r="B17" s="76"/>
      <c r="C17" s="232">
        <f>'Common Inputs'!C75</f>
        <v>0.91</v>
      </c>
      <c r="D17" s="232">
        <f>'Common Inputs'!D75</f>
        <v>2.2799999999999998</v>
      </c>
      <c r="E17" s="232">
        <f>'Common Inputs'!E75</f>
        <v>3.74</v>
      </c>
      <c r="F17" s="232">
        <f>'Common Inputs'!F75</f>
        <v>6.38</v>
      </c>
      <c r="G17" s="232">
        <f>'Common Inputs'!G75</f>
        <v>0</v>
      </c>
      <c r="H17" s="245">
        <f>'Common Inputs'!H75</f>
        <v>0.73</v>
      </c>
      <c r="J17" s="81" t="s">
        <v>163</v>
      </c>
      <c r="K17" s="82"/>
      <c r="L17" s="83"/>
      <c r="M17" s="239">
        <f>HLOOKUP($C$4,LDClookup,16,0)</f>
        <v>0.21</v>
      </c>
      <c r="N17" s="64"/>
      <c r="O17" s="57" t="s">
        <v>167</v>
      </c>
      <c r="P17" s="55"/>
      <c r="Q17" s="260">
        <f>'Common Inputs'!M11</f>
        <v>3.5999999999999999E-3</v>
      </c>
      <c r="R17" s="56" t="s">
        <v>168</v>
      </c>
      <c r="T17" s="77" t="s">
        <v>32</v>
      </c>
      <c r="U17" s="288"/>
      <c r="V17" s="79">
        <f>'South M1 Rates'!J18</f>
        <v>0</v>
      </c>
      <c r="W17" s="79">
        <f t="shared" si="2"/>
        <v>8.3333333333333329E-2</v>
      </c>
      <c r="X17" s="78">
        <f t="shared" si="0"/>
        <v>0</v>
      </c>
      <c r="Y17" s="78">
        <f t="shared" si="1"/>
        <v>0</v>
      </c>
      <c r="Z17" s="80">
        <f t="shared" si="3"/>
        <v>0</v>
      </c>
    </row>
    <row r="18" spans="1:26" ht="15" customHeight="1" x14ac:dyDescent="0.35">
      <c r="A18" s="227" t="s">
        <v>308</v>
      </c>
      <c r="B18" s="89"/>
      <c r="C18" s="232">
        <f>'Common Inputs'!C76</f>
        <v>0</v>
      </c>
      <c r="D18" s="232">
        <f>'Common Inputs'!D76</f>
        <v>0</v>
      </c>
      <c r="E18" s="232">
        <f>'Common Inputs'!E76</f>
        <v>0</v>
      </c>
      <c r="F18" s="232">
        <f>'Common Inputs'!F76</f>
        <v>0</v>
      </c>
      <c r="G18" s="232">
        <f>'Common Inputs'!G76</f>
        <v>0</v>
      </c>
      <c r="H18" s="245">
        <f>'Common Inputs'!H76</f>
        <v>0</v>
      </c>
      <c r="J18" s="81" t="s">
        <v>164</v>
      </c>
      <c r="K18" s="82"/>
      <c r="L18" s="83"/>
      <c r="M18" s="239">
        <f>HLOOKUP($C$4,LDClookup,17,0)</f>
        <v>0.32</v>
      </c>
      <c r="O18" s="3"/>
      <c r="P18" s="3"/>
      <c r="Q18" s="3"/>
      <c r="R18" s="3"/>
      <c r="T18" s="77" t="s">
        <v>33</v>
      </c>
      <c r="U18" s="288"/>
      <c r="V18" s="79">
        <f>'South M1 Rates'!K18</f>
        <v>2.3104657249265145E-3</v>
      </c>
      <c r="W18" s="79">
        <f t="shared" si="2"/>
        <v>8.3333333333333329E-2</v>
      </c>
      <c r="X18" s="78">
        <f t="shared" si="0"/>
        <v>0</v>
      </c>
      <c r="Y18" s="78">
        <f t="shared" si="1"/>
        <v>0</v>
      </c>
      <c r="Z18" s="80">
        <f t="shared" si="3"/>
        <v>0</v>
      </c>
    </row>
    <row r="19" spans="1:26" ht="15" customHeight="1" thickBot="1" x14ac:dyDescent="0.4">
      <c r="A19" s="226" t="s">
        <v>252</v>
      </c>
      <c r="B19" s="76"/>
      <c r="C19" s="232">
        <f>'Common Inputs'!C77</f>
        <v>0.47</v>
      </c>
      <c r="D19" s="232">
        <f>'Common Inputs'!D77</f>
        <v>0.47</v>
      </c>
      <c r="E19" s="232">
        <f>'Common Inputs'!E77</f>
        <v>0.44</v>
      </c>
      <c r="F19" s="232">
        <f>'Common Inputs'!F77</f>
        <v>0.42</v>
      </c>
      <c r="G19" s="232">
        <f>'Common Inputs'!G77</f>
        <v>0</v>
      </c>
      <c r="H19" s="245">
        <f>'Common Inputs'!H77</f>
        <v>0.57999999999999996</v>
      </c>
      <c r="J19" s="81" t="s">
        <v>166</v>
      </c>
      <c r="K19" s="92"/>
      <c r="L19" s="93"/>
      <c r="M19" s="240">
        <f>HLOOKUP($C$4,LDClookup,18,0)</f>
        <v>0</v>
      </c>
      <c r="T19" s="77" t="s">
        <v>34</v>
      </c>
      <c r="U19" s="288"/>
      <c r="V19" s="79">
        <f>'South M1 Rates'!L18</f>
        <v>3.3867551520899819E-2</v>
      </c>
      <c r="W19" s="79">
        <f t="shared" si="2"/>
        <v>8.3333333333333329E-2</v>
      </c>
      <c r="X19" s="78">
        <f t="shared" si="0"/>
        <v>0</v>
      </c>
      <c r="Y19" s="78">
        <f t="shared" si="1"/>
        <v>0</v>
      </c>
      <c r="Z19" s="80">
        <f t="shared" si="3"/>
        <v>0</v>
      </c>
    </row>
    <row r="20" spans="1:26" ht="15" customHeight="1" thickBot="1" x14ac:dyDescent="0.4">
      <c r="A20" s="226" t="s">
        <v>253</v>
      </c>
      <c r="B20" s="76"/>
      <c r="C20" s="232">
        <f>'Common Inputs'!C78</f>
        <v>0.97</v>
      </c>
      <c r="D20" s="232">
        <f>'Common Inputs'!D78</f>
        <v>0.64</v>
      </c>
      <c r="E20" s="232">
        <f>'Common Inputs'!E78</f>
        <v>0.62</v>
      </c>
      <c r="F20" s="232">
        <f>'Common Inputs'!F78</f>
        <v>0.51</v>
      </c>
      <c r="G20" s="232">
        <f>'Common Inputs'!G78</f>
        <v>0</v>
      </c>
      <c r="H20" s="245">
        <f>'Common Inputs'!H78</f>
        <v>0.67</v>
      </c>
      <c r="J20" s="74" t="s">
        <v>169</v>
      </c>
      <c r="K20" s="75"/>
      <c r="L20" s="76"/>
      <c r="M20" s="239">
        <f>HLOOKUP($C$4,LDClookup,19,0)</f>
        <v>-0.3553</v>
      </c>
      <c r="N20" s="97"/>
      <c r="O20" s="54" t="s">
        <v>171</v>
      </c>
      <c r="P20" s="98"/>
      <c r="Q20" s="241">
        <f>HLOOKUP($C$4,LDClookup,22,0)</f>
        <v>0.05</v>
      </c>
      <c r="T20" s="77" t="s">
        <v>35</v>
      </c>
      <c r="U20" s="288"/>
      <c r="V20" s="79">
        <f>'South M1 Rates'!M18</f>
        <v>0.10427270780329688</v>
      </c>
      <c r="W20" s="79">
        <f t="shared" si="2"/>
        <v>8.3333333333333329E-2</v>
      </c>
      <c r="X20" s="78">
        <f t="shared" si="0"/>
        <v>0</v>
      </c>
      <c r="Y20" s="78">
        <f t="shared" si="1"/>
        <v>0</v>
      </c>
      <c r="Z20" s="80">
        <f t="shared" si="3"/>
        <v>0</v>
      </c>
    </row>
    <row r="21" spans="1:26" ht="15" customHeight="1" thickBot="1" x14ac:dyDescent="0.4">
      <c r="A21" s="228" t="s">
        <v>254</v>
      </c>
      <c r="B21" s="83"/>
      <c r="C21" s="232">
        <f>'Common Inputs'!C79</f>
        <v>0.03</v>
      </c>
      <c r="D21" s="232">
        <f>'Common Inputs'!D79</f>
        <v>0.03</v>
      </c>
      <c r="E21" s="232">
        <f>'Common Inputs'!E79</f>
        <v>0.03</v>
      </c>
      <c r="F21" s="232">
        <f>'Common Inputs'!F79</f>
        <v>0.03</v>
      </c>
      <c r="G21" s="232">
        <f>'Common Inputs'!G79</f>
        <v>0.03</v>
      </c>
      <c r="H21" s="245">
        <f>'Common Inputs'!H79</f>
        <v>0.21</v>
      </c>
      <c r="J21" s="192" t="s">
        <v>170</v>
      </c>
      <c r="K21" s="95"/>
      <c r="L21" s="95"/>
      <c r="M21" s="321">
        <f>HLOOKUP($C$4,LDClookup,21,0)</f>
        <v>1.0366</v>
      </c>
      <c r="T21" s="77" t="s">
        <v>36</v>
      </c>
      <c r="U21" s="288"/>
      <c r="V21" s="79">
        <f>'South M1 Rates'!N18</f>
        <v>0.17669874607572628</v>
      </c>
      <c r="W21" s="79">
        <f t="shared" si="2"/>
        <v>8.3333333333333329E-2</v>
      </c>
      <c r="X21" s="78">
        <f t="shared" si="0"/>
        <v>0</v>
      </c>
      <c r="Y21" s="78">
        <f t="shared" si="1"/>
        <v>0</v>
      </c>
      <c r="Z21" s="99">
        <f t="shared" si="3"/>
        <v>0</v>
      </c>
    </row>
    <row r="22" spans="1:26" ht="15" customHeight="1" thickBot="1" x14ac:dyDescent="0.4">
      <c r="A22" s="228" t="s">
        <v>255</v>
      </c>
      <c r="B22" s="83"/>
      <c r="C22" s="232">
        <f>'Common Inputs'!C80</f>
        <v>0.36</v>
      </c>
      <c r="D22" s="232">
        <f>'Common Inputs'!D80</f>
        <v>0.36</v>
      </c>
      <c r="E22" s="232">
        <f>'Common Inputs'!E80</f>
        <v>0.36</v>
      </c>
      <c r="F22" s="232">
        <f>'Common Inputs'!F80</f>
        <v>0.36</v>
      </c>
      <c r="G22" s="232">
        <f>'Common Inputs'!G80</f>
        <v>0.36</v>
      </c>
      <c r="H22" s="245">
        <f>'Common Inputs'!H80</f>
        <v>0.32</v>
      </c>
      <c r="T22" s="100" t="s">
        <v>40</v>
      </c>
      <c r="U22" s="289"/>
      <c r="V22" s="251">
        <f>SUM(V10:V21)</f>
        <v>1</v>
      </c>
      <c r="W22" s="252">
        <v>1</v>
      </c>
      <c r="X22" s="254">
        <f>'Common Inputs'!U53</f>
        <v>0</v>
      </c>
      <c r="Y22" s="254">
        <f>SUM('Common Inputs'!U54:U60)</f>
        <v>0</v>
      </c>
      <c r="Z22" s="253">
        <f t="shared" si="3"/>
        <v>0</v>
      </c>
    </row>
    <row r="23" spans="1:26" ht="15" customHeight="1" thickBot="1" x14ac:dyDescent="0.4">
      <c r="A23" s="228" t="s">
        <v>256</v>
      </c>
      <c r="B23" s="83"/>
      <c r="C23" s="232">
        <f>'Common Inputs'!C81</f>
        <v>0</v>
      </c>
      <c r="D23" s="232">
        <f>'Common Inputs'!D81</f>
        <v>0</v>
      </c>
      <c r="E23" s="232">
        <f>'Common Inputs'!E81</f>
        <v>0</v>
      </c>
      <c r="F23" s="232">
        <f>'Common Inputs'!F81</f>
        <v>0</v>
      </c>
      <c r="G23" s="232">
        <f>'Common Inputs'!G81</f>
        <v>0</v>
      </c>
      <c r="H23" s="245">
        <f>'Common Inputs'!H81</f>
        <v>0</v>
      </c>
    </row>
    <row r="24" spans="1:26" ht="15" customHeight="1" x14ac:dyDescent="0.35">
      <c r="A24" s="226" t="s">
        <v>257</v>
      </c>
      <c r="B24" s="76"/>
      <c r="C24" s="232">
        <f>'Common Inputs'!C82</f>
        <v>0</v>
      </c>
      <c r="D24" s="232">
        <f>'Common Inputs'!D82</f>
        <v>0</v>
      </c>
      <c r="E24" s="232">
        <f>'Common Inputs'!E82</f>
        <v>0</v>
      </c>
      <c r="F24" s="232">
        <f>'Common Inputs'!F82</f>
        <v>0</v>
      </c>
      <c r="G24" s="232">
        <f>'Common Inputs'!G82</f>
        <v>0</v>
      </c>
      <c r="H24" s="245">
        <f>'Common Inputs'!H82</f>
        <v>-0.3553</v>
      </c>
      <c r="J24" s="472" t="s">
        <v>177</v>
      </c>
      <c r="K24" s="472"/>
      <c r="L24" s="472"/>
      <c r="M24" s="472"/>
      <c r="N24" s="472"/>
      <c r="O24" s="472"/>
      <c r="P24" s="472"/>
      <c r="Q24" s="472"/>
      <c r="R24" s="472"/>
      <c r="S24" s="106"/>
      <c r="T24" s="101" t="s">
        <v>172</v>
      </c>
      <c r="U24" s="102"/>
      <c r="V24" s="103" t="s">
        <v>173</v>
      </c>
      <c r="W24" s="103" t="s">
        <v>174</v>
      </c>
      <c r="X24" s="104" t="s">
        <v>175</v>
      </c>
    </row>
    <row r="25" spans="1:26" ht="15" customHeight="1" x14ac:dyDescent="0.35">
      <c r="A25" s="319" t="s">
        <v>307</v>
      </c>
      <c r="B25" s="248"/>
      <c r="C25" s="231">
        <f>'Common Inputs'!C83</f>
        <v>0</v>
      </c>
      <c r="D25" s="231">
        <f>'Common Inputs'!D83</f>
        <v>36.43</v>
      </c>
      <c r="E25" s="231">
        <f>'Common Inputs'!E83</f>
        <v>36.43</v>
      </c>
      <c r="F25" s="231">
        <f>'Common Inputs'!F83</f>
        <v>0</v>
      </c>
      <c r="G25" s="231">
        <f>'Common Inputs'!G83</f>
        <v>0</v>
      </c>
      <c r="H25" s="234">
        <f>'Common Inputs'!H83</f>
        <v>0</v>
      </c>
      <c r="J25" s="472"/>
      <c r="K25" s="472"/>
      <c r="L25" s="472"/>
      <c r="M25" s="472"/>
      <c r="N25" s="472"/>
      <c r="O25" s="472"/>
      <c r="P25" s="472"/>
      <c r="Q25" s="472"/>
      <c r="R25" s="472"/>
      <c r="S25" s="106"/>
      <c r="T25" s="109"/>
      <c r="U25" s="110" t="s">
        <v>176</v>
      </c>
      <c r="V25" s="111">
        <v>12</v>
      </c>
      <c r="W25" s="111">
        <v>6</v>
      </c>
      <c r="X25" s="112">
        <v>6</v>
      </c>
    </row>
    <row r="26" spans="1:26" ht="15" customHeight="1" x14ac:dyDescent="0.35">
      <c r="A26" s="199" t="s">
        <v>309</v>
      </c>
      <c r="B26" s="285"/>
      <c r="C26" s="60">
        <f>'Common Inputs'!C84</f>
        <v>1.0569999999999999</v>
      </c>
      <c r="D26" s="60">
        <f>'Common Inputs'!D84</f>
        <v>1.0760000000000001</v>
      </c>
      <c r="E26" s="60">
        <f>'Common Inputs'!E84</f>
        <v>1.105</v>
      </c>
      <c r="F26" s="60">
        <f>'Common Inputs'!F84</f>
        <v>1.1040000000000001</v>
      </c>
      <c r="G26" s="60">
        <f>'Common Inputs'!G84</f>
        <v>1.105</v>
      </c>
      <c r="H26" s="245">
        <f>'Common Inputs'!H84</f>
        <v>1.0366</v>
      </c>
      <c r="J26" s="472"/>
      <c r="K26" s="472"/>
      <c r="L26" s="472"/>
      <c r="M26" s="472"/>
      <c r="N26" s="472"/>
      <c r="O26" s="472"/>
      <c r="P26" s="472"/>
      <c r="Q26" s="472"/>
      <c r="R26" s="472"/>
      <c r="S26" s="106"/>
      <c r="T26" s="109"/>
      <c r="U26" s="113"/>
      <c r="V26" s="114" t="s">
        <v>178</v>
      </c>
      <c r="W26" s="114"/>
      <c r="X26" s="115"/>
    </row>
    <row r="27" spans="1:26" ht="15" customHeight="1" thickBot="1" x14ac:dyDescent="0.4">
      <c r="A27" s="235" t="s">
        <v>243</v>
      </c>
      <c r="B27" s="286"/>
      <c r="C27" s="236">
        <f>'Common Inputs'!C85</f>
        <v>0.05</v>
      </c>
      <c r="D27" s="236">
        <f>'Common Inputs'!D85</f>
        <v>0.05</v>
      </c>
      <c r="E27" s="236">
        <f>'Common Inputs'!E85</f>
        <v>0.05</v>
      </c>
      <c r="F27" s="236">
        <f>'Common Inputs'!F85</f>
        <v>0.05</v>
      </c>
      <c r="G27" s="236">
        <f>'Common Inputs'!G85</f>
        <v>0</v>
      </c>
      <c r="H27" s="237">
        <f>'Common Inputs'!H85</f>
        <v>0.05</v>
      </c>
      <c r="J27" s="119" t="s">
        <v>180</v>
      </c>
      <c r="K27" s="201"/>
      <c r="L27" s="201"/>
      <c r="M27" s="201"/>
      <c r="N27" s="201"/>
      <c r="O27" s="201"/>
      <c r="P27" s="201"/>
      <c r="Q27" s="201"/>
      <c r="R27" s="201"/>
      <c r="S27" s="201"/>
      <c r="T27" s="116">
        <f>SUM(V27:X27)</f>
        <v>120</v>
      </c>
      <c r="U27" s="117" t="s">
        <v>179</v>
      </c>
      <c r="V27" s="117">
        <f>V25*5</f>
        <v>60</v>
      </c>
      <c r="W27" s="117">
        <f>W25*5</f>
        <v>30</v>
      </c>
      <c r="X27" s="118">
        <f>X25*5</f>
        <v>30</v>
      </c>
    </row>
    <row r="28" spans="1:26" ht="15" customHeight="1" x14ac:dyDescent="0.55000000000000004">
      <c r="A28" s="51"/>
      <c r="B28" s="51"/>
      <c r="H28" s="52"/>
      <c r="T28" s="116">
        <f>SUM(V28:X28)</f>
        <v>48</v>
      </c>
      <c r="U28" s="117" t="s">
        <v>181</v>
      </c>
      <c r="V28" s="117">
        <f>24*2</f>
        <v>48</v>
      </c>
      <c r="W28" s="117"/>
      <c r="X28" s="118"/>
    </row>
    <row r="29" spans="1:26" ht="15.75" customHeight="1" x14ac:dyDescent="0.35">
      <c r="J29" s="471" t="s">
        <v>310</v>
      </c>
      <c r="K29" s="471"/>
      <c r="L29" s="471"/>
      <c r="M29" s="471"/>
      <c r="N29" s="471"/>
      <c r="O29" s="471"/>
      <c r="P29" s="471"/>
      <c r="Q29" s="471"/>
      <c r="R29" s="471"/>
      <c r="T29" s="116" t="s">
        <v>40</v>
      </c>
      <c r="U29" s="113"/>
      <c r="V29" s="117">
        <f>SUM(V27:V28)</f>
        <v>108</v>
      </c>
      <c r="W29" s="117">
        <f>SUM(W27:W28)</f>
        <v>30</v>
      </c>
      <c r="X29" s="118">
        <f>SUM(X27:X28)</f>
        <v>30</v>
      </c>
    </row>
    <row r="30" spans="1:26" x14ac:dyDescent="0.35">
      <c r="J30" s="471"/>
      <c r="K30" s="471"/>
      <c r="L30" s="471"/>
      <c r="M30" s="471"/>
      <c r="N30" s="471"/>
      <c r="O30" s="471"/>
      <c r="P30" s="471"/>
      <c r="Q30" s="471"/>
      <c r="R30" s="471"/>
      <c r="T30" s="255" t="s">
        <v>265</v>
      </c>
      <c r="U30" s="139"/>
      <c r="V30" s="121">
        <f>V29/(T27+T28)</f>
        <v>0.6428571428571429</v>
      </c>
      <c r="W30" s="121">
        <f>W29/(T27+T28)</f>
        <v>0.17857142857142858</v>
      </c>
      <c r="X30" s="256">
        <f>X29/(T27+T28)</f>
        <v>0.17857142857142858</v>
      </c>
    </row>
    <row r="31" spans="1:26" ht="15" thickBot="1" x14ac:dyDescent="0.4">
      <c r="T31" s="192"/>
      <c r="U31" s="120"/>
      <c r="V31" s="120"/>
      <c r="W31" s="120"/>
      <c r="X31" s="257"/>
    </row>
    <row r="32" spans="1:26" x14ac:dyDescent="0.35">
      <c r="Q32" s="64"/>
    </row>
    <row r="33" spans="1:21" ht="15" thickBot="1" x14ac:dyDescent="0.4">
      <c r="H33" s="107"/>
      <c r="I33" s="107"/>
      <c r="J33" s="107"/>
      <c r="K33" s="107"/>
      <c r="L33" s="107"/>
      <c r="M33" s="107"/>
      <c r="N33" s="107"/>
      <c r="O33" s="107"/>
      <c r="P33" s="107"/>
      <c r="Q33" s="107"/>
      <c r="R33" s="107"/>
    </row>
    <row r="34" spans="1:21" ht="15" customHeight="1" x14ac:dyDescent="0.35">
      <c r="A34" s="474" t="s">
        <v>58</v>
      </c>
      <c r="B34" s="487" t="s">
        <v>183</v>
      </c>
      <c r="C34" s="492" t="s">
        <v>184</v>
      </c>
      <c r="D34" s="493"/>
      <c r="E34" s="493"/>
      <c r="F34" s="493"/>
      <c r="G34" s="493"/>
      <c r="H34" s="493"/>
      <c r="I34" s="493"/>
      <c r="J34" s="493"/>
      <c r="K34" s="493"/>
      <c r="L34" s="494"/>
      <c r="M34" s="448" t="s">
        <v>185</v>
      </c>
      <c r="N34" s="449"/>
      <c r="O34" s="449"/>
      <c r="P34" s="448" t="s">
        <v>186</v>
      </c>
      <c r="Q34" s="449"/>
      <c r="R34" s="449"/>
      <c r="S34" s="470"/>
      <c r="T34" s="450" t="s">
        <v>187</v>
      </c>
      <c r="U34" s="467" t="s">
        <v>188</v>
      </c>
    </row>
    <row r="35" spans="1:21" ht="15" customHeight="1" x14ac:dyDescent="0.35">
      <c r="A35" s="475"/>
      <c r="B35" s="488"/>
      <c r="C35" s="484" t="s">
        <v>189</v>
      </c>
      <c r="D35" s="485"/>
      <c r="E35" s="486"/>
      <c r="F35" s="477" t="s">
        <v>282</v>
      </c>
      <c r="G35" s="477" t="s">
        <v>190</v>
      </c>
      <c r="H35" s="478" t="s">
        <v>191</v>
      </c>
      <c r="I35" s="477" t="s">
        <v>192</v>
      </c>
      <c r="J35" s="480" t="s">
        <v>193</v>
      </c>
      <c r="K35" s="490" t="s">
        <v>286</v>
      </c>
      <c r="L35" s="482" t="s">
        <v>194</v>
      </c>
      <c r="M35" s="453" t="s">
        <v>195</v>
      </c>
      <c r="N35" s="455" t="s">
        <v>196</v>
      </c>
      <c r="O35" s="457" t="s">
        <v>197</v>
      </c>
      <c r="P35" s="459" t="s">
        <v>198</v>
      </c>
      <c r="Q35" s="461" t="s">
        <v>199</v>
      </c>
      <c r="R35" s="465" t="s">
        <v>326</v>
      </c>
      <c r="S35" s="463" t="s">
        <v>200</v>
      </c>
      <c r="T35" s="451"/>
      <c r="U35" s="468"/>
    </row>
    <row r="36" spans="1:21" s="123" customFormat="1" ht="21.75" customHeight="1" thickBot="1" x14ac:dyDescent="0.4">
      <c r="A36" s="476"/>
      <c r="B36" s="489"/>
      <c r="C36" s="122" t="s">
        <v>201</v>
      </c>
      <c r="D36" s="327" t="s">
        <v>174</v>
      </c>
      <c r="E36" s="327" t="s">
        <v>175</v>
      </c>
      <c r="F36" s="462"/>
      <c r="G36" s="462"/>
      <c r="H36" s="479"/>
      <c r="I36" s="462"/>
      <c r="J36" s="481"/>
      <c r="K36" s="491"/>
      <c r="L36" s="483"/>
      <c r="M36" s="454"/>
      <c r="N36" s="456"/>
      <c r="O36" s="458"/>
      <c r="P36" s="460"/>
      <c r="Q36" s="462"/>
      <c r="R36" s="466"/>
      <c r="S36" s="464"/>
      <c r="T36" s="452"/>
      <c r="U36" s="469"/>
    </row>
    <row r="37" spans="1:21" x14ac:dyDescent="0.35">
      <c r="A37" s="124" t="s">
        <v>25</v>
      </c>
      <c r="B37" s="125">
        <f t="shared" ref="B37:B48" si="4">Z10</f>
        <v>0</v>
      </c>
      <c r="C37" s="323">
        <f>ROUND((B37*$V$30*$M$7/100),2)</f>
        <v>0</v>
      </c>
      <c r="D37" s="324">
        <f>ROUND((B37*$W$30*$M$8/100),2)</f>
        <v>0</v>
      </c>
      <c r="E37" s="324">
        <f>ROUND((B37*$X$30*$M$9/100),2)</f>
        <v>0</v>
      </c>
      <c r="F37" s="324">
        <f>(C37+D37+E37)*(M$21-1)</f>
        <v>0</v>
      </c>
      <c r="G37" s="324">
        <f t="shared" ref="G37:G48" si="5">B37*$M$13/100</f>
        <v>0</v>
      </c>
      <c r="H37" s="324">
        <f t="shared" ref="H37:H48" si="6">B37*$M$14/100</f>
        <v>0</v>
      </c>
      <c r="I37" s="324">
        <f t="shared" ref="I37:I48" si="7">B37*$M$15/100*M$21</f>
        <v>0</v>
      </c>
      <c r="J37" s="325">
        <f t="shared" ref="J37:J48" si="8">B37*$M$16/100*M$21</f>
        <v>0</v>
      </c>
      <c r="K37" s="324">
        <f>IF($R$14=0,0,IF(G37+P37&gt;$R$14,$R$14-(G37+P37),0))</f>
        <v>0</v>
      </c>
      <c r="L37" s="326">
        <f t="shared" ref="L37:L48" si="9">B37*$M$20/100*M$21</f>
        <v>0</v>
      </c>
      <c r="M37" s="126">
        <f t="shared" ref="M37:M48" si="10">B37*$M$17/100*$M$21</f>
        <v>0</v>
      </c>
      <c r="N37" s="127">
        <f t="shared" ref="N37:N48" si="11">B37*$M$18/100*M$21</f>
        <v>0</v>
      </c>
      <c r="O37" s="128">
        <f t="shared" ref="O37:O48" si="12">B37*$M$19/100*M$21</f>
        <v>0</v>
      </c>
      <c r="P37" s="323">
        <f t="shared" ref="P37:P48" si="13">$R$7</f>
        <v>22.17</v>
      </c>
      <c r="Q37" s="324">
        <f t="shared" ref="Q37:Q48" si="14">$R$8</f>
        <v>0.79</v>
      </c>
      <c r="R37" s="324">
        <f>$R$9</f>
        <v>0</v>
      </c>
      <c r="S37" s="326">
        <f t="shared" ref="S37:S48" si="15">$R$10</f>
        <v>0.25</v>
      </c>
      <c r="T37" s="129">
        <f t="shared" ref="T37:T48" si="16">SUM(C37:S37)*(1+$Q$20)</f>
        <v>24.370500000000003</v>
      </c>
      <c r="U37" s="128">
        <f t="shared" ref="U37:U48" si="17">SUM(C37:O37)*(1+$Q$20)</f>
        <v>0</v>
      </c>
    </row>
    <row r="38" spans="1:21" x14ac:dyDescent="0.35">
      <c r="A38" s="130" t="s">
        <v>26</v>
      </c>
      <c r="B38" s="131">
        <f t="shared" si="4"/>
        <v>0</v>
      </c>
      <c r="C38" s="126">
        <f>ROUND((B38*$V$30*$M$7/100),2)</f>
        <v>0</v>
      </c>
      <c r="D38" s="127">
        <f>ROUND((B38*$W$30*$M$8/100),2)</f>
        <v>0</v>
      </c>
      <c r="E38" s="127">
        <f>ROUND((B38*$X$30*$M$9/100),2)</f>
        <v>0</v>
      </c>
      <c r="F38" s="127">
        <f t="shared" ref="F38:F48" si="18">(C38+D38+E38)*(M$21-1)</f>
        <v>0</v>
      </c>
      <c r="G38" s="127">
        <f t="shared" si="5"/>
        <v>0</v>
      </c>
      <c r="H38" s="127">
        <f t="shared" si="6"/>
        <v>0</v>
      </c>
      <c r="I38" s="127">
        <f t="shared" si="7"/>
        <v>0</v>
      </c>
      <c r="J38" s="317">
        <f t="shared" si="8"/>
        <v>0</v>
      </c>
      <c r="K38" s="127">
        <f t="shared" ref="K38:K48" si="19">IF($R$14=0,0,IF(G38+P38&gt;$R$14,$R$14-(G38+P38),0))</f>
        <v>0</v>
      </c>
      <c r="L38" s="128">
        <f t="shared" si="9"/>
        <v>0</v>
      </c>
      <c r="M38" s="126">
        <f t="shared" si="10"/>
        <v>0</v>
      </c>
      <c r="N38" s="127">
        <f t="shared" si="11"/>
        <v>0</v>
      </c>
      <c r="O38" s="128">
        <f t="shared" si="12"/>
        <v>0</v>
      </c>
      <c r="P38" s="126">
        <f t="shared" si="13"/>
        <v>22.17</v>
      </c>
      <c r="Q38" s="127">
        <f t="shared" si="14"/>
        <v>0.79</v>
      </c>
      <c r="R38" s="231">
        <f t="shared" ref="R38:R48" si="20">$R$9</f>
        <v>0</v>
      </c>
      <c r="S38" s="128">
        <f t="shared" si="15"/>
        <v>0.25</v>
      </c>
      <c r="T38" s="129">
        <f t="shared" si="16"/>
        <v>24.370500000000003</v>
      </c>
      <c r="U38" s="128">
        <f t="shared" si="17"/>
        <v>0</v>
      </c>
    </row>
    <row r="39" spans="1:21" x14ac:dyDescent="0.35">
      <c r="A39" s="130" t="s">
        <v>27</v>
      </c>
      <c r="B39" s="131">
        <f t="shared" si="4"/>
        <v>0</v>
      </c>
      <c r="C39" s="126">
        <f>ROUND((B39*$V$30*$M$7/100),2)</f>
        <v>0</v>
      </c>
      <c r="D39" s="127">
        <f>ROUND((B39*$W$30*$M$8/100),2)</f>
        <v>0</v>
      </c>
      <c r="E39" s="127">
        <f>ROUND((B39*$X$30*$M$9/100),2)</f>
        <v>0</v>
      </c>
      <c r="F39" s="127">
        <f t="shared" si="18"/>
        <v>0</v>
      </c>
      <c r="G39" s="127">
        <f t="shared" si="5"/>
        <v>0</v>
      </c>
      <c r="H39" s="127">
        <f t="shared" si="6"/>
        <v>0</v>
      </c>
      <c r="I39" s="127">
        <f t="shared" si="7"/>
        <v>0</v>
      </c>
      <c r="J39" s="317">
        <f t="shared" si="8"/>
        <v>0</v>
      </c>
      <c r="K39" s="127">
        <f t="shared" si="19"/>
        <v>0</v>
      </c>
      <c r="L39" s="128">
        <f t="shared" si="9"/>
        <v>0</v>
      </c>
      <c r="M39" s="126">
        <f t="shared" si="10"/>
        <v>0</v>
      </c>
      <c r="N39" s="127">
        <f t="shared" si="11"/>
        <v>0</v>
      </c>
      <c r="O39" s="128">
        <f t="shared" si="12"/>
        <v>0</v>
      </c>
      <c r="P39" s="126">
        <f t="shared" si="13"/>
        <v>22.17</v>
      </c>
      <c r="Q39" s="127">
        <f t="shared" si="14"/>
        <v>0.79</v>
      </c>
      <c r="R39" s="231">
        <f t="shared" si="20"/>
        <v>0</v>
      </c>
      <c r="S39" s="128">
        <f t="shared" si="15"/>
        <v>0.25</v>
      </c>
      <c r="T39" s="129">
        <f t="shared" si="16"/>
        <v>24.370500000000003</v>
      </c>
      <c r="U39" s="128">
        <f t="shared" si="17"/>
        <v>0</v>
      </c>
    </row>
    <row r="40" spans="1:21" x14ac:dyDescent="0.35">
      <c r="A40" s="130" t="s">
        <v>28</v>
      </c>
      <c r="B40" s="131">
        <f t="shared" si="4"/>
        <v>0</v>
      </c>
      <c r="C40" s="126">
        <f>ROUND((B40*$V$30*$M$7/100),2)</f>
        <v>0</v>
      </c>
      <c r="D40" s="127">
        <f>ROUND((B40*$W$30*$M$8/100),2)</f>
        <v>0</v>
      </c>
      <c r="E40" s="127">
        <f>ROUND((B40*$X$30*$M$9/100),2)</f>
        <v>0</v>
      </c>
      <c r="F40" s="127">
        <f t="shared" si="18"/>
        <v>0</v>
      </c>
      <c r="G40" s="127">
        <f t="shared" si="5"/>
        <v>0</v>
      </c>
      <c r="H40" s="127">
        <f t="shared" si="6"/>
        <v>0</v>
      </c>
      <c r="I40" s="127">
        <f t="shared" si="7"/>
        <v>0</v>
      </c>
      <c r="J40" s="317">
        <f t="shared" si="8"/>
        <v>0</v>
      </c>
      <c r="K40" s="127">
        <f t="shared" si="19"/>
        <v>0</v>
      </c>
      <c r="L40" s="128">
        <f t="shared" si="9"/>
        <v>0</v>
      </c>
      <c r="M40" s="126">
        <f t="shared" si="10"/>
        <v>0</v>
      </c>
      <c r="N40" s="127">
        <f t="shared" si="11"/>
        <v>0</v>
      </c>
      <c r="O40" s="128">
        <f t="shared" si="12"/>
        <v>0</v>
      </c>
      <c r="P40" s="126">
        <f t="shared" si="13"/>
        <v>22.17</v>
      </c>
      <c r="Q40" s="127">
        <f t="shared" si="14"/>
        <v>0.79</v>
      </c>
      <c r="R40" s="231">
        <f t="shared" si="20"/>
        <v>0</v>
      </c>
      <c r="S40" s="128">
        <f t="shared" si="15"/>
        <v>0.25</v>
      </c>
      <c r="T40" s="129">
        <f t="shared" si="16"/>
        <v>24.370500000000003</v>
      </c>
      <c r="U40" s="128">
        <f t="shared" si="17"/>
        <v>0</v>
      </c>
    </row>
    <row r="41" spans="1:21" x14ac:dyDescent="0.35">
      <c r="A41" s="130" t="s">
        <v>160</v>
      </c>
      <c r="B41" s="131">
        <f t="shared" si="4"/>
        <v>0</v>
      </c>
      <c r="C41" s="126">
        <f t="shared" ref="C41:C46" si="21">ROUND((B41*$V$30*$M$10/100),2)</f>
        <v>0</v>
      </c>
      <c r="D41" s="127">
        <f t="shared" ref="D41:D46" si="22">ROUND((B41*$W$30*$M$11/100),2)</f>
        <v>0</v>
      </c>
      <c r="E41" s="127">
        <f t="shared" ref="E41:E46" si="23">ROUND((B41*$X$30*$M$12/100),2)</f>
        <v>0</v>
      </c>
      <c r="F41" s="127">
        <f t="shared" si="18"/>
        <v>0</v>
      </c>
      <c r="G41" s="127">
        <f t="shared" si="5"/>
        <v>0</v>
      </c>
      <c r="H41" s="127">
        <f t="shared" si="6"/>
        <v>0</v>
      </c>
      <c r="I41" s="127">
        <f t="shared" si="7"/>
        <v>0</v>
      </c>
      <c r="J41" s="317">
        <f t="shared" si="8"/>
        <v>0</v>
      </c>
      <c r="K41" s="127">
        <f t="shared" si="19"/>
        <v>0</v>
      </c>
      <c r="L41" s="128">
        <f t="shared" si="9"/>
        <v>0</v>
      </c>
      <c r="M41" s="126">
        <f t="shared" si="10"/>
        <v>0</v>
      </c>
      <c r="N41" s="127">
        <f t="shared" si="11"/>
        <v>0</v>
      </c>
      <c r="O41" s="128">
        <f t="shared" si="12"/>
        <v>0</v>
      </c>
      <c r="P41" s="126">
        <f t="shared" si="13"/>
        <v>22.17</v>
      </c>
      <c r="Q41" s="127">
        <f t="shared" si="14"/>
        <v>0.79</v>
      </c>
      <c r="R41" s="231">
        <f t="shared" si="20"/>
        <v>0</v>
      </c>
      <c r="S41" s="128">
        <f t="shared" si="15"/>
        <v>0.25</v>
      </c>
      <c r="T41" s="129">
        <f t="shared" si="16"/>
        <v>24.370500000000003</v>
      </c>
      <c r="U41" s="128">
        <f t="shared" si="17"/>
        <v>0</v>
      </c>
    </row>
    <row r="42" spans="1:21" x14ac:dyDescent="0.35">
      <c r="A42" s="130" t="s">
        <v>162</v>
      </c>
      <c r="B42" s="131">
        <f t="shared" si="4"/>
        <v>0</v>
      </c>
      <c r="C42" s="126">
        <f t="shared" si="21"/>
        <v>0</v>
      </c>
      <c r="D42" s="127">
        <f t="shared" si="22"/>
        <v>0</v>
      </c>
      <c r="E42" s="127">
        <f t="shared" si="23"/>
        <v>0</v>
      </c>
      <c r="F42" s="127">
        <f t="shared" si="18"/>
        <v>0</v>
      </c>
      <c r="G42" s="127">
        <f t="shared" si="5"/>
        <v>0</v>
      </c>
      <c r="H42" s="127">
        <f t="shared" si="6"/>
        <v>0</v>
      </c>
      <c r="I42" s="127">
        <f t="shared" si="7"/>
        <v>0</v>
      </c>
      <c r="J42" s="317">
        <f t="shared" si="8"/>
        <v>0</v>
      </c>
      <c r="K42" s="127">
        <f t="shared" si="19"/>
        <v>0</v>
      </c>
      <c r="L42" s="128">
        <f t="shared" si="9"/>
        <v>0</v>
      </c>
      <c r="M42" s="126">
        <f t="shared" si="10"/>
        <v>0</v>
      </c>
      <c r="N42" s="127">
        <f t="shared" si="11"/>
        <v>0</v>
      </c>
      <c r="O42" s="128">
        <f t="shared" si="12"/>
        <v>0</v>
      </c>
      <c r="P42" s="126">
        <f t="shared" si="13"/>
        <v>22.17</v>
      </c>
      <c r="Q42" s="127">
        <f t="shared" si="14"/>
        <v>0.79</v>
      </c>
      <c r="R42" s="231">
        <f t="shared" si="20"/>
        <v>0</v>
      </c>
      <c r="S42" s="128">
        <f t="shared" si="15"/>
        <v>0.25</v>
      </c>
      <c r="T42" s="129">
        <f t="shared" si="16"/>
        <v>24.370500000000003</v>
      </c>
      <c r="U42" s="128">
        <f t="shared" si="17"/>
        <v>0</v>
      </c>
    </row>
    <row r="43" spans="1:21" x14ac:dyDescent="0.35">
      <c r="A43" s="130" t="s">
        <v>31</v>
      </c>
      <c r="B43" s="131">
        <f t="shared" si="4"/>
        <v>0</v>
      </c>
      <c r="C43" s="126">
        <f t="shared" si="21"/>
        <v>0</v>
      </c>
      <c r="D43" s="127">
        <f t="shared" si="22"/>
        <v>0</v>
      </c>
      <c r="E43" s="127">
        <f t="shared" si="23"/>
        <v>0</v>
      </c>
      <c r="F43" s="127">
        <f t="shared" si="18"/>
        <v>0</v>
      </c>
      <c r="G43" s="127">
        <f t="shared" si="5"/>
        <v>0</v>
      </c>
      <c r="H43" s="127">
        <f t="shared" si="6"/>
        <v>0</v>
      </c>
      <c r="I43" s="127">
        <f t="shared" si="7"/>
        <v>0</v>
      </c>
      <c r="J43" s="317">
        <f t="shared" si="8"/>
        <v>0</v>
      </c>
      <c r="K43" s="127">
        <f t="shared" si="19"/>
        <v>0</v>
      </c>
      <c r="L43" s="128">
        <f t="shared" si="9"/>
        <v>0</v>
      </c>
      <c r="M43" s="126">
        <f t="shared" si="10"/>
        <v>0</v>
      </c>
      <c r="N43" s="127">
        <f t="shared" si="11"/>
        <v>0</v>
      </c>
      <c r="O43" s="128">
        <f t="shared" si="12"/>
        <v>0</v>
      </c>
      <c r="P43" s="126">
        <f t="shared" si="13"/>
        <v>22.17</v>
      </c>
      <c r="Q43" s="127">
        <f t="shared" si="14"/>
        <v>0.79</v>
      </c>
      <c r="R43" s="231">
        <f t="shared" si="20"/>
        <v>0</v>
      </c>
      <c r="S43" s="128">
        <f t="shared" si="15"/>
        <v>0.25</v>
      </c>
      <c r="T43" s="129">
        <f t="shared" si="16"/>
        <v>24.370500000000003</v>
      </c>
      <c r="U43" s="128">
        <f t="shared" si="17"/>
        <v>0</v>
      </c>
    </row>
    <row r="44" spans="1:21" x14ac:dyDescent="0.35">
      <c r="A44" s="130" t="s">
        <v>32</v>
      </c>
      <c r="B44" s="131">
        <f t="shared" si="4"/>
        <v>0</v>
      </c>
      <c r="C44" s="126">
        <f t="shared" si="21"/>
        <v>0</v>
      </c>
      <c r="D44" s="127">
        <f t="shared" si="22"/>
        <v>0</v>
      </c>
      <c r="E44" s="127">
        <f t="shared" si="23"/>
        <v>0</v>
      </c>
      <c r="F44" s="127">
        <f t="shared" si="18"/>
        <v>0</v>
      </c>
      <c r="G44" s="127">
        <f t="shared" si="5"/>
        <v>0</v>
      </c>
      <c r="H44" s="127">
        <f t="shared" si="6"/>
        <v>0</v>
      </c>
      <c r="I44" s="127">
        <f t="shared" si="7"/>
        <v>0</v>
      </c>
      <c r="J44" s="317">
        <f t="shared" si="8"/>
        <v>0</v>
      </c>
      <c r="K44" s="127">
        <f t="shared" si="19"/>
        <v>0</v>
      </c>
      <c r="L44" s="128">
        <f t="shared" si="9"/>
        <v>0</v>
      </c>
      <c r="M44" s="126">
        <f t="shared" si="10"/>
        <v>0</v>
      </c>
      <c r="N44" s="127">
        <f t="shared" si="11"/>
        <v>0</v>
      </c>
      <c r="O44" s="128">
        <f t="shared" si="12"/>
        <v>0</v>
      </c>
      <c r="P44" s="126">
        <f t="shared" si="13"/>
        <v>22.17</v>
      </c>
      <c r="Q44" s="127">
        <f t="shared" si="14"/>
        <v>0.79</v>
      </c>
      <c r="R44" s="231">
        <f t="shared" si="20"/>
        <v>0</v>
      </c>
      <c r="S44" s="128">
        <f t="shared" si="15"/>
        <v>0.25</v>
      </c>
      <c r="T44" s="129">
        <f t="shared" si="16"/>
        <v>24.370500000000003</v>
      </c>
      <c r="U44" s="128">
        <f t="shared" si="17"/>
        <v>0</v>
      </c>
    </row>
    <row r="45" spans="1:21" x14ac:dyDescent="0.35">
      <c r="A45" s="130" t="s">
        <v>33</v>
      </c>
      <c r="B45" s="131">
        <f t="shared" si="4"/>
        <v>0</v>
      </c>
      <c r="C45" s="126">
        <f t="shared" si="21"/>
        <v>0</v>
      </c>
      <c r="D45" s="127">
        <f t="shared" si="22"/>
        <v>0</v>
      </c>
      <c r="E45" s="127">
        <f t="shared" si="23"/>
        <v>0</v>
      </c>
      <c r="F45" s="127">
        <f t="shared" si="18"/>
        <v>0</v>
      </c>
      <c r="G45" s="127">
        <f t="shared" si="5"/>
        <v>0</v>
      </c>
      <c r="H45" s="127">
        <f t="shared" si="6"/>
        <v>0</v>
      </c>
      <c r="I45" s="127">
        <f t="shared" si="7"/>
        <v>0</v>
      </c>
      <c r="J45" s="317">
        <f t="shared" si="8"/>
        <v>0</v>
      </c>
      <c r="K45" s="127">
        <f t="shared" si="19"/>
        <v>0</v>
      </c>
      <c r="L45" s="128">
        <f t="shared" si="9"/>
        <v>0</v>
      </c>
      <c r="M45" s="126">
        <f t="shared" si="10"/>
        <v>0</v>
      </c>
      <c r="N45" s="127">
        <f t="shared" si="11"/>
        <v>0</v>
      </c>
      <c r="O45" s="128">
        <f t="shared" si="12"/>
        <v>0</v>
      </c>
      <c r="P45" s="126">
        <f t="shared" si="13"/>
        <v>22.17</v>
      </c>
      <c r="Q45" s="127">
        <f t="shared" si="14"/>
        <v>0.79</v>
      </c>
      <c r="R45" s="231">
        <f t="shared" si="20"/>
        <v>0</v>
      </c>
      <c r="S45" s="128">
        <f t="shared" si="15"/>
        <v>0.25</v>
      </c>
      <c r="T45" s="129">
        <f t="shared" si="16"/>
        <v>24.370500000000003</v>
      </c>
      <c r="U45" s="128">
        <f t="shared" si="17"/>
        <v>0</v>
      </c>
    </row>
    <row r="46" spans="1:21" x14ac:dyDescent="0.35">
      <c r="A46" s="130" t="s">
        <v>34</v>
      </c>
      <c r="B46" s="131">
        <f t="shared" si="4"/>
        <v>0</v>
      </c>
      <c r="C46" s="126">
        <f t="shared" si="21"/>
        <v>0</v>
      </c>
      <c r="D46" s="127">
        <f t="shared" si="22"/>
        <v>0</v>
      </c>
      <c r="E46" s="127">
        <f t="shared" si="23"/>
        <v>0</v>
      </c>
      <c r="F46" s="127">
        <f t="shared" si="18"/>
        <v>0</v>
      </c>
      <c r="G46" s="127">
        <f t="shared" si="5"/>
        <v>0</v>
      </c>
      <c r="H46" s="127">
        <f t="shared" si="6"/>
        <v>0</v>
      </c>
      <c r="I46" s="127">
        <f t="shared" si="7"/>
        <v>0</v>
      </c>
      <c r="J46" s="317">
        <f t="shared" si="8"/>
        <v>0</v>
      </c>
      <c r="K46" s="127">
        <f t="shared" si="19"/>
        <v>0</v>
      </c>
      <c r="L46" s="128">
        <f t="shared" si="9"/>
        <v>0</v>
      </c>
      <c r="M46" s="126">
        <f t="shared" si="10"/>
        <v>0</v>
      </c>
      <c r="N46" s="127">
        <f t="shared" si="11"/>
        <v>0</v>
      </c>
      <c r="O46" s="128">
        <f t="shared" si="12"/>
        <v>0</v>
      </c>
      <c r="P46" s="126">
        <f t="shared" si="13"/>
        <v>22.17</v>
      </c>
      <c r="Q46" s="127">
        <f t="shared" si="14"/>
        <v>0.79</v>
      </c>
      <c r="R46" s="231">
        <f t="shared" si="20"/>
        <v>0</v>
      </c>
      <c r="S46" s="128">
        <f t="shared" si="15"/>
        <v>0.25</v>
      </c>
      <c r="T46" s="129">
        <f t="shared" si="16"/>
        <v>24.370500000000003</v>
      </c>
      <c r="U46" s="128">
        <f t="shared" si="17"/>
        <v>0</v>
      </c>
    </row>
    <row r="47" spans="1:21" x14ac:dyDescent="0.35">
      <c r="A47" s="130" t="s">
        <v>35</v>
      </c>
      <c r="B47" s="131">
        <f t="shared" si="4"/>
        <v>0</v>
      </c>
      <c r="C47" s="126">
        <f>ROUND((B47*$V$30*$M$7/100),2)</f>
        <v>0</v>
      </c>
      <c r="D47" s="127">
        <f>ROUND((B47*$W$30*$M$8/100),2)</f>
        <v>0</v>
      </c>
      <c r="E47" s="127">
        <f>ROUND((B47*$X$30*$M$9/100),2)</f>
        <v>0</v>
      </c>
      <c r="F47" s="127">
        <f t="shared" si="18"/>
        <v>0</v>
      </c>
      <c r="G47" s="127">
        <f t="shared" si="5"/>
        <v>0</v>
      </c>
      <c r="H47" s="127">
        <f t="shared" si="6"/>
        <v>0</v>
      </c>
      <c r="I47" s="127">
        <f t="shared" si="7"/>
        <v>0</v>
      </c>
      <c r="J47" s="317">
        <f t="shared" si="8"/>
        <v>0</v>
      </c>
      <c r="K47" s="127">
        <f t="shared" si="19"/>
        <v>0</v>
      </c>
      <c r="L47" s="128">
        <f t="shared" si="9"/>
        <v>0</v>
      </c>
      <c r="M47" s="126">
        <f t="shared" si="10"/>
        <v>0</v>
      </c>
      <c r="N47" s="127">
        <f t="shared" si="11"/>
        <v>0</v>
      </c>
      <c r="O47" s="128">
        <f t="shared" si="12"/>
        <v>0</v>
      </c>
      <c r="P47" s="126">
        <f t="shared" si="13"/>
        <v>22.17</v>
      </c>
      <c r="Q47" s="127">
        <f t="shared" si="14"/>
        <v>0.79</v>
      </c>
      <c r="R47" s="231">
        <f t="shared" si="20"/>
        <v>0</v>
      </c>
      <c r="S47" s="128">
        <f t="shared" si="15"/>
        <v>0.25</v>
      </c>
      <c r="T47" s="129">
        <f t="shared" si="16"/>
        <v>24.370500000000003</v>
      </c>
      <c r="U47" s="128">
        <f t="shared" si="17"/>
        <v>0</v>
      </c>
    </row>
    <row r="48" spans="1:21" ht="15" thickBot="1" x14ac:dyDescent="0.4">
      <c r="A48" s="132" t="s">
        <v>36</v>
      </c>
      <c r="B48" s="133">
        <f t="shared" si="4"/>
        <v>0</v>
      </c>
      <c r="C48" s="134">
        <f>ROUND((B48*$V$30*$M$7/100),2)</f>
        <v>0</v>
      </c>
      <c r="D48" s="135">
        <f>ROUND((B48*$W$30*$M$8/100),2)</f>
        <v>0</v>
      </c>
      <c r="E48" s="135">
        <f>ROUND((B48*$X$30*$M$9/100),2)</f>
        <v>0</v>
      </c>
      <c r="F48" s="135">
        <f t="shared" si="18"/>
        <v>0</v>
      </c>
      <c r="G48" s="135">
        <f t="shared" si="5"/>
        <v>0</v>
      </c>
      <c r="H48" s="135">
        <f t="shared" si="6"/>
        <v>0</v>
      </c>
      <c r="I48" s="135">
        <f t="shared" si="7"/>
        <v>0</v>
      </c>
      <c r="J48" s="318">
        <f t="shared" si="8"/>
        <v>0</v>
      </c>
      <c r="K48" s="135">
        <f t="shared" si="19"/>
        <v>0</v>
      </c>
      <c r="L48" s="136">
        <f t="shared" si="9"/>
        <v>0</v>
      </c>
      <c r="M48" s="134">
        <f t="shared" si="10"/>
        <v>0</v>
      </c>
      <c r="N48" s="135">
        <f t="shared" si="11"/>
        <v>0</v>
      </c>
      <c r="O48" s="136">
        <f t="shared" si="12"/>
        <v>0</v>
      </c>
      <c r="P48" s="134">
        <f t="shared" si="13"/>
        <v>22.17</v>
      </c>
      <c r="Q48" s="135">
        <f t="shared" si="14"/>
        <v>0.79</v>
      </c>
      <c r="R48" s="390">
        <f t="shared" si="20"/>
        <v>0</v>
      </c>
      <c r="S48" s="136">
        <f t="shared" si="15"/>
        <v>0.25</v>
      </c>
      <c r="T48" s="137">
        <f t="shared" si="16"/>
        <v>24.370500000000003</v>
      </c>
      <c r="U48" s="136">
        <f t="shared" si="17"/>
        <v>0</v>
      </c>
    </row>
    <row r="49" spans="1:21" s="5" customFormat="1" x14ac:dyDescent="0.35">
      <c r="A49" s="138" t="s">
        <v>202</v>
      </c>
      <c r="B49" s="258">
        <f>SUM(B37:B48)</f>
        <v>0</v>
      </c>
      <c r="C49" s="140">
        <f>SUM(C37:C48)</f>
        <v>0</v>
      </c>
      <c r="D49" s="19">
        <f t="shared" ref="D49:K49" si="24">SUM(D37:D48)</f>
        <v>0</v>
      </c>
      <c r="E49" s="19">
        <f t="shared" si="24"/>
        <v>0</v>
      </c>
      <c r="F49" s="19">
        <f t="shared" si="24"/>
        <v>0</v>
      </c>
      <c r="G49" s="19">
        <f t="shared" si="24"/>
        <v>0</v>
      </c>
      <c r="H49" s="19">
        <f t="shared" si="24"/>
        <v>0</v>
      </c>
      <c r="I49" s="19">
        <f t="shared" si="24"/>
        <v>0</v>
      </c>
      <c r="J49" s="19">
        <f t="shared" si="24"/>
        <v>0</v>
      </c>
      <c r="K49" s="19">
        <f t="shared" si="24"/>
        <v>0</v>
      </c>
      <c r="L49" s="19">
        <f t="shared" ref="L49:Q49" si="25">SUM(L37:L48)</f>
        <v>0</v>
      </c>
      <c r="M49" s="19">
        <f t="shared" si="25"/>
        <v>0</v>
      </c>
      <c r="N49" s="19">
        <f t="shared" si="25"/>
        <v>0</v>
      </c>
      <c r="O49" s="19">
        <f t="shared" si="25"/>
        <v>0</v>
      </c>
      <c r="P49" s="19">
        <f t="shared" si="25"/>
        <v>266.04000000000008</v>
      </c>
      <c r="Q49" s="19">
        <f t="shared" si="25"/>
        <v>9.48</v>
      </c>
      <c r="R49" s="19">
        <f>SUM(R37:R48)</f>
        <v>0</v>
      </c>
      <c r="S49" s="19">
        <f>SUM(S37:S48)</f>
        <v>3</v>
      </c>
      <c r="T49" s="19">
        <f>SUM(T37:T48)</f>
        <v>292.44599999999997</v>
      </c>
      <c r="U49" s="19">
        <f>SUM(U37:U48)</f>
        <v>0</v>
      </c>
    </row>
    <row r="50" spans="1:21" s="5" customFormat="1" ht="15" thickBot="1" x14ac:dyDescent="0.4">
      <c r="A50" s="138"/>
      <c r="B50" s="138"/>
      <c r="C50" s="258"/>
      <c r="D50" s="140"/>
      <c r="E50" s="19"/>
      <c r="F50" s="19"/>
      <c r="G50" s="19"/>
      <c r="H50" s="19"/>
      <c r="I50" s="19"/>
      <c r="J50" s="19"/>
      <c r="K50" s="19"/>
      <c r="L50" s="19"/>
      <c r="M50" s="19"/>
      <c r="N50" s="19"/>
      <c r="O50" s="19"/>
      <c r="P50" s="19"/>
      <c r="Q50" s="19"/>
      <c r="R50" s="19"/>
      <c r="S50" s="19"/>
      <c r="T50" s="19"/>
    </row>
    <row r="51" spans="1:21" x14ac:dyDescent="0.35">
      <c r="A51" s="262" t="s">
        <v>203</v>
      </c>
      <c r="B51" s="290"/>
      <c r="C51" s="267">
        <f>SUM(C49:E49)</f>
        <v>0</v>
      </c>
    </row>
    <row r="52" spans="1:21" x14ac:dyDescent="0.35">
      <c r="A52" s="263" t="s">
        <v>204</v>
      </c>
      <c r="B52" s="291"/>
      <c r="C52" s="268">
        <f>SUM(F49:G49,I49:L49,P49:R49)</f>
        <v>275.5200000000001</v>
      </c>
      <c r="O52" s="24" t="s">
        <v>266</v>
      </c>
      <c r="P52" s="261" t="e">
        <f>SUM(C49:O49,Q49:S49)/B49</f>
        <v>#DIV/0!</v>
      </c>
    </row>
    <row r="53" spans="1:21" x14ac:dyDescent="0.35">
      <c r="A53" s="264" t="s">
        <v>205</v>
      </c>
      <c r="B53" s="292"/>
      <c r="C53" s="269">
        <f>SUM(M49:O49,S49)</f>
        <v>3</v>
      </c>
    </row>
    <row r="54" spans="1:21" x14ac:dyDescent="0.35">
      <c r="A54" s="265" t="s">
        <v>206</v>
      </c>
      <c r="B54" s="293"/>
      <c r="C54" s="270">
        <f>H49</f>
        <v>0</v>
      </c>
      <c r="H54" s="3"/>
      <c r="I54" s="4"/>
    </row>
    <row r="55" spans="1:21" x14ac:dyDescent="0.35">
      <c r="A55" s="266" t="s">
        <v>171</v>
      </c>
      <c r="B55" s="108"/>
      <c r="C55" s="271">
        <f>SUM(C49:S49)*($Q$20)</f>
        <v>13.926000000000005</v>
      </c>
      <c r="I55" s="4"/>
    </row>
    <row r="56" spans="1:21" ht="15" thickBot="1" x14ac:dyDescent="0.4">
      <c r="A56" s="192" t="s">
        <v>267</v>
      </c>
      <c r="B56" s="120"/>
      <c r="C56" s="272">
        <f>SUM(C51:C55)</f>
        <v>292.44600000000008</v>
      </c>
      <c r="I56" s="4"/>
    </row>
    <row r="57" spans="1:21" x14ac:dyDescent="0.35">
      <c r="I57" s="4"/>
    </row>
    <row r="58" spans="1:21" x14ac:dyDescent="0.35">
      <c r="I58" s="4"/>
    </row>
    <row r="59" spans="1:21" x14ac:dyDescent="0.35">
      <c r="B59" s="391"/>
      <c r="I59" s="4"/>
    </row>
    <row r="60" spans="1:21" x14ac:dyDescent="0.35">
      <c r="I60" s="4"/>
    </row>
    <row r="61" spans="1:21" x14ac:dyDescent="0.35">
      <c r="B61" s="391"/>
      <c r="I61" s="4"/>
    </row>
    <row r="62" spans="1:21" x14ac:dyDescent="0.35">
      <c r="I62" s="4"/>
    </row>
    <row r="63" spans="1:21" x14ac:dyDescent="0.35">
      <c r="I63" s="4"/>
    </row>
    <row r="64" spans="1:21" x14ac:dyDescent="0.35">
      <c r="I64" s="4"/>
    </row>
    <row r="65" spans="9:9" x14ac:dyDescent="0.35">
      <c r="I65" s="4"/>
    </row>
    <row r="66" spans="9:9" x14ac:dyDescent="0.35">
      <c r="I66" s="4"/>
    </row>
    <row r="67" spans="9:9" x14ac:dyDescent="0.35">
      <c r="I67" s="4"/>
    </row>
  </sheetData>
  <mergeCells count="25">
    <mergeCell ref="U34:U36"/>
    <mergeCell ref="P34:S34"/>
    <mergeCell ref="J29:R30"/>
    <mergeCell ref="J24:R26"/>
    <mergeCell ref="A1:T1"/>
    <mergeCell ref="A34:A36"/>
    <mergeCell ref="G35:G36"/>
    <mergeCell ref="H35:H36"/>
    <mergeCell ref="I35:I36"/>
    <mergeCell ref="J35:J36"/>
    <mergeCell ref="L35:L36"/>
    <mergeCell ref="C35:E35"/>
    <mergeCell ref="F35:F36"/>
    <mergeCell ref="B34:B36"/>
    <mergeCell ref="K35:K36"/>
    <mergeCell ref="C34:L34"/>
    <mergeCell ref="M34:O34"/>
    <mergeCell ref="T34:T36"/>
    <mergeCell ref="M35:M36"/>
    <mergeCell ref="N35:N36"/>
    <mergeCell ref="O35:O36"/>
    <mergeCell ref="P35:P36"/>
    <mergeCell ref="Q35:Q36"/>
    <mergeCell ref="S35:S36"/>
    <mergeCell ref="R35:R36"/>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D0D314835F3845BE69A8E6450D1273" ma:contentTypeVersion="2" ma:contentTypeDescription="Create a new document." ma:contentTypeScope="" ma:versionID="1eec73112f8b96b2bc095f3f5c767998">
  <xsd:schema xmlns:xsd="http://www.w3.org/2001/XMLSchema" xmlns:xs="http://www.w3.org/2001/XMLSchema" xmlns:p="http://schemas.microsoft.com/office/2006/metadata/properties" xmlns:ns2="25c9f0d3-7797-4c7c-a365-25de4aa72ebc" targetNamespace="http://schemas.microsoft.com/office/2006/metadata/properties" ma:root="true" ma:fieldsID="e2467b8d6af2f636f281a0a82b09ea30" ns2:_="">
    <xsd:import namespace="25c9f0d3-7797-4c7c-a365-25de4aa72ebc"/>
    <xsd:element name="properties">
      <xsd:complexType>
        <xsd:sequence>
          <xsd:element name="documentManagement">
            <xsd:complexType>
              <xsd:all>
                <xsd:element ref="ns2:intervenor" minOccurs="0"/>
                <xsd:element ref="ns2:Attach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c9f0d3-7797-4c7c-a365-25de4aa72ebc" elementFormDefault="qualified">
    <xsd:import namespace="http://schemas.microsoft.com/office/2006/documentManagement/types"/>
    <xsd:import namespace="http://schemas.microsoft.com/office/infopath/2007/PartnerControls"/>
    <xsd:element name="intervenor" ma:index="8" nillable="true" ma:displayName="intervenor" ma:internalName="intervenor">
      <xsd:simpleType>
        <xsd:restriction base="dms:Text">
          <xsd:maxLength value="255"/>
        </xsd:restriction>
      </xsd:simpleType>
    </xsd:element>
    <xsd:element name="Attachment" ma:index="9" nillable="true" ma:displayName="Attachment" ma:internalName="Attach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ttachment xmlns="25c9f0d3-7797-4c7c-a365-25de4aa72ebc">Attachment 1</Attachment>
    <intervenor xmlns="25c9f0d3-7797-4c7c-a365-25de4aa72ebc">Environmental Defence</interveno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4ab40f3-767a-43a9-8b62-265d64c54f3b" ContentTypeId="0x01" PreviousValue="false"/>
</file>

<file path=customXml/itemProps1.xml><?xml version="1.0" encoding="utf-8"?>
<ds:datastoreItem xmlns:ds="http://schemas.openxmlformats.org/officeDocument/2006/customXml" ds:itemID="{904C0D05-3201-4DA1-88FD-9D7B4332C8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c9f0d3-7797-4c7c-a365-25de4aa72e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5FC0C8-F409-4867-87C4-9068B05071FA}">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5c9f0d3-7797-4c7c-a365-25de4aa72ebc"/>
    <ds:schemaRef ds:uri="http://www.w3.org/XML/1998/namespace"/>
    <ds:schemaRef ds:uri="http://purl.org/dc/terms/"/>
  </ds:schemaRefs>
</ds:datastoreItem>
</file>

<file path=customXml/itemProps3.xml><?xml version="1.0" encoding="utf-8"?>
<ds:datastoreItem xmlns:ds="http://schemas.openxmlformats.org/officeDocument/2006/customXml" ds:itemID="{176A18E7-EE9F-49F9-8172-75D493F8776E}">
  <ds:schemaRefs>
    <ds:schemaRef ds:uri="http://schemas.microsoft.com/sharepoint/v3/contenttype/forms"/>
  </ds:schemaRefs>
</ds:datastoreItem>
</file>

<file path=customXml/itemProps4.xml><?xml version="1.0" encoding="utf-8"?>
<ds:datastoreItem xmlns:ds="http://schemas.openxmlformats.org/officeDocument/2006/customXml" ds:itemID="{CE54D778-C4C8-4AA1-BE36-C2992B77243A}">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Exhibit I.ED.7_Attachment 1</vt:lpstr>
      <vt:lpstr>APPLIANCE Conversion</vt:lpstr>
      <vt:lpstr>Common Inputs</vt:lpstr>
      <vt:lpstr>Chart Data</vt:lpstr>
      <vt:lpstr>South M1 Rates</vt:lpstr>
      <vt:lpstr>NW 01 Rates</vt:lpstr>
      <vt:lpstr>NE 01 Rates</vt:lpstr>
      <vt:lpstr>Electric Rates</vt:lpstr>
      <vt:lpstr>LDClookup</vt:lpstr>
      <vt:lpstr>'APPLIANCE Conversion'!Print_Area</vt:lpstr>
      <vt:lpstr>'Common Inputs'!Print_Area</vt:lpstr>
    </vt:vector>
  </TitlesOfParts>
  <Company>Spectra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Jeff Okrucky</dc:creator>
  <cp:lastModifiedBy>Stephanie Allman</cp:lastModifiedBy>
  <cp:lastPrinted>2020-03-27T12:39:56Z</cp:lastPrinted>
  <dcterms:created xsi:type="dcterms:W3CDTF">2017-11-09T14:06:44Z</dcterms:created>
  <dcterms:modified xsi:type="dcterms:W3CDTF">2020-03-27T12:43:50Z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iteId">
    <vt:lpwstr>271df5c2-953a-497b-93ad-7adf7a4b3cd7</vt:lpwstr>
  </property>
  <property fmtid="{D5CDD505-2E9C-101B-9397-08002B2CF9AE}" pid="4" name="MSIP_Label_b1a6f161-e42b-4c47-8f69-f6a81e023e2d_Owner">
    <vt:lpwstr>KSweet@Spectraenergy.com</vt:lpwstr>
  </property>
  <property fmtid="{D5CDD505-2E9C-101B-9397-08002B2CF9AE}" pid="5" name="MSIP_Label_b1a6f161-e42b-4c47-8f69-f6a81e023e2d_SetDate">
    <vt:lpwstr>2020-03-10T12:36:06.6380060Z</vt:lpwstr>
  </property>
  <property fmtid="{D5CDD505-2E9C-101B-9397-08002B2CF9AE}" pid="6" name="MSIP_Label_b1a6f161-e42b-4c47-8f69-f6a81e023e2d_Name">
    <vt:lpwstr>Internal</vt:lpwstr>
  </property>
  <property fmtid="{D5CDD505-2E9C-101B-9397-08002B2CF9AE}" pid="7" name="MSIP_Label_b1a6f161-e42b-4c47-8f69-f6a81e023e2d_Application">
    <vt:lpwstr>Microsoft Azure Information Protection</vt:lpwstr>
  </property>
  <property fmtid="{D5CDD505-2E9C-101B-9397-08002B2CF9AE}" pid="8" name="MSIP_Label_b1a6f161-e42b-4c47-8f69-f6a81e023e2d_ActionId">
    <vt:lpwstr>78714dd4-4bb7-491f-94e3-ce59a3c725f6</vt:lpwstr>
  </property>
  <property fmtid="{D5CDD505-2E9C-101B-9397-08002B2CF9AE}" pid="9" name="MSIP_Label_b1a6f161-e42b-4c47-8f69-f6a81e023e2d_Extended_MSFT_Method">
    <vt:lpwstr>Automatic</vt:lpwstr>
  </property>
  <property fmtid="{D5CDD505-2E9C-101B-9397-08002B2CF9AE}" pid="10" name="Sensitivity">
    <vt:lpwstr>Internal</vt:lpwstr>
  </property>
  <property fmtid="{D5CDD505-2E9C-101B-9397-08002B2CF9AE}" pid="11" name="ContentTypeId">
    <vt:lpwstr>0x010100F6D0D314835F3845BE69A8E6450D1273</vt:lpwstr>
  </property>
  <property fmtid="{D5CDD505-2E9C-101B-9397-08002B2CF9AE}" pid="12" name="_AdHocReviewCycleID">
    <vt:i4>-298713025</vt:i4>
  </property>
  <property fmtid="{D5CDD505-2E9C-101B-9397-08002B2CF9AE}" pid="13" name="_NewReviewCycle">
    <vt:lpwstr/>
  </property>
  <property fmtid="{D5CDD505-2E9C-101B-9397-08002B2CF9AE}" pid="14" name="_EmailSubject">
    <vt:lpwstr>EB-2019-0188 - Enbridge Gas Inc. - North Bay (Northshore and Peninsula Roads) Community Expansion Project - Interrogatory Responses</vt:lpwstr>
  </property>
  <property fmtid="{D5CDD505-2E9C-101B-9397-08002B2CF9AE}" pid="15" name="_AuthorEmail">
    <vt:lpwstr>Erica.Pequegnat@enbridge.com</vt:lpwstr>
  </property>
  <property fmtid="{D5CDD505-2E9C-101B-9397-08002B2CF9AE}" pid="16" name="_AuthorEmailDisplayName">
    <vt:lpwstr>Erica Pequegnat</vt:lpwstr>
  </property>
</Properties>
</file>