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codeName="ThisWorkbook" defaultThemeVersion="124226"/>
  <mc:AlternateContent xmlns:mc="http://schemas.openxmlformats.org/markup-compatibility/2006">
    <mc:Choice Requires="x15">
      <x15ac:absPath xmlns:x15ac="http://schemas.microsoft.com/office/spreadsheetml/2010/11/ac" url="F:\2020 Rate Application\3 - Settlement\0 - Files for Submission\To Intervenors\Draft Proposal Round 2 - 20200415\"/>
    </mc:Choice>
  </mc:AlternateContent>
  <xr:revisionPtr revIDLastSave="0" documentId="13_ncr:1_{A57471E1-447A-4D8B-9A40-3EBD91BE8140}" xr6:coauthVersionLast="36" xr6:coauthVersionMax="45" xr10:uidLastSave="{00000000-0000-0000-0000-000000000000}"/>
  <workbookProtection workbookAlgorithmName="SHA-512" workbookHashValue="WKBTVuFf8lraN5U2DaWbjsuv/AxLn0W3Aj9WPn+8wJ79v4IXoVLMn7ZMlvVWXxnA4tKTPM9DzP8AQ8fjknCYPA==" workbookSaltValue="Brl1FQ5xm1XYWQufebubmg==" workbookSpinCount="100000" lockStructure="1"/>
  <bookViews>
    <workbookView xWindow="-28920" yWindow="-45" windowWidth="29040" windowHeight="15840" tabRatio="825" firstSheet="24" activeTab="33" xr2:uid="{00000000-000D-0000-FFFF-FFFF00000000}"/>
  </bookViews>
  <sheets>
    <sheet name="LDC Info" sheetId="32" r:id="rId1"/>
    <sheet name="Index" sheetId="10" r:id="rId2"/>
    <sheet name="COS Flowchart" sheetId="26" r:id="rId3"/>
    <sheet name="List of Key References" sheetId="151" r:id="rId4"/>
    <sheet name="App.2-A_Requested_Approvals" sheetId="135" r:id="rId5"/>
    <sheet name="App.2-AA_Capital Projects" sheetId="11" r:id="rId6"/>
    <sheet name="App.2-AB_Capital Expenditures" sheetId="102" r:id="rId7"/>
    <sheet name="Hidden_CAPEX" sheetId="140" state="hidden" r:id="rId8"/>
    <sheet name="App.2-AC_Customer Engagement" sheetId="110" r:id="rId9"/>
    <sheet name="App.2-B_Acctg Instructions" sheetId="137" r:id="rId10"/>
    <sheet name="App.2-BA_Fixed Asset Cont" sheetId="100" r:id="rId11"/>
    <sheet name="Appendix 2-BB Service Life  " sheetId="109" r:id="rId12"/>
    <sheet name="App.2-C_DepExp" sheetId="138" r:id="rId13"/>
    <sheet name="App.2-D_Overhead" sheetId="71" r:id="rId14"/>
    <sheet name="App.2-EA_Account 1575 (2015)" sheetId="118" r:id="rId15"/>
    <sheet name="App.2-EB_Account 1576 (2012)" sheetId="75" state="hidden" r:id="rId16"/>
    <sheet name="App.2-EC_Account 1576 (2013)" sheetId="119" state="hidden" r:id="rId17"/>
    <sheet name="App.2-FA Proposed REG Invest." sheetId="55" r:id="rId18"/>
    <sheet name="Hidden_REG Invest." sheetId="142" state="hidden" r:id="rId19"/>
    <sheet name="App.2-FB Calc of REG Improvemnt" sheetId="54" r:id="rId20"/>
    <sheet name="Hidden_REG Improvement" sheetId="143" state="hidden" r:id="rId21"/>
    <sheet name="App.2-FC Calc of REG Expansion" sheetId="98" r:id="rId22"/>
    <sheet name="Hidden_REG Expansion" sheetId="144" state="hidden" r:id="rId23"/>
    <sheet name="App.2-G SQI" sheetId="53" r:id="rId24"/>
    <sheet name="App.2-H_Other_Oper_Rev" sheetId="14" r:id="rId25"/>
    <sheet name="Hidden_Other Revenue" sheetId="145" state="hidden" r:id="rId26"/>
    <sheet name="App_2-I LF_CDM" sheetId="122" r:id="rId27"/>
    <sheet name="lists" sheetId="152" state="hidden" r:id="rId28"/>
    <sheet name="App.2-IA_Load_Forecast_Instrct" sheetId="132" r:id="rId29"/>
    <sheet name="App.2-IB_Load_Forecast_Analysis" sheetId="133" r:id="rId30"/>
    <sheet name="App.2-JA_OM&amp;A_Summary_Analys" sheetId="49" r:id="rId31"/>
    <sheet name="Hidden_OM&amp;A Summary" sheetId="146" state="hidden" r:id="rId32"/>
    <sheet name="App.2-JB_OM&amp;A_Cost _Drivers" sheetId="15" r:id="rId33"/>
    <sheet name="App.2-JC_OMA Programs" sheetId="105" r:id="rId34"/>
    <sheet name="App.2-K_Employee Costs" sheetId="5" r:id="rId35"/>
    <sheet name="Hidden_Employee Costs" sheetId="147" state="hidden" r:id="rId36"/>
    <sheet name="App.2-L_OM&amp;A_per_Cust_FTE" sheetId="136" r:id="rId37"/>
    <sheet name="App.2-L_OM&amp;A_per_Cust_FTEE_exp" sheetId="20" state="hidden" r:id="rId38"/>
    <sheet name="App.2-M_Regulatory_Costs" sheetId="12" r:id="rId39"/>
    <sheet name="Hidden_RegulatoryCosts1" sheetId="148" state="hidden" r:id="rId40"/>
    <sheet name="Hidden_RegulatoryCosts2" sheetId="149" state="hidden" r:id="rId41"/>
    <sheet name="App.2-N_Corp_Cost_Allocation" sheetId="18" r:id="rId42"/>
    <sheet name="App.2-OA Capital Structure" sheetId="50" r:id="rId43"/>
    <sheet name="App.2-OB_Debt Instruments" sheetId="6" r:id="rId44"/>
    <sheet name="App.2-Q_Cost of Serv. Emb. Dx" sheetId="34" r:id="rId45"/>
    <sheet name="App.2-R_Loss Factors" sheetId="21" r:id="rId46"/>
    <sheet name="App.2-S_Stranded Meters" sheetId="23" r:id="rId47"/>
    <sheet name="App.2-Y_MIFRS Summary Impacts" sheetId="81" r:id="rId48"/>
    <sheet name="Sheet19" sheetId="96" state="hidden" r:id="rId49"/>
    <sheet name="App.2-YA_IFRS Transition Costs" sheetId="80" r:id="rId50"/>
    <sheet name="App.2-Z_Commodity Expense" sheetId="150" r:id="rId51"/>
    <sheet name="Sheet1" sheetId="134" state="hidden" r:id="rId52"/>
  </sheets>
  <externalReferences>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_ftn1" localSheetId="9">'App.2-B_Acctg Instructions'!#REF!</definedName>
    <definedName name="_ftnref1" localSheetId="9">'App.2-B_Acctg Instructions'!#REF!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 localSheetId="9">'[4]LDC Info'!$E$26</definedName>
    <definedName name="BridgeYear" localSheetId="26">'LDC Info'!$E$26</definedName>
    <definedName name="BridgeYear" localSheetId="11">'[5]LDC Info'!$E$26</definedName>
    <definedName name="BridgeYear">'LDC Info'!$E$26</definedName>
    <definedName name="contactf" localSheetId="14">#REF!</definedName>
    <definedName name="contactf" localSheetId="16">#REF!</definedName>
    <definedName name="contactf" localSheetId="29">#REF!</definedName>
    <definedName name="contactf" localSheetId="36">#REF!</definedName>
    <definedName name="contactf" localSheetId="26">#REF!</definedName>
    <definedName name="contactf" localSheetId="11">#REF!</definedName>
    <definedName name="contactf">#REF!</definedName>
    <definedName name="CRLF">'[1]Z1.ModelVariables'!$C$10</definedName>
    <definedName name="CustomerAdministration" localSheetId="9">[6]lists!$Z$1:$Z$36</definedName>
    <definedName name="CustomerAdministration" localSheetId="26">[7]lists!$Z$1:$Z$36</definedName>
    <definedName name="CustomerAdministration" localSheetId="11">[5]lists!$Z$1:$Z$36</definedName>
    <definedName name="CustomerAdministration">[7]lists!$Z$1:$Z$36</definedName>
    <definedName name="EBNUMBER" localSheetId="9">'[4]LDC Info'!$E$16</definedName>
    <definedName name="EBNUMBER" localSheetId="12">'[8]LDC Info'!$E$16</definedName>
    <definedName name="EBNumber" localSheetId="50">'[9]LDC Info'!$E$15</definedName>
    <definedName name="EBNUMBER" localSheetId="26">'LDC Info'!$E$16</definedName>
    <definedName name="EBNUMBER" localSheetId="11">'[5]LDC Info'!$E$16</definedName>
    <definedName name="EBNUMBER">'LDC Info'!$E$16</definedName>
    <definedName name="Fixed_Charges" localSheetId="9">[6]lists!$I$1:$I$212</definedName>
    <definedName name="Fixed_Charges" localSheetId="26">[7]lists!$I$1:$I$212</definedName>
    <definedName name="Fixed_Charges" localSheetId="11">[5]lists!$I$1:$I$185</definedName>
    <definedName name="Fixed_Charges">[7]lists!$I$1:$I$212</definedName>
    <definedName name="histdate">[10]Financials!$E$76</definedName>
    <definedName name="Incr2000" localSheetId="14">#REF!</definedName>
    <definedName name="Incr2000" localSheetId="16">#REF!</definedName>
    <definedName name="Incr2000" localSheetId="29">#REF!</definedName>
    <definedName name="Incr2000" localSheetId="36">#REF!</definedName>
    <definedName name="Incr2000" localSheetId="26">#REF!</definedName>
    <definedName name="Incr2000" localSheetId="11">#REF!</definedName>
    <definedName name="Incr2000">#REF!</definedName>
    <definedName name="IRMWG" localSheetId="9">'App.2-B_Acctg Instructions'!#REF!</definedName>
    <definedName name="Last_Rebasing_Year">'[3]0.1 LDC Info'!$E$27</definedName>
    <definedName name="LDC_LIST" localSheetId="50">[11]lists!$AM$1:$AM$80</definedName>
    <definedName name="LDC_LIST" localSheetId="11">[12]lists!$AM$1:$AM$80</definedName>
    <definedName name="LDC_LIST">[13]lists!$AM$1:$AM$80</definedName>
    <definedName name="LDCLIST" localSheetId="9">#REF!</definedName>
    <definedName name="LDCLIST" localSheetId="10">#REF!</definedName>
    <definedName name="LDCLIST" localSheetId="14">#REF!</definedName>
    <definedName name="LDCLIST" localSheetId="42">'[14]LDC Info'!$AA$3:$AA$79</definedName>
    <definedName name="LDCLIST">'LDC Info'!$AA$5:$AA$66</definedName>
    <definedName name="LDCNAMES" localSheetId="9">[6]lists!$AL$1:$AL$78</definedName>
    <definedName name="LDCNAMES">[7]lists!$AL$1:$AL$78</definedName>
    <definedName name="LIMIT" localSheetId="14">#REF!</definedName>
    <definedName name="LIMIT" localSheetId="16">#REF!</definedName>
    <definedName name="LIMIT" localSheetId="29">#REF!</definedName>
    <definedName name="LIMIT" localSheetId="36">#REF!</definedName>
    <definedName name="LIMIT" localSheetId="26">#REF!</definedName>
    <definedName name="LIMIT" localSheetId="11">#REF!</definedName>
    <definedName name="LIMIT">#REF!</definedName>
    <definedName name="LossFactors" localSheetId="9">[6]lists!$L$2:$L$15</definedName>
    <definedName name="LossFactors" localSheetId="26">[7]lists!$L$2:$L$15</definedName>
    <definedName name="LossFactors" localSheetId="11">[5]lists!$L$2:$L$15</definedName>
    <definedName name="LossFactors">[7]lists!$L$2:$L$15</definedName>
    <definedName name="man_beg_bud" localSheetId="14">#REF!</definedName>
    <definedName name="man_beg_bud" localSheetId="16">#REF!</definedName>
    <definedName name="man_beg_bud" localSheetId="29">#REF!</definedName>
    <definedName name="man_beg_bud" localSheetId="36">#REF!</definedName>
    <definedName name="man_beg_bud" localSheetId="26">#REF!</definedName>
    <definedName name="man_beg_bud" localSheetId="11">#REF!</definedName>
    <definedName name="man_beg_bud">#REF!</definedName>
    <definedName name="man_end_bud" localSheetId="14">#REF!</definedName>
    <definedName name="man_end_bud" localSheetId="16">#REF!</definedName>
    <definedName name="man_end_bud" localSheetId="29">#REF!</definedName>
    <definedName name="man_end_bud" localSheetId="36">#REF!</definedName>
    <definedName name="man_end_bud" localSheetId="26">#REF!</definedName>
    <definedName name="man_end_bud" localSheetId="11">#REF!</definedName>
    <definedName name="man_end_bud">#REF!</definedName>
    <definedName name="man12ACT" localSheetId="14">#REF!</definedName>
    <definedName name="man12ACT" localSheetId="16">#REF!</definedName>
    <definedName name="man12ACT" localSheetId="29">#REF!</definedName>
    <definedName name="man12ACT" localSheetId="36">#REF!</definedName>
    <definedName name="man12ACT" localSheetId="26">#REF!</definedName>
    <definedName name="man12ACT" localSheetId="11">#REF!</definedName>
    <definedName name="man12ACT">#REF!</definedName>
    <definedName name="MANBUD" localSheetId="14">#REF!</definedName>
    <definedName name="MANBUD" localSheetId="16">#REF!</definedName>
    <definedName name="MANBUD" localSheetId="29">#REF!</definedName>
    <definedName name="MANBUD" localSheetId="36">#REF!</definedName>
    <definedName name="MANBUD" localSheetId="26">#REF!</definedName>
    <definedName name="MANBUD">#REF!</definedName>
    <definedName name="manCYACT" localSheetId="14">#REF!</definedName>
    <definedName name="manCYACT" localSheetId="16">#REF!</definedName>
    <definedName name="manCYACT" localSheetId="29">#REF!</definedName>
    <definedName name="manCYACT" localSheetId="36">#REF!</definedName>
    <definedName name="manCYACT" localSheetId="26">#REF!</definedName>
    <definedName name="manCYACT">#REF!</definedName>
    <definedName name="manCYBUD" localSheetId="14">#REF!</definedName>
    <definedName name="manCYBUD" localSheetId="16">#REF!</definedName>
    <definedName name="manCYBUD" localSheetId="29">#REF!</definedName>
    <definedName name="manCYBUD" localSheetId="36">#REF!</definedName>
    <definedName name="manCYBUD" localSheetId="26">#REF!</definedName>
    <definedName name="manCYBUD">#REF!</definedName>
    <definedName name="manCYF" localSheetId="14">#REF!</definedName>
    <definedName name="manCYF" localSheetId="16">#REF!</definedName>
    <definedName name="manCYF" localSheetId="29">#REF!</definedName>
    <definedName name="manCYF" localSheetId="36">#REF!</definedName>
    <definedName name="manCYF" localSheetId="26">#REF!</definedName>
    <definedName name="manCYF">#REF!</definedName>
    <definedName name="MANEND" localSheetId="14">#REF!</definedName>
    <definedName name="MANEND" localSheetId="16">#REF!</definedName>
    <definedName name="MANEND" localSheetId="29">#REF!</definedName>
    <definedName name="MANEND" localSheetId="36">#REF!</definedName>
    <definedName name="MANEND" localSheetId="26">#REF!</definedName>
    <definedName name="MANEND">#REF!</definedName>
    <definedName name="manNYbud" localSheetId="14">#REF!</definedName>
    <definedName name="manNYbud" localSheetId="16">#REF!</definedName>
    <definedName name="manNYbud" localSheetId="29">#REF!</definedName>
    <definedName name="manNYbud" localSheetId="36">#REF!</definedName>
    <definedName name="manNYbud" localSheetId="26">#REF!</definedName>
    <definedName name="manNYbud">#REF!</definedName>
    <definedName name="manpower_costs" localSheetId="14">#REF!</definedName>
    <definedName name="manpower_costs" localSheetId="16">#REF!</definedName>
    <definedName name="manpower_costs" localSheetId="29">#REF!</definedName>
    <definedName name="manpower_costs" localSheetId="36">#REF!</definedName>
    <definedName name="manpower_costs" localSheetId="26">#REF!</definedName>
    <definedName name="manpower_costs">#REF!</definedName>
    <definedName name="manPYACT" localSheetId="14">#REF!</definedName>
    <definedName name="manPYACT" localSheetId="16">#REF!</definedName>
    <definedName name="manPYACT" localSheetId="29">#REF!</definedName>
    <definedName name="manPYACT" localSheetId="36">#REF!</definedName>
    <definedName name="manPYACT" localSheetId="26">#REF!</definedName>
    <definedName name="manPYACT">#REF!</definedName>
    <definedName name="MANSTART" localSheetId="14">#REF!</definedName>
    <definedName name="MANSTART" localSheetId="16">#REF!</definedName>
    <definedName name="MANSTART" localSheetId="29">#REF!</definedName>
    <definedName name="MANSTART" localSheetId="36">#REF!</definedName>
    <definedName name="MANSTART" localSheetId="26">#REF!</definedName>
    <definedName name="MANSTART">#REF!</definedName>
    <definedName name="mat_beg_bud" localSheetId="14">#REF!</definedName>
    <definedName name="mat_beg_bud" localSheetId="16">#REF!</definedName>
    <definedName name="mat_beg_bud" localSheetId="29">#REF!</definedName>
    <definedName name="mat_beg_bud" localSheetId="36">#REF!</definedName>
    <definedName name="mat_beg_bud" localSheetId="26">#REF!</definedName>
    <definedName name="mat_beg_bud">#REF!</definedName>
    <definedName name="mat_end_bud" localSheetId="14">#REF!</definedName>
    <definedName name="mat_end_bud" localSheetId="16">#REF!</definedName>
    <definedName name="mat_end_bud" localSheetId="29">#REF!</definedName>
    <definedName name="mat_end_bud" localSheetId="36">#REF!</definedName>
    <definedName name="mat_end_bud" localSheetId="26">#REF!</definedName>
    <definedName name="mat_end_bud">#REF!</definedName>
    <definedName name="mat12ACT" localSheetId="14">#REF!</definedName>
    <definedName name="mat12ACT" localSheetId="16">#REF!</definedName>
    <definedName name="mat12ACT" localSheetId="29">#REF!</definedName>
    <definedName name="mat12ACT" localSheetId="36">#REF!</definedName>
    <definedName name="mat12ACT" localSheetId="26">#REF!</definedName>
    <definedName name="mat12ACT">#REF!</definedName>
    <definedName name="MATBUD" localSheetId="14">#REF!</definedName>
    <definedName name="MATBUD" localSheetId="16">#REF!</definedName>
    <definedName name="MATBUD" localSheetId="29">#REF!</definedName>
    <definedName name="MATBUD" localSheetId="36">#REF!</definedName>
    <definedName name="MATBUD" localSheetId="26">#REF!</definedName>
    <definedName name="MATBUD">#REF!</definedName>
    <definedName name="matCYACT" localSheetId="14">#REF!</definedName>
    <definedName name="matCYACT" localSheetId="16">#REF!</definedName>
    <definedName name="matCYACT" localSheetId="29">#REF!</definedName>
    <definedName name="matCYACT" localSheetId="36">#REF!</definedName>
    <definedName name="matCYACT" localSheetId="26">#REF!</definedName>
    <definedName name="matCYACT">#REF!</definedName>
    <definedName name="matCYBUD" localSheetId="14">#REF!</definedName>
    <definedName name="matCYBUD" localSheetId="16">#REF!</definedName>
    <definedName name="matCYBUD" localSheetId="29">#REF!</definedName>
    <definedName name="matCYBUD" localSheetId="36">#REF!</definedName>
    <definedName name="matCYBUD" localSheetId="26">#REF!</definedName>
    <definedName name="matCYBUD">#REF!</definedName>
    <definedName name="matCYF" localSheetId="14">#REF!</definedName>
    <definedName name="matCYF" localSheetId="16">#REF!</definedName>
    <definedName name="matCYF" localSheetId="29">#REF!</definedName>
    <definedName name="matCYF" localSheetId="36">#REF!</definedName>
    <definedName name="matCYF" localSheetId="26">#REF!</definedName>
    <definedName name="matCYF">#REF!</definedName>
    <definedName name="MATEND" localSheetId="14">#REF!</definedName>
    <definedName name="MATEND" localSheetId="16">#REF!</definedName>
    <definedName name="MATEND" localSheetId="29">#REF!</definedName>
    <definedName name="MATEND" localSheetId="36">#REF!</definedName>
    <definedName name="MATEND" localSheetId="26">#REF!</definedName>
    <definedName name="MATEND">#REF!</definedName>
    <definedName name="material_costs" localSheetId="14">#REF!</definedName>
    <definedName name="material_costs" localSheetId="16">#REF!</definedName>
    <definedName name="material_costs" localSheetId="29">#REF!</definedName>
    <definedName name="material_costs" localSheetId="36">#REF!</definedName>
    <definedName name="material_costs" localSheetId="26">#REF!</definedName>
    <definedName name="material_costs">#REF!</definedName>
    <definedName name="matNYbud" localSheetId="14">#REF!</definedName>
    <definedName name="matNYbud" localSheetId="16">#REF!</definedName>
    <definedName name="matNYbud" localSheetId="29">#REF!</definedName>
    <definedName name="matNYbud" localSheetId="36">#REF!</definedName>
    <definedName name="matNYbud" localSheetId="26">#REF!</definedName>
    <definedName name="matNYbud">#REF!</definedName>
    <definedName name="matPYACT" localSheetId="14">#REF!</definedName>
    <definedName name="matPYACT" localSheetId="16">#REF!</definedName>
    <definedName name="matPYACT" localSheetId="29">#REF!</definedName>
    <definedName name="matPYACT" localSheetId="36">#REF!</definedName>
    <definedName name="matPYACT" localSheetId="26">#REF!</definedName>
    <definedName name="matPYACT">#REF!</definedName>
    <definedName name="MATSTART" localSheetId="14">#REF!</definedName>
    <definedName name="MATSTART" localSheetId="16">#REF!</definedName>
    <definedName name="MATSTART" localSheetId="29">#REF!</definedName>
    <definedName name="MATSTART" localSheetId="36">#REF!</definedName>
    <definedName name="MATSTART" localSheetId="26">#REF!</definedName>
    <definedName name="MATSTART">#REF!</definedName>
    <definedName name="NonPayment" localSheetId="9">[6]lists!$AA$1:$AA$71</definedName>
    <definedName name="NonPayment" localSheetId="26">[7]lists!$AA$1:$AA$71</definedName>
    <definedName name="NonPayment" localSheetId="11">[5]lists!$AA$1:$AA$71</definedName>
    <definedName name="NonPayment">[7]lists!$AA$1:$AA$71</definedName>
    <definedName name="oth_beg_bud" localSheetId="14">#REF!</definedName>
    <definedName name="oth_beg_bud" localSheetId="16">#REF!</definedName>
    <definedName name="oth_beg_bud" localSheetId="29">#REF!</definedName>
    <definedName name="oth_beg_bud" localSheetId="36">#REF!</definedName>
    <definedName name="oth_beg_bud" localSheetId="26">#REF!</definedName>
    <definedName name="oth_beg_bud" localSheetId="11">#REF!</definedName>
    <definedName name="oth_beg_bud">#REF!</definedName>
    <definedName name="oth_end_bud" localSheetId="14">#REF!</definedName>
    <definedName name="oth_end_bud" localSheetId="16">#REF!</definedName>
    <definedName name="oth_end_bud" localSheetId="29">#REF!</definedName>
    <definedName name="oth_end_bud" localSheetId="36">#REF!</definedName>
    <definedName name="oth_end_bud" localSheetId="26">#REF!</definedName>
    <definedName name="oth_end_bud" localSheetId="11">#REF!</definedName>
    <definedName name="oth_end_bud">#REF!</definedName>
    <definedName name="oth12ACT" localSheetId="14">#REF!</definedName>
    <definedName name="oth12ACT" localSheetId="16">#REF!</definedName>
    <definedName name="oth12ACT" localSheetId="29">#REF!</definedName>
    <definedName name="oth12ACT" localSheetId="36">#REF!</definedName>
    <definedName name="oth12ACT" localSheetId="26">#REF!</definedName>
    <definedName name="oth12ACT" localSheetId="11">#REF!</definedName>
    <definedName name="oth12ACT">#REF!</definedName>
    <definedName name="othCYACT" localSheetId="14">#REF!</definedName>
    <definedName name="othCYACT" localSheetId="16">#REF!</definedName>
    <definedName name="othCYACT" localSheetId="29">#REF!</definedName>
    <definedName name="othCYACT" localSheetId="36">#REF!</definedName>
    <definedName name="othCYACT" localSheetId="26">#REF!</definedName>
    <definedName name="othCYACT">#REF!</definedName>
    <definedName name="othCYBUD" localSheetId="14">#REF!</definedName>
    <definedName name="othCYBUD" localSheetId="16">#REF!</definedName>
    <definedName name="othCYBUD" localSheetId="29">#REF!</definedName>
    <definedName name="othCYBUD" localSheetId="36">#REF!</definedName>
    <definedName name="othCYBUD" localSheetId="26">#REF!</definedName>
    <definedName name="othCYBUD">#REF!</definedName>
    <definedName name="othCYF" localSheetId="14">#REF!</definedName>
    <definedName name="othCYF" localSheetId="16">#REF!</definedName>
    <definedName name="othCYF" localSheetId="29">#REF!</definedName>
    <definedName name="othCYF" localSheetId="36">#REF!</definedName>
    <definedName name="othCYF" localSheetId="26">#REF!</definedName>
    <definedName name="othCYF">#REF!</definedName>
    <definedName name="OTHEND" localSheetId="14">#REF!</definedName>
    <definedName name="OTHEND" localSheetId="16">#REF!</definedName>
    <definedName name="OTHEND" localSheetId="29">#REF!</definedName>
    <definedName name="OTHEND" localSheetId="36">#REF!</definedName>
    <definedName name="OTHEND" localSheetId="26">#REF!</definedName>
    <definedName name="OTHEND">#REF!</definedName>
    <definedName name="other_costs" localSheetId="14">#REF!</definedName>
    <definedName name="other_costs" localSheetId="16">#REF!</definedName>
    <definedName name="other_costs" localSheetId="29">#REF!</definedName>
    <definedName name="other_costs" localSheetId="36">#REF!</definedName>
    <definedName name="other_costs" localSheetId="26">#REF!</definedName>
    <definedName name="other_costs">#REF!</definedName>
    <definedName name="OTHERBUD" localSheetId="14">#REF!</definedName>
    <definedName name="OTHERBUD" localSheetId="16">#REF!</definedName>
    <definedName name="OTHERBUD" localSheetId="29">#REF!</definedName>
    <definedName name="OTHERBUD" localSheetId="36">#REF!</definedName>
    <definedName name="OTHERBUD" localSheetId="26">#REF!</definedName>
    <definedName name="OTHERBUD">#REF!</definedName>
    <definedName name="othNYbud" localSheetId="14">#REF!</definedName>
    <definedName name="othNYbud" localSheetId="16">#REF!</definedName>
    <definedName name="othNYbud" localSheetId="29">#REF!</definedName>
    <definedName name="othNYbud" localSheetId="36">#REF!</definedName>
    <definedName name="othNYbud" localSheetId="26">#REF!</definedName>
    <definedName name="othNYbud">#REF!</definedName>
    <definedName name="othPYACT" localSheetId="14">#REF!</definedName>
    <definedName name="othPYACT" localSheetId="16">#REF!</definedName>
    <definedName name="othPYACT" localSheetId="29">#REF!</definedName>
    <definedName name="othPYACT" localSheetId="36">#REF!</definedName>
    <definedName name="othPYACT" localSheetId="26">#REF!</definedName>
    <definedName name="othPYACT">#REF!</definedName>
    <definedName name="OTHSTART" localSheetId="14">#REF!</definedName>
    <definedName name="OTHSTART" localSheetId="16">#REF!</definedName>
    <definedName name="OTHSTART" localSheetId="29">#REF!</definedName>
    <definedName name="OTHSTART" localSheetId="36">#REF!</definedName>
    <definedName name="OTHSTART" localSheetId="26">#REF!</definedName>
    <definedName name="OTHSTART">#REF!</definedName>
    <definedName name="_xlnm.Print_Area" localSheetId="4">'App.2-A_Requested_Approvals'!$A$1:$H$43</definedName>
    <definedName name="_xlnm.Print_Area" localSheetId="5">'App.2-AA_Capital Projects'!$A$1:$J$140</definedName>
    <definedName name="_xlnm.Print_Area" localSheetId="6">'App.2-AB_Capital Expenditures'!$A$1:$AG$39</definedName>
    <definedName name="_xlnm.Print_Area" localSheetId="9">'App.2-B_Acctg Instructions'!$A$1:$M$55</definedName>
    <definedName name="_xlnm.Print_Area" localSheetId="10">'App.2-BA_Fixed Asset Cont'!$A$1:$N$538</definedName>
    <definedName name="_xlnm.Print_Area" localSheetId="13">'App.2-D_Overhead'!$A$1:$L$51</definedName>
    <definedName name="_xlnm.Print_Area" localSheetId="17">'App.2-FA Proposed REG Invest.'!$A$1:$L$102</definedName>
    <definedName name="_xlnm.Print_Area" localSheetId="19">'App.2-FB Calc of REG Improvemnt'!$A$1:$AF$95</definedName>
    <definedName name="_xlnm.Print_Area" localSheetId="24">'App.2-H_Other_Oper_Rev'!$A$1:$N$301</definedName>
    <definedName name="_xlnm.Print_Area" localSheetId="28">'App.2-IA_Load_Forecast_Instrct'!$A$1:$R$45</definedName>
    <definedName name="_xlnm.Print_Area" localSheetId="29">'App.2-IB_Load_Forecast_Analysis'!$A$1:$V$345</definedName>
    <definedName name="_xlnm.Print_Area" localSheetId="30">'App.2-JA_OM&amp;A_Summary_Analys'!$A$1:$L$26</definedName>
    <definedName name="_xlnm.Print_Area" localSheetId="32">'App.2-JB_OM&amp;A_Cost _Drivers'!$A$1:$I$54</definedName>
    <definedName name="_xlnm.Print_Area" localSheetId="33">'App.2-JC_OMA Programs'!$A$1:$L$64</definedName>
    <definedName name="_xlnm.Print_Area" localSheetId="34">'App.2-K_Employee Costs'!$A$1:$Z$31</definedName>
    <definedName name="_xlnm.Print_Area" localSheetId="36">'App.2-L_OM&amp;A_per_Cust_FTE'!$A$1:$L$38</definedName>
    <definedName name="_xlnm.Print_Area" localSheetId="37">'App.2-L_OM&amp;A_per_Cust_FTEE_exp'!$A$1:$L$39</definedName>
    <definedName name="_xlnm.Print_Area" localSheetId="38">'App.2-M_Regulatory_Costs'!$A$1:$K$96</definedName>
    <definedName name="_xlnm.Print_Area" localSheetId="41">'App.2-N_Corp_Cost_Allocation'!$A$299:$N$321,'App.2-N_Corp_Cost_Allocation'!$A$1:$J$297,'App.2-N_Corp_Cost_Allocation'!$A$322:$H$343</definedName>
    <definedName name="_xlnm.Print_Area" localSheetId="42">'App.2-OA Capital Structure'!$A$1:$P$68</definedName>
    <definedName name="_xlnm.Print_Area" localSheetId="43">'App.2-OB_Debt Instruments'!$A$1:$K$130</definedName>
    <definedName name="_xlnm.Print_Area" localSheetId="44">'App.2-Q_Cost of Serv. Emb. Dx'!$A$1:$G$60</definedName>
    <definedName name="_xlnm.Print_Area" localSheetId="45">'App.2-R_Loss Factors'!$B$1:$I$66</definedName>
    <definedName name="_xlnm.Print_Area" localSheetId="46">'App.2-S_Stranded Meters'!$A$1:$H$100</definedName>
    <definedName name="_xlnm.Print_Area" localSheetId="49">'App.2-YA_IFRS Transition Costs'!$A$1:$S$34</definedName>
    <definedName name="_xlnm.Print_Area" localSheetId="50">'App.2-Z_Commodity Expense'!$A$1:$O$85</definedName>
    <definedName name="_xlnm.Print_Area" localSheetId="2">'COS Flowchart'!$A$1:$G$39</definedName>
    <definedName name="_xlnm.Print_Area" localSheetId="1">Index!$A$1:$I$42</definedName>
    <definedName name="_xlnm.Print_Area" localSheetId="0">'LDC Info'!$A$1:$K$58</definedName>
    <definedName name="_xlnm.Print_Area" localSheetId="3">'List of Key References'!$A$1:$M$56</definedName>
    <definedName name="print_end" localSheetId="14">#REF!</definedName>
    <definedName name="print_end" localSheetId="16">#REF!</definedName>
    <definedName name="print_end" localSheetId="29">#REF!</definedName>
    <definedName name="print_end" localSheetId="36">#REF!</definedName>
    <definedName name="print_end" localSheetId="26">#REF!</definedName>
    <definedName name="print_end" localSheetId="11">#REF!</definedName>
    <definedName name="print_end">#REF!</definedName>
    <definedName name="_xlnm.Print_Titles" localSheetId="10">'App.2-BA_Fixed Asset Cont'!$1:$11</definedName>
    <definedName name="_xlnm.Print_Titles" localSheetId="12">'App.2-C_DepExp'!$9:$11</definedName>
    <definedName name="Rate_Class" localSheetId="9">[6]lists!$A$2:$A$105</definedName>
    <definedName name="Rate_Class" localSheetId="11">[5]lists!$A$1:$A$104</definedName>
    <definedName name="Rate_Class">[7]lists!$A$2:$A$105</definedName>
    <definedName name="RATE_CLASSES" localSheetId="9">[6]lists!$A$1:$A$104</definedName>
    <definedName name="RATE_CLASSES">[7]lists!$A$1:$A$104</definedName>
    <definedName name="RateClasses">lists!$A:$A</definedName>
    <definedName name="ratedescription" localSheetId="50">[15]hidden1!$D$1:$D$122</definedName>
    <definedName name="ratedescription" localSheetId="11">[16]hidden1!$D$1:$D$122</definedName>
    <definedName name="ratedescription">[17]hidden1!$D$1:$D$122</definedName>
    <definedName name="RebaseYear" localSheetId="9">'[4]LDC Info'!$E$28</definedName>
    <definedName name="RebaseYear" localSheetId="50">'[18]LDC Info'!$E$28</definedName>
    <definedName name="RebaseYear" localSheetId="26">'LDC Info'!$E$28</definedName>
    <definedName name="RebaseYear" localSheetId="11">'[5]LDC Info'!$E$28</definedName>
    <definedName name="RebaseYear">'LDC Info'!$E$28</definedName>
    <definedName name="RebaseYear_1">'[19]LDC Info'!$E$24</definedName>
    <definedName name="RenameBridge">'[20]LDC Info'!$E$26</definedName>
    <definedName name="RenameRebase">'[20]LDC Info'!$E$28</definedName>
    <definedName name="RenameTest">'[20]LDC Info'!$E$24</definedName>
    <definedName name="RMpilsVer">'[1]Z1.ModelVariables'!$C$13</definedName>
    <definedName name="RMversion">'[21]Z1.ModelVariables'!$C$13</definedName>
    <definedName name="SALBENF" localSheetId="14">#REF!</definedName>
    <definedName name="SALBENF" localSheetId="16">#REF!</definedName>
    <definedName name="SALBENF" localSheetId="29">#REF!</definedName>
    <definedName name="SALBENF" localSheetId="36">#REF!</definedName>
    <definedName name="SALBENF" localSheetId="26">#REF!</definedName>
    <definedName name="SALBENF" localSheetId="11">#REF!</definedName>
    <definedName name="SALBENF">#REF!</definedName>
    <definedName name="salreg" localSheetId="14">#REF!</definedName>
    <definedName name="salreg" localSheetId="16">#REF!</definedName>
    <definedName name="salreg" localSheetId="29">#REF!</definedName>
    <definedName name="salreg" localSheetId="36">#REF!</definedName>
    <definedName name="salreg" localSheetId="26">#REF!</definedName>
    <definedName name="salreg" localSheetId="11">#REF!</definedName>
    <definedName name="salreg">#REF!</definedName>
    <definedName name="SALREGF" localSheetId="14">#REF!</definedName>
    <definedName name="SALREGF" localSheetId="16">#REF!</definedName>
    <definedName name="SALREGF" localSheetId="29">#REF!</definedName>
    <definedName name="SALREGF" localSheetId="36">#REF!</definedName>
    <definedName name="SALREGF" localSheetId="26">#REF!</definedName>
    <definedName name="SALREGF" localSheetId="11">#REF!</definedName>
    <definedName name="SALREGF">#REF!</definedName>
    <definedName name="TEMPA" localSheetId="14">#REF!</definedName>
    <definedName name="TEMPA" localSheetId="16">#REF!</definedName>
    <definedName name="TEMPA" localSheetId="29">#REF!</definedName>
    <definedName name="TEMPA" localSheetId="36">#REF!</definedName>
    <definedName name="TEMPA" localSheetId="26">#REF!</definedName>
    <definedName name="TEMPA">#REF!</definedName>
    <definedName name="Test_Year">'[3]0.1 LDC Info'!$E$25</definedName>
    <definedName name="TestYear" localSheetId="9">'[4]LDC Info'!$E$24</definedName>
    <definedName name="TestYear" localSheetId="26">'LDC Info'!$E$24</definedName>
    <definedName name="TestYear" localSheetId="11">'[5]LDC Info'!$E$24</definedName>
    <definedName name="TestYear">'LDC Info'!$E$24</definedName>
    <definedName name="TestYr">'[1]P0.Admin'!$C$13</definedName>
    <definedName name="total_dept" localSheetId="14">#REF!</definedName>
    <definedName name="total_dept" localSheetId="16">#REF!</definedName>
    <definedName name="total_dept" localSheetId="29">#REF!</definedName>
    <definedName name="total_dept" localSheetId="36">#REF!</definedName>
    <definedName name="total_dept" localSheetId="26">#REF!</definedName>
    <definedName name="total_dept" localSheetId="11">#REF!</definedName>
    <definedName name="total_dept">#REF!</definedName>
    <definedName name="total_manpower" localSheetId="14">#REF!</definedName>
    <definedName name="total_manpower" localSheetId="16">#REF!</definedName>
    <definedName name="total_manpower" localSheetId="29">#REF!</definedName>
    <definedName name="total_manpower" localSheetId="36">#REF!</definedName>
    <definedName name="total_manpower" localSheetId="26">#REF!</definedName>
    <definedName name="total_manpower" localSheetId="11">#REF!</definedName>
    <definedName name="total_manpower">#REF!</definedName>
    <definedName name="total_material" localSheetId="14">#REF!</definedName>
    <definedName name="total_material" localSheetId="16">#REF!</definedName>
    <definedName name="total_material" localSheetId="29">#REF!</definedName>
    <definedName name="total_material" localSheetId="36">#REF!</definedName>
    <definedName name="total_material" localSheetId="26">#REF!</definedName>
    <definedName name="total_material" localSheetId="11">#REF!</definedName>
    <definedName name="total_material">#REF!</definedName>
    <definedName name="total_other" localSheetId="14">#REF!</definedName>
    <definedName name="total_other" localSheetId="16">#REF!</definedName>
    <definedName name="total_other" localSheetId="29">#REF!</definedName>
    <definedName name="total_other" localSheetId="36">#REF!</definedName>
    <definedName name="total_other" localSheetId="26">#REF!</definedName>
    <definedName name="total_other">#REF!</definedName>
    <definedName name="total_transportation" localSheetId="14">#REF!</definedName>
    <definedName name="total_transportation" localSheetId="16">#REF!</definedName>
    <definedName name="total_transportation" localSheetId="29">#REF!</definedName>
    <definedName name="total_transportation" localSheetId="36">#REF!</definedName>
    <definedName name="total_transportation" localSheetId="26">#REF!</definedName>
    <definedName name="total_transportation">#REF!</definedName>
    <definedName name="TRANBUD" localSheetId="14">#REF!</definedName>
    <definedName name="TRANBUD" localSheetId="16">#REF!</definedName>
    <definedName name="TRANBUD" localSheetId="29">#REF!</definedName>
    <definedName name="TRANBUD" localSheetId="36">#REF!</definedName>
    <definedName name="TRANBUD" localSheetId="26">#REF!</definedName>
    <definedName name="TRANBUD">#REF!</definedName>
    <definedName name="TRANEND" localSheetId="14">#REF!</definedName>
    <definedName name="TRANEND" localSheetId="16">#REF!</definedName>
    <definedName name="TRANEND" localSheetId="29">#REF!</definedName>
    <definedName name="TRANEND" localSheetId="36">#REF!</definedName>
    <definedName name="TRANEND" localSheetId="26">#REF!</definedName>
    <definedName name="TRANEND">#REF!</definedName>
    <definedName name="transportation_costs" localSheetId="14">#REF!</definedName>
    <definedName name="transportation_costs" localSheetId="16">#REF!</definedName>
    <definedName name="transportation_costs" localSheetId="29">#REF!</definedName>
    <definedName name="transportation_costs" localSheetId="36">#REF!</definedName>
    <definedName name="transportation_costs" localSheetId="26">#REF!</definedName>
    <definedName name="transportation_costs">#REF!</definedName>
    <definedName name="TRANSTART" localSheetId="14">#REF!</definedName>
    <definedName name="TRANSTART" localSheetId="16">#REF!</definedName>
    <definedName name="TRANSTART" localSheetId="29">#REF!</definedName>
    <definedName name="TRANSTART" localSheetId="36">#REF!</definedName>
    <definedName name="TRANSTART" localSheetId="26">#REF!</definedName>
    <definedName name="TRANSTART">#REF!</definedName>
    <definedName name="trn_beg_bud" localSheetId="14">#REF!</definedName>
    <definedName name="trn_beg_bud" localSheetId="16">#REF!</definedName>
    <definedName name="trn_beg_bud" localSheetId="29">#REF!</definedName>
    <definedName name="trn_beg_bud" localSheetId="36">#REF!</definedName>
    <definedName name="trn_beg_bud" localSheetId="26">#REF!</definedName>
    <definedName name="trn_beg_bud">#REF!</definedName>
    <definedName name="trn_end_bud" localSheetId="14">#REF!</definedName>
    <definedName name="trn_end_bud" localSheetId="16">#REF!</definedName>
    <definedName name="trn_end_bud" localSheetId="29">#REF!</definedName>
    <definedName name="trn_end_bud" localSheetId="36">#REF!</definedName>
    <definedName name="trn_end_bud" localSheetId="26">#REF!</definedName>
    <definedName name="trn_end_bud">#REF!</definedName>
    <definedName name="trn12ACT" localSheetId="14">#REF!</definedName>
    <definedName name="trn12ACT" localSheetId="16">#REF!</definedName>
    <definedName name="trn12ACT" localSheetId="29">#REF!</definedName>
    <definedName name="trn12ACT" localSheetId="36">#REF!</definedName>
    <definedName name="trn12ACT" localSheetId="26">#REF!</definedName>
    <definedName name="trn12ACT">#REF!</definedName>
    <definedName name="trnCYACT" localSheetId="14">#REF!</definedName>
    <definedName name="trnCYACT" localSheetId="16">#REF!</definedName>
    <definedName name="trnCYACT" localSheetId="29">#REF!</definedName>
    <definedName name="trnCYACT" localSheetId="36">#REF!</definedName>
    <definedName name="trnCYACT" localSheetId="26">#REF!</definedName>
    <definedName name="trnCYACT">#REF!</definedName>
    <definedName name="trnCYBUD" localSheetId="14">#REF!</definedName>
    <definedName name="trnCYBUD" localSheetId="16">#REF!</definedName>
    <definedName name="trnCYBUD" localSheetId="29">#REF!</definedName>
    <definedName name="trnCYBUD" localSheetId="36">#REF!</definedName>
    <definedName name="trnCYBUD" localSheetId="26">#REF!</definedName>
    <definedName name="trnCYBUD">#REF!</definedName>
    <definedName name="trnCYF" localSheetId="14">#REF!</definedName>
    <definedName name="trnCYF" localSheetId="16">#REF!</definedName>
    <definedName name="trnCYF" localSheetId="29">#REF!</definedName>
    <definedName name="trnCYF" localSheetId="36">#REF!</definedName>
    <definedName name="trnCYF" localSheetId="26">#REF!</definedName>
    <definedName name="trnCYF">#REF!</definedName>
    <definedName name="trnNYbud" localSheetId="14">#REF!</definedName>
    <definedName name="trnNYbud" localSheetId="16">#REF!</definedName>
    <definedName name="trnNYbud" localSheetId="29">#REF!</definedName>
    <definedName name="trnNYbud" localSheetId="36">#REF!</definedName>
    <definedName name="trnNYbud" localSheetId="26">#REF!</definedName>
    <definedName name="trnNYbud">#REF!</definedName>
    <definedName name="trnPYACT" localSheetId="14">#REF!</definedName>
    <definedName name="trnPYACT" localSheetId="16">#REF!</definedName>
    <definedName name="trnPYACT" localSheetId="29">#REF!</definedName>
    <definedName name="trnPYACT" localSheetId="36">#REF!</definedName>
    <definedName name="trnPYACT" localSheetId="26">#REF!</definedName>
    <definedName name="trnPYACT">#REF!</definedName>
    <definedName name="Units" localSheetId="9">[6]lists!$N$2:$N$5</definedName>
    <definedName name="Units" localSheetId="26">[7]lists!$N$2:$N$5</definedName>
    <definedName name="Units" localSheetId="11">[5]lists!$N$2:$N$5</definedName>
    <definedName name="Units">[7]lists!$N$2:$N$5</definedName>
    <definedName name="Units1" localSheetId="9">[6]lists!$O$2:$O$4</definedName>
    <definedName name="Units1">[7]lists!$O$2:$O$4</definedName>
    <definedName name="Units2" localSheetId="9">[6]lists!$P$2:$P$3</definedName>
    <definedName name="Units2">[7]lists!$P$2:$P$3</definedName>
    <definedName name="Utility">[10]Financials!$A$1</definedName>
    <definedName name="utitliy1">[22]Financials!$A$1</definedName>
    <definedName name="valuevx">42.314159</definedName>
    <definedName name="WAGBENF" localSheetId="14">#REF!</definedName>
    <definedName name="WAGBENF" localSheetId="16">#REF!</definedName>
    <definedName name="WAGBENF" localSheetId="29">#REF!</definedName>
    <definedName name="WAGBENF" localSheetId="36">#REF!</definedName>
    <definedName name="WAGBENF" localSheetId="26">#REF!</definedName>
    <definedName name="WAGBENF" localSheetId="11">#REF!</definedName>
    <definedName name="WAGBENF">#REF!</definedName>
    <definedName name="wagdob" localSheetId="14">#REF!</definedName>
    <definedName name="wagdob" localSheetId="16">#REF!</definedName>
    <definedName name="wagdob" localSheetId="29">#REF!</definedName>
    <definedName name="wagdob" localSheetId="36">#REF!</definedName>
    <definedName name="wagdob" localSheetId="26">#REF!</definedName>
    <definedName name="wagdob" localSheetId="11">#REF!</definedName>
    <definedName name="wagdob">#REF!</definedName>
    <definedName name="wagdobf" localSheetId="14">#REF!</definedName>
    <definedName name="wagdobf" localSheetId="16">#REF!</definedName>
    <definedName name="wagdobf" localSheetId="29">#REF!</definedName>
    <definedName name="wagdobf" localSheetId="36">#REF!</definedName>
    <definedName name="wagdobf" localSheetId="26">#REF!</definedName>
    <definedName name="wagdobf" localSheetId="11">#REF!</definedName>
    <definedName name="wagdobf">#REF!</definedName>
    <definedName name="wagreg" localSheetId="14">#REF!</definedName>
    <definedName name="wagreg" localSheetId="16">#REF!</definedName>
    <definedName name="wagreg" localSheetId="29">#REF!</definedName>
    <definedName name="wagreg" localSheetId="36">#REF!</definedName>
    <definedName name="wagreg" localSheetId="26">#REF!</definedName>
    <definedName name="wagreg">#REF!</definedName>
    <definedName name="wagregf" localSheetId="14">#REF!</definedName>
    <definedName name="wagregf" localSheetId="16">#REF!</definedName>
    <definedName name="wagregf" localSheetId="29">#REF!</definedName>
    <definedName name="wagregf" localSheetId="36">#REF!</definedName>
    <definedName name="wagregf" localSheetId="26">#REF!</definedName>
    <definedName name="wagregf">#REF!</definedName>
  </definedNames>
  <calcPr calcId="191029"/>
</workbook>
</file>

<file path=xl/calcChain.xml><?xml version="1.0" encoding="utf-8"?>
<calcChain xmlns="http://schemas.openxmlformats.org/spreadsheetml/2006/main">
  <c r="I39" i="15" l="1"/>
  <c r="H39" i="15"/>
  <c r="L251" i="14" l="1"/>
  <c r="C127" i="138" l="1"/>
  <c r="C133" i="138"/>
  <c r="C137" i="138"/>
  <c r="C151" i="138"/>
  <c r="F75" i="138"/>
  <c r="F76" i="138"/>
  <c r="F80" i="138"/>
  <c r="F81" i="138"/>
  <c r="F84" i="138"/>
  <c r="F85" i="138"/>
  <c r="F89" i="138"/>
  <c r="F90" i="138"/>
  <c r="F91" i="138"/>
  <c r="F96" i="138"/>
  <c r="F102" i="138"/>
  <c r="F103" i="138"/>
  <c r="F108" i="138"/>
  <c r="D112" i="138"/>
  <c r="D164" i="138" s="1"/>
  <c r="D71" i="138"/>
  <c r="C120" i="138"/>
  <c r="D72" i="138"/>
  <c r="D120" i="138" s="1"/>
  <c r="D73" i="138"/>
  <c r="D121" i="138" s="1"/>
  <c r="D74" i="138"/>
  <c r="D122" i="138" s="1"/>
  <c r="D75" i="138"/>
  <c r="C124" i="138"/>
  <c r="D76" i="138"/>
  <c r="D77" i="138"/>
  <c r="D78" i="138"/>
  <c r="D79" i="138"/>
  <c r="C131" i="138"/>
  <c r="D80" i="138"/>
  <c r="C132" i="138"/>
  <c r="D81" i="138"/>
  <c r="D82" i="138"/>
  <c r="D133" i="138" s="1"/>
  <c r="D83" i="138"/>
  <c r="C135" i="138"/>
  <c r="D84" i="138"/>
  <c r="D85" i="138"/>
  <c r="D136" i="138" s="1"/>
  <c r="D86" i="138"/>
  <c r="D137" i="138" s="1"/>
  <c r="D87" i="138"/>
  <c r="D88" i="138"/>
  <c r="D89" i="138"/>
  <c r="C139" i="138"/>
  <c r="D90" i="138"/>
  <c r="D139" i="138" s="1"/>
  <c r="D91" i="138"/>
  <c r="C144" i="138"/>
  <c r="D92" i="138"/>
  <c r="D93" i="138"/>
  <c r="C146" i="138"/>
  <c r="D94" i="138"/>
  <c r="D146" i="138" s="1"/>
  <c r="C147" i="138"/>
  <c r="D95" i="138"/>
  <c r="C148" i="138"/>
  <c r="D96" i="138"/>
  <c r="D98" i="138"/>
  <c r="D99" i="138"/>
  <c r="D151" i="138" s="1"/>
  <c r="D100" i="138"/>
  <c r="D152" i="138" s="1"/>
  <c r="C153" i="138"/>
  <c r="D101" i="138"/>
  <c r="D153" i="138" s="1"/>
  <c r="D102" i="138"/>
  <c r="C155" i="138"/>
  <c r="D103" i="138"/>
  <c r="D155" i="138" s="1"/>
  <c r="D104" i="138"/>
  <c r="C157" i="138"/>
  <c r="D105" i="138"/>
  <c r="D157" i="138" s="1"/>
  <c r="D106" i="138"/>
  <c r="C159" i="138"/>
  <c r="D107" i="138"/>
  <c r="D159" i="138" s="1"/>
  <c r="D108" i="138"/>
  <c r="D160" i="138" s="1"/>
  <c r="D109" i="138"/>
  <c r="F71" i="138"/>
  <c r="F119" i="138" s="1"/>
  <c r="F72" i="138"/>
  <c r="F73" i="138"/>
  <c r="F74" i="138"/>
  <c r="F77" i="138"/>
  <c r="F78" i="138"/>
  <c r="F79" i="138"/>
  <c r="F82" i="138"/>
  <c r="F83" i="138"/>
  <c r="F86" i="138"/>
  <c r="F87" i="138"/>
  <c r="F88" i="138"/>
  <c r="F92" i="138"/>
  <c r="F93" i="138"/>
  <c r="F94" i="138"/>
  <c r="F95" i="138"/>
  <c r="F97" i="138"/>
  <c r="F99" i="138"/>
  <c r="F100" i="138"/>
  <c r="F104" i="138"/>
  <c r="F105" i="138"/>
  <c r="F107" i="138"/>
  <c r="F109" i="138"/>
  <c r="C119" i="138"/>
  <c r="D119" i="138"/>
  <c r="C121" i="138"/>
  <c r="C122" i="138"/>
  <c r="C123" i="138"/>
  <c r="D123" i="138"/>
  <c r="D124" i="138"/>
  <c r="D127" i="138"/>
  <c r="C130" i="138"/>
  <c r="D130" i="138"/>
  <c r="D131" i="138"/>
  <c r="D132" i="138"/>
  <c r="C134" i="138"/>
  <c r="D134" i="138"/>
  <c r="D135" i="138"/>
  <c r="C136" i="138"/>
  <c r="C138" i="138"/>
  <c r="D138" i="138"/>
  <c r="C143" i="138"/>
  <c r="D143" i="138"/>
  <c r="D144" i="138"/>
  <c r="C145" i="138"/>
  <c r="D145" i="138"/>
  <c r="D147" i="138"/>
  <c r="D148" i="138"/>
  <c r="C149" i="138"/>
  <c r="D149" i="138"/>
  <c r="C150" i="138"/>
  <c r="D150" i="138"/>
  <c r="C152" i="138"/>
  <c r="C154" i="138"/>
  <c r="D154" i="138"/>
  <c r="C156" i="138"/>
  <c r="D156" i="138"/>
  <c r="C158" i="138"/>
  <c r="D158" i="138"/>
  <c r="C160" i="138"/>
  <c r="C164" i="138"/>
  <c r="H35" i="118" l="1"/>
  <c r="R387" i="138" l="1"/>
  <c r="R354" i="138"/>
  <c r="R333" i="138"/>
  <c r="R408" i="138"/>
  <c r="D355" i="138"/>
  <c r="F408" i="138" l="1"/>
  <c r="F409" i="138"/>
  <c r="R397" i="138" l="1"/>
  <c r="R343" i="138"/>
  <c r="J57" i="105" l="1"/>
  <c r="H74" i="140" l="1"/>
  <c r="H76" i="140"/>
  <c r="F507" i="100"/>
  <c r="F510" i="100" s="1"/>
  <c r="F513" i="100" s="1"/>
  <c r="L42" i="118"/>
  <c r="L54" i="14"/>
  <c r="L53" i="14"/>
  <c r="R392" i="138"/>
  <c r="R399" i="138"/>
  <c r="R400" i="138"/>
  <c r="R403" i="138"/>
  <c r="R404" i="138"/>
  <c r="R412" i="138"/>
  <c r="R426" i="138"/>
  <c r="R427" i="138"/>
  <c r="J517" i="100"/>
  <c r="J454" i="100"/>
  <c r="R131" i="138"/>
  <c r="R184" i="138"/>
  <c r="R82" i="138"/>
  <c r="R186" i="138"/>
  <c r="R135" i="138"/>
  <c r="R188" i="138"/>
  <c r="R137" i="138"/>
  <c r="R93" i="138"/>
  <c r="R201" i="138"/>
  <c r="R207" i="138"/>
  <c r="R212" i="138"/>
  <c r="K24" i="50"/>
  <c r="K31" i="50"/>
  <c r="I195" i="147"/>
  <c r="Z16" i="5"/>
  <c r="L28" i="136"/>
  <c r="I189" i="147"/>
  <c r="Y27" i="5"/>
  <c r="I193" i="147" s="1"/>
  <c r="I190" i="147"/>
  <c r="C62" i="122"/>
  <c r="C63" i="122"/>
  <c r="M55" i="133"/>
  <c r="L55" i="133"/>
  <c r="R344" i="138"/>
  <c r="R346" i="138"/>
  <c r="R347" i="138"/>
  <c r="R348" i="138"/>
  <c r="R349" i="138"/>
  <c r="R372" i="138"/>
  <c r="F443" i="100"/>
  <c r="F446" i="100" s="1"/>
  <c r="B25" i="118"/>
  <c r="C22" i="118"/>
  <c r="C25" i="118"/>
  <c r="D22" i="118"/>
  <c r="D25" i="118"/>
  <c r="E22" i="118"/>
  <c r="E25" i="118"/>
  <c r="F22" i="118"/>
  <c r="F25" i="118"/>
  <c r="G22" i="118"/>
  <c r="G25" i="118"/>
  <c r="H22" i="118"/>
  <c r="G311" i="18"/>
  <c r="F247" i="18"/>
  <c r="F213" i="18"/>
  <c r="F180" i="18"/>
  <c r="F156" i="18"/>
  <c r="F123" i="18"/>
  <c r="F318" i="18"/>
  <c r="F310" i="18"/>
  <c r="F23" i="18"/>
  <c r="F309" i="18"/>
  <c r="F308" i="18"/>
  <c r="F307" i="18"/>
  <c r="G307" i="18"/>
  <c r="F312" i="18"/>
  <c r="F313" i="18"/>
  <c r="F314" i="18"/>
  <c r="F315" i="18"/>
  <c r="F316" i="18"/>
  <c r="F317" i="18"/>
  <c r="F319" i="18"/>
  <c r="F320" i="18"/>
  <c r="F321" i="18"/>
  <c r="F132" i="18"/>
  <c r="G308" i="18"/>
  <c r="I308" i="18" s="1"/>
  <c r="G309" i="18"/>
  <c r="G310" i="18"/>
  <c r="K310" i="18" s="1"/>
  <c r="L310" i="18" s="1"/>
  <c r="G312" i="18"/>
  <c r="I312" i="18" s="1"/>
  <c r="G313" i="18"/>
  <c r="G314" i="18"/>
  <c r="K314" i="18" s="1"/>
  <c r="G315" i="18"/>
  <c r="K315" i="18" s="1"/>
  <c r="G317" i="18"/>
  <c r="G318" i="18"/>
  <c r="K318" i="18" s="1"/>
  <c r="G319" i="18"/>
  <c r="K319" i="18" s="1"/>
  <c r="G320" i="18"/>
  <c r="J320" i="18"/>
  <c r="F290" i="18"/>
  <c r="G321" i="18"/>
  <c r="K321" i="18" s="1"/>
  <c r="J307" i="18"/>
  <c r="J308" i="18"/>
  <c r="J310" i="18"/>
  <c r="J312" i="18"/>
  <c r="J313" i="18"/>
  <c r="J314" i="18"/>
  <c r="J315" i="18"/>
  <c r="J316" i="18"/>
  <c r="J317" i="18"/>
  <c r="F220" i="18"/>
  <c r="J318" i="18"/>
  <c r="L318" i="18" s="1"/>
  <c r="F242" i="18"/>
  <c r="F208" i="18"/>
  <c r="F118" i="18"/>
  <c r="F119" i="18"/>
  <c r="F85" i="18"/>
  <c r="F52" i="18"/>
  <c r="F20" i="18"/>
  <c r="F278" i="18"/>
  <c r="F245" i="18"/>
  <c r="F246" i="18"/>
  <c r="F211" i="18"/>
  <c r="F179" i="18"/>
  <c r="F177" i="18"/>
  <c r="F155" i="18"/>
  <c r="F154" i="18"/>
  <c r="F153" i="18"/>
  <c r="F122" i="18"/>
  <c r="F121" i="18"/>
  <c r="F86" i="18"/>
  <c r="F88" i="18"/>
  <c r="F53" i="18"/>
  <c r="F54" i="18"/>
  <c r="F55" i="18"/>
  <c r="H107" i="140"/>
  <c r="H108" i="140"/>
  <c r="H90" i="140"/>
  <c r="H91" i="140"/>
  <c r="H92" i="140"/>
  <c r="H95" i="140"/>
  <c r="H105" i="140"/>
  <c r="H101" i="140"/>
  <c r="H97" i="140"/>
  <c r="H89" i="140"/>
  <c r="R398" i="138"/>
  <c r="R402" i="138"/>
  <c r="R410" i="138"/>
  <c r="R421" i="138"/>
  <c r="I67" i="140"/>
  <c r="I68" i="140"/>
  <c r="M416" i="100"/>
  <c r="N416" i="100" s="1"/>
  <c r="J119" i="6"/>
  <c r="H131" i="11"/>
  <c r="F99" i="18"/>
  <c r="F96" i="18"/>
  <c r="F165" i="18"/>
  <c r="F65" i="18"/>
  <c r="F66" i="18"/>
  <c r="F253" i="18"/>
  <c r="F186" i="18"/>
  <c r="F287" i="18"/>
  <c r="F257" i="18"/>
  <c r="F190" i="18"/>
  <c r="F163" i="18"/>
  <c r="F130" i="18"/>
  <c r="F249" i="18"/>
  <c r="F215" i="18"/>
  <c r="F182" i="18"/>
  <c r="F181" i="18"/>
  <c r="F183" i="18"/>
  <c r="F157" i="18"/>
  <c r="F161" i="18"/>
  <c r="F125" i="18"/>
  <c r="F93" i="18"/>
  <c r="F94" i="18"/>
  <c r="F90" i="18"/>
  <c r="F60" i="18"/>
  <c r="F59" i="18"/>
  <c r="F58" i="18"/>
  <c r="F61" i="18"/>
  <c r="F51" i="18"/>
  <c r="L19" i="105"/>
  <c r="L50" i="105"/>
  <c r="K51" i="105"/>
  <c r="L51" i="105"/>
  <c r="K52" i="105"/>
  <c r="L52" i="105"/>
  <c r="M418" i="100"/>
  <c r="H418" i="100"/>
  <c r="R330" i="138"/>
  <c r="R373" i="138"/>
  <c r="J453" i="100"/>
  <c r="R361" i="138"/>
  <c r="R358" i="138"/>
  <c r="R356" i="138"/>
  <c r="R338" i="138"/>
  <c r="H19" i="21"/>
  <c r="G25" i="21"/>
  <c r="H25" i="21"/>
  <c r="E25" i="21"/>
  <c r="I259" i="14"/>
  <c r="G259" i="14"/>
  <c r="H259" i="14"/>
  <c r="N28" i="14"/>
  <c r="N31" i="14"/>
  <c r="J301" i="14"/>
  <c r="K287" i="14"/>
  <c r="J245" i="14"/>
  <c r="K259" i="14"/>
  <c r="J259" i="14"/>
  <c r="K245" i="14"/>
  <c r="H245" i="14"/>
  <c r="K203" i="14"/>
  <c r="K189" i="14"/>
  <c r="N167" i="14"/>
  <c r="N175" i="14" s="1"/>
  <c r="N168" i="14"/>
  <c r="J161" i="14"/>
  <c r="L147" i="14"/>
  <c r="L119" i="14"/>
  <c r="K147" i="14"/>
  <c r="K56" i="14"/>
  <c r="H37" i="145" s="1"/>
  <c r="K54" i="14"/>
  <c r="H35" i="145" s="1"/>
  <c r="K53" i="14"/>
  <c r="H34" i="145" s="1"/>
  <c r="N29" i="14"/>
  <c r="N30" i="14"/>
  <c r="J55" i="14"/>
  <c r="H32" i="145" s="1"/>
  <c r="G378" i="138"/>
  <c r="M34" i="100"/>
  <c r="P418" i="138"/>
  <c r="P402" i="138"/>
  <c r="P372" i="138"/>
  <c r="P367" i="138"/>
  <c r="P364" i="138"/>
  <c r="P362" i="138"/>
  <c r="P348" i="138"/>
  <c r="P347" i="138"/>
  <c r="P346" i="138"/>
  <c r="P333" i="138"/>
  <c r="H77" i="140"/>
  <c r="I331" i="133"/>
  <c r="O308" i="133"/>
  <c r="I308" i="133"/>
  <c r="I284" i="133"/>
  <c r="I261" i="133"/>
  <c r="O261" i="133"/>
  <c r="I237" i="133"/>
  <c r="O214" i="133"/>
  <c r="I214" i="133"/>
  <c r="I190" i="133"/>
  <c r="O167" i="133"/>
  <c r="I167" i="133"/>
  <c r="I143" i="133"/>
  <c r="O120" i="133"/>
  <c r="I120" i="133"/>
  <c r="I96" i="133"/>
  <c r="O73" i="133"/>
  <c r="I73" i="133"/>
  <c r="I83" i="133"/>
  <c r="O47" i="133"/>
  <c r="O56" i="133"/>
  <c r="O57" i="133"/>
  <c r="G39" i="71"/>
  <c r="H39" i="71"/>
  <c r="I39" i="71"/>
  <c r="J39" i="71"/>
  <c r="F39" i="71"/>
  <c r="E39" i="71"/>
  <c r="D39" i="71"/>
  <c r="C39" i="71"/>
  <c r="B37" i="71"/>
  <c r="B36" i="71"/>
  <c r="B39" i="71"/>
  <c r="J38" i="71"/>
  <c r="I38" i="71"/>
  <c r="H38" i="71"/>
  <c r="G38" i="71"/>
  <c r="F38" i="71"/>
  <c r="E38" i="71"/>
  <c r="D38" i="71"/>
  <c r="C38" i="71"/>
  <c r="J35" i="71"/>
  <c r="I35" i="71"/>
  <c r="H35" i="71"/>
  <c r="G35" i="71"/>
  <c r="F35" i="71"/>
  <c r="E35" i="71"/>
  <c r="D35" i="71"/>
  <c r="C35" i="71"/>
  <c r="J36" i="71"/>
  <c r="I36" i="71"/>
  <c r="H36" i="71"/>
  <c r="G36" i="71"/>
  <c r="F36" i="71"/>
  <c r="E36" i="71"/>
  <c r="D36" i="71"/>
  <c r="C36" i="71"/>
  <c r="B35" i="71"/>
  <c r="K79" i="150"/>
  <c r="K78" i="150"/>
  <c r="O60" i="150"/>
  <c r="K74" i="150"/>
  <c r="K73" i="150"/>
  <c r="F79" i="150"/>
  <c r="J63" i="150"/>
  <c r="J78" i="150" s="1"/>
  <c r="F77" i="150"/>
  <c r="J60" i="150"/>
  <c r="J59" i="150"/>
  <c r="J74" i="150" s="1"/>
  <c r="F73" i="150"/>
  <c r="I51" i="150"/>
  <c r="L51" i="150"/>
  <c r="N51" i="150"/>
  <c r="J38" i="150"/>
  <c r="C131" i="11"/>
  <c r="C97" i="11"/>
  <c r="H26" i="140"/>
  <c r="I21" i="102"/>
  <c r="D121" i="11"/>
  <c r="D36" i="118"/>
  <c r="E34" i="118"/>
  <c r="E36" i="118"/>
  <c r="F34" i="118"/>
  <c r="F36" i="118"/>
  <c r="G34" i="118"/>
  <c r="G36" i="118"/>
  <c r="H34" i="118"/>
  <c r="H36" i="118"/>
  <c r="C30" i="118"/>
  <c r="C29" i="118"/>
  <c r="B30" i="118"/>
  <c r="B29" i="118"/>
  <c r="B28" i="118"/>
  <c r="H17" i="80"/>
  <c r="F17" i="80"/>
  <c r="F29" i="80"/>
  <c r="F20" i="80"/>
  <c r="G17" i="80"/>
  <c r="H19" i="80"/>
  <c r="I20" i="80"/>
  <c r="I29" i="80"/>
  <c r="H83" i="140"/>
  <c r="G340" i="133"/>
  <c r="G334" i="133"/>
  <c r="M311" i="133"/>
  <c r="L311" i="133"/>
  <c r="G311" i="133"/>
  <c r="S300" i="133"/>
  <c r="R300" i="133"/>
  <c r="F300" i="133"/>
  <c r="G287" i="133"/>
  <c r="G264" i="133"/>
  <c r="M264" i="133"/>
  <c r="L264" i="133"/>
  <c r="S253" i="133"/>
  <c r="R253" i="133"/>
  <c r="F253" i="133"/>
  <c r="F254" i="133"/>
  <c r="G245" i="133"/>
  <c r="G246" i="133"/>
  <c r="G240" i="133"/>
  <c r="M217" i="133"/>
  <c r="L217" i="133"/>
  <c r="G217" i="133"/>
  <c r="S206" i="133"/>
  <c r="R206" i="133"/>
  <c r="R224" i="133"/>
  <c r="F206" i="133"/>
  <c r="K206" i="133"/>
  <c r="Q206" i="133"/>
  <c r="G199" i="133"/>
  <c r="G193" i="133"/>
  <c r="Q169" i="133"/>
  <c r="M170" i="133"/>
  <c r="L170" i="133"/>
  <c r="G170" i="133"/>
  <c r="S159" i="133"/>
  <c r="S160" i="133"/>
  <c r="R159" i="133"/>
  <c r="H159" i="133"/>
  <c r="N159" i="133"/>
  <c r="T159" i="133"/>
  <c r="U159" i="133"/>
  <c r="Q159" i="133"/>
  <c r="K159" i="133"/>
  <c r="F159" i="133"/>
  <c r="F182" i="133"/>
  <c r="G152" i="133"/>
  <c r="G146" i="133"/>
  <c r="H135" i="133"/>
  <c r="M123" i="133"/>
  <c r="L123" i="133"/>
  <c r="G123" i="133"/>
  <c r="S112" i="133"/>
  <c r="S130" i="133"/>
  <c r="R112" i="133"/>
  <c r="R123" i="133"/>
  <c r="H112" i="133"/>
  <c r="N112" i="133"/>
  <c r="T112" i="133"/>
  <c r="U112" i="133"/>
  <c r="G99" i="133"/>
  <c r="G105" i="133"/>
  <c r="H88" i="133"/>
  <c r="M76" i="133"/>
  <c r="L76" i="133"/>
  <c r="G76" i="133"/>
  <c r="S65" i="133"/>
  <c r="R65" i="133"/>
  <c r="Q65" i="133"/>
  <c r="K65" i="133"/>
  <c r="F65" i="133"/>
  <c r="F88" i="133"/>
  <c r="L50" i="133"/>
  <c r="M50" i="133"/>
  <c r="L51" i="133"/>
  <c r="F229" i="133"/>
  <c r="J273" i="14"/>
  <c r="H273" i="14"/>
  <c r="G273" i="14"/>
  <c r="N21" i="14"/>
  <c r="K17" i="6"/>
  <c r="K120" i="6"/>
  <c r="K119" i="6"/>
  <c r="K107" i="6"/>
  <c r="M426" i="138"/>
  <c r="M412" i="138"/>
  <c r="M394" i="138"/>
  <c r="K163" i="138"/>
  <c r="M53" i="138"/>
  <c r="M34" i="138"/>
  <c r="M24" i="138"/>
  <c r="M23" i="138"/>
  <c r="K50" i="105"/>
  <c r="S267" i="138"/>
  <c r="M268" i="138"/>
  <c r="K268" i="138"/>
  <c r="K269" i="138"/>
  <c r="K124" i="138"/>
  <c r="K125" i="138"/>
  <c r="K128" i="138"/>
  <c r="K129" i="138"/>
  <c r="K140" i="138"/>
  <c r="K20" i="105"/>
  <c r="L20" i="105"/>
  <c r="I1" i="18"/>
  <c r="K121" i="6"/>
  <c r="K108" i="6"/>
  <c r="N20" i="14"/>
  <c r="H164" i="138"/>
  <c r="H217" i="138"/>
  <c r="E216" i="138"/>
  <c r="R164" i="138"/>
  <c r="N163" i="138"/>
  <c r="O164" i="138"/>
  <c r="E163" i="138"/>
  <c r="R112" i="138"/>
  <c r="P111" i="138"/>
  <c r="P112" i="138"/>
  <c r="O111" i="138"/>
  <c r="O112" i="138"/>
  <c r="N111" i="138"/>
  <c r="P431" i="138"/>
  <c r="O431" i="138"/>
  <c r="N430" i="138"/>
  <c r="N431" i="138"/>
  <c r="M431" i="138"/>
  <c r="K430" i="138"/>
  <c r="K431" i="138"/>
  <c r="H431" i="138"/>
  <c r="E430" i="138"/>
  <c r="P377" i="138"/>
  <c r="O377" i="138"/>
  <c r="N376" i="138"/>
  <c r="N377" i="138"/>
  <c r="Q377" i="138" s="1"/>
  <c r="S377" i="138" s="1"/>
  <c r="M377" i="138"/>
  <c r="K376" i="138"/>
  <c r="K377" i="138"/>
  <c r="E376" i="138"/>
  <c r="H377" i="138"/>
  <c r="P323" i="138"/>
  <c r="O323" i="138"/>
  <c r="N323" i="138"/>
  <c r="Q323" i="138" s="1"/>
  <c r="S323" i="138" s="1"/>
  <c r="N322" i="138"/>
  <c r="M323" i="138"/>
  <c r="K322" i="138"/>
  <c r="K323" i="138"/>
  <c r="H323" i="138"/>
  <c r="E322" i="138"/>
  <c r="P269" i="138"/>
  <c r="O269" i="138"/>
  <c r="N268" i="138"/>
  <c r="N269" i="138"/>
  <c r="Q269" i="138" s="1"/>
  <c r="S269" i="138" s="1"/>
  <c r="H269" i="138"/>
  <c r="E268" i="138"/>
  <c r="M269" i="138"/>
  <c r="P164" i="138"/>
  <c r="P217" i="138"/>
  <c r="O217" i="138"/>
  <c r="N216" i="138"/>
  <c r="N217" i="138"/>
  <c r="Q217" i="138" s="1"/>
  <c r="S217" i="138" s="1"/>
  <c r="M217" i="138"/>
  <c r="K216" i="138"/>
  <c r="K217" i="138"/>
  <c r="M164" i="138"/>
  <c r="M112" i="138"/>
  <c r="M111" i="138"/>
  <c r="K111" i="138"/>
  <c r="H111" i="138"/>
  <c r="E111" i="138"/>
  <c r="P62" i="138"/>
  <c r="P63" i="138"/>
  <c r="O62" i="138"/>
  <c r="O63" i="138"/>
  <c r="M62" i="138"/>
  <c r="M63" i="138"/>
  <c r="H62" i="138"/>
  <c r="H63" i="138"/>
  <c r="E62" i="138"/>
  <c r="M17" i="100"/>
  <c r="N26" i="14"/>
  <c r="G131" i="11"/>
  <c r="G121" i="11"/>
  <c r="F131" i="11"/>
  <c r="H18" i="100"/>
  <c r="E121" i="11"/>
  <c r="D272" i="100"/>
  <c r="G272" i="100"/>
  <c r="L208" i="100"/>
  <c r="R296" i="138"/>
  <c r="R294" i="138"/>
  <c r="R291" i="138"/>
  <c r="R242" i="138"/>
  <c r="R239" i="138"/>
  <c r="R237" i="138"/>
  <c r="R84" i="138"/>
  <c r="J124" i="100"/>
  <c r="I182" i="147"/>
  <c r="I180" i="147"/>
  <c r="I179" i="147"/>
  <c r="I178" i="147"/>
  <c r="I159" i="147"/>
  <c r="I157" i="147"/>
  <c r="I135" i="147"/>
  <c r="I107" i="147"/>
  <c r="I87" i="147"/>
  <c r="I85" i="147"/>
  <c r="I55" i="147"/>
  <c r="I54" i="147"/>
  <c r="I51" i="147"/>
  <c r="I50" i="147"/>
  <c r="J54" i="14"/>
  <c r="H31" i="145" s="1"/>
  <c r="J53" i="14"/>
  <c r="H30" i="145" s="1"/>
  <c r="I54" i="14"/>
  <c r="H27" i="145" s="1"/>
  <c r="I53" i="14"/>
  <c r="H26" i="145" s="1"/>
  <c r="H54" i="14"/>
  <c r="H23" i="145" s="1"/>
  <c r="H53" i="14"/>
  <c r="H22" i="145" s="1"/>
  <c r="N27" i="14"/>
  <c r="N25" i="14"/>
  <c r="N23" i="14"/>
  <c r="N22" i="14"/>
  <c r="N19" i="14"/>
  <c r="N17" i="14"/>
  <c r="N16" i="14"/>
  <c r="N54" i="14" s="1"/>
  <c r="F54" i="14"/>
  <c r="E53" i="14"/>
  <c r="H10" i="145" s="1"/>
  <c r="L187" i="100"/>
  <c r="L190" i="100" s="1"/>
  <c r="K44" i="105"/>
  <c r="K46" i="105"/>
  <c r="K53" i="105"/>
  <c r="K56" i="105"/>
  <c r="K57" i="105"/>
  <c r="L57" i="105"/>
  <c r="L44" i="105"/>
  <c r="L46" i="105"/>
  <c r="L53" i="105"/>
  <c r="L56" i="105"/>
  <c r="H41" i="140"/>
  <c r="H65" i="140"/>
  <c r="H57" i="140"/>
  <c r="S22" i="80"/>
  <c r="G29" i="80"/>
  <c r="H29" i="80"/>
  <c r="J29" i="80"/>
  <c r="K29" i="80"/>
  <c r="L29" i="80"/>
  <c r="M29" i="80"/>
  <c r="O29" i="80"/>
  <c r="P29" i="80"/>
  <c r="Q29" i="80"/>
  <c r="R29" i="80"/>
  <c r="E29" i="80"/>
  <c r="B17" i="118"/>
  <c r="C17" i="118"/>
  <c r="D17" i="118"/>
  <c r="E17" i="118"/>
  <c r="H71" i="140"/>
  <c r="H47" i="140"/>
  <c r="P22" i="102"/>
  <c r="H39" i="140"/>
  <c r="R411" i="138"/>
  <c r="R413" i="138"/>
  <c r="R414" i="138"/>
  <c r="R419" i="138"/>
  <c r="R420" i="138"/>
  <c r="R422" i="138"/>
  <c r="R423" i="138"/>
  <c r="R424" i="138"/>
  <c r="R425" i="138"/>
  <c r="O429" i="138"/>
  <c r="P428" i="138"/>
  <c r="P427" i="138"/>
  <c r="P426" i="138"/>
  <c r="P425" i="138"/>
  <c r="P424" i="138"/>
  <c r="P423" i="138"/>
  <c r="O422" i="138"/>
  <c r="M422" i="138"/>
  <c r="P422" i="138"/>
  <c r="M421" i="138"/>
  <c r="P421" i="138"/>
  <c r="P420" i="138"/>
  <c r="P417" i="138"/>
  <c r="M416" i="138"/>
  <c r="P416" i="138"/>
  <c r="M415" i="138"/>
  <c r="P415" i="138"/>
  <c r="O414" i="138"/>
  <c r="M414" i="138"/>
  <c r="P414" i="138"/>
  <c r="P413" i="138"/>
  <c r="P412" i="138"/>
  <c r="P410" i="138"/>
  <c r="P409" i="138"/>
  <c r="O407" i="138"/>
  <c r="P405" i="138"/>
  <c r="P404" i="138"/>
  <c r="M403" i="138"/>
  <c r="P403" i="138"/>
  <c r="P401" i="138"/>
  <c r="P400" i="138"/>
  <c r="M399" i="138"/>
  <c r="P399" i="138"/>
  <c r="P398" i="138"/>
  <c r="M396" i="138"/>
  <c r="P395" i="138"/>
  <c r="P392" i="138"/>
  <c r="M390" i="138"/>
  <c r="M389" i="138"/>
  <c r="P388" i="138"/>
  <c r="P386" i="138"/>
  <c r="O385" i="138"/>
  <c r="K385" i="138"/>
  <c r="P384" i="138"/>
  <c r="R357" i="138"/>
  <c r="R359" i="138"/>
  <c r="R360" i="138"/>
  <c r="R365" i="138"/>
  <c r="R366" i="138"/>
  <c r="R368" i="138"/>
  <c r="R369" i="138"/>
  <c r="R370" i="138"/>
  <c r="R371" i="138"/>
  <c r="R331" i="138"/>
  <c r="R332" i="138"/>
  <c r="K335" i="138"/>
  <c r="N336" i="138"/>
  <c r="K337" i="138"/>
  <c r="K339" i="138"/>
  <c r="K340" i="138"/>
  <c r="K341" i="138"/>
  <c r="K395" i="138"/>
  <c r="N397" i="138"/>
  <c r="N351" i="138"/>
  <c r="K406" i="138"/>
  <c r="K353" i="138"/>
  <c r="K356" i="138"/>
  <c r="N357" i="138"/>
  <c r="N412" i="138"/>
  <c r="K359" i="138"/>
  <c r="K414" i="138"/>
  <c r="N363" i="138"/>
  <c r="K368" i="138"/>
  <c r="K369" i="138"/>
  <c r="N425" i="138"/>
  <c r="N373" i="138"/>
  <c r="K374" i="138"/>
  <c r="P351" i="138"/>
  <c r="P352" i="138"/>
  <c r="F342" i="138"/>
  <c r="F396" i="138" s="1"/>
  <c r="F397" i="138"/>
  <c r="H397" i="138" s="1"/>
  <c r="D342" i="138"/>
  <c r="D396" i="138" s="1"/>
  <c r="D343" i="138"/>
  <c r="D397" i="138" s="1"/>
  <c r="D408" i="138"/>
  <c r="D409" i="138"/>
  <c r="D374" i="138"/>
  <c r="D428" i="138" s="1"/>
  <c r="C342" i="138"/>
  <c r="C396" i="138" s="1"/>
  <c r="C343" i="138"/>
  <c r="C397" i="138" s="1"/>
  <c r="C408" i="138"/>
  <c r="C409" i="138"/>
  <c r="C374" i="138"/>
  <c r="K375" i="138"/>
  <c r="O374" i="138"/>
  <c r="M374" i="138"/>
  <c r="M373" i="138"/>
  <c r="M372" i="138"/>
  <c r="P371" i="138"/>
  <c r="O370" i="138"/>
  <c r="M370" i="138"/>
  <c r="N369" i="138"/>
  <c r="O369" i="138"/>
  <c r="O368" i="138"/>
  <c r="M368" i="138"/>
  <c r="P368" i="138"/>
  <c r="M367" i="138"/>
  <c r="M366" i="138"/>
  <c r="O365" i="138"/>
  <c r="M365" i="138"/>
  <c r="P365" i="138"/>
  <c r="M364" i="138"/>
  <c r="P363" i="138"/>
  <c r="O363" i="138"/>
  <c r="M363" i="138"/>
  <c r="M362" i="138"/>
  <c r="K362" i="138"/>
  <c r="M361" i="138"/>
  <c r="P361" i="138"/>
  <c r="P360" i="138"/>
  <c r="O360" i="138"/>
  <c r="M360" i="138"/>
  <c r="O359" i="138"/>
  <c r="M359" i="138"/>
  <c r="P359" i="138"/>
  <c r="M358" i="138"/>
  <c r="K358" i="138"/>
  <c r="O357" i="138"/>
  <c r="M357" i="138"/>
  <c r="M356" i="138"/>
  <c r="P356" i="138"/>
  <c r="P355" i="138"/>
  <c r="M355" i="138"/>
  <c r="M354" i="138"/>
  <c r="P354" i="138"/>
  <c r="P353" i="138"/>
  <c r="O353" i="138"/>
  <c r="M353" i="138"/>
  <c r="M352" i="138"/>
  <c r="M351" i="138"/>
  <c r="M350" i="138"/>
  <c r="M349" i="138"/>
  <c r="M348" i="138"/>
  <c r="M347" i="138"/>
  <c r="M346" i="138"/>
  <c r="M345" i="138"/>
  <c r="M344" i="138"/>
  <c r="O343" i="138"/>
  <c r="M343" i="138"/>
  <c r="P343" i="138"/>
  <c r="P342" i="138"/>
  <c r="M342" i="138"/>
  <c r="M341" i="138"/>
  <c r="P341" i="138"/>
  <c r="P340" i="138"/>
  <c r="M340" i="138"/>
  <c r="M339" i="138"/>
  <c r="P339" i="138"/>
  <c r="M338" i="138"/>
  <c r="O337" i="138"/>
  <c r="O336" i="138"/>
  <c r="M336" i="138"/>
  <c r="M334" i="138"/>
  <c r="P334" i="138"/>
  <c r="N334" i="138"/>
  <c r="M333" i="138"/>
  <c r="M332" i="138"/>
  <c r="P332" i="138"/>
  <c r="N332" i="138"/>
  <c r="O331" i="138"/>
  <c r="M330" i="138"/>
  <c r="N330" i="138"/>
  <c r="P330" i="138"/>
  <c r="R307" i="138"/>
  <c r="R284" i="138"/>
  <c r="P287" i="138"/>
  <c r="R277" i="138"/>
  <c r="R278" i="138"/>
  <c r="N278" i="138"/>
  <c r="O278" i="138"/>
  <c r="P278" i="138"/>
  <c r="R290" i="138"/>
  <c r="R292" i="138"/>
  <c r="R299" i="138"/>
  <c r="R300" i="138"/>
  <c r="R302" i="138"/>
  <c r="R303" i="138"/>
  <c r="R304" i="138"/>
  <c r="R305" i="138"/>
  <c r="R306" i="138"/>
  <c r="R310" i="138"/>
  <c r="R311" i="138"/>
  <c r="R312" i="138"/>
  <c r="R314" i="138"/>
  <c r="R315" i="138"/>
  <c r="R316" i="138"/>
  <c r="R318" i="138"/>
  <c r="R319" i="138"/>
  <c r="R276" i="138"/>
  <c r="P277" i="138"/>
  <c r="P282" i="138"/>
  <c r="P283" i="138"/>
  <c r="P285" i="138"/>
  <c r="P286" i="138"/>
  <c r="P288" i="138"/>
  <c r="P289" i="138"/>
  <c r="P299" i="138"/>
  <c r="P300" i="138"/>
  <c r="P301" i="138"/>
  <c r="P303" i="138"/>
  <c r="P305" i="138"/>
  <c r="P306" i="138"/>
  <c r="P309" i="138"/>
  <c r="P311" i="138"/>
  <c r="P312" i="138"/>
  <c r="P314" i="138"/>
  <c r="P315" i="138"/>
  <c r="P316" i="138"/>
  <c r="P317" i="138"/>
  <c r="P320" i="138"/>
  <c r="P321" i="138"/>
  <c r="M277" i="138"/>
  <c r="M278" i="138"/>
  <c r="M279" i="138"/>
  <c r="M280" i="138"/>
  <c r="M281" i="138"/>
  <c r="M282" i="138"/>
  <c r="M283" i="138"/>
  <c r="M284" i="138"/>
  <c r="M285" i="138"/>
  <c r="M286" i="138"/>
  <c r="M287" i="138"/>
  <c r="M288" i="138"/>
  <c r="M289" i="138"/>
  <c r="M290" i="138"/>
  <c r="M291" i="138"/>
  <c r="M292" i="138"/>
  <c r="M293" i="138"/>
  <c r="M294" i="138"/>
  <c r="M295" i="138"/>
  <c r="M296" i="138"/>
  <c r="M297" i="138"/>
  <c r="M298" i="138"/>
  <c r="M299" i="138"/>
  <c r="M300" i="138"/>
  <c r="M301" i="138"/>
  <c r="M302" i="138"/>
  <c r="M303" i="138"/>
  <c r="M304" i="138"/>
  <c r="M305" i="138"/>
  <c r="M306" i="138"/>
  <c r="M307" i="138"/>
  <c r="M308" i="138"/>
  <c r="M309" i="138"/>
  <c r="M310" i="138"/>
  <c r="M311" i="138"/>
  <c r="M312" i="138"/>
  <c r="M313" i="138"/>
  <c r="M314" i="138"/>
  <c r="M315" i="138"/>
  <c r="M316" i="138"/>
  <c r="M317" i="138"/>
  <c r="M318" i="138"/>
  <c r="M319" i="138"/>
  <c r="M320" i="138"/>
  <c r="M321" i="138"/>
  <c r="K277" i="138"/>
  <c r="K278" i="138"/>
  <c r="K280" i="138"/>
  <c r="K281" i="138"/>
  <c r="K282" i="138"/>
  <c r="K283" i="138"/>
  <c r="K285" i="138"/>
  <c r="K286" i="138"/>
  <c r="K287" i="138"/>
  <c r="K288" i="138"/>
  <c r="K289" i="138"/>
  <c r="K297" i="138"/>
  <c r="K298" i="138"/>
  <c r="K299" i="138"/>
  <c r="K300" i="138"/>
  <c r="K301" i="138"/>
  <c r="K302" i="138"/>
  <c r="K303" i="138"/>
  <c r="K304" i="138"/>
  <c r="K305" i="138"/>
  <c r="K306" i="138"/>
  <c r="K308" i="138"/>
  <c r="K309" i="138"/>
  <c r="K311" i="138"/>
  <c r="K312" i="138"/>
  <c r="K314" i="138"/>
  <c r="K315" i="138"/>
  <c r="K316" i="138"/>
  <c r="K317" i="138"/>
  <c r="K319" i="138"/>
  <c r="K320" i="138"/>
  <c r="K321" i="138"/>
  <c r="O277" i="138"/>
  <c r="O282" i="138"/>
  <c r="O283" i="138"/>
  <c r="O289" i="138"/>
  <c r="O299" i="138"/>
  <c r="O300" i="138"/>
  <c r="O301" i="138"/>
  <c r="O303" i="138"/>
  <c r="O305" i="138"/>
  <c r="O306" i="138"/>
  <c r="O309" i="138"/>
  <c r="O311" i="138"/>
  <c r="O312" i="138"/>
  <c r="O314" i="138"/>
  <c r="O315" i="138"/>
  <c r="O316" i="138"/>
  <c r="O317" i="138"/>
  <c r="O320" i="138"/>
  <c r="O321" i="138"/>
  <c r="N277" i="138"/>
  <c r="N280" i="138"/>
  <c r="N281" i="138"/>
  <c r="N282" i="138"/>
  <c r="N283" i="138"/>
  <c r="N285" i="138"/>
  <c r="N286" i="138"/>
  <c r="N287" i="138"/>
  <c r="N288" i="138"/>
  <c r="N289" i="138"/>
  <c r="N297" i="138"/>
  <c r="N298" i="138"/>
  <c r="N299" i="138"/>
  <c r="N300" i="138"/>
  <c r="Q300" i="138" s="1"/>
  <c r="S300" i="138" s="1"/>
  <c r="N301" i="138"/>
  <c r="Q301" i="138" s="1"/>
  <c r="S301" i="138" s="1"/>
  <c r="N302" i="138"/>
  <c r="N303" i="138"/>
  <c r="N304" i="138"/>
  <c r="N305" i="138"/>
  <c r="N306" i="138"/>
  <c r="N308" i="138"/>
  <c r="N309" i="138"/>
  <c r="N311" i="138"/>
  <c r="N312" i="138"/>
  <c r="N314" i="138"/>
  <c r="N315" i="138"/>
  <c r="N316" i="138"/>
  <c r="N317" i="138"/>
  <c r="N319" i="138"/>
  <c r="N320" i="138"/>
  <c r="N321" i="138"/>
  <c r="P280" i="138"/>
  <c r="P281" i="138"/>
  <c r="P297" i="138"/>
  <c r="P298" i="138"/>
  <c r="P302" i="138"/>
  <c r="P304" i="138"/>
  <c r="P308" i="138"/>
  <c r="P307" i="138"/>
  <c r="P313" i="138"/>
  <c r="P319" i="138"/>
  <c r="H288" i="138"/>
  <c r="O288" i="138"/>
  <c r="H289" i="138"/>
  <c r="D304" i="138"/>
  <c r="D358" i="138"/>
  <c r="D412" i="138" s="1"/>
  <c r="E288" i="138"/>
  <c r="E289" i="138"/>
  <c r="E300" i="138"/>
  <c r="E301" i="138"/>
  <c r="E320" i="138"/>
  <c r="D276" i="138"/>
  <c r="D321" i="138"/>
  <c r="D375" i="138"/>
  <c r="D429" i="138" s="1"/>
  <c r="C321" i="138"/>
  <c r="C375" i="138"/>
  <c r="C429" i="138"/>
  <c r="G324" i="138"/>
  <c r="N276" i="138"/>
  <c r="M276" i="138"/>
  <c r="K276" i="138"/>
  <c r="R253" i="138"/>
  <c r="R232" i="138"/>
  <c r="P245" i="138"/>
  <c r="P246" i="138"/>
  <c r="P247" i="138"/>
  <c r="P249" i="138"/>
  <c r="P250" i="138"/>
  <c r="P251" i="138"/>
  <c r="P252" i="138"/>
  <c r="P254" i="138"/>
  <c r="P255" i="138"/>
  <c r="P257" i="138"/>
  <c r="P258" i="138"/>
  <c r="P260" i="138"/>
  <c r="P261" i="138"/>
  <c r="P262" i="138"/>
  <c r="P263" i="138"/>
  <c r="P265" i="138"/>
  <c r="P266" i="138"/>
  <c r="O245" i="138"/>
  <c r="O246" i="138"/>
  <c r="O247" i="138"/>
  <c r="O249" i="138"/>
  <c r="O251" i="138"/>
  <c r="O252" i="138"/>
  <c r="O255" i="138"/>
  <c r="O257" i="138"/>
  <c r="O258" i="138"/>
  <c r="O260" i="138"/>
  <c r="O261" i="138"/>
  <c r="O262" i="138"/>
  <c r="O263" i="138"/>
  <c r="O265" i="138"/>
  <c r="O266" i="138"/>
  <c r="M246" i="138"/>
  <c r="M247" i="138"/>
  <c r="M248" i="138"/>
  <c r="M249" i="138"/>
  <c r="M250" i="138"/>
  <c r="M251" i="138"/>
  <c r="M252" i="138"/>
  <c r="M253" i="138"/>
  <c r="M254" i="138"/>
  <c r="M255" i="138"/>
  <c r="M256" i="138"/>
  <c r="M257" i="138"/>
  <c r="M258" i="138"/>
  <c r="M259" i="138"/>
  <c r="M260" i="138"/>
  <c r="M261" i="138"/>
  <c r="M262" i="138"/>
  <c r="M263" i="138"/>
  <c r="M264" i="138"/>
  <c r="M265" i="138"/>
  <c r="M266" i="138"/>
  <c r="O225" i="138"/>
  <c r="O226" i="138"/>
  <c r="O230" i="138"/>
  <c r="O231" i="138"/>
  <c r="O235" i="138"/>
  <c r="N234" i="138"/>
  <c r="K234" i="138"/>
  <c r="P253" i="138"/>
  <c r="P225" i="138"/>
  <c r="P226" i="138"/>
  <c r="P228" i="138"/>
  <c r="P230" i="138"/>
  <c r="P231" i="138"/>
  <c r="P233" i="138"/>
  <c r="P234" i="138"/>
  <c r="P235" i="138"/>
  <c r="M245" i="138"/>
  <c r="R225" i="138"/>
  <c r="R226" i="138"/>
  <c r="R236" i="138"/>
  <c r="R238" i="138"/>
  <c r="R248" i="138"/>
  <c r="R249" i="138"/>
  <c r="R250" i="138"/>
  <c r="R252" i="138"/>
  <c r="R255" i="138"/>
  <c r="R256" i="138"/>
  <c r="R257" i="138"/>
  <c r="R258" i="138"/>
  <c r="R260" i="138"/>
  <c r="R261" i="138"/>
  <c r="R262" i="138"/>
  <c r="R263" i="138"/>
  <c r="R264" i="138"/>
  <c r="R224" i="138"/>
  <c r="P232" i="138"/>
  <c r="P227" i="138"/>
  <c r="P229" i="138"/>
  <c r="P242" i="138"/>
  <c r="P244" i="138"/>
  <c r="P248" i="138"/>
  <c r="P256" i="138"/>
  <c r="P259" i="138"/>
  <c r="P224" i="138"/>
  <c r="F230" i="138"/>
  <c r="H230" i="138" s="1"/>
  <c r="F235" i="138"/>
  <c r="F247" i="138"/>
  <c r="H247" i="138" s="1"/>
  <c r="D287" i="138"/>
  <c r="D341" i="138" s="1"/>
  <c r="D395" i="138" s="1"/>
  <c r="D299" i="138"/>
  <c r="C235" i="138"/>
  <c r="C287" i="138"/>
  <c r="C341" i="138" s="1"/>
  <c r="C247" i="138"/>
  <c r="C299" i="138"/>
  <c r="G270" i="138"/>
  <c r="K267" i="138"/>
  <c r="K266" i="138"/>
  <c r="K265" i="138"/>
  <c r="K261" i="138"/>
  <c r="N257" i="138"/>
  <c r="K251" i="138"/>
  <c r="N249" i="138"/>
  <c r="K246" i="138"/>
  <c r="M244" i="138"/>
  <c r="K244" i="138"/>
  <c r="M243" i="138"/>
  <c r="K235" i="138"/>
  <c r="M234" i="138"/>
  <c r="M233" i="138"/>
  <c r="M232" i="138"/>
  <c r="M231" i="138"/>
  <c r="M230" i="138"/>
  <c r="M229" i="138"/>
  <c r="N229" i="138"/>
  <c r="M228" i="138"/>
  <c r="M227" i="138"/>
  <c r="M226" i="138"/>
  <c r="N225" i="138"/>
  <c r="M224" i="138"/>
  <c r="S213" i="138"/>
  <c r="R172" i="138"/>
  <c r="R173" i="138"/>
  <c r="R197" i="138"/>
  <c r="R199" i="138"/>
  <c r="R200" i="138"/>
  <c r="R205" i="138"/>
  <c r="R214" i="138"/>
  <c r="R215" i="138"/>
  <c r="O172" i="138"/>
  <c r="O173" i="138"/>
  <c r="O177" i="138"/>
  <c r="O178" i="138"/>
  <c r="O182" i="138"/>
  <c r="O193" i="138"/>
  <c r="O194" i="138"/>
  <c r="O195" i="138"/>
  <c r="O197" i="138"/>
  <c r="O199" i="138"/>
  <c r="O200" i="138"/>
  <c r="O203" i="138"/>
  <c r="O205" i="138"/>
  <c r="O206" i="138"/>
  <c r="O208" i="138"/>
  <c r="O209" i="138"/>
  <c r="O210" i="138"/>
  <c r="O211" i="138"/>
  <c r="O213" i="138"/>
  <c r="O214" i="138"/>
  <c r="O215" i="138"/>
  <c r="P192" i="138"/>
  <c r="P185" i="138"/>
  <c r="P191" i="138"/>
  <c r="N193" i="138"/>
  <c r="Q193" i="138" s="1"/>
  <c r="S193" i="138" s="1"/>
  <c r="N195" i="138"/>
  <c r="K182" i="138"/>
  <c r="K193" i="138"/>
  <c r="P172" i="138"/>
  <c r="P173" i="138"/>
  <c r="P175" i="138"/>
  <c r="P176" i="138"/>
  <c r="P177" i="138"/>
  <c r="P178" i="138"/>
  <c r="P180" i="138"/>
  <c r="P181" i="138"/>
  <c r="P182" i="138"/>
  <c r="P193" i="138"/>
  <c r="P194" i="138"/>
  <c r="P195" i="138"/>
  <c r="P196" i="138"/>
  <c r="P197" i="138"/>
  <c r="P199" i="138"/>
  <c r="P200" i="138"/>
  <c r="P202" i="138"/>
  <c r="P203" i="138"/>
  <c r="P205" i="138"/>
  <c r="P206" i="138"/>
  <c r="P208" i="138"/>
  <c r="P209" i="138"/>
  <c r="P210" i="138"/>
  <c r="P211" i="138"/>
  <c r="P213" i="138"/>
  <c r="P214" i="138"/>
  <c r="P215" i="138"/>
  <c r="N181" i="138"/>
  <c r="N182" i="138"/>
  <c r="Q182" i="138" s="1"/>
  <c r="S182" i="138" s="1"/>
  <c r="N197" i="138"/>
  <c r="Q197" i="138" s="1"/>
  <c r="S197" i="138" s="1"/>
  <c r="K181" i="138"/>
  <c r="K195" i="138"/>
  <c r="K197" i="138"/>
  <c r="M172" i="138"/>
  <c r="M173" i="138"/>
  <c r="M174" i="138"/>
  <c r="M175" i="138"/>
  <c r="M176" i="138"/>
  <c r="M177" i="138"/>
  <c r="M178" i="138"/>
  <c r="M179" i="138"/>
  <c r="M180" i="138"/>
  <c r="M181" i="138"/>
  <c r="M182" i="138"/>
  <c r="M183" i="138"/>
  <c r="M184" i="138"/>
  <c r="M185" i="138"/>
  <c r="M186" i="138"/>
  <c r="M187" i="138"/>
  <c r="M188" i="138"/>
  <c r="M189" i="138"/>
  <c r="M190" i="138"/>
  <c r="M191" i="138"/>
  <c r="M192" i="138"/>
  <c r="M193" i="138"/>
  <c r="M194" i="138"/>
  <c r="M195" i="138"/>
  <c r="M196" i="138"/>
  <c r="M197" i="138"/>
  <c r="M198" i="138"/>
  <c r="M199" i="138"/>
  <c r="M200" i="138"/>
  <c r="M201" i="138"/>
  <c r="M202" i="138"/>
  <c r="M203" i="138"/>
  <c r="M204" i="138"/>
  <c r="M205" i="138"/>
  <c r="M206" i="138"/>
  <c r="M207" i="138"/>
  <c r="M208" i="138"/>
  <c r="M209" i="138"/>
  <c r="M210" i="138"/>
  <c r="M211" i="138"/>
  <c r="M212" i="138"/>
  <c r="M213" i="138"/>
  <c r="M214" i="138"/>
  <c r="M215" i="138"/>
  <c r="H177" i="138"/>
  <c r="H182" i="138"/>
  <c r="H195" i="138"/>
  <c r="E182" i="138"/>
  <c r="E195" i="138"/>
  <c r="E321" i="138"/>
  <c r="K410" i="138"/>
  <c r="K370" i="138"/>
  <c r="N405" i="138"/>
  <c r="K342" i="138"/>
  <c r="N391" i="138"/>
  <c r="K391" i="138"/>
  <c r="N368" i="138"/>
  <c r="K423" i="138"/>
  <c r="O391" i="138"/>
  <c r="M391" i="138"/>
  <c r="N341" i="138"/>
  <c r="M406" i="138"/>
  <c r="M408" i="138"/>
  <c r="M384" i="138"/>
  <c r="O397" i="138"/>
  <c r="P397" i="138"/>
  <c r="M397" i="138"/>
  <c r="M401" i="138"/>
  <c r="N335" i="138"/>
  <c r="M385" i="138"/>
  <c r="O386" i="138"/>
  <c r="M392" i="138"/>
  <c r="M393" i="138"/>
  <c r="O417" i="138"/>
  <c r="M427" i="138"/>
  <c r="M398" i="138"/>
  <c r="M413" i="138"/>
  <c r="M420" i="138"/>
  <c r="O423" i="138"/>
  <c r="M425" i="138"/>
  <c r="M428" i="138"/>
  <c r="P385" i="138"/>
  <c r="M386" i="138"/>
  <c r="M387" i="138"/>
  <c r="M388" i="138"/>
  <c r="O390" i="138"/>
  <c r="P391" i="138"/>
  <c r="P396" i="138"/>
  <c r="P407" i="138"/>
  <c r="M411" i="138"/>
  <c r="O411" i="138"/>
  <c r="M424" i="138"/>
  <c r="O424" i="138"/>
  <c r="P390" i="138"/>
  <c r="P411" i="138"/>
  <c r="M418" i="138"/>
  <c r="P389" i="138"/>
  <c r="M419" i="138"/>
  <c r="O419" i="138"/>
  <c r="P393" i="138"/>
  <c r="M402" i="138"/>
  <c r="P406" i="138"/>
  <c r="M407" i="138"/>
  <c r="M410" i="138"/>
  <c r="P419" i="138"/>
  <c r="P394" i="138"/>
  <c r="M395" i="138"/>
  <c r="M400" i="138"/>
  <c r="M404" i="138"/>
  <c r="M405" i="138"/>
  <c r="M409" i="138"/>
  <c r="O413" i="138"/>
  <c r="M417" i="138"/>
  <c r="O420" i="138"/>
  <c r="M423" i="138"/>
  <c r="O425" i="138"/>
  <c r="O428" i="138"/>
  <c r="P429" i="138"/>
  <c r="M429" i="138"/>
  <c r="N356" i="138"/>
  <c r="P335" i="138"/>
  <c r="M331" i="138"/>
  <c r="M335" i="138"/>
  <c r="K336" i="138"/>
  <c r="P336" i="138"/>
  <c r="M337" i="138"/>
  <c r="P358" i="138"/>
  <c r="O366" i="138"/>
  <c r="M369" i="138"/>
  <c r="N370" i="138"/>
  <c r="P331" i="138"/>
  <c r="O371" i="138"/>
  <c r="M371" i="138"/>
  <c r="O332" i="138"/>
  <c r="N337" i="138"/>
  <c r="P366" i="138"/>
  <c r="P369" i="138"/>
  <c r="O375" i="138"/>
  <c r="M375" i="138"/>
  <c r="P337" i="138"/>
  <c r="P375" i="138"/>
  <c r="P357" i="138"/>
  <c r="P374" i="138"/>
  <c r="P370" i="138"/>
  <c r="M225" i="138"/>
  <c r="M241" i="138"/>
  <c r="M237" i="138"/>
  <c r="M236" i="138"/>
  <c r="M240" i="138"/>
  <c r="M235" i="138"/>
  <c r="M239" i="138"/>
  <c r="M238" i="138"/>
  <c r="M242" i="138"/>
  <c r="F178" i="138"/>
  <c r="H178" i="138" s="1"/>
  <c r="F180" i="138"/>
  <c r="H180" i="138" s="1"/>
  <c r="O180" i="138" s="1"/>
  <c r="F181" i="138"/>
  <c r="F234" i="138" s="1"/>
  <c r="F214" i="138"/>
  <c r="F266" i="138" s="1"/>
  <c r="H266" i="138" s="1"/>
  <c r="H214" i="138"/>
  <c r="H215" i="138"/>
  <c r="D282" i="138"/>
  <c r="D336" i="138" s="1"/>
  <c r="D390" i="138" s="1"/>
  <c r="D297" i="138"/>
  <c r="D351" i="138" s="1"/>
  <c r="D405" i="138" s="1"/>
  <c r="D298" i="138"/>
  <c r="D352" i="138" s="1"/>
  <c r="D406" i="138" s="1"/>
  <c r="C171" i="138"/>
  <c r="C224" i="138"/>
  <c r="E224" i="138"/>
  <c r="N224" i="138" s="1"/>
  <c r="C177" i="138"/>
  <c r="C230" i="138" s="1"/>
  <c r="C178" i="138"/>
  <c r="C231" i="138"/>
  <c r="C283" i="138" s="1"/>
  <c r="C337" i="138" s="1"/>
  <c r="C180" i="138"/>
  <c r="E180" i="138" s="1"/>
  <c r="C233" i="138"/>
  <c r="C285" i="138" s="1"/>
  <c r="C339" i="138" s="1"/>
  <c r="C393" i="138" s="1"/>
  <c r="C181" i="138"/>
  <c r="C234" i="138" s="1"/>
  <c r="C286" i="138" s="1"/>
  <c r="C193" i="138"/>
  <c r="C245" i="138" s="1"/>
  <c r="C194" i="138"/>
  <c r="C214" i="138"/>
  <c r="C267" i="138"/>
  <c r="G218" i="138"/>
  <c r="K215" i="138"/>
  <c r="E215" i="138"/>
  <c r="K209" i="138"/>
  <c r="N206" i="138"/>
  <c r="N196" i="138"/>
  <c r="N192" i="138"/>
  <c r="N178" i="138"/>
  <c r="Q178" i="138" s="1"/>
  <c r="S178" i="138" s="1"/>
  <c r="N173" i="138"/>
  <c r="K172" i="138"/>
  <c r="M171" i="138"/>
  <c r="E171" i="138"/>
  <c r="R120" i="138"/>
  <c r="R121" i="138"/>
  <c r="R144" i="138"/>
  <c r="R146" i="138"/>
  <c r="R147" i="138"/>
  <c r="R152" i="138"/>
  <c r="R155" i="138"/>
  <c r="R156" i="138"/>
  <c r="R157" i="138"/>
  <c r="R160" i="138"/>
  <c r="P120" i="138"/>
  <c r="P121" i="138"/>
  <c r="P122" i="138"/>
  <c r="P124" i="138"/>
  <c r="P125" i="138"/>
  <c r="P126" i="138"/>
  <c r="P128" i="138"/>
  <c r="P129" i="138"/>
  <c r="P138" i="138"/>
  <c r="P139" i="138"/>
  <c r="P140" i="138"/>
  <c r="P141" i="138"/>
  <c r="P142" i="138"/>
  <c r="P144" i="138"/>
  <c r="P145" i="138"/>
  <c r="P146" i="138"/>
  <c r="P147" i="138"/>
  <c r="P149" i="138"/>
  <c r="P150" i="138"/>
  <c r="P152" i="138"/>
  <c r="P153" i="138"/>
  <c r="P155" i="138"/>
  <c r="P156" i="138"/>
  <c r="P157" i="138"/>
  <c r="P158" i="138"/>
  <c r="P160" i="138"/>
  <c r="P161" i="138"/>
  <c r="P162" i="138"/>
  <c r="O120" i="138"/>
  <c r="O121" i="138"/>
  <c r="O123" i="138"/>
  <c r="O124" i="138"/>
  <c r="O125" i="138"/>
  <c r="O126" i="138"/>
  <c r="O129" i="138"/>
  <c r="O140" i="138"/>
  <c r="O141" i="138"/>
  <c r="O142" i="138"/>
  <c r="O144" i="138"/>
  <c r="O146" i="138"/>
  <c r="O147" i="138"/>
  <c r="O150" i="138"/>
  <c r="O152" i="138"/>
  <c r="O153" i="138"/>
  <c r="O155" i="138"/>
  <c r="O156" i="138"/>
  <c r="O157" i="138"/>
  <c r="O158" i="138"/>
  <c r="O160" i="138"/>
  <c r="O161" i="138"/>
  <c r="O162" i="138"/>
  <c r="N124" i="138"/>
  <c r="Q124" i="138" s="1"/>
  <c r="S124" i="138" s="1"/>
  <c r="N125" i="138"/>
  <c r="Q125" i="138" s="1"/>
  <c r="S125" i="138" s="1"/>
  <c r="N128" i="138"/>
  <c r="N129" i="138"/>
  <c r="Q129" i="138" s="1"/>
  <c r="S129" i="138" s="1"/>
  <c r="N140" i="138"/>
  <c r="Q140" i="138" s="1"/>
  <c r="S140" i="138" s="1"/>
  <c r="P143" i="138"/>
  <c r="K126" i="138"/>
  <c r="K141" i="138"/>
  <c r="K142" i="138"/>
  <c r="H140" i="138"/>
  <c r="H141" i="138"/>
  <c r="H142" i="138"/>
  <c r="P132" i="138"/>
  <c r="P131" i="138"/>
  <c r="H128" i="138"/>
  <c r="O128" i="138" s="1"/>
  <c r="M125" i="138"/>
  <c r="M158" i="138"/>
  <c r="M159" i="138"/>
  <c r="K160" i="138"/>
  <c r="M160" i="138"/>
  <c r="F193" i="138"/>
  <c r="F194" i="138"/>
  <c r="F246" i="138" s="1"/>
  <c r="F150" i="138"/>
  <c r="H150" i="138" s="1"/>
  <c r="F161" i="138"/>
  <c r="H161" i="138" s="1"/>
  <c r="H162" i="138"/>
  <c r="D308" i="138"/>
  <c r="D362" i="138" s="1"/>
  <c r="D416" i="138" s="1"/>
  <c r="C203" i="138"/>
  <c r="C255" i="138" s="1"/>
  <c r="C309" i="138" s="1"/>
  <c r="C363" i="138" s="1"/>
  <c r="C417" i="138" s="1"/>
  <c r="G165" i="138"/>
  <c r="M162" i="138"/>
  <c r="E162" i="138"/>
  <c r="M161" i="138"/>
  <c r="M157" i="138"/>
  <c r="K157" i="138"/>
  <c r="M156" i="138"/>
  <c r="M155" i="138"/>
  <c r="N155" i="138"/>
  <c r="M154" i="138"/>
  <c r="K153" i="138"/>
  <c r="M152" i="138"/>
  <c r="M151" i="138"/>
  <c r="M150" i="138"/>
  <c r="K150" i="138"/>
  <c r="K147" i="138"/>
  <c r="M144" i="138"/>
  <c r="M140" i="138"/>
  <c r="M139" i="138"/>
  <c r="M138" i="138"/>
  <c r="M133" i="138"/>
  <c r="M129" i="138"/>
  <c r="M127" i="138"/>
  <c r="M126" i="138"/>
  <c r="M124" i="138"/>
  <c r="M123" i="138"/>
  <c r="M122" i="138"/>
  <c r="K121" i="138"/>
  <c r="K120" i="138"/>
  <c r="R72" i="138"/>
  <c r="R73" i="138"/>
  <c r="R75" i="138"/>
  <c r="R76" i="138"/>
  <c r="R78" i="138"/>
  <c r="R87" i="138"/>
  <c r="R88" i="138"/>
  <c r="R89" i="138"/>
  <c r="R92" i="138"/>
  <c r="R94" i="138"/>
  <c r="R95" i="138"/>
  <c r="R100" i="138"/>
  <c r="R101" i="138"/>
  <c r="R103" i="138"/>
  <c r="R104" i="138"/>
  <c r="R106" i="138"/>
  <c r="R109" i="138"/>
  <c r="P87" i="138"/>
  <c r="P88" i="138"/>
  <c r="P89" i="138"/>
  <c r="P90" i="138"/>
  <c r="P92" i="138"/>
  <c r="P94" i="138"/>
  <c r="P95" i="138"/>
  <c r="P97" i="138"/>
  <c r="P98" i="138"/>
  <c r="P100" i="138"/>
  <c r="P101" i="138"/>
  <c r="P103" i="138"/>
  <c r="P104" i="138"/>
  <c r="P105" i="138"/>
  <c r="P106" i="138"/>
  <c r="P108" i="138"/>
  <c r="P109" i="138"/>
  <c r="P110" i="138"/>
  <c r="M119" i="138"/>
  <c r="M149" i="138"/>
  <c r="M120" i="138"/>
  <c r="M136" i="138"/>
  <c r="M141" i="138"/>
  <c r="M142" i="138"/>
  <c r="M146" i="138"/>
  <c r="M121" i="138"/>
  <c r="M135" i="138"/>
  <c r="M143" i="138"/>
  <c r="M145" i="138"/>
  <c r="M130" i="138"/>
  <c r="M153" i="138"/>
  <c r="M134" i="138"/>
  <c r="M137" i="138"/>
  <c r="M148" i="138"/>
  <c r="M147" i="138"/>
  <c r="M128" i="138"/>
  <c r="M131" i="138"/>
  <c r="M132" i="138"/>
  <c r="E161" i="138"/>
  <c r="P75" i="138"/>
  <c r="P76" i="138"/>
  <c r="P78" i="138"/>
  <c r="P81" i="138"/>
  <c r="F153" i="138"/>
  <c r="F158" i="138"/>
  <c r="P91" i="138"/>
  <c r="H98" i="138"/>
  <c r="H101" i="138"/>
  <c r="H106" i="138"/>
  <c r="H109" i="138"/>
  <c r="D316" i="138"/>
  <c r="D370" i="138" s="1"/>
  <c r="D424" i="138" s="1"/>
  <c r="D317" i="138"/>
  <c r="D371" i="138" s="1"/>
  <c r="D425" i="138" s="1"/>
  <c r="E110" i="138"/>
  <c r="D280" i="138"/>
  <c r="D388" i="138" s="1"/>
  <c r="D281" i="138"/>
  <c r="D335" i="138" s="1"/>
  <c r="D389" i="138" s="1"/>
  <c r="E98" i="138"/>
  <c r="D311" i="138"/>
  <c r="D365" i="138" s="1"/>
  <c r="D419" i="138" s="1"/>
  <c r="D312" i="138"/>
  <c r="D366" i="138" s="1"/>
  <c r="D420" i="138" s="1"/>
  <c r="C206" i="138"/>
  <c r="C258" i="138" s="1"/>
  <c r="C312" i="138" s="1"/>
  <c r="C366" i="138" s="1"/>
  <c r="C209" i="138"/>
  <c r="C261" i="138" s="1"/>
  <c r="C315" i="138" s="1"/>
  <c r="C211" i="138"/>
  <c r="C175" i="138"/>
  <c r="C176" i="138"/>
  <c r="C197" i="138"/>
  <c r="C249" i="138" s="1"/>
  <c r="C303" i="138" s="1"/>
  <c r="C357" i="138" s="1"/>
  <c r="C411" i="138" s="1"/>
  <c r="C200" i="138"/>
  <c r="C252" i="138" s="1"/>
  <c r="C306" i="138" s="1"/>
  <c r="C360" i="138" s="1"/>
  <c r="C414" i="138" s="1"/>
  <c r="G113" i="138"/>
  <c r="H110" i="138"/>
  <c r="K106" i="138"/>
  <c r="N104" i="138"/>
  <c r="O104" i="138"/>
  <c r="N100" i="138"/>
  <c r="K98" i="138"/>
  <c r="N97" i="138"/>
  <c r="M97" i="138"/>
  <c r="K97" i="138"/>
  <c r="M94" i="138"/>
  <c r="O92" i="138"/>
  <c r="M89" i="138"/>
  <c r="N89" i="138"/>
  <c r="K88" i="138"/>
  <c r="M87" i="138"/>
  <c r="M85" i="138"/>
  <c r="M81" i="138"/>
  <c r="N76" i="138"/>
  <c r="P73" i="138"/>
  <c r="P72" i="138"/>
  <c r="K72" i="138"/>
  <c r="M71" i="138"/>
  <c r="E109" i="138"/>
  <c r="E106" i="138"/>
  <c r="M107" i="138"/>
  <c r="M109" i="138"/>
  <c r="M93" i="138"/>
  <c r="O89" i="138"/>
  <c r="M100" i="138"/>
  <c r="O106" i="138"/>
  <c r="M92" i="138"/>
  <c r="O109" i="138"/>
  <c r="M72" i="138"/>
  <c r="M74" i="138"/>
  <c r="M103" i="138"/>
  <c r="O78" i="138"/>
  <c r="M79" i="138"/>
  <c r="M105" i="138"/>
  <c r="M73" i="138"/>
  <c r="M75" i="138"/>
  <c r="M76" i="138"/>
  <c r="M83" i="138"/>
  <c r="M84" i="138"/>
  <c r="O87" i="138"/>
  <c r="M88" i="138"/>
  <c r="O94" i="138"/>
  <c r="O98" i="138"/>
  <c r="M99" i="138"/>
  <c r="M101" i="138"/>
  <c r="M102" i="138"/>
  <c r="M108" i="138"/>
  <c r="M110" i="138"/>
  <c r="O101" i="138"/>
  <c r="O108" i="138"/>
  <c r="O110" i="138"/>
  <c r="O73" i="138"/>
  <c r="O75" i="138"/>
  <c r="O76" i="138"/>
  <c r="O88" i="138"/>
  <c r="O72" i="138"/>
  <c r="M77" i="138"/>
  <c r="M78" i="138"/>
  <c r="M80" i="138"/>
  <c r="M82" i="138"/>
  <c r="M98" i="138"/>
  <c r="O100" i="138"/>
  <c r="O103" i="138"/>
  <c r="M104" i="138"/>
  <c r="O105" i="138"/>
  <c r="M106" i="138"/>
  <c r="M86" i="138"/>
  <c r="M90" i="138"/>
  <c r="M91" i="138"/>
  <c r="M95" i="138"/>
  <c r="M96" i="138"/>
  <c r="O90" i="138"/>
  <c r="O95" i="138"/>
  <c r="I24" i="150"/>
  <c r="I23" i="150"/>
  <c r="I22" i="150"/>
  <c r="J20" i="150"/>
  <c r="I20" i="150"/>
  <c r="J19" i="150"/>
  <c r="I19" i="150"/>
  <c r="J18" i="150"/>
  <c r="I18" i="150"/>
  <c r="D20" i="150"/>
  <c r="F64" i="138"/>
  <c r="G64" i="138"/>
  <c r="P61" i="138"/>
  <c r="O61" i="138"/>
  <c r="M61" i="138"/>
  <c r="H61" i="138"/>
  <c r="P60" i="138"/>
  <c r="O60" i="138"/>
  <c r="N60" i="138"/>
  <c r="M60" i="138"/>
  <c r="K60" i="138"/>
  <c r="H60" i="138"/>
  <c r="E60" i="138"/>
  <c r="P59" i="138"/>
  <c r="O59" i="138"/>
  <c r="N59" i="138"/>
  <c r="Q59" i="138" s="1"/>
  <c r="S59" i="138" s="1"/>
  <c r="M59" i="138"/>
  <c r="K59" i="138"/>
  <c r="H59" i="138"/>
  <c r="M58" i="138"/>
  <c r="H58" i="138"/>
  <c r="O58" i="138" s="1"/>
  <c r="P57" i="138"/>
  <c r="O57" i="138"/>
  <c r="N57" i="138"/>
  <c r="M57" i="138"/>
  <c r="K57" i="138"/>
  <c r="H57" i="138"/>
  <c r="E57" i="138"/>
  <c r="P56" i="138"/>
  <c r="O56" i="138"/>
  <c r="N56" i="138"/>
  <c r="M56" i="138"/>
  <c r="K56" i="138"/>
  <c r="H56" i="138"/>
  <c r="E56" i="138"/>
  <c r="P55" i="138"/>
  <c r="O55" i="138"/>
  <c r="N55" i="138"/>
  <c r="M55" i="138"/>
  <c r="K55" i="138"/>
  <c r="F156" i="138"/>
  <c r="H55" i="138"/>
  <c r="E55" i="138"/>
  <c r="P54" i="138"/>
  <c r="O54" i="138"/>
  <c r="N54" i="138"/>
  <c r="M54" i="138"/>
  <c r="K54" i="138"/>
  <c r="H54" i="138"/>
  <c r="E54" i="138"/>
  <c r="H53" i="138"/>
  <c r="O53" i="138" s="1"/>
  <c r="P52" i="138"/>
  <c r="O52" i="138"/>
  <c r="N52" i="138"/>
  <c r="M52" i="138"/>
  <c r="K52" i="138"/>
  <c r="H52" i="138"/>
  <c r="E52" i="138"/>
  <c r="P51" i="138"/>
  <c r="O51" i="138"/>
  <c r="N51" i="138"/>
  <c r="M51" i="138"/>
  <c r="K51" i="138"/>
  <c r="H51" i="138"/>
  <c r="E51" i="138"/>
  <c r="M50" i="138"/>
  <c r="H50" i="138"/>
  <c r="O50" i="138" s="1"/>
  <c r="P49" i="138"/>
  <c r="O49" i="138"/>
  <c r="N49" i="138"/>
  <c r="M49" i="138"/>
  <c r="K49" i="138"/>
  <c r="F149" i="138"/>
  <c r="H149" i="138" s="1"/>
  <c r="O149" i="138" s="1"/>
  <c r="H49" i="138"/>
  <c r="E49" i="138"/>
  <c r="M48" i="138"/>
  <c r="H48" i="138"/>
  <c r="O48" i="138" s="1"/>
  <c r="D307" i="138"/>
  <c r="D361" i="138" s="1"/>
  <c r="D415" i="138" s="1"/>
  <c r="P47" i="138"/>
  <c r="O47" i="138"/>
  <c r="N47" i="138"/>
  <c r="Q47" i="138" s="1"/>
  <c r="S47" i="138" s="1"/>
  <c r="M47" i="138"/>
  <c r="K47" i="138"/>
  <c r="H47" i="138"/>
  <c r="E47" i="138"/>
  <c r="P46" i="138"/>
  <c r="O46" i="138"/>
  <c r="N46" i="138"/>
  <c r="Q46" i="138" s="1"/>
  <c r="S46" i="138" s="1"/>
  <c r="M46" i="138"/>
  <c r="K46" i="138"/>
  <c r="H46" i="138"/>
  <c r="E46" i="138"/>
  <c r="M45" i="138"/>
  <c r="H45" i="138"/>
  <c r="O45" i="138" s="1"/>
  <c r="P44" i="138"/>
  <c r="O44" i="138"/>
  <c r="N44" i="138"/>
  <c r="M44" i="138"/>
  <c r="K44" i="138"/>
  <c r="H44" i="138"/>
  <c r="E44" i="138"/>
  <c r="M43" i="138"/>
  <c r="H43" i="138"/>
  <c r="O43" i="138"/>
  <c r="D302" i="138"/>
  <c r="D356" i="138" s="1"/>
  <c r="D410" i="138" s="1"/>
  <c r="P42" i="138"/>
  <c r="O42" i="138"/>
  <c r="N42" i="138"/>
  <c r="M42" i="138"/>
  <c r="K42" i="138"/>
  <c r="H42" i="138"/>
  <c r="E42" i="138"/>
  <c r="P41" i="138"/>
  <c r="Q41" i="138" s="1"/>
  <c r="O41" i="138"/>
  <c r="N41" i="138"/>
  <c r="M41" i="138"/>
  <c r="K41" i="138"/>
  <c r="H41" i="138"/>
  <c r="E41" i="138"/>
  <c r="P40" i="138"/>
  <c r="Q40" i="138" s="1"/>
  <c r="O40" i="138"/>
  <c r="N40" i="138"/>
  <c r="M40" i="138"/>
  <c r="K40" i="138"/>
  <c r="H88" i="138"/>
  <c r="H40" i="138"/>
  <c r="E40" i="138"/>
  <c r="P39" i="138"/>
  <c r="O39" i="138"/>
  <c r="N39" i="138"/>
  <c r="M39" i="138"/>
  <c r="K39" i="138"/>
  <c r="H87" i="138"/>
  <c r="H39" i="138"/>
  <c r="E39" i="138"/>
  <c r="M38" i="138"/>
  <c r="H38" i="138"/>
  <c r="O38" i="138"/>
  <c r="M37" i="138"/>
  <c r="H37" i="138"/>
  <c r="O37" i="138" s="1"/>
  <c r="M36" i="138"/>
  <c r="H36" i="138"/>
  <c r="O36" i="138"/>
  <c r="M35" i="138"/>
  <c r="H35" i="138"/>
  <c r="O35" i="138"/>
  <c r="H34" i="138"/>
  <c r="O34" i="138"/>
  <c r="M33" i="138"/>
  <c r="H33" i="138"/>
  <c r="O33" i="138"/>
  <c r="C185" i="138"/>
  <c r="M32" i="138"/>
  <c r="H80" i="138"/>
  <c r="O80" i="138" s="1"/>
  <c r="H32" i="138"/>
  <c r="O32" i="138"/>
  <c r="M31" i="138"/>
  <c r="H31" i="138"/>
  <c r="O31" i="138" s="1"/>
  <c r="P30" i="138"/>
  <c r="O30" i="138"/>
  <c r="N30" i="138"/>
  <c r="M30" i="138"/>
  <c r="K30" i="138"/>
  <c r="H78" i="138"/>
  <c r="H30" i="138"/>
  <c r="E30" i="138"/>
  <c r="M29" i="138"/>
  <c r="H29" i="138"/>
  <c r="O29" i="138"/>
  <c r="D284" i="138"/>
  <c r="D338" i="138" s="1"/>
  <c r="D392" i="138" s="1"/>
  <c r="P28" i="138"/>
  <c r="O28" i="138"/>
  <c r="N28" i="138"/>
  <c r="M28" i="138"/>
  <c r="K28" i="138"/>
  <c r="H28" i="138"/>
  <c r="E28" i="138"/>
  <c r="P27" i="138"/>
  <c r="O27" i="138"/>
  <c r="N27" i="138"/>
  <c r="M27" i="138"/>
  <c r="K27" i="138"/>
  <c r="H27" i="138"/>
  <c r="E27" i="138"/>
  <c r="M26" i="138"/>
  <c r="H26" i="138"/>
  <c r="O26" i="138"/>
  <c r="P25" i="138"/>
  <c r="O25" i="138"/>
  <c r="N25" i="138"/>
  <c r="M25" i="138"/>
  <c r="K25" i="138"/>
  <c r="H25" i="138"/>
  <c r="C173" i="138"/>
  <c r="C226" i="138" s="1"/>
  <c r="C278" i="138" s="1"/>
  <c r="P24" i="138"/>
  <c r="O24" i="138"/>
  <c r="N24" i="138"/>
  <c r="K24" i="138"/>
  <c r="H24" i="138"/>
  <c r="E24" i="138"/>
  <c r="H71" i="138"/>
  <c r="O71" i="138" s="1"/>
  <c r="H23" i="138"/>
  <c r="O23" i="138"/>
  <c r="H22" i="21"/>
  <c r="H23" i="21" s="1"/>
  <c r="G22" i="21"/>
  <c r="E22" i="21"/>
  <c r="D22" i="21"/>
  <c r="G19" i="21"/>
  <c r="F19" i="21"/>
  <c r="E19" i="21"/>
  <c r="K122" i="6"/>
  <c r="K117" i="6"/>
  <c r="K109" i="6"/>
  <c r="K105" i="6"/>
  <c r="K97" i="6"/>
  <c r="K96" i="6"/>
  <c r="K95" i="6"/>
  <c r="H94" i="6"/>
  <c r="K94" i="6"/>
  <c r="K93" i="6"/>
  <c r="K85" i="6"/>
  <c r="K84" i="6"/>
  <c r="K83" i="6"/>
  <c r="K82" i="6"/>
  <c r="H81" i="6"/>
  <c r="K81" i="6"/>
  <c r="K80" i="6"/>
  <c r="K72" i="6"/>
  <c r="K71" i="6"/>
  <c r="K70" i="6"/>
  <c r="H69" i="6"/>
  <c r="K69" i="6"/>
  <c r="K68" i="6"/>
  <c r="H74" i="6"/>
  <c r="K60" i="6"/>
  <c r="K59" i="6"/>
  <c r="K58" i="6"/>
  <c r="J57" i="6"/>
  <c r="H57" i="6"/>
  <c r="K57" i="6"/>
  <c r="K56" i="6"/>
  <c r="H62" i="6"/>
  <c r="K48" i="6"/>
  <c r="K47" i="6"/>
  <c r="K46" i="6"/>
  <c r="K45" i="6"/>
  <c r="H50" i="6"/>
  <c r="K37" i="6"/>
  <c r="K36" i="6"/>
  <c r="K35" i="6"/>
  <c r="K34" i="6"/>
  <c r="K33" i="6"/>
  <c r="K32" i="6"/>
  <c r="H39" i="6"/>
  <c r="H25" i="6"/>
  <c r="K23" i="6"/>
  <c r="K22" i="6"/>
  <c r="K21" i="6"/>
  <c r="K20" i="6"/>
  <c r="K19" i="6"/>
  <c r="K18" i="6"/>
  <c r="K25" i="6"/>
  <c r="I58" i="50"/>
  <c r="I57" i="50"/>
  <c r="I53" i="50"/>
  <c r="I52" i="50"/>
  <c r="I54" i="50"/>
  <c r="J78" i="12"/>
  <c r="C82" i="12" s="1"/>
  <c r="I26" i="12"/>
  <c r="I21" i="12"/>
  <c r="I19" i="12"/>
  <c r="F77" i="12"/>
  <c r="I24" i="136"/>
  <c r="F24" i="136"/>
  <c r="F18" i="136"/>
  <c r="D18" i="136"/>
  <c r="I183" i="147"/>
  <c r="I158" i="147"/>
  <c r="I47" i="147"/>
  <c r="O24" i="5"/>
  <c r="P22" i="53"/>
  <c r="P21" i="53"/>
  <c r="K22" i="53"/>
  <c r="K21" i="53"/>
  <c r="F22" i="53"/>
  <c r="F21" i="53"/>
  <c r="P318" i="138"/>
  <c r="P295" i="138"/>
  <c r="P294" i="138"/>
  <c r="P293" i="138"/>
  <c r="P291" i="138"/>
  <c r="R259" i="138"/>
  <c r="P241" i="138"/>
  <c r="P238" i="138"/>
  <c r="R190" i="138"/>
  <c r="R187" i="138"/>
  <c r="R174" i="138"/>
  <c r="R171" i="138"/>
  <c r="P212" i="138"/>
  <c r="P207" i="138"/>
  <c r="P201" i="138"/>
  <c r="P189" i="138"/>
  <c r="P188" i="138"/>
  <c r="P184" i="138"/>
  <c r="P179" i="138"/>
  <c r="R159" i="138"/>
  <c r="R151" i="138"/>
  <c r="R145" i="138"/>
  <c r="R134" i="138"/>
  <c r="R133" i="138"/>
  <c r="R130" i="138"/>
  <c r="R127" i="138"/>
  <c r="R122" i="138"/>
  <c r="R119" i="138"/>
  <c r="P154" i="138"/>
  <c r="P137" i="138"/>
  <c r="P135" i="138"/>
  <c r="P134" i="138"/>
  <c r="P133" i="138"/>
  <c r="P127" i="138"/>
  <c r="R107" i="138"/>
  <c r="L124" i="100"/>
  <c r="L127" i="100" s="1"/>
  <c r="R91" i="138"/>
  <c r="R86" i="138"/>
  <c r="R83" i="138"/>
  <c r="R80" i="138"/>
  <c r="G124" i="100"/>
  <c r="G127" i="100" s="1"/>
  <c r="P96" i="138"/>
  <c r="P86" i="138"/>
  <c r="P84" i="138"/>
  <c r="P82" i="138"/>
  <c r="P79" i="138"/>
  <c r="M20" i="100"/>
  <c r="M83" i="100" s="1"/>
  <c r="M146" i="100" s="1"/>
  <c r="K210" i="100" s="1"/>
  <c r="K274" i="100" s="1"/>
  <c r="K338" i="100" s="1"/>
  <c r="M402" i="100" s="1"/>
  <c r="K466" i="100" s="1"/>
  <c r="M21" i="100"/>
  <c r="M84" i="100" s="1"/>
  <c r="M147" i="100" s="1"/>
  <c r="K211" i="100" s="1"/>
  <c r="K275" i="100" s="1"/>
  <c r="K339" i="100" s="1"/>
  <c r="M403" i="100" s="1"/>
  <c r="K467" i="100" s="1"/>
  <c r="M23" i="100"/>
  <c r="M86" i="100" s="1"/>
  <c r="M149" i="100" s="1"/>
  <c r="K213" i="100" s="1"/>
  <c r="K277" i="100" s="1"/>
  <c r="M24" i="100"/>
  <c r="M87" i="100" s="1"/>
  <c r="M150" i="100" s="1"/>
  <c r="K214" i="100" s="1"/>
  <c r="K278" i="100" s="1"/>
  <c r="K342" i="100" s="1"/>
  <c r="M406" i="100" s="1"/>
  <c r="K470" i="100" s="1"/>
  <c r="M26" i="100"/>
  <c r="M89" i="100" s="1"/>
  <c r="M152" i="100" s="1"/>
  <c r="M35" i="100"/>
  <c r="M98" i="100" s="1"/>
  <c r="M161" i="100" s="1"/>
  <c r="K225" i="100" s="1"/>
  <c r="K289" i="100" s="1"/>
  <c r="M36" i="100"/>
  <c r="M99" i="100" s="1"/>
  <c r="M162" i="100" s="1"/>
  <c r="K226" i="100" s="1"/>
  <c r="K290" i="100" s="1"/>
  <c r="M37" i="100"/>
  <c r="M100" i="100" s="1"/>
  <c r="M163" i="100" s="1"/>
  <c r="M39" i="100"/>
  <c r="M102" i="100" s="1"/>
  <c r="M165" i="100" s="1"/>
  <c r="K229" i="100" s="1"/>
  <c r="M41" i="100"/>
  <c r="M104" i="100"/>
  <c r="M167" i="100" s="1"/>
  <c r="K231" i="100" s="1"/>
  <c r="K295" i="100" s="1"/>
  <c r="M42" i="100"/>
  <c r="M44" i="100"/>
  <c r="M107" i="100" s="1"/>
  <c r="M170" i="100" s="1"/>
  <c r="K234" i="100" s="1"/>
  <c r="M46" i="100"/>
  <c r="M109" i="100" s="1"/>
  <c r="M172" i="100" s="1"/>
  <c r="K236" i="100" s="1"/>
  <c r="M47" i="100"/>
  <c r="M110" i="100" s="1"/>
  <c r="M173" i="100" s="1"/>
  <c r="K237" i="100" s="1"/>
  <c r="K301" i="100" s="1"/>
  <c r="M49" i="100"/>
  <c r="M112" i="100" s="1"/>
  <c r="M175" i="100" s="1"/>
  <c r="K239" i="100" s="1"/>
  <c r="K303" i="100" s="1"/>
  <c r="M50" i="100"/>
  <c r="M51" i="100"/>
  <c r="M114" i="100" s="1"/>
  <c r="M177" i="100" s="1"/>
  <c r="K241" i="100" s="1"/>
  <c r="M52" i="100"/>
  <c r="M55" i="100"/>
  <c r="M57" i="100"/>
  <c r="M58" i="100"/>
  <c r="M121" i="100" s="1"/>
  <c r="M184" i="100" s="1"/>
  <c r="K248" i="100" s="1"/>
  <c r="M59" i="100"/>
  <c r="M60" i="100"/>
  <c r="I123" i="100"/>
  <c r="H23" i="100"/>
  <c r="H86" i="100" s="1"/>
  <c r="H24" i="100"/>
  <c r="H87" i="100" s="1"/>
  <c r="H26" i="100"/>
  <c r="N26" i="100" s="1"/>
  <c r="H89" i="100"/>
  <c r="H35" i="100"/>
  <c r="H98" i="100" s="1"/>
  <c r="H36" i="100"/>
  <c r="H99" i="100" s="1"/>
  <c r="H37" i="100"/>
  <c r="H100" i="100"/>
  <c r="H39" i="100"/>
  <c r="H102" i="100" s="1"/>
  <c r="H41" i="100"/>
  <c r="H104" i="100"/>
  <c r="H42" i="100"/>
  <c r="H105" i="100" s="1"/>
  <c r="H44" i="100"/>
  <c r="H107" i="100"/>
  <c r="H46" i="100"/>
  <c r="H109" i="100" s="1"/>
  <c r="H47" i="100"/>
  <c r="H110" i="100"/>
  <c r="H49" i="100"/>
  <c r="H112" i="100" s="1"/>
  <c r="H50" i="100"/>
  <c r="H113" i="100" s="1"/>
  <c r="H51" i="100"/>
  <c r="N51" i="100" s="1"/>
  <c r="H114" i="100"/>
  <c r="H177" i="100" s="1"/>
  <c r="H52" i="100"/>
  <c r="H55" i="100"/>
  <c r="H118" i="100"/>
  <c r="H57" i="100"/>
  <c r="H58" i="100"/>
  <c r="N58" i="100" s="1"/>
  <c r="H121" i="100"/>
  <c r="H184" i="100" s="1"/>
  <c r="G248" i="100" s="1"/>
  <c r="G312" i="100" s="1"/>
  <c r="G376" i="100" s="1"/>
  <c r="H440" i="100" s="1"/>
  <c r="G504" i="100" s="1"/>
  <c r="H60" i="100"/>
  <c r="H17" i="100"/>
  <c r="D80" i="100"/>
  <c r="H80" i="100"/>
  <c r="K508" i="100"/>
  <c r="G508" i="100"/>
  <c r="M444" i="100"/>
  <c r="H444" i="100"/>
  <c r="J389" i="100"/>
  <c r="J388" i="100"/>
  <c r="K380" i="100"/>
  <c r="G380" i="100"/>
  <c r="J325" i="100"/>
  <c r="J324" i="100"/>
  <c r="K316" i="100"/>
  <c r="G316" i="100"/>
  <c r="K252" i="100"/>
  <c r="G252" i="100"/>
  <c r="L252" i="100"/>
  <c r="M188" i="100"/>
  <c r="H188" i="100"/>
  <c r="M125" i="100"/>
  <c r="H125" i="100"/>
  <c r="J71" i="100"/>
  <c r="L61" i="100"/>
  <c r="L64" i="100"/>
  <c r="M32" i="100"/>
  <c r="M95" i="100" s="1"/>
  <c r="M25" i="100"/>
  <c r="M88" i="100" s="1"/>
  <c r="M19" i="100"/>
  <c r="H54" i="100"/>
  <c r="H117" i="100" s="1"/>
  <c r="H180" i="100" s="1"/>
  <c r="G244" i="100" s="1"/>
  <c r="H53" i="100"/>
  <c r="H45" i="100"/>
  <c r="H108" i="100" s="1"/>
  <c r="H32" i="100"/>
  <c r="N32" i="100" s="1"/>
  <c r="H30" i="100"/>
  <c r="H21" i="100"/>
  <c r="H113" i="140"/>
  <c r="H81" i="140"/>
  <c r="H73" i="140"/>
  <c r="H109" i="140"/>
  <c r="H93" i="140"/>
  <c r="H85" i="140"/>
  <c r="H99" i="140"/>
  <c r="H75" i="140"/>
  <c r="H106" i="140"/>
  <c r="H98" i="140"/>
  <c r="I53" i="140"/>
  <c r="I52" i="140"/>
  <c r="H52" i="140"/>
  <c r="V17" i="102"/>
  <c r="H50" i="140"/>
  <c r="I45" i="140"/>
  <c r="H45" i="140"/>
  <c r="H44" i="140"/>
  <c r="H42" i="140"/>
  <c r="I37" i="140"/>
  <c r="H37" i="140"/>
  <c r="H35" i="140"/>
  <c r="G36" i="122"/>
  <c r="G23" i="122"/>
  <c r="E60" i="122"/>
  <c r="E59" i="122"/>
  <c r="E58" i="122"/>
  <c r="E57" i="122"/>
  <c r="E56" i="122"/>
  <c r="E55" i="122"/>
  <c r="E61" i="122"/>
  <c r="E62" i="122"/>
  <c r="E63" i="122"/>
  <c r="B36" i="122"/>
  <c r="C36" i="122"/>
  <c r="D36" i="122"/>
  <c r="E36" i="122"/>
  <c r="F36" i="122"/>
  <c r="B31" i="150"/>
  <c r="F49" i="150"/>
  <c r="F55" i="150"/>
  <c r="F70" i="150"/>
  <c r="K49" i="150"/>
  <c r="K55" i="150"/>
  <c r="K70" i="150"/>
  <c r="E13" i="12"/>
  <c r="D13" i="136"/>
  <c r="V12" i="5"/>
  <c r="S12" i="5"/>
  <c r="P12" i="5"/>
  <c r="M12" i="5"/>
  <c r="J12" i="5"/>
  <c r="H71" i="147"/>
  <c r="G12" i="5"/>
  <c r="H42" i="147"/>
  <c r="D12" i="5"/>
  <c r="B13" i="105"/>
  <c r="L13" i="105"/>
  <c r="G93" i="122"/>
  <c r="F93" i="122"/>
  <c r="H93" i="122"/>
  <c r="D13" i="150"/>
  <c r="F28" i="23"/>
  <c r="H28" i="23"/>
  <c r="F27" i="23"/>
  <c r="H27" i="23"/>
  <c r="E59" i="50"/>
  <c r="K59" i="50"/>
  <c r="O58" i="50"/>
  <c r="I59" i="50"/>
  <c r="E54" i="50"/>
  <c r="K54" i="50"/>
  <c r="K61" i="50"/>
  <c r="O53" i="50"/>
  <c r="J13" i="105"/>
  <c r="C13" i="105"/>
  <c r="O57" i="50"/>
  <c r="O59" i="50"/>
  <c r="M341" i="133"/>
  <c r="L341" i="133"/>
  <c r="K341" i="133"/>
  <c r="Q341" i="133"/>
  <c r="M340" i="133"/>
  <c r="M339" i="133"/>
  <c r="G339" i="133"/>
  <c r="M338" i="133"/>
  <c r="L338" i="133"/>
  <c r="G338" i="133"/>
  <c r="M337" i="133"/>
  <c r="L337" i="133"/>
  <c r="G337" i="133"/>
  <c r="M336" i="133"/>
  <c r="L336" i="133"/>
  <c r="G336" i="133"/>
  <c r="M335" i="133"/>
  <c r="L335" i="133"/>
  <c r="G335" i="133"/>
  <c r="I332" i="133"/>
  <c r="O332" i="133"/>
  <c r="U332" i="133"/>
  <c r="O331" i="133"/>
  <c r="O341" i="133"/>
  <c r="I341" i="133"/>
  <c r="S330" i="133"/>
  <c r="R330" i="133"/>
  <c r="D330" i="133"/>
  <c r="S329" i="133"/>
  <c r="S340" i="133"/>
  <c r="R329" i="133"/>
  <c r="S328" i="133"/>
  <c r="S339" i="133"/>
  <c r="R328" i="133"/>
  <c r="S327" i="133"/>
  <c r="S338" i="133"/>
  <c r="R327" i="133"/>
  <c r="R338" i="133"/>
  <c r="S326" i="133"/>
  <c r="S337" i="133"/>
  <c r="R326" i="133"/>
  <c r="R337" i="133"/>
  <c r="S325" i="133"/>
  <c r="S336" i="133"/>
  <c r="R325" i="133"/>
  <c r="R336" i="133"/>
  <c r="S324" i="133"/>
  <c r="S341" i="133"/>
  <c r="R324" i="133"/>
  <c r="R341" i="133"/>
  <c r="S322" i="133"/>
  <c r="R322" i="133"/>
  <c r="O322" i="133"/>
  <c r="U322" i="133"/>
  <c r="D322" i="133"/>
  <c r="Q321" i="133"/>
  <c r="K321" i="133"/>
  <c r="K318" i="133"/>
  <c r="Q318" i="133"/>
  <c r="M317" i="133"/>
  <c r="G317" i="133"/>
  <c r="M316" i="133"/>
  <c r="G316" i="133"/>
  <c r="M315" i="133"/>
  <c r="L315" i="133"/>
  <c r="G315" i="133"/>
  <c r="M314" i="133"/>
  <c r="L314" i="133"/>
  <c r="G314" i="133"/>
  <c r="M313" i="133"/>
  <c r="L313" i="133"/>
  <c r="G313" i="133"/>
  <c r="M312" i="133"/>
  <c r="L312" i="133"/>
  <c r="G312" i="133"/>
  <c r="O309" i="133"/>
  <c r="U309" i="133"/>
  <c r="O318" i="133"/>
  <c r="I317" i="133"/>
  <c r="S307" i="133"/>
  <c r="R307" i="133"/>
  <c r="F307" i="133"/>
  <c r="F330" i="133"/>
  <c r="D307" i="133"/>
  <c r="S306" i="133"/>
  <c r="R306" i="133"/>
  <c r="F306" i="133"/>
  <c r="F329" i="133"/>
  <c r="S305" i="133"/>
  <c r="R305" i="133"/>
  <c r="F305" i="133"/>
  <c r="F328" i="133"/>
  <c r="S304" i="133"/>
  <c r="S315" i="133"/>
  <c r="R304" i="133"/>
  <c r="F304" i="133"/>
  <c r="F327" i="133"/>
  <c r="S303" i="133"/>
  <c r="S314" i="133"/>
  <c r="R303" i="133"/>
  <c r="R314" i="133"/>
  <c r="F303" i="133"/>
  <c r="F326" i="133"/>
  <c r="S302" i="133"/>
  <c r="S313" i="133"/>
  <c r="R302" i="133"/>
  <c r="R313" i="133"/>
  <c r="F302" i="133"/>
  <c r="F325" i="133"/>
  <c r="S301" i="133"/>
  <c r="S311" i="133"/>
  <c r="R301" i="133"/>
  <c r="R311" i="133"/>
  <c r="F301" i="133"/>
  <c r="F324" i="133"/>
  <c r="U299" i="133"/>
  <c r="S299" i="133"/>
  <c r="R299" i="133"/>
  <c r="D299" i="133"/>
  <c r="Q298" i="133"/>
  <c r="M294" i="133"/>
  <c r="L294" i="133"/>
  <c r="K294" i="133"/>
  <c r="Q294" i="133"/>
  <c r="M293" i="133"/>
  <c r="G293" i="133"/>
  <c r="M292" i="133"/>
  <c r="G292" i="133"/>
  <c r="M291" i="133"/>
  <c r="L291" i="133"/>
  <c r="G291" i="133"/>
  <c r="M290" i="133"/>
  <c r="L290" i="133"/>
  <c r="G290" i="133"/>
  <c r="M289" i="133"/>
  <c r="L289" i="133"/>
  <c r="G289" i="133"/>
  <c r="R277" i="133"/>
  <c r="M288" i="133"/>
  <c r="L288" i="133"/>
  <c r="G288" i="133"/>
  <c r="I285" i="133"/>
  <c r="O285" i="133"/>
  <c r="U285" i="133"/>
  <c r="O284" i="133"/>
  <c r="O294" i="133"/>
  <c r="I294" i="133"/>
  <c r="S283" i="133"/>
  <c r="R283" i="133"/>
  <c r="D283" i="133"/>
  <c r="D293" i="133"/>
  <c r="K293" i="133"/>
  <c r="Q293" i="133"/>
  <c r="S282" i="133"/>
  <c r="S293" i="133"/>
  <c r="R282" i="133"/>
  <c r="S281" i="133"/>
  <c r="S292" i="133"/>
  <c r="R281" i="133"/>
  <c r="S280" i="133"/>
  <c r="S291" i="133"/>
  <c r="R280" i="133"/>
  <c r="R291" i="133"/>
  <c r="S279" i="133"/>
  <c r="S290" i="133"/>
  <c r="R279" i="133"/>
  <c r="R290" i="133"/>
  <c r="S278" i="133"/>
  <c r="S289" i="133"/>
  <c r="R278" i="133"/>
  <c r="R289" i="133"/>
  <c r="S277" i="133"/>
  <c r="S294" i="133"/>
  <c r="S275" i="133"/>
  <c r="R275" i="133"/>
  <c r="O275" i="133"/>
  <c r="U275" i="133"/>
  <c r="D275" i="133"/>
  <c r="Q274" i="133"/>
  <c r="K274" i="133"/>
  <c r="K271" i="133"/>
  <c r="Q271" i="133"/>
  <c r="M270" i="133"/>
  <c r="G270" i="133"/>
  <c r="M269" i="133"/>
  <c r="G269" i="133"/>
  <c r="M268" i="133"/>
  <c r="L268" i="133"/>
  <c r="G268" i="133"/>
  <c r="M267" i="133"/>
  <c r="L267" i="133"/>
  <c r="G267" i="133"/>
  <c r="M266" i="133"/>
  <c r="L266" i="133"/>
  <c r="G266" i="133"/>
  <c r="M265" i="133"/>
  <c r="L265" i="133"/>
  <c r="G265" i="133"/>
  <c r="O262" i="133"/>
  <c r="U262" i="133"/>
  <c r="O270" i="133"/>
  <c r="I270" i="133"/>
  <c r="S260" i="133"/>
  <c r="R260" i="133"/>
  <c r="F260" i="133"/>
  <c r="D260" i="133"/>
  <c r="S259" i="133"/>
  <c r="R259" i="133"/>
  <c r="F259" i="133"/>
  <c r="K259" i="133"/>
  <c r="S258" i="133"/>
  <c r="S268" i="133"/>
  <c r="R258" i="133"/>
  <c r="F258" i="133"/>
  <c r="F281" i="133"/>
  <c r="S257" i="133"/>
  <c r="R257" i="133"/>
  <c r="R268" i="133"/>
  <c r="F257" i="133"/>
  <c r="F280" i="133"/>
  <c r="S256" i="133"/>
  <c r="S267" i="133"/>
  <c r="R256" i="133"/>
  <c r="F256" i="133"/>
  <c r="F279" i="133"/>
  <c r="S255" i="133"/>
  <c r="R255" i="133"/>
  <c r="F255" i="133"/>
  <c r="F278" i="133"/>
  <c r="S254" i="133"/>
  <c r="R254" i="133"/>
  <c r="R264" i="133"/>
  <c r="U252" i="133"/>
  <c r="S252" i="133"/>
  <c r="R252" i="133"/>
  <c r="D252" i="133"/>
  <c r="Q251" i="133"/>
  <c r="M247" i="133"/>
  <c r="L247" i="133"/>
  <c r="K247" i="133"/>
  <c r="Q247" i="133"/>
  <c r="M246" i="133"/>
  <c r="M245" i="133"/>
  <c r="M244" i="133"/>
  <c r="L244" i="133"/>
  <c r="G244" i="133"/>
  <c r="M243" i="133"/>
  <c r="L243" i="133"/>
  <c r="G243" i="133"/>
  <c r="M242" i="133"/>
  <c r="L242" i="133"/>
  <c r="G242" i="133"/>
  <c r="M241" i="133"/>
  <c r="L241" i="133"/>
  <c r="G241" i="133"/>
  <c r="I238" i="133"/>
  <c r="O238" i="133"/>
  <c r="U238" i="133"/>
  <c r="O237" i="133"/>
  <c r="O247" i="133"/>
  <c r="I246" i="133"/>
  <c r="S236" i="133"/>
  <c r="R236" i="133"/>
  <c r="D236" i="133"/>
  <c r="S235" i="133"/>
  <c r="S246" i="133"/>
  <c r="R235" i="133"/>
  <c r="S234" i="133"/>
  <c r="S245" i="133"/>
  <c r="R234" i="133"/>
  <c r="S233" i="133"/>
  <c r="S244" i="133"/>
  <c r="R233" i="133"/>
  <c r="R244" i="133"/>
  <c r="S232" i="133"/>
  <c r="S243" i="133"/>
  <c r="R232" i="133"/>
  <c r="R243" i="133"/>
  <c r="S231" i="133"/>
  <c r="S242" i="133"/>
  <c r="R231" i="133"/>
  <c r="R242" i="133"/>
  <c r="S230" i="133"/>
  <c r="R230" i="133"/>
  <c r="R247" i="133"/>
  <c r="S228" i="133"/>
  <c r="R228" i="133"/>
  <c r="O228" i="133"/>
  <c r="U228" i="133"/>
  <c r="D228" i="133"/>
  <c r="Q227" i="133"/>
  <c r="K227" i="133"/>
  <c r="K224" i="133"/>
  <c r="Q224" i="133"/>
  <c r="M223" i="133"/>
  <c r="G223" i="133"/>
  <c r="M222" i="133"/>
  <c r="G222" i="133"/>
  <c r="M221" i="133"/>
  <c r="L221" i="133"/>
  <c r="G221" i="133"/>
  <c r="M220" i="133"/>
  <c r="L220" i="133"/>
  <c r="G220" i="133"/>
  <c r="M219" i="133"/>
  <c r="L219" i="133"/>
  <c r="G219" i="133"/>
  <c r="M218" i="133"/>
  <c r="L218" i="133"/>
  <c r="G218" i="133"/>
  <c r="O215" i="133"/>
  <c r="U215" i="133"/>
  <c r="O223" i="133"/>
  <c r="I223" i="133"/>
  <c r="S213" i="133"/>
  <c r="R213" i="133"/>
  <c r="F213" i="133"/>
  <c r="D213" i="133"/>
  <c r="S212" i="133"/>
  <c r="R212" i="133"/>
  <c r="F212" i="133"/>
  <c r="F235" i="133"/>
  <c r="S211" i="133"/>
  <c r="S222" i="133"/>
  <c r="R211" i="133"/>
  <c r="F211" i="133"/>
  <c r="F234" i="133"/>
  <c r="S210" i="133"/>
  <c r="S221" i="133"/>
  <c r="R210" i="133"/>
  <c r="F210" i="133"/>
  <c r="S209" i="133"/>
  <c r="R209" i="133"/>
  <c r="R220" i="133"/>
  <c r="F209" i="133"/>
  <c r="F232" i="133"/>
  <c r="S208" i="133"/>
  <c r="R208" i="133"/>
  <c r="F208" i="133"/>
  <c r="F231" i="133"/>
  <c r="S207" i="133"/>
  <c r="S217" i="133"/>
  <c r="R207" i="133"/>
  <c r="R217" i="133"/>
  <c r="F207" i="133"/>
  <c r="F230" i="133"/>
  <c r="U205" i="133"/>
  <c r="S205" i="133"/>
  <c r="R205" i="133"/>
  <c r="D205" i="133"/>
  <c r="Q204" i="133"/>
  <c r="M200" i="133"/>
  <c r="L200" i="133"/>
  <c r="K200" i="133"/>
  <c r="Q200" i="133"/>
  <c r="M199" i="133"/>
  <c r="M198" i="133"/>
  <c r="G198" i="133"/>
  <c r="M197" i="133"/>
  <c r="L197" i="133"/>
  <c r="G197" i="133"/>
  <c r="M196" i="133"/>
  <c r="L196" i="133"/>
  <c r="G196" i="133"/>
  <c r="M195" i="133"/>
  <c r="L195" i="133"/>
  <c r="G195" i="133"/>
  <c r="M194" i="133"/>
  <c r="L194" i="133"/>
  <c r="G194" i="133"/>
  <c r="I191" i="133"/>
  <c r="O191" i="133"/>
  <c r="U191" i="133"/>
  <c r="O190" i="133"/>
  <c r="O199" i="133"/>
  <c r="I199" i="133"/>
  <c r="S189" i="133"/>
  <c r="R189" i="133"/>
  <c r="D189" i="133"/>
  <c r="H189" i="133"/>
  <c r="S188" i="133"/>
  <c r="S199" i="133"/>
  <c r="R188" i="133"/>
  <c r="S187" i="133"/>
  <c r="S198" i="133"/>
  <c r="R187" i="133"/>
  <c r="S186" i="133"/>
  <c r="S197" i="133"/>
  <c r="R186" i="133"/>
  <c r="R197" i="133"/>
  <c r="S185" i="133"/>
  <c r="S196" i="133"/>
  <c r="R185" i="133"/>
  <c r="R196" i="133"/>
  <c r="S184" i="133"/>
  <c r="S195" i="133"/>
  <c r="R184" i="133"/>
  <c r="R195" i="133"/>
  <c r="S183" i="133"/>
  <c r="S200" i="133"/>
  <c r="R183" i="133"/>
  <c r="R194" i="133"/>
  <c r="S181" i="133"/>
  <c r="R181" i="133"/>
  <c r="O181" i="133"/>
  <c r="U181" i="133"/>
  <c r="D181" i="133"/>
  <c r="Q180" i="133"/>
  <c r="K180" i="133"/>
  <c r="K177" i="133"/>
  <c r="Q177" i="133"/>
  <c r="M176" i="133"/>
  <c r="G176" i="133"/>
  <c r="M175" i="133"/>
  <c r="G175" i="133"/>
  <c r="M174" i="133"/>
  <c r="L174" i="133"/>
  <c r="G174" i="133"/>
  <c r="M173" i="133"/>
  <c r="L173" i="133"/>
  <c r="G173" i="133"/>
  <c r="M172" i="133"/>
  <c r="L172" i="133"/>
  <c r="G172" i="133"/>
  <c r="M171" i="133"/>
  <c r="L171" i="133"/>
  <c r="G171" i="133"/>
  <c r="O168" i="133"/>
  <c r="U168" i="133"/>
  <c r="O177" i="133"/>
  <c r="I177" i="133"/>
  <c r="S166" i="133"/>
  <c r="R166" i="133"/>
  <c r="F166" i="133"/>
  <c r="F189" i="133"/>
  <c r="D166" i="133"/>
  <c r="S165" i="133"/>
  <c r="S176" i="133"/>
  <c r="R165" i="133"/>
  <c r="F165" i="133"/>
  <c r="F188" i="133"/>
  <c r="S164" i="133"/>
  <c r="R164" i="133"/>
  <c r="F164" i="133"/>
  <c r="F187" i="133"/>
  <c r="S163" i="133"/>
  <c r="S174" i="133"/>
  <c r="R163" i="133"/>
  <c r="F163" i="133"/>
  <c r="K163" i="133"/>
  <c r="K186" i="133"/>
  <c r="Q186" i="133"/>
  <c r="S162" i="133"/>
  <c r="S173" i="133"/>
  <c r="R162" i="133"/>
  <c r="F162" i="133"/>
  <c r="F185" i="133"/>
  <c r="S161" i="133"/>
  <c r="S172" i="133"/>
  <c r="R161" i="133"/>
  <c r="R172" i="133"/>
  <c r="F161" i="133"/>
  <c r="R160" i="133"/>
  <c r="R171" i="133"/>
  <c r="F160" i="133"/>
  <c r="K160" i="133"/>
  <c r="Q160" i="133"/>
  <c r="F183" i="133"/>
  <c r="U158" i="133"/>
  <c r="S158" i="133"/>
  <c r="R158" i="133"/>
  <c r="D158" i="133"/>
  <c r="Q157" i="133"/>
  <c r="M153" i="133"/>
  <c r="L153" i="133"/>
  <c r="K153" i="133"/>
  <c r="Q153" i="133"/>
  <c r="M152" i="133"/>
  <c r="M151" i="133"/>
  <c r="G151" i="133"/>
  <c r="M150" i="133"/>
  <c r="L150" i="133"/>
  <c r="G150" i="133"/>
  <c r="M149" i="133"/>
  <c r="L149" i="133"/>
  <c r="G149" i="133"/>
  <c r="M148" i="133"/>
  <c r="L148" i="133"/>
  <c r="G148" i="133"/>
  <c r="M147" i="133"/>
  <c r="L147" i="133"/>
  <c r="G147" i="133"/>
  <c r="I144" i="133"/>
  <c r="O144" i="133"/>
  <c r="U144" i="133"/>
  <c r="O143" i="133"/>
  <c r="O153" i="133"/>
  <c r="I153" i="133"/>
  <c r="S142" i="133"/>
  <c r="R142" i="133"/>
  <c r="D142" i="133"/>
  <c r="S141" i="133"/>
  <c r="S152" i="133"/>
  <c r="R141" i="133"/>
  <c r="S140" i="133"/>
  <c r="S151" i="133"/>
  <c r="R140" i="133"/>
  <c r="S139" i="133"/>
  <c r="S150" i="133"/>
  <c r="R139" i="133"/>
  <c r="R150" i="133"/>
  <c r="S138" i="133"/>
  <c r="S149" i="133"/>
  <c r="R138" i="133"/>
  <c r="R149" i="133"/>
  <c r="S137" i="133"/>
  <c r="S148" i="133"/>
  <c r="R137" i="133"/>
  <c r="R148" i="133"/>
  <c r="S136" i="133"/>
  <c r="S153" i="133"/>
  <c r="R136" i="133"/>
  <c r="R147" i="133"/>
  <c r="S134" i="133"/>
  <c r="R134" i="133"/>
  <c r="O134" i="133"/>
  <c r="U134" i="133"/>
  <c r="D134" i="133"/>
  <c r="Q133" i="133"/>
  <c r="K133" i="133"/>
  <c r="K130" i="133"/>
  <c r="Q130" i="133"/>
  <c r="M129" i="133"/>
  <c r="G129" i="133"/>
  <c r="M128" i="133"/>
  <c r="G128" i="133"/>
  <c r="M127" i="133"/>
  <c r="L127" i="133"/>
  <c r="G127" i="133"/>
  <c r="M126" i="133"/>
  <c r="L126" i="133"/>
  <c r="G126" i="133"/>
  <c r="M125" i="133"/>
  <c r="L125" i="133"/>
  <c r="G125" i="133"/>
  <c r="M124" i="133"/>
  <c r="L124" i="133"/>
  <c r="G124" i="133"/>
  <c r="O121" i="133"/>
  <c r="U121" i="133"/>
  <c r="O129" i="133"/>
  <c r="O130" i="133"/>
  <c r="I129" i="133"/>
  <c r="S119" i="133"/>
  <c r="R119" i="133"/>
  <c r="F119" i="133"/>
  <c r="F142" i="133"/>
  <c r="D119" i="133"/>
  <c r="M130" i="133"/>
  <c r="S118" i="133"/>
  <c r="S129" i="133"/>
  <c r="R118" i="133"/>
  <c r="F118" i="133"/>
  <c r="F141" i="133"/>
  <c r="S117" i="133"/>
  <c r="R117" i="133"/>
  <c r="F117" i="133"/>
  <c r="F140" i="133"/>
  <c r="S116" i="133"/>
  <c r="R116" i="133"/>
  <c r="R127" i="133"/>
  <c r="F116" i="133"/>
  <c r="F139" i="133"/>
  <c r="S115" i="133"/>
  <c r="S126" i="133"/>
  <c r="R115" i="133"/>
  <c r="R126" i="133"/>
  <c r="F115" i="133"/>
  <c r="F138" i="133"/>
  <c r="S114" i="133"/>
  <c r="S125" i="133"/>
  <c r="R114" i="133"/>
  <c r="R125" i="133"/>
  <c r="F114" i="133"/>
  <c r="F137" i="133"/>
  <c r="S113" i="133"/>
  <c r="S123" i="133"/>
  <c r="R113" i="133"/>
  <c r="F113" i="133"/>
  <c r="F136" i="133"/>
  <c r="U111" i="133"/>
  <c r="S111" i="133"/>
  <c r="R111" i="133"/>
  <c r="D111" i="133"/>
  <c r="Q110" i="133"/>
  <c r="F72" i="133"/>
  <c r="F71" i="133"/>
  <c r="K71" i="133"/>
  <c r="L81" i="133"/>
  <c r="F70" i="133"/>
  <c r="F93" i="133"/>
  <c r="F69" i="133"/>
  <c r="F68" i="133"/>
  <c r="F67" i="133"/>
  <c r="F90" i="133"/>
  <c r="F66" i="133"/>
  <c r="K66" i="133"/>
  <c r="K212" i="133"/>
  <c r="L222" i="133"/>
  <c r="K307" i="133"/>
  <c r="K330" i="133"/>
  <c r="L340" i="133"/>
  <c r="K208" i="133"/>
  <c r="K231" i="133"/>
  <c r="Q231" i="133"/>
  <c r="O317" i="133"/>
  <c r="O224" i="133"/>
  <c r="I247" i="133"/>
  <c r="K257" i="133"/>
  <c r="Q257" i="133"/>
  <c r="K302" i="133"/>
  <c r="Q302" i="133"/>
  <c r="K325" i="133"/>
  <c r="Q325" i="133"/>
  <c r="K114" i="133"/>
  <c r="K137" i="133"/>
  <c r="Q137" i="133"/>
  <c r="F277" i="133"/>
  <c r="K254" i="133"/>
  <c r="Q254" i="133"/>
  <c r="F283" i="133"/>
  <c r="K260" i="133"/>
  <c r="O293" i="133"/>
  <c r="K256" i="133"/>
  <c r="Q256" i="133"/>
  <c r="S288" i="133"/>
  <c r="I271" i="133"/>
  <c r="O271" i="133"/>
  <c r="K303" i="133"/>
  <c r="Q303" i="133"/>
  <c r="K326" i="133"/>
  <c r="Q326" i="133"/>
  <c r="R335" i="133"/>
  <c r="O340" i="133"/>
  <c r="I224" i="133"/>
  <c r="I200" i="133"/>
  <c r="K162" i="133"/>
  <c r="Q162" i="133"/>
  <c r="K164" i="133"/>
  <c r="K187" i="133"/>
  <c r="Q187" i="133"/>
  <c r="K209" i="133"/>
  <c r="Q209" i="133"/>
  <c r="I130" i="133"/>
  <c r="C43" i="132"/>
  <c r="B27" i="55"/>
  <c r="C16" i="138"/>
  <c r="C17" i="138"/>
  <c r="C15" i="138"/>
  <c r="C18" i="138"/>
  <c r="P82" i="109"/>
  <c r="Q82" i="109"/>
  <c r="A33" i="32"/>
  <c r="M51" i="133"/>
  <c r="H36" i="122"/>
  <c r="F25" i="23"/>
  <c r="H25" i="23"/>
  <c r="E13" i="136"/>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I17" i="12"/>
  <c r="I18" i="12"/>
  <c r="I22" i="12"/>
  <c r="I23" i="12"/>
  <c r="I24" i="12"/>
  <c r="I25" i="12"/>
  <c r="I27" i="12"/>
  <c r="I28" i="12"/>
  <c r="I29" i="12"/>
  <c r="I30" i="12"/>
  <c r="I31" i="12"/>
  <c r="I32" i="12"/>
  <c r="I33" i="12"/>
  <c r="I34" i="12"/>
  <c r="I35" i="12"/>
  <c r="I36" i="12"/>
  <c r="I37" i="12"/>
  <c r="I38" i="12"/>
  <c r="I39" i="12"/>
  <c r="I40" i="12"/>
  <c r="I41" i="12"/>
  <c r="I42" i="12"/>
  <c r="I43" i="12"/>
  <c r="I44" i="12"/>
  <c r="I45" i="12"/>
  <c r="N567" i="14"/>
  <c r="L567" i="14"/>
  <c r="K567" i="14"/>
  <c r="J567" i="14"/>
  <c r="I567" i="14"/>
  <c r="H567" i="14"/>
  <c r="G567" i="14"/>
  <c r="F567" i="14"/>
  <c r="E567" i="14"/>
  <c r="D567" i="14"/>
  <c r="C567" i="14"/>
  <c r="N558" i="14"/>
  <c r="L558" i="14"/>
  <c r="K558" i="14"/>
  <c r="J558" i="14"/>
  <c r="I558" i="14"/>
  <c r="H558" i="14"/>
  <c r="G558" i="14"/>
  <c r="F558" i="14"/>
  <c r="E558" i="14"/>
  <c r="D558" i="14"/>
  <c r="C558" i="14"/>
  <c r="N557" i="14"/>
  <c r="N556" i="14"/>
  <c r="L556" i="14"/>
  <c r="K556" i="14"/>
  <c r="N553" i="14"/>
  <c r="L553" i="14"/>
  <c r="K553" i="14"/>
  <c r="J553" i="14"/>
  <c r="I553" i="14"/>
  <c r="H553" i="14"/>
  <c r="G553" i="14"/>
  <c r="F553" i="14"/>
  <c r="E553" i="14"/>
  <c r="D553" i="14"/>
  <c r="C553" i="14"/>
  <c r="N544" i="14"/>
  <c r="L544" i="14"/>
  <c r="K544" i="14"/>
  <c r="J544" i="14"/>
  <c r="I544" i="14"/>
  <c r="H544" i="14"/>
  <c r="G544" i="14"/>
  <c r="F544" i="14"/>
  <c r="E544" i="14"/>
  <c r="D544" i="14"/>
  <c r="C544" i="14"/>
  <c r="N543" i="14"/>
  <c r="N542" i="14"/>
  <c r="L542" i="14"/>
  <c r="K542" i="14"/>
  <c r="N539" i="14"/>
  <c r="L539" i="14"/>
  <c r="K539" i="14"/>
  <c r="J539" i="14"/>
  <c r="I539" i="14"/>
  <c r="H539" i="14"/>
  <c r="G539" i="14"/>
  <c r="F539" i="14"/>
  <c r="E539" i="14"/>
  <c r="D539" i="14"/>
  <c r="C539" i="14"/>
  <c r="N530" i="14"/>
  <c r="L530" i="14"/>
  <c r="K530" i="14"/>
  <c r="J530" i="14"/>
  <c r="I530" i="14"/>
  <c r="H530" i="14"/>
  <c r="G530" i="14"/>
  <c r="F530" i="14"/>
  <c r="E530" i="14"/>
  <c r="D530" i="14"/>
  <c r="C530" i="14"/>
  <c r="N529" i="14"/>
  <c r="N528" i="14"/>
  <c r="L528" i="14"/>
  <c r="K528" i="14"/>
  <c r="N525" i="14"/>
  <c r="L525" i="14"/>
  <c r="K525" i="14"/>
  <c r="J525" i="14"/>
  <c r="I525" i="14"/>
  <c r="H525" i="14"/>
  <c r="G525" i="14"/>
  <c r="F525" i="14"/>
  <c r="E525" i="14"/>
  <c r="D525" i="14"/>
  <c r="C525" i="14"/>
  <c r="N516" i="14"/>
  <c r="L516" i="14"/>
  <c r="K516" i="14"/>
  <c r="J516" i="14"/>
  <c r="I516" i="14"/>
  <c r="H516" i="14"/>
  <c r="G516" i="14"/>
  <c r="F516" i="14"/>
  <c r="E516" i="14"/>
  <c r="D516" i="14"/>
  <c r="C516" i="14"/>
  <c r="N515" i="14"/>
  <c r="N514" i="14"/>
  <c r="L514" i="14"/>
  <c r="K514" i="14"/>
  <c r="N511" i="14"/>
  <c r="L511" i="14"/>
  <c r="K511" i="14"/>
  <c r="J511" i="14"/>
  <c r="I511" i="14"/>
  <c r="H511" i="14"/>
  <c r="G511" i="14"/>
  <c r="F511" i="14"/>
  <c r="E511" i="14"/>
  <c r="D511" i="14"/>
  <c r="C511" i="14"/>
  <c r="N502" i="14"/>
  <c r="L502" i="14"/>
  <c r="K502" i="14"/>
  <c r="J502" i="14"/>
  <c r="I502" i="14"/>
  <c r="H502" i="14"/>
  <c r="G502" i="14"/>
  <c r="F502" i="14"/>
  <c r="E502" i="14"/>
  <c r="D502" i="14"/>
  <c r="C502" i="14"/>
  <c r="N501" i="14"/>
  <c r="N500" i="14"/>
  <c r="L500" i="14"/>
  <c r="K500" i="14"/>
  <c r="N497" i="14"/>
  <c r="L497" i="14"/>
  <c r="K497" i="14"/>
  <c r="J497" i="14"/>
  <c r="I497" i="14"/>
  <c r="H497" i="14"/>
  <c r="G497" i="14"/>
  <c r="F497" i="14"/>
  <c r="E497" i="14"/>
  <c r="D497" i="14"/>
  <c r="C497" i="14"/>
  <c r="N488" i="14"/>
  <c r="L488" i="14"/>
  <c r="K488" i="14"/>
  <c r="J488" i="14"/>
  <c r="I488" i="14"/>
  <c r="H488" i="14"/>
  <c r="G488" i="14"/>
  <c r="F488" i="14"/>
  <c r="E488" i="14"/>
  <c r="D488" i="14"/>
  <c r="C488" i="14"/>
  <c r="N487" i="14"/>
  <c r="N486" i="14"/>
  <c r="L486" i="14"/>
  <c r="K486" i="14"/>
  <c r="N483" i="14"/>
  <c r="L483" i="14"/>
  <c r="K483" i="14"/>
  <c r="J483" i="14"/>
  <c r="I483" i="14"/>
  <c r="H483" i="14"/>
  <c r="G483" i="14"/>
  <c r="F483" i="14"/>
  <c r="E483" i="14"/>
  <c r="D483" i="14"/>
  <c r="C483" i="14"/>
  <c r="N474" i="14"/>
  <c r="L474" i="14"/>
  <c r="K474" i="14"/>
  <c r="J474" i="14"/>
  <c r="I474" i="14"/>
  <c r="H474" i="14"/>
  <c r="G474" i="14"/>
  <c r="F474" i="14"/>
  <c r="E474" i="14"/>
  <c r="D474" i="14"/>
  <c r="C474" i="14"/>
  <c r="N473" i="14"/>
  <c r="N472" i="14"/>
  <c r="L472" i="14"/>
  <c r="K472" i="14"/>
  <c r="N469" i="14"/>
  <c r="L469" i="14"/>
  <c r="K469" i="14"/>
  <c r="J469" i="14"/>
  <c r="I469" i="14"/>
  <c r="H469" i="14"/>
  <c r="G469" i="14"/>
  <c r="F469" i="14"/>
  <c r="E469" i="14"/>
  <c r="D469" i="14"/>
  <c r="C469" i="14"/>
  <c r="N460" i="14"/>
  <c r="L460" i="14"/>
  <c r="K460" i="14"/>
  <c r="J460" i="14"/>
  <c r="I460" i="14"/>
  <c r="H460" i="14"/>
  <c r="G460" i="14"/>
  <c r="F460" i="14"/>
  <c r="E460" i="14"/>
  <c r="D460" i="14"/>
  <c r="C460" i="14"/>
  <c r="N459" i="14"/>
  <c r="N458" i="14"/>
  <c r="L458" i="14"/>
  <c r="K458" i="14"/>
  <c r="N455" i="14"/>
  <c r="L455" i="14"/>
  <c r="K455" i="14"/>
  <c r="J455" i="14"/>
  <c r="I455" i="14"/>
  <c r="H455" i="14"/>
  <c r="G455" i="14"/>
  <c r="F455" i="14"/>
  <c r="E455" i="14"/>
  <c r="D455" i="14"/>
  <c r="C455" i="14"/>
  <c r="N446" i="14"/>
  <c r="L446" i="14"/>
  <c r="K446" i="14"/>
  <c r="J446" i="14"/>
  <c r="I446" i="14"/>
  <c r="H446" i="14"/>
  <c r="G446" i="14"/>
  <c r="F446" i="14"/>
  <c r="E446" i="14"/>
  <c r="D446" i="14"/>
  <c r="C446" i="14"/>
  <c r="N445" i="14"/>
  <c r="N444" i="14"/>
  <c r="L444" i="14"/>
  <c r="K444" i="14"/>
  <c r="N441" i="14"/>
  <c r="L441" i="14"/>
  <c r="K441" i="14"/>
  <c r="J441" i="14"/>
  <c r="I441" i="14"/>
  <c r="H441" i="14"/>
  <c r="G441" i="14"/>
  <c r="F441" i="14"/>
  <c r="E441" i="14"/>
  <c r="D441" i="14"/>
  <c r="C441" i="14"/>
  <c r="N432" i="14"/>
  <c r="L432" i="14"/>
  <c r="K432" i="14"/>
  <c r="J432" i="14"/>
  <c r="I432" i="14"/>
  <c r="H432" i="14"/>
  <c r="G432" i="14"/>
  <c r="F432" i="14"/>
  <c r="E432" i="14"/>
  <c r="D432" i="14"/>
  <c r="C432" i="14"/>
  <c r="N431" i="14"/>
  <c r="N430" i="14"/>
  <c r="L430" i="14"/>
  <c r="K430" i="14"/>
  <c r="N427" i="14"/>
  <c r="L427" i="14"/>
  <c r="K427" i="14"/>
  <c r="J427" i="14"/>
  <c r="I427" i="14"/>
  <c r="H427" i="14"/>
  <c r="G427" i="14"/>
  <c r="F427" i="14"/>
  <c r="E427" i="14"/>
  <c r="D427" i="14"/>
  <c r="C427" i="14"/>
  <c r="N418" i="14"/>
  <c r="L418" i="14"/>
  <c r="K418" i="14"/>
  <c r="J418" i="14"/>
  <c r="I418" i="14"/>
  <c r="H418" i="14"/>
  <c r="G418" i="14"/>
  <c r="F418" i="14"/>
  <c r="E418" i="14"/>
  <c r="D418" i="14"/>
  <c r="C418" i="14"/>
  <c r="N417" i="14"/>
  <c r="N416" i="14"/>
  <c r="L416" i="14"/>
  <c r="K416" i="14"/>
  <c r="N413" i="14"/>
  <c r="L413" i="14"/>
  <c r="K413" i="14"/>
  <c r="J413" i="14"/>
  <c r="I413" i="14"/>
  <c r="H413" i="14"/>
  <c r="G413" i="14"/>
  <c r="F413" i="14"/>
  <c r="E413" i="14"/>
  <c r="D413" i="14"/>
  <c r="C413" i="14"/>
  <c r="N404" i="14"/>
  <c r="L404" i="14"/>
  <c r="K404" i="14"/>
  <c r="J404" i="14"/>
  <c r="I404" i="14"/>
  <c r="H404" i="14"/>
  <c r="G404" i="14"/>
  <c r="F404" i="14"/>
  <c r="E404" i="14"/>
  <c r="D404" i="14"/>
  <c r="C404" i="14"/>
  <c r="N403" i="14"/>
  <c r="N402" i="14"/>
  <c r="L402" i="14"/>
  <c r="K402" i="14"/>
  <c r="N399" i="14"/>
  <c r="L399" i="14"/>
  <c r="K399" i="14"/>
  <c r="J399" i="14"/>
  <c r="I399" i="14"/>
  <c r="H399" i="14"/>
  <c r="G399" i="14"/>
  <c r="F399" i="14"/>
  <c r="E399" i="14"/>
  <c r="D399" i="14"/>
  <c r="C399" i="14"/>
  <c r="N390" i="14"/>
  <c r="L390" i="14"/>
  <c r="K390" i="14"/>
  <c r="J390" i="14"/>
  <c r="I390" i="14"/>
  <c r="H390" i="14"/>
  <c r="G390" i="14"/>
  <c r="F390" i="14"/>
  <c r="E390" i="14"/>
  <c r="D390" i="14"/>
  <c r="C390" i="14"/>
  <c r="N389" i="14"/>
  <c r="N388" i="14"/>
  <c r="L388" i="14"/>
  <c r="K388" i="14"/>
  <c r="N385" i="14"/>
  <c r="L385" i="14"/>
  <c r="K385" i="14"/>
  <c r="J385" i="14"/>
  <c r="I385" i="14"/>
  <c r="H385" i="14"/>
  <c r="G385" i="14"/>
  <c r="F385" i="14"/>
  <c r="E385" i="14"/>
  <c r="D385" i="14"/>
  <c r="C385" i="14"/>
  <c r="N376" i="14"/>
  <c r="L376" i="14"/>
  <c r="K376" i="14"/>
  <c r="J376" i="14"/>
  <c r="I376" i="14"/>
  <c r="H376" i="14"/>
  <c r="G376" i="14"/>
  <c r="F376" i="14"/>
  <c r="E376" i="14"/>
  <c r="D376" i="14"/>
  <c r="C376" i="14"/>
  <c r="N375" i="14"/>
  <c r="N374" i="14"/>
  <c r="L374" i="14"/>
  <c r="K374" i="14"/>
  <c r="N371" i="14"/>
  <c r="L371" i="14"/>
  <c r="K371" i="14"/>
  <c r="J371" i="14"/>
  <c r="I371" i="14"/>
  <c r="H371" i="14"/>
  <c r="G371" i="14"/>
  <c r="F371" i="14"/>
  <c r="E371" i="14"/>
  <c r="D371" i="14"/>
  <c r="C371" i="14"/>
  <c r="N362" i="14"/>
  <c r="L362" i="14"/>
  <c r="K362" i="14"/>
  <c r="J362" i="14"/>
  <c r="I362" i="14"/>
  <c r="H362" i="14"/>
  <c r="G362" i="14"/>
  <c r="F362" i="14"/>
  <c r="E362" i="14"/>
  <c r="D362" i="14"/>
  <c r="C362" i="14"/>
  <c r="N361" i="14"/>
  <c r="N360" i="14"/>
  <c r="L360" i="14"/>
  <c r="K360" i="14"/>
  <c r="N357" i="14"/>
  <c r="L357" i="14"/>
  <c r="K357" i="14"/>
  <c r="J357" i="14"/>
  <c r="I357" i="14"/>
  <c r="H357" i="14"/>
  <c r="G357" i="14"/>
  <c r="F357" i="14"/>
  <c r="E357" i="14"/>
  <c r="D357" i="14"/>
  <c r="C357" i="14"/>
  <c r="N348" i="14"/>
  <c r="L348" i="14"/>
  <c r="K348" i="14"/>
  <c r="J348" i="14"/>
  <c r="I348" i="14"/>
  <c r="H348" i="14"/>
  <c r="G348" i="14"/>
  <c r="F348" i="14"/>
  <c r="E348" i="14"/>
  <c r="D348" i="14"/>
  <c r="C348" i="14"/>
  <c r="N347" i="14"/>
  <c r="N346" i="14"/>
  <c r="L346" i="14"/>
  <c r="K346" i="14"/>
  <c r="N343" i="14"/>
  <c r="L343" i="14"/>
  <c r="K343" i="14"/>
  <c r="J343" i="14"/>
  <c r="I343" i="14"/>
  <c r="H343" i="14"/>
  <c r="G343" i="14"/>
  <c r="F343" i="14"/>
  <c r="E343" i="14"/>
  <c r="D343" i="14"/>
  <c r="C343" i="14"/>
  <c r="N334" i="14"/>
  <c r="L334" i="14"/>
  <c r="K334" i="14"/>
  <c r="J334" i="14"/>
  <c r="I334" i="14"/>
  <c r="H334" i="14"/>
  <c r="G334" i="14"/>
  <c r="F334" i="14"/>
  <c r="E334" i="14"/>
  <c r="D334" i="14"/>
  <c r="C334" i="14"/>
  <c r="N333" i="14"/>
  <c r="N332" i="14"/>
  <c r="L332" i="14"/>
  <c r="K332" i="14"/>
  <c r="N329" i="14"/>
  <c r="L329" i="14"/>
  <c r="K329" i="14"/>
  <c r="J329" i="14"/>
  <c r="I329" i="14"/>
  <c r="H329" i="14"/>
  <c r="G329" i="14"/>
  <c r="F329" i="14"/>
  <c r="E329" i="14"/>
  <c r="D329" i="14"/>
  <c r="C329" i="14"/>
  <c r="N320" i="14"/>
  <c r="L320" i="14"/>
  <c r="K320" i="14"/>
  <c r="J320" i="14"/>
  <c r="I320" i="14"/>
  <c r="H320" i="14"/>
  <c r="G320" i="14"/>
  <c r="F320" i="14"/>
  <c r="E320" i="14"/>
  <c r="D320" i="14"/>
  <c r="C320" i="14"/>
  <c r="N319" i="14"/>
  <c r="N318" i="14"/>
  <c r="L318" i="14"/>
  <c r="K318" i="14"/>
  <c r="N315" i="14"/>
  <c r="L315" i="14"/>
  <c r="K315" i="14"/>
  <c r="J315" i="14"/>
  <c r="I315" i="14"/>
  <c r="H315" i="14"/>
  <c r="G315" i="14"/>
  <c r="F315" i="14"/>
  <c r="E315" i="14"/>
  <c r="D315" i="14"/>
  <c r="C315" i="14"/>
  <c r="N306" i="14"/>
  <c r="L306" i="14"/>
  <c r="K306" i="14"/>
  <c r="J306" i="14"/>
  <c r="I306" i="14"/>
  <c r="H306" i="14"/>
  <c r="G306" i="14"/>
  <c r="F306" i="14"/>
  <c r="E306" i="14"/>
  <c r="D306" i="14"/>
  <c r="C306" i="14"/>
  <c r="N305" i="14"/>
  <c r="N304" i="14"/>
  <c r="L304" i="14"/>
  <c r="K304" i="14"/>
  <c r="N301" i="14"/>
  <c r="L301" i="14"/>
  <c r="I301" i="14"/>
  <c r="H301" i="14"/>
  <c r="G301" i="14"/>
  <c r="F301" i="14"/>
  <c r="E301" i="14"/>
  <c r="D301" i="14"/>
  <c r="C301" i="14"/>
  <c r="N292" i="14"/>
  <c r="L292" i="14"/>
  <c r="K292" i="14"/>
  <c r="J292" i="14"/>
  <c r="I292" i="14"/>
  <c r="H292" i="14"/>
  <c r="G292" i="14"/>
  <c r="F292" i="14"/>
  <c r="E292" i="14"/>
  <c r="D292" i="14"/>
  <c r="C292" i="14"/>
  <c r="N291" i="14"/>
  <c r="N290" i="14"/>
  <c r="L290" i="14"/>
  <c r="K290" i="14"/>
  <c r="N287" i="14"/>
  <c r="L287" i="14"/>
  <c r="J287" i="14"/>
  <c r="I287" i="14"/>
  <c r="H287" i="14"/>
  <c r="G287" i="14"/>
  <c r="F287" i="14"/>
  <c r="E287" i="14"/>
  <c r="D287" i="14"/>
  <c r="C287" i="14"/>
  <c r="N278" i="14"/>
  <c r="L278" i="14"/>
  <c r="K278" i="14"/>
  <c r="J278" i="14"/>
  <c r="I278" i="14"/>
  <c r="H278" i="14"/>
  <c r="G278" i="14"/>
  <c r="F278" i="14"/>
  <c r="E278" i="14"/>
  <c r="D278" i="14"/>
  <c r="C278" i="14"/>
  <c r="N277" i="14"/>
  <c r="N276" i="14"/>
  <c r="L276" i="14"/>
  <c r="K276" i="14"/>
  <c r="N273" i="14"/>
  <c r="I273" i="14"/>
  <c r="F273" i="14"/>
  <c r="E273" i="14"/>
  <c r="D273" i="14"/>
  <c r="C273" i="14"/>
  <c r="N264" i="14"/>
  <c r="L264" i="14"/>
  <c r="K264" i="14"/>
  <c r="J264" i="14"/>
  <c r="I264" i="14"/>
  <c r="H264" i="14"/>
  <c r="G264" i="14"/>
  <c r="F264" i="14"/>
  <c r="E264" i="14"/>
  <c r="D264" i="14"/>
  <c r="C264" i="14"/>
  <c r="N263" i="14"/>
  <c r="N262" i="14"/>
  <c r="L262" i="14"/>
  <c r="K262" i="14"/>
  <c r="N259" i="14"/>
  <c r="L259" i="14"/>
  <c r="F259" i="14"/>
  <c r="E259" i="14"/>
  <c r="D259" i="14"/>
  <c r="C259" i="14"/>
  <c r="N250" i="14"/>
  <c r="L250" i="14"/>
  <c r="K250" i="14"/>
  <c r="J250" i="14"/>
  <c r="I250" i="14"/>
  <c r="H250" i="14"/>
  <c r="G250" i="14"/>
  <c r="F250" i="14"/>
  <c r="E250" i="14"/>
  <c r="D250" i="14"/>
  <c r="C250" i="14"/>
  <c r="N249" i="14"/>
  <c r="N248" i="14"/>
  <c r="L248" i="14"/>
  <c r="K248" i="14"/>
  <c r="N245" i="14"/>
  <c r="L245" i="14"/>
  <c r="I245" i="14"/>
  <c r="G245" i="14"/>
  <c r="F245" i="14"/>
  <c r="E245" i="14"/>
  <c r="D245" i="14"/>
  <c r="C245" i="14"/>
  <c r="N236" i="14"/>
  <c r="L236" i="14"/>
  <c r="K236" i="14"/>
  <c r="J236" i="14"/>
  <c r="I236" i="14"/>
  <c r="H236" i="14"/>
  <c r="G236" i="14"/>
  <c r="F236" i="14"/>
  <c r="E236" i="14"/>
  <c r="D236" i="14"/>
  <c r="C236" i="14"/>
  <c r="N235" i="14"/>
  <c r="N234" i="14"/>
  <c r="L234" i="14"/>
  <c r="K234" i="14"/>
  <c r="N231" i="14"/>
  <c r="L231" i="14"/>
  <c r="K231" i="14"/>
  <c r="J231" i="14"/>
  <c r="I231" i="14"/>
  <c r="H231" i="14"/>
  <c r="G231" i="14"/>
  <c r="F231" i="14"/>
  <c r="E231" i="14"/>
  <c r="D231" i="14"/>
  <c r="C231" i="14"/>
  <c r="N222" i="14"/>
  <c r="L222" i="14"/>
  <c r="K222" i="14"/>
  <c r="J222" i="14"/>
  <c r="I222" i="14"/>
  <c r="H222" i="14"/>
  <c r="G222" i="14"/>
  <c r="F222" i="14"/>
  <c r="E222" i="14"/>
  <c r="D222" i="14"/>
  <c r="C222" i="14"/>
  <c r="N221" i="14"/>
  <c r="N220" i="14"/>
  <c r="L220" i="14"/>
  <c r="K220" i="14"/>
  <c r="N217" i="14"/>
  <c r="L217" i="14"/>
  <c r="K217" i="14"/>
  <c r="J217" i="14"/>
  <c r="I217" i="14"/>
  <c r="H217" i="14"/>
  <c r="G217" i="14"/>
  <c r="F217" i="14"/>
  <c r="E217" i="14"/>
  <c r="D217" i="14"/>
  <c r="C217" i="14"/>
  <c r="N208" i="14"/>
  <c r="L208" i="14"/>
  <c r="K208" i="14"/>
  <c r="J208" i="14"/>
  <c r="I208" i="14"/>
  <c r="H208" i="14"/>
  <c r="G208" i="14"/>
  <c r="F208" i="14"/>
  <c r="E208" i="14"/>
  <c r="D208" i="14"/>
  <c r="C208" i="14"/>
  <c r="N207" i="14"/>
  <c r="N206" i="14"/>
  <c r="L206" i="14"/>
  <c r="K206" i="14"/>
  <c r="N203" i="14"/>
  <c r="L203" i="14"/>
  <c r="J203" i="14"/>
  <c r="I203" i="14"/>
  <c r="H203" i="14"/>
  <c r="G203" i="14"/>
  <c r="F203" i="14"/>
  <c r="E203" i="14"/>
  <c r="D203" i="14"/>
  <c r="C203" i="14"/>
  <c r="N194" i="14"/>
  <c r="L194" i="14"/>
  <c r="K194" i="14"/>
  <c r="J194" i="14"/>
  <c r="I194" i="14"/>
  <c r="H194" i="14"/>
  <c r="G194" i="14"/>
  <c r="F194" i="14"/>
  <c r="E194" i="14"/>
  <c r="D194" i="14"/>
  <c r="C194" i="14"/>
  <c r="N193" i="14"/>
  <c r="N192" i="14"/>
  <c r="L192" i="14"/>
  <c r="K192" i="14"/>
  <c r="N189" i="14"/>
  <c r="L189" i="14"/>
  <c r="J189" i="14"/>
  <c r="I189" i="14"/>
  <c r="H189" i="14"/>
  <c r="G189" i="14"/>
  <c r="F189" i="14"/>
  <c r="E189" i="14"/>
  <c r="D189" i="14"/>
  <c r="C189" i="14"/>
  <c r="N180" i="14"/>
  <c r="L180" i="14"/>
  <c r="K180" i="14"/>
  <c r="J180" i="14"/>
  <c r="I180" i="14"/>
  <c r="H180" i="14"/>
  <c r="G180" i="14"/>
  <c r="F180" i="14"/>
  <c r="E180" i="14"/>
  <c r="D180" i="14"/>
  <c r="C180" i="14"/>
  <c r="N179" i="14"/>
  <c r="N178" i="14"/>
  <c r="L178" i="14"/>
  <c r="K178" i="14"/>
  <c r="J175" i="14"/>
  <c r="I175" i="14"/>
  <c r="H175" i="14"/>
  <c r="G175" i="14"/>
  <c r="F175" i="14"/>
  <c r="E175" i="14"/>
  <c r="D175" i="14"/>
  <c r="C175" i="14"/>
  <c r="N166" i="14"/>
  <c r="L166" i="14"/>
  <c r="K166" i="14"/>
  <c r="J166" i="14"/>
  <c r="I166" i="14"/>
  <c r="H166" i="14"/>
  <c r="G166" i="14"/>
  <c r="F166" i="14"/>
  <c r="E166" i="14"/>
  <c r="D166" i="14"/>
  <c r="C166" i="14"/>
  <c r="N165" i="14"/>
  <c r="N164" i="14"/>
  <c r="L164" i="14"/>
  <c r="K164" i="14"/>
  <c r="N161" i="14"/>
  <c r="I161" i="14"/>
  <c r="H161" i="14"/>
  <c r="G161" i="14"/>
  <c r="F161" i="14"/>
  <c r="E161" i="14"/>
  <c r="D161" i="14"/>
  <c r="C161" i="14"/>
  <c r="N152" i="14"/>
  <c r="L152" i="14"/>
  <c r="K152" i="14"/>
  <c r="J152" i="14"/>
  <c r="I152" i="14"/>
  <c r="H152" i="14"/>
  <c r="G152" i="14"/>
  <c r="F152" i="14"/>
  <c r="E152" i="14"/>
  <c r="D152" i="14"/>
  <c r="C152" i="14"/>
  <c r="N151" i="14"/>
  <c r="N150" i="14"/>
  <c r="L150" i="14"/>
  <c r="K150" i="14"/>
  <c r="N147" i="14"/>
  <c r="J147" i="14"/>
  <c r="I147" i="14"/>
  <c r="H147" i="14"/>
  <c r="G147" i="14"/>
  <c r="F147" i="14"/>
  <c r="E147" i="14"/>
  <c r="D147" i="14"/>
  <c r="C147" i="14"/>
  <c r="N138" i="14"/>
  <c r="N137" i="14"/>
  <c r="N136" i="14"/>
  <c r="L136" i="14"/>
  <c r="K136" i="14"/>
  <c r="N133" i="14"/>
  <c r="L133" i="14"/>
  <c r="J133" i="14"/>
  <c r="I133" i="14"/>
  <c r="H133" i="14"/>
  <c r="G133" i="14"/>
  <c r="F133" i="14"/>
  <c r="E133" i="14"/>
  <c r="D133" i="14"/>
  <c r="C133" i="14"/>
  <c r="N124" i="14"/>
  <c r="L124" i="14"/>
  <c r="K124" i="14"/>
  <c r="J124" i="14"/>
  <c r="I124" i="14"/>
  <c r="H124" i="14"/>
  <c r="G124" i="14"/>
  <c r="F124" i="14"/>
  <c r="E124" i="14"/>
  <c r="D124" i="14"/>
  <c r="C124" i="14"/>
  <c r="N123" i="14"/>
  <c r="N122" i="14"/>
  <c r="L122" i="14"/>
  <c r="K122" i="14"/>
  <c r="N119" i="14"/>
  <c r="J119" i="14"/>
  <c r="I119" i="14"/>
  <c r="H119" i="14"/>
  <c r="G119" i="14"/>
  <c r="F119" i="14"/>
  <c r="E119" i="14"/>
  <c r="D119" i="14"/>
  <c r="C119" i="14"/>
  <c r="N110" i="14"/>
  <c r="L110" i="14"/>
  <c r="K110" i="14"/>
  <c r="J110" i="14"/>
  <c r="I110" i="14"/>
  <c r="H110" i="14"/>
  <c r="G110" i="14"/>
  <c r="F110" i="14"/>
  <c r="E110" i="14"/>
  <c r="D110" i="14"/>
  <c r="C110" i="14"/>
  <c r="N109" i="14"/>
  <c r="N108" i="14"/>
  <c r="L108" i="14"/>
  <c r="K108" i="14"/>
  <c r="N96" i="14"/>
  <c r="N95" i="14"/>
  <c r="N94" i="14"/>
  <c r="L94" i="14"/>
  <c r="K94" i="14"/>
  <c r="N105" i="14"/>
  <c r="L105" i="14"/>
  <c r="J105" i="14"/>
  <c r="I105" i="14"/>
  <c r="H105" i="14"/>
  <c r="G105" i="14"/>
  <c r="F105" i="14"/>
  <c r="E105" i="14"/>
  <c r="D105" i="14"/>
  <c r="C105" i="14"/>
  <c r="L96" i="14"/>
  <c r="K96" i="14"/>
  <c r="J96" i="14"/>
  <c r="I96" i="14"/>
  <c r="H96" i="14"/>
  <c r="G96" i="14"/>
  <c r="F96" i="14"/>
  <c r="E96" i="14"/>
  <c r="D96" i="14"/>
  <c r="C96" i="14"/>
  <c r="O26" i="49"/>
  <c r="L1" i="49"/>
  <c r="D22" i="49"/>
  <c r="D16" i="49"/>
  <c r="D25" i="49"/>
  <c r="D26" i="49" s="1"/>
  <c r="C11" i="49"/>
  <c r="P11" i="49"/>
  <c r="R12" i="49"/>
  <c r="J11" i="49"/>
  <c r="Y11" i="49"/>
  <c r="Y12" i="49"/>
  <c r="I11" i="49"/>
  <c r="H11" i="49"/>
  <c r="W11" i="49"/>
  <c r="G11" i="49"/>
  <c r="F11" i="49"/>
  <c r="F12" i="49"/>
  <c r="G23" i="146"/>
  <c r="E11" i="49"/>
  <c r="D11" i="49"/>
  <c r="S11" i="49"/>
  <c r="V11" i="49"/>
  <c r="V12" i="49"/>
  <c r="M1" i="49"/>
  <c r="W12" i="49"/>
  <c r="L11" i="49"/>
  <c r="AB11" i="49"/>
  <c r="AC12" i="49"/>
  <c r="F8" i="148"/>
  <c r="F9" i="148"/>
  <c r="F10" i="148"/>
  <c r="F11" i="148"/>
  <c r="F12" i="148"/>
  <c r="F13" i="148"/>
  <c r="F14" i="148"/>
  <c r="F15" i="148"/>
  <c r="F16" i="148"/>
  <c r="F17" i="148"/>
  <c r="F18" i="148"/>
  <c r="F19" i="148"/>
  <c r="F20" i="148"/>
  <c r="F21" i="148"/>
  <c r="F22" i="148"/>
  <c r="F23" i="148"/>
  <c r="F24" i="148"/>
  <c r="F25" i="148"/>
  <c r="F26" i="148"/>
  <c r="F27" i="148"/>
  <c r="F28" i="148"/>
  <c r="F29" i="148"/>
  <c r="F30" i="148"/>
  <c r="F31" i="148"/>
  <c r="F33" i="148"/>
  <c r="F34" i="148"/>
  <c r="F35" i="148"/>
  <c r="F36" i="148"/>
  <c r="F37" i="148"/>
  <c r="F38" i="148"/>
  <c r="F39" i="148"/>
  <c r="F40" i="148"/>
  <c r="F41" i="148"/>
  <c r="F42" i="148"/>
  <c r="F43" i="148"/>
  <c r="F44" i="148"/>
  <c r="F45" i="148"/>
  <c r="F46" i="148"/>
  <c r="F47" i="148"/>
  <c r="F48" i="148"/>
  <c r="F49" i="148"/>
  <c r="F50" i="148"/>
  <c r="F51" i="148"/>
  <c r="F52" i="148"/>
  <c r="F53" i="148"/>
  <c r="F54" i="148"/>
  <c r="F55" i="148"/>
  <c r="F56" i="148"/>
  <c r="F57" i="148"/>
  <c r="F58" i="148"/>
  <c r="F59" i="148"/>
  <c r="F60" i="148"/>
  <c r="F61" i="148"/>
  <c r="F62" i="148"/>
  <c r="F63" i="148"/>
  <c r="F64" i="148"/>
  <c r="F65" i="148"/>
  <c r="F3" i="148"/>
  <c r="F4" i="148"/>
  <c r="F5" i="148"/>
  <c r="F6" i="148"/>
  <c r="F7" i="148"/>
  <c r="A12" i="148"/>
  <c r="B12" i="148"/>
  <c r="C12" i="148"/>
  <c r="E12" i="148"/>
  <c r="A13" i="148"/>
  <c r="B13" i="148"/>
  <c r="C13" i="148"/>
  <c r="E13" i="148"/>
  <c r="A14" i="148"/>
  <c r="B14" i="148"/>
  <c r="C14" i="148"/>
  <c r="E14" i="148"/>
  <c r="A15" i="148"/>
  <c r="B15" i="148"/>
  <c r="C15" i="148"/>
  <c r="E15" i="148"/>
  <c r="A16" i="148"/>
  <c r="B16" i="148"/>
  <c r="C16" i="148"/>
  <c r="E16" i="148"/>
  <c r="A17" i="148"/>
  <c r="B17" i="148"/>
  <c r="C17" i="148"/>
  <c r="E17" i="148"/>
  <c r="A18" i="148"/>
  <c r="B18" i="148"/>
  <c r="C18" i="148"/>
  <c r="E18" i="148"/>
  <c r="A19" i="148"/>
  <c r="B19" i="148"/>
  <c r="C19" i="148"/>
  <c r="E19" i="148"/>
  <c r="A20" i="148"/>
  <c r="B20" i="148"/>
  <c r="C20" i="148"/>
  <c r="E20" i="148"/>
  <c r="A21" i="148"/>
  <c r="B21" i="148"/>
  <c r="C21" i="148"/>
  <c r="E21" i="148"/>
  <c r="A22" i="148"/>
  <c r="B22" i="148"/>
  <c r="C22" i="148"/>
  <c r="E22" i="148"/>
  <c r="A23" i="148"/>
  <c r="B23" i="148"/>
  <c r="C23" i="148"/>
  <c r="E23" i="148"/>
  <c r="A24" i="148"/>
  <c r="B24" i="148"/>
  <c r="C24" i="148"/>
  <c r="E24" i="148"/>
  <c r="A25" i="148"/>
  <c r="B25" i="148"/>
  <c r="C25" i="148"/>
  <c r="E25" i="148"/>
  <c r="A26" i="148"/>
  <c r="B26" i="148"/>
  <c r="C26" i="148"/>
  <c r="E26" i="148"/>
  <c r="A27" i="148"/>
  <c r="B27" i="148"/>
  <c r="C27" i="148"/>
  <c r="E27" i="148"/>
  <c r="A28" i="148"/>
  <c r="B28" i="148"/>
  <c r="C28" i="148"/>
  <c r="E28" i="148"/>
  <c r="A29" i="148"/>
  <c r="B29" i="148"/>
  <c r="C29" i="148"/>
  <c r="E29" i="148"/>
  <c r="A30" i="148"/>
  <c r="B30" i="148"/>
  <c r="C30" i="148"/>
  <c r="E30" i="148"/>
  <c r="A31" i="148"/>
  <c r="B31" i="148"/>
  <c r="C31" i="148"/>
  <c r="E31" i="148"/>
  <c r="A32" i="148"/>
  <c r="B32" i="148"/>
  <c r="C32" i="148"/>
  <c r="E32" i="148"/>
  <c r="A33" i="148"/>
  <c r="B33" i="148"/>
  <c r="C33" i="148"/>
  <c r="E33" i="148"/>
  <c r="A34" i="148"/>
  <c r="B34" i="148"/>
  <c r="C34" i="148"/>
  <c r="E34" i="148"/>
  <c r="A35" i="148"/>
  <c r="B35" i="148"/>
  <c r="C35" i="148"/>
  <c r="E35" i="148"/>
  <c r="A36" i="148"/>
  <c r="B36" i="148"/>
  <c r="C36" i="148"/>
  <c r="E36" i="148"/>
  <c r="A37" i="148"/>
  <c r="B37" i="148"/>
  <c r="C37" i="148"/>
  <c r="E37" i="148"/>
  <c r="A38" i="148"/>
  <c r="B38" i="148"/>
  <c r="C38" i="148"/>
  <c r="E38" i="148"/>
  <c r="A39" i="148"/>
  <c r="B39" i="148"/>
  <c r="C39" i="148"/>
  <c r="E39" i="148"/>
  <c r="A40" i="148"/>
  <c r="B40" i="148"/>
  <c r="C40" i="148"/>
  <c r="E40" i="148"/>
  <c r="A41" i="148"/>
  <c r="B41" i="148"/>
  <c r="C41" i="148"/>
  <c r="E41" i="148"/>
  <c r="A42" i="148"/>
  <c r="B42" i="148"/>
  <c r="C42" i="148"/>
  <c r="E42" i="148"/>
  <c r="A43" i="148"/>
  <c r="B43" i="148"/>
  <c r="C43" i="148"/>
  <c r="E43" i="148"/>
  <c r="A44" i="148"/>
  <c r="B44" i="148"/>
  <c r="C44" i="148"/>
  <c r="E44" i="148"/>
  <c r="A45" i="148"/>
  <c r="B45" i="148"/>
  <c r="C45" i="148"/>
  <c r="E45" i="148"/>
  <c r="A46" i="148"/>
  <c r="B46" i="148"/>
  <c r="C46" i="148"/>
  <c r="E46" i="148"/>
  <c r="A47" i="148"/>
  <c r="B47" i="148"/>
  <c r="C47" i="148"/>
  <c r="E47" i="148"/>
  <c r="A48" i="148"/>
  <c r="B48" i="148"/>
  <c r="C48" i="148"/>
  <c r="E48" i="148"/>
  <c r="A49" i="148"/>
  <c r="B49" i="148"/>
  <c r="C49" i="148"/>
  <c r="E49" i="148"/>
  <c r="A50" i="148"/>
  <c r="B50" i="148"/>
  <c r="C50" i="148"/>
  <c r="E50" i="148"/>
  <c r="A51" i="148"/>
  <c r="B51" i="148"/>
  <c r="C51" i="148"/>
  <c r="E51" i="148"/>
  <c r="A52" i="148"/>
  <c r="B52" i="148"/>
  <c r="C52" i="148"/>
  <c r="E52" i="148"/>
  <c r="A53" i="148"/>
  <c r="B53" i="148"/>
  <c r="C53" i="148"/>
  <c r="E53" i="148"/>
  <c r="A54" i="148"/>
  <c r="B54" i="148"/>
  <c r="C54" i="148"/>
  <c r="E54" i="148"/>
  <c r="A55" i="148"/>
  <c r="B55" i="148"/>
  <c r="C55" i="148"/>
  <c r="E55" i="148"/>
  <c r="A56" i="148"/>
  <c r="B56" i="148"/>
  <c r="C56" i="148"/>
  <c r="E56" i="148"/>
  <c r="A57" i="148"/>
  <c r="B57" i="148"/>
  <c r="C57" i="148"/>
  <c r="E57" i="148"/>
  <c r="A58" i="148"/>
  <c r="B58" i="148"/>
  <c r="C58" i="148"/>
  <c r="E58" i="148"/>
  <c r="A59" i="148"/>
  <c r="B59" i="148"/>
  <c r="C59" i="148"/>
  <c r="E59" i="148"/>
  <c r="A60" i="148"/>
  <c r="B60" i="148"/>
  <c r="C60" i="148"/>
  <c r="E60" i="148"/>
  <c r="A61" i="148"/>
  <c r="B61" i="148"/>
  <c r="C61" i="148"/>
  <c r="E61" i="148"/>
  <c r="A62" i="148"/>
  <c r="B62" i="148"/>
  <c r="C62" i="148"/>
  <c r="E62" i="148"/>
  <c r="A63" i="148"/>
  <c r="B63" i="148"/>
  <c r="C63" i="148"/>
  <c r="E63" i="148"/>
  <c r="A64" i="148"/>
  <c r="B64" i="148"/>
  <c r="C64" i="148"/>
  <c r="E64" i="148"/>
  <c r="A65" i="148"/>
  <c r="B65" i="148"/>
  <c r="C65" i="148"/>
  <c r="E65" i="148"/>
  <c r="F2" i="148"/>
  <c r="H9" i="145"/>
  <c r="H8" i="145"/>
  <c r="H5" i="145"/>
  <c r="H4" i="145"/>
  <c r="I199" i="147"/>
  <c r="I198" i="147"/>
  <c r="I197" i="147"/>
  <c r="I196" i="147"/>
  <c r="I187" i="147"/>
  <c r="I186" i="147"/>
  <c r="I181" i="147"/>
  <c r="I175" i="147"/>
  <c r="I174" i="147"/>
  <c r="I173" i="147"/>
  <c r="I172" i="147"/>
  <c r="I171" i="147"/>
  <c r="I170" i="147"/>
  <c r="I167" i="147"/>
  <c r="I166" i="147"/>
  <c r="I165" i="147"/>
  <c r="I164" i="147"/>
  <c r="I163" i="147"/>
  <c r="I162" i="147"/>
  <c r="I155" i="147"/>
  <c r="I154" i="147"/>
  <c r="I151" i="147"/>
  <c r="I150" i="147"/>
  <c r="I149" i="147"/>
  <c r="I148" i="147"/>
  <c r="I147" i="147"/>
  <c r="I146" i="147"/>
  <c r="I143" i="147"/>
  <c r="I142" i="147"/>
  <c r="I141" i="147"/>
  <c r="I140" i="147"/>
  <c r="I139" i="147"/>
  <c r="I138" i="147"/>
  <c r="I132" i="147"/>
  <c r="I131" i="147"/>
  <c r="I127" i="147"/>
  <c r="I126" i="147"/>
  <c r="I125" i="147"/>
  <c r="I124" i="147"/>
  <c r="I123" i="147"/>
  <c r="I122" i="147"/>
  <c r="I119" i="147"/>
  <c r="I118" i="147"/>
  <c r="I117" i="147"/>
  <c r="I116" i="147"/>
  <c r="I115" i="147"/>
  <c r="I114" i="147"/>
  <c r="I111" i="147"/>
  <c r="I110" i="147"/>
  <c r="I103" i="147"/>
  <c r="I102" i="147"/>
  <c r="I101" i="147"/>
  <c r="I100" i="147"/>
  <c r="I99" i="147"/>
  <c r="I98" i="147"/>
  <c r="I95" i="147"/>
  <c r="I94" i="147"/>
  <c r="I93" i="147"/>
  <c r="I92" i="147"/>
  <c r="I91" i="147"/>
  <c r="I90" i="147"/>
  <c r="I83" i="147"/>
  <c r="I79" i="147"/>
  <c r="I78" i="147"/>
  <c r="I77" i="147"/>
  <c r="I76" i="147"/>
  <c r="I75" i="147"/>
  <c r="I74" i="147"/>
  <c r="I71" i="147"/>
  <c r="I70" i="147"/>
  <c r="I69" i="147"/>
  <c r="I68" i="147"/>
  <c r="I67" i="147"/>
  <c r="I66" i="147"/>
  <c r="I63" i="147"/>
  <c r="I62" i="147"/>
  <c r="I61" i="147"/>
  <c r="I60" i="147"/>
  <c r="I59" i="147"/>
  <c r="I58" i="147"/>
  <c r="I42" i="147"/>
  <c r="I39" i="147"/>
  <c r="I38" i="147"/>
  <c r="I37" i="147"/>
  <c r="I36" i="147"/>
  <c r="I35" i="147"/>
  <c r="I34" i="147"/>
  <c r="I31" i="147"/>
  <c r="I30" i="147"/>
  <c r="I29" i="147"/>
  <c r="I28" i="147"/>
  <c r="I27" i="147"/>
  <c r="I26" i="147"/>
  <c r="I23" i="147"/>
  <c r="I22" i="147"/>
  <c r="I21" i="147"/>
  <c r="I20" i="147"/>
  <c r="I19" i="147"/>
  <c r="I18" i="147"/>
  <c r="H17" i="147"/>
  <c r="H16" i="147"/>
  <c r="I15" i="147"/>
  <c r="H15" i="147"/>
  <c r="I14" i="147"/>
  <c r="H14" i="147"/>
  <c r="I13" i="147"/>
  <c r="H13" i="147"/>
  <c r="I12" i="147"/>
  <c r="H12" i="147"/>
  <c r="I11" i="147"/>
  <c r="H11" i="147"/>
  <c r="I10" i="147"/>
  <c r="H10" i="147"/>
  <c r="H9" i="147"/>
  <c r="H8" i="147"/>
  <c r="I7" i="147"/>
  <c r="H7" i="147"/>
  <c r="I6" i="147"/>
  <c r="H6" i="147"/>
  <c r="I5" i="147"/>
  <c r="H5" i="147"/>
  <c r="I4" i="147"/>
  <c r="H4" i="147"/>
  <c r="I3" i="147"/>
  <c r="H3" i="147"/>
  <c r="I2" i="147"/>
  <c r="H2" i="147"/>
  <c r="F12" i="5"/>
  <c r="H37" i="147"/>
  <c r="E12" i="5"/>
  <c r="H24" i="147"/>
  <c r="H12" i="5"/>
  <c r="H55" i="147"/>
  <c r="I12" i="5"/>
  <c r="H65" i="147"/>
  <c r="K12" i="5"/>
  <c r="H77" i="147"/>
  <c r="L12" i="5"/>
  <c r="N12" i="5"/>
  <c r="O12" i="5"/>
  <c r="R12" i="5"/>
  <c r="H131" i="147"/>
  <c r="Q12" i="5"/>
  <c r="H129" i="147"/>
  <c r="H121" i="147"/>
  <c r="H140" i="147"/>
  <c r="T12" i="5"/>
  <c r="U12" i="5"/>
  <c r="X12" i="5"/>
  <c r="W12" i="5"/>
  <c r="H177" i="147"/>
  <c r="H111" i="140"/>
  <c r="H103" i="140"/>
  <c r="H87" i="140"/>
  <c r="H79" i="140"/>
  <c r="H33" i="140"/>
  <c r="H29" i="140"/>
  <c r="H28" i="140"/>
  <c r="H27" i="140"/>
  <c r="H25" i="140"/>
  <c r="H23" i="140"/>
  <c r="H21" i="140"/>
  <c r="H20" i="140"/>
  <c r="H19" i="140"/>
  <c r="H18" i="140"/>
  <c r="H17" i="140"/>
  <c r="H16" i="140"/>
  <c r="H15" i="140"/>
  <c r="H13" i="140"/>
  <c r="H12" i="140"/>
  <c r="H11" i="140"/>
  <c r="H10" i="140"/>
  <c r="H9" i="140"/>
  <c r="H8" i="140"/>
  <c r="H7" i="140"/>
  <c r="H5" i="140"/>
  <c r="H4" i="140"/>
  <c r="H3" i="140"/>
  <c r="H2" i="140"/>
  <c r="A46" i="32"/>
  <c r="A39" i="32"/>
  <c r="C12" i="49"/>
  <c r="H50" i="147"/>
  <c r="H58" i="147"/>
  <c r="H19" i="147"/>
  <c r="H21" i="147"/>
  <c r="H23" i="147"/>
  <c r="H25" i="147"/>
  <c r="H39" i="147"/>
  <c r="H41" i="147"/>
  <c r="H64" i="147"/>
  <c r="H98" i="147"/>
  <c r="H116" i="147"/>
  <c r="H150" i="147"/>
  <c r="H66" i="147"/>
  <c r="H54" i="147"/>
  <c r="H114" i="147"/>
  <c r="H122" i="147"/>
  <c r="H118" i="147"/>
  <c r="H18" i="147"/>
  <c r="H20" i="147"/>
  <c r="H22" i="147"/>
  <c r="H38" i="147"/>
  <c r="H52" i="147"/>
  <c r="H60" i="147"/>
  <c r="H68" i="147"/>
  <c r="H120" i="147"/>
  <c r="H169" i="147"/>
  <c r="H145" i="147"/>
  <c r="H143" i="147"/>
  <c r="H141" i="147"/>
  <c r="H139" i="147"/>
  <c r="H43" i="147"/>
  <c r="H74" i="147"/>
  <c r="H138" i="147"/>
  <c r="H107" i="147"/>
  <c r="H144" i="147"/>
  <c r="H81" i="147"/>
  <c r="H75" i="147"/>
  <c r="H46" i="147"/>
  <c r="H142" i="147"/>
  <c r="H166" i="147"/>
  <c r="H51" i="147"/>
  <c r="H59" i="147"/>
  <c r="H91" i="147"/>
  <c r="H115" i="147"/>
  <c r="H117" i="147"/>
  <c r="H119" i="147"/>
  <c r="H123" i="147"/>
  <c r="H125" i="147"/>
  <c r="H135" i="147"/>
  <c r="A14" i="98"/>
  <c r="A14" i="54"/>
  <c r="A52" i="146"/>
  <c r="B52" i="146"/>
  <c r="C52" i="146"/>
  <c r="E52" i="146"/>
  <c r="A53" i="146"/>
  <c r="B53" i="146"/>
  <c r="C53" i="146"/>
  <c r="E53" i="146"/>
  <c r="A54" i="146"/>
  <c r="B54" i="146"/>
  <c r="C54" i="146"/>
  <c r="E54" i="146"/>
  <c r="A55" i="146"/>
  <c r="B55" i="146"/>
  <c r="C55" i="146"/>
  <c r="E55" i="146"/>
  <c r="A56" i="146"/>
  <c r="B56" i="146"/>
  <c r="C56" i="146"/>
  <c r="E56" i="146"/>
  <c r="K81" i="150"/>
  <c r="F81" i="150"/>
  <c r="B81" i="150"/>
  <c r="K80" i="150"/>
  <c r="F80" i="150"/>
  <c r="B80" i="150"/>
  <c r="B79" i="150"/>
  <c r="B78" i="150"/>
  <c r="B77" i="150"/>
  <c r="B76" i="150"/>
  <c r="B75" i="150"/>
  <c r="B74" i="150"/>
  <c r="B73" i="150"/>
  <c r="B66" i="150"/>
  <c r="B65" i="150"/>
  <c r="B64" i="150"/>
  <c r="B63" i="150"/>
  <c r="B62" i="150"/>
  <c r="F76" i="150"/>
  <c r="B61" i="150"/>
  <c r="B60" i="150"/>
  <c r="B59" i="150"/>
  <c r="B58" i="150"/>
  <c r="G53" i="150"/>
  <c r="M52" i="150"/>
  <c r="O52" i="150"/>
  <c r="H52" i="150"/>
  <c r="J52" i="150"/>
  <c r="B52" i="150"/>
  <c r="M51" i="150"/>
  <c r="H51" i="150"/>
  <c r="B51" i="150"/>
  <c r="I40" i="150"/>
  <c r="I41" i="150"/>
  <c r="J39" i="150"/>
  <c r="J37" i="150"/>
  <c r="J40" i="150"/>
  <c r="J27" i="150"/>
  <c r="F27" i="150"/>
  <c r="D27" i="150"/>
  <c r="G26" i="150"/>
  <c r="L26" i="150"/>
  <c r="G25" i="150"/>
  <c r="L25" i="150"/>
  <c r="K24" i="150"/>
  <c r="M24" i="150"/>
  <c r="G24" i="150"/>
  <c r="L24" i="150"/>
  <c r="N24" i="150"/>
  <c r="K23" i="150"/>
  <c r="M23" i="150"/>
  <c r="G23" i="150"/>
  <c r="L23" i="150"/>
  <c r="N23" i="150"/>
  <c r="K22" i="150"/>
  <c r="M22" i="150"/>
  <c r="G22" i="150"/>
  <c r="L22" i="150"/>
  <c r="N22" i="150"/>
  <c r="K21" i="150"/>
  <c r="M21" i="150"/>
  <c r="G21" i="150"/>
  <c r="L21" i="150"/>
  <c r="N21" i="150"/>
  <c r="K20" i="150"/>
  <c r="M20" i="150"/>
  <c r="G20" i="150"/>
  <c r="L20" i="150"/>
  <c r="N20" i="150"/>
  <c r="G19" i="150"/>
  <c r="L19" i="150"/>
  <c r="N19" i="150"/>
  <c r="K18" i="150"/>
  <c r="G18" i="150"/>
  <c r="L18" i="150"/>
  <c r="K76" i="150"/>
  <c r="S34" i="49"/>
  <c r="S33" i="49"/>
  <c r="S32" i="49"/>
  <c r="S31" i="49"/>
  <c r="S30" i="49"/>
  <c r="M3" i="49"/>
  <c r="M2" i="49"/>
  <c r="G25" i="146"/>
  <c r="Q12" i="49"/>
  <c r="D2" i="149"/>
  <c r="B2" i="149"/>
  <c r="A2" i="149"/>
  <c r="I48" i="12"/>
  <c r="I49" i="12"/>
  <c r="I50" i="12"/>
  <c r="I51" i="12"/>
  <c r="I47" i="12"/>
  <c r="K48" i="12"/>
  <c r="K49" i="12"/>
  <c r="K76" i="12"/>
  <c r="K47" i="12"/>
  <c r="J77" i="12"/>
  <c r="E77" i="12"/>
  <c r="H77" i="12"/>
  <c r="E78" i="12"/>
  <c r="G78" i="12"/>
  <c r="I78" i="12" s="1"/>
  <c r="H78" i="12"/>
  <c r="D78" i="12"/>
  <c r="D77" i="12"/>
  <c r="D79" i="12"/>
  <c r="F93" i="98"/>
  <c r="F92" i="98"/>
  <c r="F76" i="98"/>
  <c r="G93" i="98"/>
  <c r="G92" i="98"/>
  <c r="H92" i="98"/>
  <c r="I92" i="98"/>
  <c r="H93" i="98"/>
  <c r="I93" i="98"/>
  <c r="A7" i="143"/>
  <c r="B7" i="143"/>
  <c r="C7" i="143"/>
  <c r="E7" i="143"/>
  <c r="A8" i="143"/>
  <c r="B8" i="143"/>
  <c r="C8" i="143"/>
  <c r="E8" i="143"/>
  <c r="A9" i="143"/>
  <c r="B9" i="143"/>
  <c r="C9" i="143"/>
  <c r="E9" i="143"/>
  <c r="A10" i="143"/>
  <c r="B10" i="143"/>
  <c r="C10" i="143"/>
  <c r="E10" i="143"/>
  <c r="A11" i="143"/>
  <c r="B11" i="143"/>
  <c r="C11" i="143"/>
  <c r="E11" i="143"/>
  <c r="F80" i="98"/>
  <c r="A7" i="144"/>
  <c r="B7" i="144"/>
  <c r="C7" i="144"/>
  <c r="E7" i="144"/>
  <c r="A8" i="144"/>
  <c r="B8" i="144"/>
  <c r="C8" i="144"/>
  <c r="E8" i="144"/>
  <c r="A9" i="144"/>
  <c r="B9" i="144"/>
  <c r="C9" i="144"/>
  <c r="E9" i="144"/>
  <c r="A10" i="144"/>
  <c r="B10" i="144"/>
  <c r="C10" i="144"/>
  <c r="E10" i="144"/>
  <c r="A11" i="144"/>
  <c r="B11" i="144"/>
  <c r="C11" i="144"/>
  <c r="E11" i="144"/>
  <c r="B32" i="142"/>
  <c r="C32" i="142"/>
  <c r="E32" i="142"/>
  <c r="B33" i="142"/>
  <c r="C33" i="142"/>
  <c r="E33" i="142"/>
  <c r="B34" i="142"/>
  <c r="C34" i="142"/>
  <c r="E34" i="142"/>
  <c r="B35" i="142"/>
  <c r="C35" i="142"/>
  <c r="E35" i="142"/>
  <c r="B36" i="142"/>
  <c r="C36" i="142"/>
  <c r="E36" i="142"/>
  <c r="B37" i="142"/>
  <c r="C37" i="142"/>
  <c r="E37" i="142"/>
  <c r="B38" i="142"/>
  <c r="C38" i="142"/>
  <c r="E38" i="142"/>
  <c r="B39" i="142"/>
  <c r="C39" i="142"/>
  <c r="E39" i="142"/>
  <c r="B40" i="142"/>
  <c r="C40" i="142"/>
  <c r="E40" i="142"/>
  <c r="B41" i="142"/>
  <c r="C41" i="142"/>
  <c r="E41" i="142"/>
  <c r="B42" i="142"/>
  <c r="C42" i="142"/>
  <c r="E42" i="142"/>
  <c r="B43" i="142"/>
  <c r="C43" i="142"/>
  <c r="E43" i="142"/>
  <c r="B44" i="142"/>
  <c r="C44" i="142"/>
  <c r="E44" i="142"/>
  <c r="B45" i="142"/>
  <c r="C45" i="142"/>
  <c r="E45" i="142"/>
  <c r="B46" i="142"/>
  <c r="C46" i="142"/>
  <c r="E46" i="142"/>
  <c r="B47" i="142"/>
  <c r="C47" i="142"/>
  <c r="E47" i="142"/>
  <c r="B48" i="142"/>
  <c r="C48" i="142"/>
  <c r="E48" i="142"/>
  <c r="B49" i="142"/>
  <c r="C49" i="142"/>
  <c r="E49" i="142"/>
  <c r="B50" i="142"/>
  <c r="C50" i="142"/>
  <c r="E50" i="142"/>
  <c r="B51" i="142"/>
  <c r="C51" i="142"/>
  <c r="E51" i="142"/>
  <c r="B52" i="142"/>
  <c r="C52" i="142"/>
  <c r="E52" i="142"/>
  <c r="B53" i="142"/>
  <c r="C53" i="142"/>
  <c r="E53" i="142"/>
  <c r="B54" i="142"/>
  <c r="C54" i="142"/>
  <c r="E54" i="142"/>
  <c r="B55" i="142"/>
  <c r="C55" i="142"/>
  <c r="E55" i="142"/>
  <c r="B56" i="142"/>
  <c r="C56" i="142"/>
  <c r="E56" i="142"/>
  <c r="B57" i="142"/>
  <c r="C57" i="142"/>
  <c r="E57" i="142"/>
  <c r="B58" i="142"/>
  <c r="C58" i="142"/>
  <c r="E58" i="142"/>
  <c r="B59" i="142"/>
  <c r="C59" i="142"/>
  <c r="E59" i="142"/>
  <c r="B60" i="142"/>
  <c r="C60" i="142"/>
  <c r="E60" i="142"/>
  <c r="B61" i="142"/>
  <c r="C61" i="142"/>
  <c r="E61" i="142"/>
  <c r="A32" i="142"/>
  <c r="A33" i="142"/>
  <c r="A34" i="142"/>
  <c r="A35" i="142"/>
  <c r="A36" i="142"/>
  <c r="A37" i="142"/>
  <c r="A38" i="142"/>
  <c r="A39" i="142"/>
  <c r="A40" i="142"/>
  <c r="A41" i="142"/>
  <c r="A42" i="142"/>
  <c r="A43" i="142"/>
  <c r="A44" i="142"/>
  <c r="A45" i="142"/>
  <c r="A46" i="142"/>
  <c r="A47" i="142"/>
  <c r="A48" i="142"/>
  <c r="A49" i="142"/>
  <c r="A50" i="142"/>
  <c r="A51" i="142"/>
  <c r="A52" i="142"/>
  <c r="A53" i="142"/>
  <c r="A54" i="142"/>
  <c r="A55" i="142"/>
  <c r="A56" i="142"/>
  <c r="A57" i="142"/>
  <c r="A58" i="142"/>
  <c r="A59" i="142"/>
  <c r="A60" i="142"/>
  <c r="A61" i="142"/>
  <c r="F58" i="98"/>
  <c r="E58" i="98"/>
  <c r="D38" i="98"/>
  <c r="F38" i="98"/>
  <c r="F57" i="98"/>
  <c r="F93" i="54"/>
  <c r="F92" i="54"/>
  <c r="F76" i="54"/>
  <c r="F80" i="54"/>
  <c r="E57" i="54"/>
  <c r="D57" i="54"/>
  <c r="E38" i="98"/>
  <c r="E57" i="98"/>
  <c r="C37" i="54"/>
  <c r="E37" i="54"/>
  <c r="E56" i="54"/>
  <c r="C101" i="55"/>
  <c r="H34" i="142"/>
  <c r="C100" i="55"/>
  <c r="H33" i="142"/>
  <c r="C99" i="55"/>
  <c r="H32" i="142"/>
  <c r="C64" i="55"/>
  <c r="H4" i="142"/>
  <c r="C63" i="55"/>
  <c r="H3" i="142"/>
  <c r="C62" i="55"/>
  <c r="D23" i="98"/>
  <c r="F72" i="98"/>
  <c r="F88" i="98"/>
  <c r="C22" i="54"/>
  <c r="D37" i="54"/>
  <c r="D56" i="54"/>
  <c r="A3" i="145"/>
  <c r="B3" i="145"/>
  <c r="C3" i="145"/>
  <c r="E3" i="145"/>
  <c r="A4" i="145"/>
  <c r="B4" i="145"/>
  <c r="C4" i="145"/>
  <c r="E4" i="145"/>
  <c r="A5" i="145"/>
  <c r="B5" i="145"/>
  <c r="C5" i="145"/>
  <c r="E5" i="145"/>
  <c r="A6" i="145"/>
  <c r="B6" i="145"/>
  <c r="C6" i="145"/>
  <c r="E6" i="145"/>
  <c r="A7" i="145"/>
  <c r="B7" i="145"/>
  <c r="C7" i="145"/>
  <c r="E7" i="145"/>
  <c r="A8" i="145"/>
  <c r="B8" i="145"/>
  <c r="C8" i="145"/>
  <c r="E8" i="145"/>
  <c r="A9" i="145"/>
  <c r="B9" i="145"/>
  <c r="C9" i="145"/>
  <c r="E9" i="145"/>
  <c r="A10" i="145"/>
  <c r="B10" i="145"/>
  <c r="C10" i="145"/>
  <c r="E10" i="145"/>
  <c r="A11" i="145"/>
  <c r="B11" i="145"/>
  <c r="C11" i="145"/>
  <c r="E11" i="145"/>
  <c r="A12" i="145"/>
  <c r="B12" i="145"/>
  <c r="C12" i="145"/>
  <c r="E12" i="145"/>
  <c r="A13" i="145"/>
  <c r="B13" i="145"/>
  <c r="C13" i="145"/>
  <c r="E13" i="145"/>
  <c r="A14" i="145"/>
  <c r="B14" i="145"/>
  <c r="C14" i="145"/>
  <c r="E14" i="145"/>
  <c r="A15" i="145"/>
  <c r="B15" i="145"/>
  <c r="C15" i="145"/>
  <c r="E15" i="145"/>
  <c r="A16" i="145"/>
  <c r="B16" i="145"/>
  <c r="C16" i="145"/>
  <c r="E16" i="145"/>
  <c r="A17" i="145"/>
  <c r="B17" i="145"/>
  <c r="C17" i="145"/>
  <c r="E17" i="145"/>
  <c r="A18" i="145"/>
  <c r="B18" i="145"/>
  <c r="C18" i="145"/>
  <c r="E18" i="145"/>
  <c r="A19" i="145"/>
  <c r="B19" i="145"/>
  <c r="C19" i="145"/>
  <c r="E19" i="145"/>
  <c r="A20" i="145"/>
  <c r="B20" i="145"/>
  <c r="C20" i="145"/>
  <c r="E20" i="145"/>
  <c r="A21" i="145"/>
  <c r="B21" i="145"/>
  <c r="C21" i="145"/>
  <c r="E21" i="145"/>
  <c r="A22" i="145"/>
  <c r="B22" i="145"/>
  <c r="C22" i="145"/>
  <c r="E22" i="145"/>
  <c r="A23" i="145"/>
  <c r="B23" i="145"/>
  <c r="C23" i="145"/>
  <c r="E23" i="145"/>
  <c r="A24" i="145"/>
  <c r="B24" i="145"/>
  <c r="C24" i="145"/>
  <c r="E24" i="145"/>
  <c r="A25" i="145"/>
  <c r="B25" i="145"/>
  <c r="C25" i="145"/>
  <c r="E25" i="145"/>
  <c r="A26" i="145"/>
  <c r="B26" i="145"/>
  <c r="C26" i="145"/>
  <c r="E26" i="145"/>
  <c r="A27" i="145"/>
  <c r="B27" i="145"/>
  <c r="C27" i="145"/>
  <c r="E27" i="145"/>
  <c r="A28" i="145"/>
  <c r="B28" i="145"/>
  <c r="C28" i="145"/>
  <c r="E28" i="145"/>
  <c r="A29" i="145"/>
  <c r="B29" i="145"/>
  <c r="C29" i="145"/>
  <c r="E29" i="145"/>
  <c r="A30" i="145"/>
  <c r="B30" i="145"/>
  <c r="C30" i="145"/>
  <c r="E30" i="145"/>
  <c r="A31" i="145"/>
  <c r="B31" i="145"/>
  <c r="C31" i="145"/>
  <c r="E31" i="145"/>
  <c r="A32" i="145"/>
  <c r="B32" i="145"/>
  <c r="C32" i="145"/>
  <c r="E32" i="145"/>
  <c r="A33" i="145"/>
  <c r="B33" i="145"/>
  <c r="C33" i="145"/>
  <c r="E33" i="145"/>
  <c r="A34" i="145"/>
  <c r="B34" i="145"/>
  <c r="C34" i="145"/>
  <c r="E34" i="145"/>
  <c r="A35" i="145"/>
  <c r="B35" i="145"/>
  <c r="C35" i="145"/>
  <c r="E35" i="145"/>
  <c r="A36" i="145"/>
  <c r="B36" i="145"/>
  <c r="C36" i="145"/>
  <c r="E36" i="145"/>
  <c r="A37" i="145"/>
  <c r="B37" i="145"/>
  <c r="C37" i="145"/>
  <c r="E37" i="145"/>
  <c r="A38" i="145"/>
  <c r="B38" i="145"/>
  <c r="C38" i="145"/>
  <c r="E38" i="145"/>
  <c r="A39" i="145"/>
  <c r="B39" i="145"/>
  <c r="C39" i="145"/>
  <c r="E39" i="145"/>
  <c r="A40" i="145"/>
  <c r="B40" i="145"/>
  <c r="C40" i="145"/>
  <c r="E40" i="145"/>
  <c r="A41" i="145"/>
  <c r="B41" i="145"/>
  <c r="C41" i="145"/>
  <c r="E41" i="145"/>
  <c r="F77" i="98"/>
  <c r="F78" i="98"/>
  <c r="F73" i="98"/>
  <c r="E2" i="145"/>
  <c r="C2" i="145"/>
  <c r="B2" i="145"/>
  <c r="A2" i="145"/>
  <c r="N83" i="14"/>
  <c r="N76" i="14"/>
  <c r="N75" i="14"/>
  <c r="N74" i="14"/>
  <c r="S28" i="80"/>
  <c r="S27" i="80"/>
  <c r="S26" i="80"/>
  <c r="S25" i="80"/>
  <c r="S24" i="80"/>
  <c r="S23" i="80"/>
  <c r="S21" i="80"/>
  <c r="S20" i="80"/>
  <c r="S19" i="80"/>
  <c r="S18" i="80"/>
  <c r="S17" i="80"/>
  <c r="T2" i="80"/>
  <c r="F34" i="81"/>
  <c r="F33" i="81"/>
  <c r="F32" i="81"/>
  <c r="F31" i="81"/>
  <c r="F25" i="81"/>
  <c r="F23" i="81"/>
  <c r="E15" i="81"/>
  <c r="D15" i="81"/>
  <c r="I1" i="81"/>
  <c r="F26" i="23"/>
  <c r="H26" i="23"/>
  <c r="F24" i="23"/>
  <c r="H24" i="23"/>
  <c r="F23" i="23"/>
  <c r="H23" i="23"/>
  <c r="F22" i="23"/>
  <c r="H22" i="23"/>
  <c r="F21" i="23"/>
  <c r="H21" i="23"/>
  <c r="F20" i="23"/>
  <c r="H20" i="23"/>
  <c r="F19" i="23"/>
  <c r="H19" i="23"/>
  <c r="F18" i="23"/>
  <c r="H18" i="23"/>
  <c r="F17" i="23"/>
  <c r="H17" i="23"/>
  <c r="F16" i="23"/>
  <c r="H16" i="23"/>
  <c r="F15" i="23"/>
  <c r="H15" i="23"/>
  <c r="F14" i="23"/>
  <c r="H14" i="23"/>
  <c r="H1" i="23"/>
  <c r="N1" i="150"/>
  <c r="I21" i="21"/>
  <c r="I18" i="21"/>
  <c r="I1" i="21"/>
  <c r="B60" i="34"/>
  <c r="E54" i="34"/>
  <c r="G47" i="34"/>
  <c r="G46" i="34"/>
  <c r="G45" i="34"/>
  <c r="F36" i="34"/>
  <c r="D45" i="34"/>
  <c r="G44" i="34"/>
  <c r="G43" i="34"/>
  <c r="A32" i="34"/>
  <c r="A41" i="34"/>
  <c r="F38" i="34"/>
  <c r="E47" i="34"/>
  <c r="F37" i="34"/>
  <c r="D46" i="34"/>
  <c r="E45" i="34"/>
  <c r="F35" i="34"/>
  <c r="E44" i="34"/>
  <c r="F34" i="34"/>
  <c r="E43" i="34"/>
  <c r="F29" i="34"/>
  <c r="F28" i="34"/>
  <c r="F27" i="34"/>
  <c r="F26" i="34"/>
  <c r="F25" i="34"/>
  <c r="F24" i="34"/>
  <c r="F23" i="34"/>
  <c r="G1" i="34"/>
  <c r="K1" i="6"/>
  <c r="E29" i="50"/>
  <c r="K29" i="50"/>
  <c r="I28" i="50"/>
  <c r="O28" i="50" s="1"/>
  <c r="I27" i="50"/>
  <c r="I29" i="50" s="1"/>
  <c r="O27" i="50"/>
  <c r="O29" i="50" s="1"/>
  <c r="E24" i="50"/>
  <c r="I23" i="50"/>
  <c r="O23" i="50" s="1"/>
  <c r="I22" i="50"/>
  <c r="O1" i="50"/>
  <c r="E11" i="148"/>
  <c r="C11" i="148"/>
  <c r="B11" i="148"/>
  <c r="A11" i="148"/>
  <c r="E10" i="148"/>
  <c r="C10" i="148"/>
  <c r="B10" i="148"/>
  <c r="A10" i="148"/>
  <c r="E9" i="148"/>
  <c r="C9" i="148"/>
  <c r="B9" i="148"/>
  <c r="A9" i="148"/>
  <c r="E8" i="148"/>
  <c r="C8" i="148"/>
  <c r="B8" i="148"/>
  <c r="A8" i="148"/>
  <c r="E7" i="148"/>
  <c r="C7" i="148"/>
  <c r="B7" i="148"/>
  <c r="A7" i="148"/>
  <c r="E6" i="148"/>
  <c r="C6" i="148"/>
  <c r="B6" i="148"/>
  <c r="A6" i="148"/>
  <c r="E5" i="148"/>
  <c r="C5" i="148"/>
  <c r="B5" i="148"/>
  <c r="A5" i="148"/>
  <c r="E4" i="148"/>
  <c r="C4" i="148"/>
  <c r="B4" i="148"/>
  <c r="A4" i="148"/>
  <c r="E3" i="148"/>
  <c r="C3" i="148"/>
  <c r="B3" i="148"/>
  <c r="A3" i="148"/>
  <c r="E2" i="148"/>
  <c r="C2" i="148"/>
  <c r="B2" i="148"/>
  <c r="A2" i="148"/>
  <c r="P1" i="148"/>
  <c r="N1" i="148"/>
  <c r="K16" i="12"/>
  <c r="I16" i="12"/>
  <c r="J13" i="12"/>
  <c r="O1" i="148"/>
  <c r="H13" i="12"/>
  <c r="G13" i="12"/>
  <c r="L1" i="148"/>
  <c r="F13" i="12"/>
  <c r="K1" i="148"/>
  <c r="J1" i="148"/>
  <c r="K1" i="12"/>
  <c r="L29" i="20"/>
  <c r="K29" i="20"/>
  <c r="J29" i="20"/>
  <c r="I29" i="20"/>
  <c r="H29" i="20"/>
  <c r="G29" i="20"/>
  <c r="F29" i="20"/>
  <c r="E29" i="20"/>
  <c r="D29" i="20"/>
  <c r="C29" i="20"/>
  <c r="L28" i="20"/>
  <c r="K28" i="20"/>
  <c r="J28" i="20"/>
  <c r="I28" i="20"/>
  <c r="H28" i="20"/>
  <c r="G28" i="20"/>
  <c r="F28" i="20"/>
  <c r="E28" i="20"/>
  <c r="D28" i="20"/>
  <c r="C28" i="20"/>
  <c r="L27" i="20"/>
  <c r="K27" i="20"/>
  <c r="J27" i="20"/>
  <c r="I27" i="20"/>
  <c r="H27" i="20"/>
  <c r="G27" i="20"/>
  <c r="F27" i="20"/>
  <c r="E27" i="20"/>
  <c r="D27" i="20"/>
  <c r="C27" i="20"/>
  <c r="L25" i="20"/>
  <c r="K25" i="20"/>
  <c r="J25" i="20"/>
  <c r="I25" i="20"/>
  <c r="H25" i="20"/>
  <c r="G25" i="20"/>
  <c r="F25" i="20"/>
  <c r="E25" i="20"/>
  <c r="D25" i="20"/>
  <c r="C25" i="20"/>
  <c r="L24" i="20"/>
  <c r="K24" i="20"/>
  <c r="J24" i="20"/>
  <c r="I24" i="20"/>
  <c r="H24" i="20"/>
  <c r="G24" i="20"/>
  <c r="F24" i="20"/>
  <c r="E24" i="20"/>
  <c r="D24" i="20"/>
  <c r="C24" i="20"/>
  <c r="L23" i="20"/>
  <c r="K23" i="20"/>
  <c r="J23" i="20"/>
  <c r="I23" i="20"/>
  <c r="H23" i="20"/>
  <c r="G23" i="20"/>
  <c r="F23" i="20"/>
  <c r="E23" i="20"/>
  <c r="D23" i="20"/>
  <c r="C23" i="20"/>
  <c r="L21" i="20"/>
  <c r="K21" i="20"/>
  <c r="J21" i="20"/>
  <c r="I21" i="20"/>
  <c r="H21" i="20"/>
  <c r="G21" i="20"/>
  <c r="F21" i="20"/>
  <c r="E21" i="20"/>
  <c r="D21" i="20"/>
  <c r="C21" i="20"/>
  <c r="L18" i="20"/>
  <c r="K18" i="20"/>
  <c r="J18" i="20"/>
  <c r="I18" i="20"/>
  <c r="H18" i="20"/>
  <c r="G18" i="20"/>
  <c r="F18" i="20"/>
  <c r="E18" i="20"/>
  <c r="D18" i="20"/>
  <c r="C18" i="20"/>
  <c r="L13" i="20"/>
  <c r="K13" i="20"/>
  <c r="J13" i="20"/>
  <c r="I13" i="20"/>
  <c r="H13" i="20"/>
  <c r="D13" i="20"/>
  <c r="C13" i="20"/>
  <c r="L1" i="20"/>
  <c r="L13" i="136"/>
  <c r="L1" i="136"/>
  <c r="E201" i="147"/>
  <c r="C201" i="147"/>
  <c r="B201" i="147"/>
  <c r="A201" i="147"/>
  <c r="E200" i="147"/>
  <c r="C200" i="147"/>
  <c r="B200" i="147"/>
  <c r="A200" i="147"/>
  <c r="E199" i="147"/>
  <c r="C199" i="147"/>
  <c r="B199" i="147"/>
  <c r="A199" i="147"/>
  <c r="E198" i="147"/>
  <c r="C198" i="147"/>
  <c r="B198" i="147"/>
  <c r="A198" i="147"/>
  <c r="E197" i="147"/>
  <c r="C197" i="147"/>
  <c r="B197" i="147"/>
  <c r="A197" i="147"/>
  <c r="E196" i="147"/>
  <c r="C196" i="147"/>
  <c r="B196" i="147"/>
  <c r="A196" i="147"/>
  <c r="E195" i="147"/>
  <c r="C195" i="147"/>
  <c r="B195" i="147"/>
  <c r="A195" i="147"/>
  <c r="E194" i="147"/>
  <c r="C194" i="147"/>
  <c r="B194" i="147"/>
  <c r="A194" i="147"/>
  <c r="E193" i="147"/>
  <c r="C193" i="147"/>
  <c r="B193" i="147"/>
  <c r="A193" i="147"/>
  <c r="E192" i="147"/>
  <c r="C192" i="147"/>
  <c r="B192" i="147"/>
  <c r="A192" i="147"/>
  <c r="E191" i="147"/>
  <c r="C191" i="147"/>
  <c r="B191" i="147"/>
  <c r="A191" i="147"/>
  <c r="E190" i="147"/>
  <c r="C190" i="147"/>
  <c r="B190" i="147"/>
  <c r="A190" i="147"/>
  <c r="E189" i="147"/>
  <c r="C189" i="147"/>
  <c r="B189" i="147"/>
  <c r="A189" i="147"/>
  <c r="E188" i="147"/>
  <c r="C188" i="147"/>
  <c r="B188" i="147"/>
  <c r="A188" i="147"/>
  <c r="E187" i="147"/>
  <c r="C187" i="147"/>
  <c r="B187" i="147"/>
  <c r="A187" i="147"/>
  <c r="E186" i="147"/>
  <c r="C186" i="147"/>
  <c r="B186" i="147"/>
  <c r="A186" i="147"/>
  <c r="E185" i="147"/>
  <c r="C185" i="147"/>
  <c r="B185" i="147"/>
  <c r="A185" i="147"/>
  <c r="E184" i="147"/>
  <c r="C184" i="147"/>
  <c r="B184" i="147"/>
  <c r="A184" i="147"/>
  <c r="E183" i="147"/>
  <c r="C183" i="147"/>
  <c r="B183" i="147"/>
  <c r="A183" i="147"/>
  <c r="E182" i="147"/>
  <c r="C182" i="147"/>
  <c r="B182" i="147"/>
  <c r="A182" i="147"/>
  <c r="E181" i="147"/>
  <c r="C181" i="147"/>
  <c r="B181" i="147"/>
  <c r="A181" i="147"/>
  <c r="E180" i="147"/>
  <c r="C180" i="147"/>
  <c r="B180" i="147"/>
  <c r="A180" i="147"/>
  <c r="E179" i="147"/>
  <c r="C179" i="147"/>
  <c r="B179" i="147"/>
  <c r="A179" i="147"/>
  <c r="E178" i="147"/>
  <c r="C178" i="147"/>
  <c r="B178" i="147"/>
  <c r="A178" i="147"/>
  <c r="E177" i="147"/>
  <c r="C177" i="147"/>
  <c r="B177" i="147"/>
  <c r="A177" i="147"/>
  <c r="E176" i="147"/>
  <c r="C176" i="147"/>
  <c r="B176" i="147"/>
  <c r="A176" i="147"/>
  <c r="E175" i="147"/>
  <c r="C175" i="147"/>
  <c r="B175" i="147"/>
  <c r="A175" i="147"/>
  <c r="E174" i="147"/>
  <c r="C174" i="147"/>
  <c r="B174" i="147"/>
  <c r="A174" i="147"/>
  <c r="E173" i="147"/>
  <c r="C173" i="147"/>
  <c r="B173" i="147"/>
  <c r="A173" i="147"/>
  <c r="E172" i="147"/>
  <c r="C172" i="147"/>
  <c r="B172" i="147"/>
  <c r="A172" i="147"/>
  <c r="E171" i="147"/>
  <c r="C171" i="147"/>
  <c r="B171" i="147"/>
  <c r="A171" i="147"/>
  <c r="E170" i="147"/>
  <c r="C170" i="147"/>
  <c r="B170" i="147"/>
  <c r="A170" i="147"/>
  <c r="E169" i="147"/>
  <c r="C169" i="147"/>
  <c r="B169" i="147"/>
  <c r="A169" i="147"/>
  <c r="E168" i="147"/>
  <c r="C168" i="147"/>
  <c r="B168" i="147"/>
  <c r="A168" i="147"/>
  <c r="E167" i="147"/>
  <c r="C167" i="147"/>
  <c r="B167" i="147"/>
  <c r="A167" i="147"/>
  <c r="E166" i="147"/>
  <c r="C166" i="147"/>
  <c r="B166" i="147"/>
  <c r="A166" i="147"/>
  <c r="E165" i="147"/>
  <c r="C165" i="147"/>
  <c r="B165" i="147"/>
  <c r="A165" i="147"/>
  <c r="E164" i="147"/>
  <c r="C164" i="147"/>
  <c r="B164" i="147"/>
  <c r="A164" i="147"/>
  <c r="E163" i="147"/>
  <c r="C163" i="147"/>
  <c r="B163" i="147"/>
  <c r="A163" i="147"/>
  <c r="E162" i="147"/>
  <c r="C162" i="147"/>
  <c r="B162" i="147"/>
  <c r="A162" i="147"/>
  <c r="E161" i="147"/>
  <c r="C161" i="147"/>
  <c r="B161" i="147"/>
  <c r="A161" i="147"/>
  <c r="E160" i="147"/>
  <c r="C160" i="147"/>
  <c r="B160" i="147"/>
  <c r="A160" i="147"/>
  <c r="E159" i="147"/>
  <c r="C159" i="147"/>
  <c r="B159" i="147"/>
  <c r="A159" i="147"/>
  <c r="E158" i="147"/>
  <c r="C158" i="147"/>
  <c r="B158" i="147"/>
  <c r="A158" i="147"/>
  <c r="E157" i="147"/>
  <c r="C157" i="147"/>
  <c r="B157" i="147"/>
  <c r="A157" i="147"/>
  <c r="E156" i="147"/>
  <c r="C156" i="147"/>
  <c r="B156" i="147"/>
  <c r="A156" i="147"/>
  <c r="E155" i="147"/>
  <c r="C155" i="147"/>
  <c r="B155" i="147"/>
  <c r="A155" i="147"/>
  <c r="E154" i="147"/>
  <c r="C154" i="147"/>
  <c r="B154" i="147"/>
  <c r="A154" i="147"/>
  <c r="E153" i="147"/>
  <c r="C153" i="147"/>
  <c r="B153" i="147"/>
  <c r="A153" i="147"/>
  <c r="E152" i="147"/>
  <c r="C152" i="147"/>
  <c r="B152" i="147"/>
  <c r="A152" i="147"/>
  <c r="E151" i="147"/>
  <c r="C151" i="147"/>
  <c r="B151" i="147"/>
  <c r="A151" i="147"/>
  <c r="E150" i="147"/>
  <c r="C150" i="147"/>
  <c r="B150" i="147"/>
  <c r="A150" i="147"/>
  <c r="E149" i="147"/>
  <c r="C149" i="147"/>
  <c r="B149" i="147"/>
  <c r="A149" i="147"/>
  <c r="E148" i="147"/>
  <c r="C148" i="147"/>
  <c r="B148" i="147"/>
  <c r="A148" i="147"/>
  <c r="E147" i="147"/>
  <c r="C147" i="147"/>
  <c r="B147" i="147"/>
  <c r="A147" i="147"/>
  <c r="E146" i="147"/>
  <c r="C146" i="147"/>
  <c r="B146" i="147"/>
  <c r="A146" i="147"/>
  <c r="E145" i="147"/>
  <c r="C145" i="147"/>
  <c r="B145" i="147"/>
  <c r="A145" i="147"/>
  <c r="E144" i="147"/>
  <c r="C144" i="147"/>
  <c r="B144" i="147"/>
  <c r="A144" i="147"/>
  <c r="E143" i="147"/>
  <c r="C143" i="147"/>
  <c r="B143" i="147"/>
  <c r="A143" i="147"/>
  <c r="E142" i="147"/>
  <c r="C142" i="147"/>
  <c r="B142" i="147"/>
  <c r="A142" i="147"/>
  <c r="E141" i="147"/>
  <c r="C141" i="147"/>
  <c r="B141" i="147"/>
  <c r="A141" i="147"/>
  <c r="E140" i="147"/>
  <c r="C140" i="147"/>
  <c r="B140" i="147"/>
  <c r="A140" i="147"/>
  <c r="E139" i="147"/>
  <c r="C139" i="147"/>
  <c r="B139" i="147"/>
  <c r="A139" i="147"/>
  <c r="E138" i="147"/>
  <c r="C138" i="147"/>
  <c r="B138" i="147"/>
  <c r="A138" i="147"/>
  <c r="E137" i="147"/>
  <c r="C137" i="147"/>
  <c r="B137" i="147"/>
  <c r="A137" i="147"/>
  <c r="E136" i="147"/>
  <c r="C136" i="147"/>
  <c r="B136" i="147"/>
  <c r="A136" i="147"/>
  <c r="E135" i="147"/>
  <c r="C135" i="147"/>
  <c r="B135" i="147"/>
  <c r="A135" i="147"/>
  <c r="E134" i="147"/>
  <c r="C134" i="147"/>
  <c r="B134" i="147"/>
  <c r="A134" i="147"/>
  <c r="E133" i="147"/>
  <c r="C133" i="147"/>
  <c r="B133" i="147"/>
  <c r="A133" i="147"/>
  <c r="E132" i="147"/>
  <c r="C132" i="147"/>
  <c r="B132" i="147"/>
  <c r="A132" i="147"/>
  <c r="E131" i="147"/>
  <c r="C131" i="147"/>
  <c r="B131" i="147"/>
  <c r="A131" i="147"/>
  <c r="E130" i="147"/>
  <c r="C130" i="147"/>
  <c r="B130" i="147"/>
  <c r="A130" i="147"/>
  <c r="E129" i="147"/>
  <c r="C129" i="147"/>
  <c r="B129" i="147"/>
  <c r="A129" i="147"/>
  <c r="E128" i="147"/>
  <c r="C128" i="147"/>
  <c r="B128" i="147"/>
  <c r="A128" i="147"/>
  <c r="E127" i="147"/>
  <c r="C127" i="147"/>
  <c r="B127" i="147"/>
  <c r="A127" i="147"/>
  <c r="E126" i="147"/>
  <c r="C126" i="147"/>
  <c r="B126" i="147"/>
  <c r="A126" i="147"/>
  <c r="E125" i="147"/>
  <c r="C125" i="147"/>
  <c r="B125" i="147"/>
  <c r="A125" i="147"/>
  <c r="E124" i="147"/>
  <c r="C124" i="147"/>
  <c r="B124" i="147"/>
  <c r="A124" i="147"/>
  <c r="E123" i="147"/>
  <c r="C123" i="147"/>
  <c r="B123" i="147"/>
  <c r="A123" i="147"/>
  <c r="E122" i="147"/>
  <c r="C122" i="147"/>
  <c r="B122" i="147"/>
  <c r="A122" i="147"/>
  <c r="E121" i="147"/>
  <c r="C121" i="147"/>
  <c r="B121" i="147"/>
  <c r="A121" i="147"/>
  <c r="E120" i="147"/>
  <c r="C120" i="147"/>
  <c r="B120" i="147"/>
  <c r="A120" i="147"/>
  <c r="E119" i="147"/>
  <c r="C119" i="147"/>
  <c r="B119" i="147"/>
  <c r="A119" i="147"/>
  <c r="E118" i="147"/>
  <c r="C118" i="147"/>
  <c r="B118" i="147"/>
  <c r="A118" i="147"/>
  <c r="E117" i="147"/>
  <c r="C117" i="147"/>
  <c r="B117" i="147"/>
  <c r="A117" i="147"/>
  <c r="E116" i="147"/>
  <c r="C116" i="147"/>
  <c r="B116" i="147"/>
  <c r="A116" i="147"/>
  <c r="E115" i="147"/>
  <c r="C115" i="147"/>
  <c r="B115" i="147"/>
  <c r="A115" i="147"/>
  <c r="E114" i="147"/>
  <c r="C114" i="147"/>
  <c r="B114" i="147"/>
  <c r="A114" i="147"/>
  <c r="E113" i="147"/>
  <c r="C113" i="147"/>
  <c r="B113" i="147"/>
  <c r="A113" i="147"/>
  <c r="E112" i="147"/>
  <c r="C112" i="147"/>
  <c r="B112" i="147"/>
  <c r="A112" i="147"/>
  <c r="E111" i="147"/>
  <c r="C111" i="147"/>
  <c r="B111" i="147"/>
  <c r="A111" i="147"/>
  <c r="E110" i="147"/>
  <c r="C110" i="147"/>
  <c r="B110" i="147"/>
  <c r="A110" i="147"/>
  <c r="E109" i="147"/>
  <c r="C109" i="147"/>
  <c r="B109" i="147"/>
  <c r="A109" i="147"/>
  <c r="E108" i="147"/>
  <c r="C108" i="147"/>
  <c r="B108" i="147"/>
  <c r="A108" i="147"/>
  <c r="E107" i="147"/>
  <c r="C107" i="147"/>
  <c r="B107" i="147"/>
  <c r="A107" i="147"/>
  <c r="E106" i="147"/>
  <c r="C106" i="147"/>
  <c r="B106" i="147"/>
  <c r="A106" i="147"/>
  <c r="E105" i="147"/>
  <c r="C105" i="147"/>
  <c r="B105" i="147"/>
  <c r="A105" i="147"/>
  <c r="E104" i="147"/>
  <c r="C104" i="147"/>
  <c r="B104" i="147"/>
  <c r="A104" i="147"/>
  <c r="E103" i="147"/>
  <c r="C103" i="147"/>
  <c r="B103" i="147"/>
  <c r="A103" i="147"/>
  <c r="E102" i="147"/>
  <c r="C102" i="147"/>
  <c r="B102" i="147"/>
  <c r="A102" i="147"/>
  <c r="E101" i="147"/>
  <c r="C101" i="147"/>
  <c r="B101" i="147"/>
  <c r="A101" i="147"/>
  <c r="E100" i="147"/>
  <c r="C100" i="147"/>
  <c r="B100" i="147"/>
  <c r="A100" i="147"/>
  <c r="E99" i="147"/>
  <c r="C99" i="147"/>
  <c r="B99" i="147"/>
  <c r="A99" i="147"/>
  <c r="E98" i="147"/>
  <c r="C98" i="147"/>
  <c r="B98" i="147"/>
  <c r="A98" i="147"/>
  <c r="E97" i="147"/>
  <c r="C97" i="147"/>
  <c r="B97" i="147"/>
  <c r="A97" i="147"/>
  <c r="E96" i="147"/>
  <c r="C96" i="147"/>
  <c r="B96" i="147"/>
  <c r="A96" i="147"/>
  <c r="E95" i="147"/>
  <c r="C95" i="147"/>
  <c r="B95" i="147"/>
  <c r="A95" i="147"/>
  <c r="E94" i="147"/>
  <c r="C94" i="147"/>
  <c r="B94" i="147"/>
  <c r="A94" i="147"/>
  <c r="E93" i="147"/>
  <c r="C93" i="147"/>
  <c r="B93" i="147"/>
  <c r="A93" i="147"/>
  <c r="E92" i="147"/>
  <c r="C92" i="147"/>
  <c r="B92" i="147"/>
  <c r="A92" i="147"/>
  <c r="E91" i="147"/>
  <c r="C91" i="147"/>
  <c r="B91" i="147"/>
  <c r="A91" i="147"/>
  <c r="E90" i="147"/>
  <c r="C90" i="147"/>
  <c r="B90" i="147"/>
  <c r="A90" i="147"/>
  <c r="E89" i="147"/>
  <c r="C89" i="147"/>
  <c r="B89" i="147"/>
  <c r="A89" i="147"/>
  <c r="E88" i="147"/>
  <c r="C88" i="147"/>
  <c r="B88" i="147"/>
  <c r="A88" i="147"/>
  <c r="E87" i="147"/>
  <c r="C87" i="147"/>
  <c r="B87" i="147"/>
  <c r="A87" i="147"/>
  <c r="E86" i="147"/>
  <c r="C86" i="147"/>
  <c r="B86" i="147"/>
  <c r="A86" i="147"/>
  <c r="E85" i="147"/>
  <c r="C85" i="147"/>
  <c r="B85" i="147"/>
  <c r="A85" i="147"/>
  <c r="E84" i="147"/>
  <c r="C84" i="147"/>
  <c r="B84" i="147"/>
  <c r="A84" i="147"/>
  <c r="E83" i="147"/>
  <c r="C83" i="147"/>
  <c r="B83" i="147"/>
  <c r="A83" i="147"/>
  <c r="E82" i="147"/>
  <c r="C82" i="147"/>
  <c r="B82" i="147"/>
  <c r="A82" i="147"/>
  <c r="E81" i="147"/>
  <c r="C81" i="147"/>
  <c r="B81" i="147"/>
  <c r="A81" i="147"/>
  <c r="E80" i="147"/>
  <c r="C80" i="147"/>
  <c r="B80" i="147"/>
  <c r="A80" i="147"/>
  <c r="E79" i="147"/>
  <c r="C79" i="147"/>
  <c r="B79" i="147"/>
  <c r="A79" i="147"/>
  <c r="E78" i="147"/>
  <c r="C78" i="147"/>
  <c r="B78" i="147"/>
  <c r="A78" i="147"/>
  <c r="E77" i="147"/>
  <c r="C77" i="147"/>
  <c r="B77" i="147"/>
  <c r="A77" i="147"/>
  <c r="E76" i="147"/>
  <c r="C76" i="147"/>
  <c r="B76" i="147"/>
  <c r="A76" i="147"/>
  <c r="E75" i="147"/>
  <c r="C75" i="147"/>
  <c r="B75" i="147"/>
  <c r="A75" i="147"/>
  <c r="E74" i="147"/>
  <c r="C74" i="147"/>
  <c r="B74" i="147"/>
  <c r="A74" i="147"/>
  <c r="E73" i="147"/>
  <c r="C73" i="147"/>
  <c r="B73" i="147"/>
  <c r="A73" i="147"/>
  <c r="E72" i="147"/>
  <c r="C72" i="147"/>
  <c r="B72" i="147"/>
  <c r="A72" i="147"/>
  <c r="E71" i="147"/>
  <c r="C71" i="147"/>
  <c r="B71" i="147"/>
  <c r="A71" i="147"/>
  <c r="E70" i="147"/>
  <c r="C70" i="147"/>
  <c r="B70" i="147"/>
  <c r="A70" i="147"/>
  <c r="E69" i="147"/>
  <c r="C69" i="147"/>
  <c r="B69" i="147"/>
  <c r="A69" i="147"/>
  <c r="E68" i="147"/>
  <c r="C68" i="147"/>
  <c r="B68" i="147"/>
  <c r="A68" i="147"/>
  <c r="E67" i="147"/>
  <c r="C67" i="147"/>
  <c r="B67" i="147"/>
  <c r="A67" i="147"/>
  <c r="E66" i="147"/>
  <c r="C66" i="147"/>
  <c r="B66" i="147"/>
  <c r="A66" i="147"/>
  <c r="E65" i="147"/>
  <c r="C65" i="147"/>
  <c r="B65" i="147"/>
  <c r="A65" i="147"/>
  <c r="E64" i="147"/>
  <c r="C64" i="147"/>
  <c r="B64" i="147"/>
  <c r="A64" i="147"/>
  <c r="E63" i="147"/>
  <c r="C63" i="147"/>
  <c r="B63" i="147"/>
  <c r="A63" i="147"/>
  <c r="E62" i="147"/>
  <c r="C62" i="147"/>
  <c r="B62" i="147"/>
  <c r="A62" i="147"/>
  <c r="E61" i="147"/>
  <c r="C61" i="147"/>
  <c r="B61" i="147"/>
  <c r="A61" i="147"/>
  <c r="E60" i="147"/>
  <c r="C60" i="147"/>
  <c r="B60" i="147"/>
  <c r="A60" i="147"/>
  <c r="E59" i="147"/>
  <c r="C59" i="147"/>
  <c r="B59" i="147"/>
  <c r="A59" i="147"/>
  <c r="E58" i="147"/>
  <c r="C58" i="147"/>
  <c r="B58" i="147"/>
  <c r="A58" i="147"/>
  <c r="E57" i="147"/>
  <c r="C57" i="147"/>
  <c r="B57" i="147"/>
  <c r="A57" i="147"/>
  <c r="E56" i="147"/>
  <c r="C56" i="147"/>
  <c r="B56" i="147"/>
  <c r="A56" i="147"/>
  <c r="E55" i="147"/>
  <c r="C55" i="147"/>
  <c r="B55" i="147"/>
  <c r="A55" i="147"/>
  <c r="E54" i="147"/>
  <c r="C54" i="147"/>
  <c r="B54" i="147"/>
  <c r="A54" i="147"/>
  <c r="E53" i="147"/>
  <c r="C53" i="147"/>
  <c r="B53" i="147"/>
  <c r="A53" i="147"/>
  <c r="E52" i="147"/>
  <c r="C52" i="147"/>
  <c r="B52" i="147"/>
  <c r="A52" i="147"/>
  <c r="E51" i="147"/>
  <c r="C51" i="147"/>
  <c r="B51" i="147"/>
  <c r="A51" i="147"/>
  <c r="E50" i="147"/>
  <c r="C50" i="147"/>
  <c r="B50" i="147"/>
  <c r="A50" i="147"/>
  <c r="E49" i="147"/>
  <c r="C49" i="147"/>
  <c r="B49" i="147"/>
  <c r="A49" i="147"/>
  <c r="E48" i="147"/>
  <c r="C48" i="147"/>
  <c r="B48" i="147"/>
  <c r="A48" i="147"/>
  <c r="E47" i="147"/>
  <c r="C47" i="147"/>
  <c r="B47" i="147"/>
  <c r="A47" i="147"/>
  <c r="E46" i="147"/>
  <c r="C46" i="147"/>
  <c r="B46" i="147"/>
  <c r="A46" i="147"/>
  <c r="E45" i="147"/>
  <c r="C45" i="147"/>
  <c r="B45" i="147"/>
  <c r="A45" i="147"/>
  <c r="E44" i="147"/>
  <c r="C44" i="147"/>
  <c r="B44" i="147"/>
  <c r="A44" i="147"/>
  <c r="E43" i="147"/>
  <c r="C43" i="147"/>
  <c r="B43" i="147"/>
  <c r="A43" i="147"/>
  <c r="E42" i="147"/>
  <c r="C42" i="147"/>
  <c r="B42" i="147"/>
  <c r="A42" i="147"/>
  <c r="E41" i="147"/>
  <c r="C41" i="147"/>
  <c r="B41" i="147"/>
  <c r="A41" i="147"/>
  <c r="E40" i="147"/>
  <c r="C40" i="147"/>
  <c r="B40" i="147"/>
  <c r="A40" i="147"/>
  <c r="E39" i="147"/>
  <c r="C39" i="147"/>
  <c r="B39" i="147"/>
  <c r="A39" i="147"/>
  <c r="E38" i="147"/>
  <c r="C38" i="147"/>
  <c r="B38" i="147"/>
  <c r="A38" i="147"/>
  <c r="E37" i="147"/>
  <c r="C37" i="147"/>
  <c r="B37" i="147"/>
  <c r="A37" i="147"/>
  <c r="E36" i="147"/>
  <c r="C36" i="147"/>
  <c r="B36" i="147"/>
  <c r="A36" i="147"/>
  <c r="E35" i="147"/>
  <c r="C35" i="147"/>
  <c r="B35" i="147"/>
  <c r="A35" i="147"/>
  <c r="E34" i="147"/>
  <c r="C34" i="147"/>
  <c r="B34" i="147"/>
  <c r="A34" i="147"/>
  <c r="E33" i="147"/>
  <c r="C33" i="147"/>
  <c r="B33" i="147"/>
  <c r="A33" i="147"/>
  <c r="E32" i="147"/>
  <c r="C32" i="147"/>
  <c r="B32" i="147"/>
  <c r="A32" i="147"/>
  <c r="E31" i="147"/>
  <c r="C31" i="147"/>
  <c r="B31" i="147"/>
  <c r="A31" i="147"/>
  <c r="E30" i="147"/>
  <c r="C30" i="147"/>
  <c r="B30" i="147"/>
  <c r="A30" i="147"/>
  <c r="E29" i="147"/>
  <c r="C29" i="147"/>
  <c r="B29" i="147"/>
  <c r="A29" i="147"/>
  <c r="E28" i="147"/>
  <c r="C28" i="147"/>
  <c r="B28" i="147"/>
  <c r="A28" i="147"/>
  <c r="E27" i="147"/>
  <c r="C27" i="147"/>
  <c r="B27" i="147"/>
  <c r="A27" i="147"/>
  <c r="E26" i="147"/>
  <c r="C26" i="147"/>
  <c r="B26" i="147"/>
  <c r="A26" i="147"/>
  <c r="E25" i="147"/>
  <c r="C25" i="147"/>
  <c r="B25" i="147"/>
  <c r="A25" i="147"/>
  <c r="E24" i="147"/>
  <c r="C24" i="147"/>
  <c r="B24" i="147"/>
  <c r="A24" i="147"/>
  <c r="E23" i="147"/>
  <c r="C23" i="147"/>
  <c r="B23" i="147"/>
  <c r="A23" i="147"/>
  <c r="E22" i="147"/>
  <c r="C22" i="147"/>
  <c r="B22" i="147"/>
  <c r="A22" i="147"/>
  <c r="E21" i="147"/>
  <c r="C21" i="147"/>
  <c r="B21" i="147"/>
  <c r="A21" i="147"/>
  <c r="E20" i="147"/>
  <c r="C20" i="147"/>
  <c r="B20" i="147"/>
  <c r="A20" i="147"/>
  <c r="E19" i="147"/>
  <c r="C19" i="147"/>
  <c r="B19" i="147"/>
  <c r="A19" i="147"/>
  <c r="E18" i="147"/>
  <c r="C18" i="147"/>
  <c r="B18" i="147"/>
  <c r="A18" i="147"/>
  <c r="E17" i="147"/>
  <c r="C17" i="147"/>
  <c r="B17" i="147"/>
  <c r="A17" i="147"/>
  <c r="E16" i="147"/>
  <c r="C16" i="147"/>
  <c r="B16" i="147"/>
  <c r="A16" i="147"/>
  <c r="E15" i="147"/>
  <c r="C15" i="147"/>
  <c r="B15" i="147"/>
  <c r="A15" i="147"/>
  <c r="E14" i="147"/>
  <c r="C14" i="147"/>
  <c r="B14" i="147"/>
  <c r="A14" i="147"/>
  <c r="E13" i="147"/>
  <c r="C13" i="147"/>
  <c r="B13" i="147"/>
  <c r="A13" i="147"/>
  <c r="E12" i="147"/>
  <c r="C12" i="147"/>
  <c r="B12" i="147"/>
  <c r="A12" i="147"/>
  <c r="E11" i="147"/>
  <c r="C11" i="147"/>
  <c r="B11" i="147"/>
  <c r="A11" i="147"/>
  <c r="E10" i="147"/>
  <c r="C10" i="147"/>
  <c r="B10" i="147"/>
  <c r="A10" i="147"/>
  <c r="E9" i="147"/>
  <c r="C9" i="147"/>
  <c r="B9" i="147"/>
  <c r="A9" i="147"/>
  <c r="E8" i="147"/>
  <c r="C8" i="147"/>
  <c r="B8" i="147"/>
  <c r="A8" i="147"/>
  <c r="E7" i="147"/>
  <c r="C7" i="147"/>
  <c r="B7" i="147"/>
  <c r="A7" i="147"/>
  <c r="E6" i="147"/>
  <c r="C6" i="147"/>
  <c r="B6" i="147"/>
  <c r="A6" i="147"/>
  <c r="E5" i="147"/>
  <c r="C5" i="147"/>
  <c r="B5" i="147"/>
  <c r="A5" i="147"/>
  <c r="E4" i="147"/>
  <c r="C4" i="147"/>
  <c r="B4" i="147"/>
  <c r="A4" i="147"/>
  <c r="E3" i="147"/>
  <c r="C3" i="147"/>
  <c r="B3" i="147"/>
  <c r="A3" i="147"/>
  <c r="E2" i="147"/>
  <c r="C2" i="147"/>
  <c r="B2" i="147"/>
  <c r="A2" i="147"/>
  <c r="X27" i="5"/>
  <c r="I185" i="147" s="1"/>
  <c r="W27" i="5"/>
  <c r="I177" i="147" s="1"/>
  <c r="V27" i="5"/>
  <c r="I169" i="147" s="1"/>
  <c r="T27" i="5"/>
  <c r="I153" i="147"/>
  <c r="S27" i="5"/>
  <c r="I145" i="147"/>
  <c r="Q27" i="5"/>
  <c r="I129" i="147" s="1"/>
  <c r="P27" i="5"/>
  <c r="I121" i="147"/>
  <c r="N27" i="5"/>
  <c r="I105" i="147"/>
  <c r="M27" i="5"/>
  <c r="I97" i="147"/>
  <c r="K27" i="5"/>
  <c r="I81" i="147" s="1"/>
  <c r="J27" i="5"/>
  <c r="I73" i="147" s="1"/>
  <c r="I27" i="5"/>
  <c r="I65" i="147"/>
  <c r="F27" i="5"/>
  <c r="I41" i="147"/>
  <c r="E27" i="5"/>
  <c r="I33" i="147"/>
  <c r="D27" i="5"/>
  <c r="I25" i="147"/>
  <c r="C27" i="5"/>
  <c r="I17" i="147"/>
  <c r="B27" i="5"/>
  <c r="I9" i="147"/>
  <c r="Z26" i="5"/>
  <c r="I200" i="147" s="1"/>
  <c r="W26" i="5"/>
  <c r="I176" i="147"/>
  <c r="V26" i="5"/>
  <c r="I168" i="147"/>
  <c r="T26" i="5"/>
  <c r="I152" i="147"/>
  <c r="S26" i="5"/>
  <c r="I144" i="147" s="1"/>
  <c r="Q26" i="5"/>
  <c r="I128" i="147"/>
  <c r="P26" i="5"/>
  <c r="I120" i="147" s="1"/>
  <c r="N26" i="5"/>
  <c r="I104" i="147"/>
  <c r="M26" i="5"/>
  <c r="I96" i="147" s="1"/>
  <c r="K26" i="5"/>
  <c r="I80" i="147"/>
  <c r="J26" i="5"/>
  <c r="I72" i="147"/>
  <c r="I26" i="5"/>
  <c r="I64" i="147"/>
  <c r="F26" i="5"/>
  <c r="I40" i="147"/>
  <c r="E26" i="5"/>
  <c r="I32" i="147"/>
  <c r="D26" i="5"/>
  <c r="I24" i="147"/>
  <c r="C26" i="5"/>
  <c r="I16" i="147"/>
  <c r="B26" i="5"/>
  <c r="I8" i="147"/>
  <c r="Z24" i="5"/>
  <c r="X24" i="5"/>
  <c r="W24" i="5"/>
  <c r="V24" i="5"/>
  <c r="T24" i="5"/>
  <c r="S24" i="5"/>
  <c r="Q24" i="5"/>
  <c r="P24" i="5"/>
  <c r="N24" i="5"/>
  <c r="N28" i="5" s="1"/>
  <c r="M24" i="5"/>
  <c r="K24" i="5"/>
  <c r="J24" i="5"/>
  <c r="J28" i="5" s="1"/>
  <c r="I24" i="5"/>
  <c r="F24" i="5"/>
  <c r="E24" i="5"/>
  <c r="D24" i="5"/>
  <c r="C24" i="5"/>
  <c r="B24" i="5"/>
  <c r="W20" i="5"/>
  <c r="W28" i="5" s="1"/>
  <c r="V20" i="5"/>
  <c r="V28" i="5" s="1"/>
  <c r="T20" i="5"/>
  <c r="T28" i="5" s="1"/>
  <c r="S20" i="5"/>
  <c r="Q20" i="5"/>
  <c r="P20" i="5"/>
  <c r="P28" i="5" s="1"/>
  <c r="N20" i="5"/>
  <c r="M20" i="5"/>
  <c r="M28" i="5" s="1"/>
  <c r="K20" i="5"/>
  <c r="K28" i="5" s="1"/>
  <c r="J20" i="5"/>
  <c r="I20" i="5"/>
  <c r="F20" i="5"/>
  <c r="E20" i="5"/>
  <c r="D20" i="5"/>
  <c r="D28" i="5"/>
  <c r="C20" i="5"/>
  <c r="B20" i="5"/>
  <c r="Y16" i="5"/>
  <c r="K21" i="136"/>
  <c r="W16" i="5"/>
  <c r="V16" i="5"/>
  <c r="T16" i="5"/>
  <c r="S16" i="5"/>
  <c r="Q16" i="5"/>
  <c r="P16" i="5"/>
  <c r="N16" i="5"/>
  <c r="M16" i="5"/>
  <c r="K16" i="5"/>
  <c r="J16" i="5"/>
  <c r="I16" i="5"/>
  <c r="F16" i="5"/>
  <c r="E16" i="5"/>
  <c r="D16" i="5"/>
  <c r="C16" i="5"/>
  <c r="B16" i="5"/>
  <c r="Z12" i="5"/>
  <c r="H200" i="147"/>
  <c r="Z1" i="5"/>
  <c r="K1" i="105"/>
  <c r="A45" i="15"/>
  <c r="I13" i="15"/>
  <c r="B13" i="15"/>
  <c r="A11" i="15"/>
  <c r="I1" i="15"/>
  <c r="E51" i="146"/>
  <c r="C51" i="146"/>
  <c r="B51" i="146"/>
  <c r="A51" i="146"/>
  <c r="E50" i="146"/>
  <c r="C50" i="146"/>
  <c r="B50" i="146"/>
  <c r="A50" i="146"/>
  <c r="E49" i="146"/>
  <c r="C49" i="146"/>
  <c r="B49" i="146"/>
  <c r="A49" i="146"/>
  <c r="E48" i="146"/>
  <c r="C48" i="146"/>
  <c r="B48" i="146"/>
  <c r="A48" i="146"/>
  <c r="E47" i="146"/>
  <c r="C47" i="146"/>
  <c r="B47" i="146"/>
  <c r="A47" i="146"/>
  <c r="E46" i="146"/>
  <c r="C46" i="146"/>
  <c r="B46" i="146"/>
  <c r="A46" i="146"/>
  <c r="E45" i="146"/>
  <c r="C45" i="146"/>
  <c r="B45" i="146"/>
  <c r="A45" i="146"/>
  <c r="E44" i="146"/>
  <c r="C44" i="146"/>
  <c r="B44" i="146"/>
  <c r="A44" i="146"/>
  <c r="E43" i="146"/>
  <c r="C43" i="146"/>
  <c r="B43" i="146"/>
  <c r="A43" i="146"/>
  <c r="E42" i="146"/>
  <c r="C42" i="146"/>
  <c r="B42" i="146"/>
  <c r="A42" i="146"/>
  <c r="E41" i="146"/>
  <c r="C41" i="146"/>
  <c r="B41" i="146"/>
  <c r="A41" i="146"/>
  <c r="E40" i="146"/>
  <c r="C40" i="146"/>
  <c r="B40" i="146"/>
  <c r="A40" i="146"/>
  <c r="E39" i="146"/>
  <c r="C39" i="146"/>
  <c r="B39" i="146"/>
  <c r="A39" i="146"/>
  <c r="E38" i="146"/>
  <c r="C38" i="146"/>
  <c r="B38" i="146"/>
  <c r="A38" i="146"/>
  <c r="E37" i="146"/>
  <c r="C37" i="146"/>
  <c r="B37" i="146"/>
  <c r="A37" i="146"/>
  <c r="E36" i="146"/>
  <c r="C36" i="146"/>
  <c r="B36" i="146"/>
  <c r="A36" i="146"/>
  <c r="E35" i="146"/>
  <c r="C35" i="146"/>
  <c r="B35" i="146"/>
  <c r="A35" i="146"/>
  <c r="E34" i="146"/>
  <c r="C34" i="146"/>
  <c r="B34" i="146"/>
  <c r="A34" i="146"/>
  <c r="E33" i="146"/>
  <c r="C33" i="146"/>
  <c r="B33" i="146"/>
  <c r="A33" i="146"/>
  <c r="E32" i="146"/>
  <c r="C32" i="146"/>
  <c r="B32" i="146"/>
  <c r="A32" i="146"/>
  <c r="E31" i="146"/>
  <c r="C31" i="146"/>
  <c r="B31" i="146"/>
  <c r="A31" i="146"/>
  <c r="E30" i="146"/>
  <c r="C30" i="146"/>
  <c r="B30" i="146"/>
  <c r="A30" i="146"/>
  <c r="E29" i="146"/>
  <c r="C29" i="146"/>
  <c r="B29" i="146"/>
  <c r="A29" i="146"/>
  <c r="E28" i="146"/>
  <c r="C28" i="146"/>
  <c r="B28" i="146"/>
  <c r="A28" i="146"/>
  <c r="E27" i="146"/>
  <c r="C27" i="146"/>
  <c r="B27" i="146"/>
  <c r="A27" i="146"/>
  <c r="E26" i="146"/>
  <c r="C26" i="146"/>
  <c r="B26" i="146"/>
  <c r="A26" i="146"/>
  <c r="E25" i="146"/>
  <c r="C25" i="146"/>
  <c r="B25" i="146"/>
  <c r="A25" i="146"/>
  <c r="E24" i="146"/>
  <c r="C24" i="146"/>
  <c r="B24" i="146"/>
  <c r="A24" i="146"/>
  <c r="E23" i="146"/>
  <c r="C23" i="146"/>
  <c r="B23" i="146"/>
  <c r="A23" i="146"/>
  <c r="E22" i="146"/>
  <c r="C22" i="146"/>
  <c r="B22" i="146"/>
  <c r="A22" i="146"/>
  <c r="H21" i="146"/>
  <c r="E21" i="146"/>
  <c r="C21" i="146"/>
  <c r="B21" i="146"/>
  <c r="A21" i="146"/>
  <c r="H20" i="146"/>
  <c r="E20" i="146"/>
  <c r="C20" i="146"/>
  <c r="B20" i="146"/>
  <c r="A20" i="146"/>
  <c r="H19" i="146"/>
  <c r="E19" i="146"/>
  <c r="C19" i="146"/>
  <c r="B19" i="146"/>
  <c r="A19" i="146"/>
  <c r="H18" i="146"/>
  <c r="E18" i="146"/>
  <c r="C18" i="146"/>
  <c r="B18" i="146"/>
  <c r="A18" i="146"/>
  <c r="H17" i="146"/>
  <c r="E17" i="146"/>
  <c r="C17" i="146"/>
  <c r="B17" i="146"/>
  <c r="A17" i="146"/>
  <c r="H16" i="146"/>
  <c r="E16" i="146"/>
  <c r="C16" i="146"/>
  <c r="B16" i="146"/>
  <c r="A16" i="146"/>
  <c r="H15" i="146"/>
  <c r="E15" i="146"/>
  <c r="C15" i="146"/>
  <c r="B15" i="146"/>
  <c r="A15" i="146"/>
  <c r="H14" i="146"/>
  <c r="E14" i="146"/>
  <c r="C14" i="146"/>
  <c r="B14" i="146"/>
  <c r="A14" i="146"/>
  <c r="H13" i="146"/>
  <c r="E13" i="146"/>
  <c r="C13" i="146"/>
  <c r="B13" i="146"/>
  <c r="A13" i="146"/>
  <c r="H12" i="146"/>
  <c r="E12" i="146"/>
  <c r="C12" i="146"/>
  <c r="B12" i="146"/>
  <c r="A12" i="146"/>
  <c r="E11" i="146"/>
  <c r="C11" i="146"/>
  <c r="B11" i="146"/>
  <c r="A11" i="146"/>
  <c r="E10" i="146"/>
  <c r="C10" i="146"/>
  <c r="B10" i="146"/>
  <c r="A10" i="146"/>
  <c r="E9" i="146"/>
  <c r="C9" i="146"/>
  <c r="B9" i="146"/>
  <c r="A9" i="146"/>
  <c r="E8" i="146"/>
  <c r="C8" i="146"/>
  <c r="B8" i="146"/>
  <c r="A8" i="146"/>
  <c r="E7" i="146"/>
  <c r="C7" i="146"/>
  <c r="B7" i="146"/>
  <c r="A7" i="146"/>
  <c r="E6" i="146"/>
  <c r="C6" i="146"/>
  <c r="B6" i="146"/>
  <c r="A6" i="146"/>
  <c r="E5" i="146"/>
  <c r="C5" i="146"/>
  <c r="B5" i="146"/>
  <c r="A5" i="146"/>
  <c r="E4" i="146"/>
  <c r="C4" i="146"/>
  <c r="B4" i="146"/>
  <c r="A4" i="146"/>
  <c r="E3" i="146"/>
  <c r="C3" i="146"/>
  <c r="B3" i="146"/>
  <c r="A3" i="146"/>
  <c r="E2" i="146"/>
  <c r="C2" i="146"/>
  <c r="B2" i="146"/>
  <c r="A2" i="146"/>
  <c r="Z29" i="49"/>
  <c r="E22" i="49"/>
  <c r="T17" i="49"/>
  <c r="S17" i="49"/>
  <c r="T16" i="49"/>
  <c r="S16" i="49"/>
  <c r="E16" i="49"/>
  <c r="E17" i="49" s="1"/>
  <c r="T15" i="49"/>
  <c r="S15" i="49"/>
  <c r="T14" i="49"/>
  <c r="S14" i="49"/>
  <c r="T13" i="49"/>
  <c r="S13" i="49"/>
  <c r="L12" i="49"/>
  <c r="M106" i="133"/>
  <c r="L106" i="133"/>
  <c r="K106" i="133"/>
  <c r="Q106" i="133"/>
  <c r="M105" i="133"/>
  <c r="M104" i="133"/>
  <c r="G104" i="133"/>
  <c r="M103" i="133"/>
  <c r="L103" i="133"/>
  <c r="G103" i="133"/>
  <c r="M102" i="133"/>
  <c r="L102" i="133"/>
  <c r="G102" i="133"/>
  <c r="M101" i="133"/>
  <c r="L101" i="133"/>
  <c r="G101" i="133"/>
  <c r="M100" i="133"/>
  <c r="L100" i="133"/>
  <c r="G100" i="133"/>
  <c r="I97" i="133"/>
  <c r="O97" i="133"/>
  <c r="U97" i="133"/>
  <c r="O96" i="133"/>
  <c r="O106" i="133"/>
  <c r="I106" i="133"/>
  <c r="S95" i="133"/>
  <c r="R95" i="133"/>
  <c r="D95" i="133"/>
  <c r="D105" i="133"/>
  <c r="K105" i="133"/>
  <c r="Q105" i="133"/>
  <c r="S94" i="133"/>
  <c r="S105" i="133"/>
  <c r="R94" i="133"/>
  <c r="S93" i="133"/>
  <c r="S104" i="133"/>
  <c r="R93" i="133"/>
  <c r="S92" i="133"/>
  <c r="S103" i="133"/>
  <c r="R92" i="133"/>
  <c r="R103" i="133"/>
  <c r="S91" i="133"/>
  <c r="S102" i="133"/>
  <c r="R91" i="133"/>
  <c r="R102" i="133"/>
  <c r="S90" i="133"/>
  <c r="S101" i="133"/>
  <c r="R90" i="133"/>
  <c r="R101" i="133"/>
  <c r="S89" i="133"/>
  <c r="S100" i="133"/>
  <c r="R89" i="133"/>
  <c r="R100" i="133"/>
  <c r="S87" i="133"/>
  <c r="R87" i="133"/>
  <c r="O87" i="133"/>
  <c r="U87" i="133"/>
  <c r="D87" i="133"/>
  <c r="Q86" i="133"/>
  <c r="K86" i="133"/>
  <c r="K83" i="133"/>
  <c r="Q83" i="133"/>
  <c r="M82" i="133"/>
  <c r="G82" i="133"/>
  <c r="M81" i="133"/>
  <c r="G81" i="133"/>
  <c r="M80" i="133"/>
  <c r="L80" i="133"/>
  <c r="G80" i="133"/>
  <c r="M79" i="133"/>
  <c r="L79" i="133"/>
  <c r="G79" i="133"/>
  <c r="M78" i="133"/>
  <c r="L78" i="133"/>
  <c r="G78" i="133"/>
  <c r="M77" i="133"/>
  <c r="L77" i="133"/>
  <c r="G77" i="133"/>
  <c r="O74" i="133"/>
  <c r="U74" i="133"/>
  <c r="O83" i="133"/>
  <c r="S72" i="133"/>
  <c r="R72" i="133"/>
  <c r="D72" i="133"/>
  <c r="S71" i="133"/>
  <c r="R71" i="133"/>
  <c r="S70" i="133"/>
  <c r="R70" i="133"/>
  <c r="S69" i="133"/>
  <c r="S79" i="133"/>
  <c r="R69" i="133"/>
  <c r="R80" i="133"/>
  <c r="S68" i="133"/>
  <c r="R68" i="133"/>
  <c r="S67" i="133"/>
  <c r="S77" i="133"/>
  <c r="R67" i="133"/>
  <c r="R77" i="133"/>
  <c r="S66" i="133"/>
  <c r="S76" i="133"/>
  <c r="R66" i="133"/>
  <c r="R76" i="133"/>
  <c r="U64" i="133"/>
  <c r="S64" i="133"/>
  <c r="R64" i="133"/>
  <c r="D64" i="133"/>
  <c r="Q63" i="133"/>
  <c r="K57" i="133"/>
  <c r="M56" i="133"/>
  <c r="L56" i="133"/>
  <c r="M54" i="133"/>
  <c r="L54" i="133"/>
  <c r="M53" i="133"/>
  <c r="L53" i="133"/>
  <c r="M52" i="133"/>
  <c r="L52" i="133"/>
  <c r="D46" i="133"/>
  <c r="D45" i="133"/>
  <c r="D44" i="133"/>
  <c r="D38" i="133"/>
  <c r="U1" i="133"/>
  <c r="D37" i="132"/>
  <c r="D36" i="132"/>
  <c r="D35" i="132"/>
  <c r="D34" i="132"/>
  <c r="D33" i="132"/>
  <c r="D32" i="132"/>
  <c r="D31" i="132"/>
  <c r="D30" i="132"/>
  <c r="R1" i="132"/>
  <c r="D64" i="122"/>
  <c r="F64" i="122"/>
  <c r="F95" i="122"/>
  <c r="C64" i="122"/>
  <c r="H35" i="122"/>
  <c r="H27" i="122"/>
  <c r="A35" i="122"/>
  <c r="H34" i="122"/>
  <c r="H26" i="122"/>
  <c r="A34" i="122"/>
  <c r="H33" i="122"/>
  <c r="H25" i="122"/>
  <c r="A33" i="122"/>
  <c r="K32" i="122"/>
  <c r="H32" i="122"/>
  <c r="H24" i="122"/>
  <c r="A32" i="122"/>
  <c r="H31" i="122"/>
  <c r="H23" i="122"/>
  <c r="A31" i="122"/>
  <c r="H30" i="122"/>
  <c r="H22" i="122"/>
  <c r="A30" i="122"/>
  <c r="F28" i="122"/>
  <c r="E28" i="122"/>
  <c r="D28" i="122"/>
  <c r="C28" i="122"/>
  <c r="B28" i="122"/>
  <c r="H1" i="122"/>
  <c r="L83" i="14"/>
  <c r="K83" i="14"/>
  <c r="J83" i="14"/>
  <c r="I83" i="14"/>
  <c r="H83" i="14"/>
  <c r="G83" i="14"/>
  <c r="F83" i="14"/>
  <c r="E83" i="14"/>
  <c r="D83" i="14"/>
  <c r="C83" i="14"/>
  <c r="L76" i="14"/>
  <c r="L138" i="14"/>
  <c r="K76" i="14"/>
  <c r="K138" i="14"/>
  <c r="J76" i="14"/>
  <c r="J138" i="14"/>
  <c r="I76" i="14"/>
  <c r="I138" i="14"/>
  <c r="H76" i="14"/>
  <c r="H138" i="14"/>
  <c r="G76" i="14"/>
  <c r="G138" i="14"/>
  <c r="F76" i="14"/>
  <c r="F138" i="14"/>
  <c r="E76" i="14"/>
  <c r="E138" i="14"/>
  <c r="D76" i="14"/>
  <c r="D138" i="14"/>
  <c r="C76" i="14"/>
  <c r="C138" i="14"/>
  <c r="L74" i="14"/>
  <c r="K74" i="14"/>
  <c r="G54" i="14"/>
  <c r="H19" i="145" s="1"/>
  <c r="E54" i="14"/>
  <c r="H11" i="145" s="1"/>
  <c r="D54" i="14"/>
  <c r="H7" i="145"/>
  <c r="C54" i="14"/>
  <c r="H3" i="145"/>
  <c r="F53" i="14"/>
  <c r="D53" i="14"/>
  <c r="C53" i="14"/>
  <c r="H2" i="145"/>
  <c r="L13" i="14"/>
  <c r="L543" i="14"/>
  <c r="L1" i="14"/>
  <c r="G16" i="53"/>
  <c r="L29" i="53"/>
  <c r="F16" i="53"/>
  <c r="L16" i="53"/>
  <c r="R16" i="53"/>
  <c r="E16" i="53"/>
  <c r="J29" i="53"/>
  <c r="D16" i="53"/>
  <c r="I29" i="53"/>
  <c r="C16" i="53"/>
  <c r="I16" i="53"/>
  <c r="O16" i="53"/>
  <c r="O1" i="53"/>
  <c r="E6" i="144"/>
  <c r="C6" i="144"/>
  <c r="B6" i="144"/>
  <c r="A6" i="144"/>
  <c r="E5" i="144"/>
  <c r="C5" i="144"/>
  <c r="B5" i="144"/>
  <c r="A5" i="144"/>
  <c r="E4" i="144"/>
  <c r="C4" i="144"/>
  <c r="B4" i="144"/>
  <c r="A4" i="144"/>
  <c r="E3" i="144"/>
  <c r="C3" i="144"/>
  <c r="B3" i="144"/>
  <c r="A3" i="144"/>
  <c r="E2" i="144"/>
  <c r="C2" i="144"/>
  <c r="B2" i="144"/>
  <c r="A2" i="144"/>
  <c r="O93" i="98"/>
  <c r="N93" i="98"/>
  <c r="M93" i="98"/>
  <c r="L93" i="98"/>
  <c r="K93" i="98"/>
  <c r="J93" i="98"/>
  <c r="O92" i="98"/>
  <c r="N92" i="98"/>
  <c r="M92" i="98"/>
  <c r="L92" i="98"/>
  <c r="K92" i="98"/>
  <c r="J92" i="98"/>
  <c r="K99" i="55"/>
  <c r="N72" i="98"/>
  <c r="N88" i="98"/>
  <c r="N90" i="98"/>
  <c r="V18" i="98"/>
  <c r="S18" i="98"/>
  <c r="R1" i="98"/>
  <c r="E6" i="143"/>
  <c r="C6" i="143"/>
  <c r="B6" i="143"/>
  <c r="A6" i="143"/>
  <c r="E5" i="143"/>
  <c r="C5" i="143"/>
  <c r="B5" i="143"/>
  <c r="A5" i="143"/>
  <c r="E4" i="143"/>
  <c r="C4" i="143"/>
  <c r="B4" i="143"/>
  <c r="A4" i="143"/>
  <c r="E3" i="143"/>
  <c r="C3" i="143"/>
  <c r="B3" i="143"/>
  <c r="A3" i="143"/>
  <c r="E2" i="143"/>
  <c r="C2" i="143"/>
  <c r="B2" i="143"/>
  <c r="A2" i="143"/>
  <c r="G93" i="54"/>
  <c r="H93" i="54"/>
  <c r="I93" i="54"/>
  <c r="J93" i="54"/>
  <c r="K93" i="54"/>
  <c r="L93" i="54"/>
  <c r="M93" i="54"/>
  <c r="N93" i="54"/>
  <c r="O93" i="54"/>
  <c r="G92" i="54"/>
  <c r="H92" i="54"/>
  <c r="I92" i="54"/>
  <c r="J92" i="54"/>
  <c r="K92" i="54"/>
  <c r="L92" i="54"/>
  <c r="M92" i="54"/>
  <c r="N92" i="54"/>
  <c r="O92" i="54"/>
  <c r="K68" i="54"/>
  <c r="J68" i="54"/>
  <c r="U17" i="54"/>
  <c r="R17" i="54"/>
  <c r="R1" i="54"/>
  <c r="E31" i="142"/>
  <c r="C31" i="142"/>
  <c r="B31" i="142"/>
  <c r="A31" i="142"/>
  <c r="E30" i="142"/>
  <c r="C30" i="142"/>
  <c r="B30" i="142"/>
  <c r="A30" i="142"/>
  <c r="E29" i="142"/>
  <c r="C29" i="142"/>
  <c r="B29" i="142"/>
  <c r="A29" i="142"/>
  <c r="E28" i="142"/>
  <c r="C28" i="142"/>
  <c r="B28" i="142"/>
  <c r="A28" i="142"/>
  <c r="E27" i="142"/>
  <c r="C27" i="142"/>
  <c r="B27" i="142"/>
  <c r="A27" i="142"/>
  <c r="E26" i="142"/>
  <c r="C26" i="142"/>
  <c r="B26" i="142"/>
  <c r="A26" i="142"/>
  <c r="E25" i="142"/>
  <c r="C25" i="142"/>
  <c r="B25" i="142"/>
  <c r="A25" i="142"/>
  <c r="E24" i="142"/>
  <c r="C24" i="142"/>
  <c r="B24" i="142"/>
  <c r="A24" i="142"/>
  <c r="E23" i="142"/>
  <c r="C23" i="142"/>
  <c r="B23" i="142"/>
  <c r="A23" i="142"/>
  <c r="E22" i="142"/>
  <c r="C22" i="142"/>
  <c r="B22" i="142"/>
  <c r="A22" i="142"/>
  <c r="E21" i="142"/>
  <c r="C21" i="142"/>
  <c r="B21" i="142"/>
  <c r="A21" i="142"/>
  <c r="E20" i="142"/>
  <c r="C20" i="142"/>
  <c r="B20" i="142"/>
  <c r="A20" i="142"/>
  <c r="E19" i="142"/>
  <c r="C19" i="142"/>
  <c r="B19" i="142"/>
  <c r="A19" i="142"/>
  <c r="E18" i="142"/>
  <c r="C18" i="142"/>
  <c r="B18" i="142"/>
  <c r="A18" i="142"/>
  <c r="E17" i="142"/>
  <c r="C17" i="142"/>
  <c r="B17" i="142"/>
  <c r="A17" i="142"/>
  <c r="E16" i="142"/>
  <c r="C16" i="142"/>
  <c r="B16" i="142"/>
  <c r="A16" i="142"/>
  <c r="E15" i="142"/>
  <c r="C15" i="142"/>
  <c r="B15" i="142"/>
  <c r="A15" i="142"/>
  <c r="E14" i="142"/>
  <c r="C14" i="142"/>
  <c r="B14" i="142"/>
  <c r="A14" i="142"/>
  <c r="E13" i="142"/>
  <c r="C13" i="142"/>
  <c r="B13" i="142"/>
  <c r="A13" i="142"/>
  <c r="E12" i="142"/>
  <c r="C12" i="142"/>
  <c r="B12" i="142"/>
  <c r="A12" i="142"/>
  <c r="E11" i="142"/>
  <c r="C11" i="142"/>
  <c r="B11" i="142"/>
  <c r="A11" i="142"/>
  <c r="E10" i="142"/>
  <c r="C10" i="142"/>
  <c r="B10" i="142"/>
  <c r="A10" i="142"/>
  <c r="E9" i="142"/>
  <c r="C9" i="142"/>
  <c r="B9" i="142"/>
  <c r="A9" i="142"/>
  <c r="E8" i="142"/>
  <c r="C8" i="142"/>
  <c r="B8" i="142"/>
  <c r="A8" i="142"/>
  <c r="E7" i="142"/>
  <c r="C7" i="142"/>
  <c r="B7" i="142"/>
  <c r="A7" i="142"/>
  <c r="E6" i="142"/>
  <c r="C6" i="142"/>
  <c r="B6" i="142"/>
  <c r="A6" i="142"/>
  <c r="E5" i="142"/>
  <c r="C5" i="142"/>
  <c r="B5" i="142"/>
  <c r="A5" i="142"/>
  <c r="E4" i="142"/>
  <c r="C4" i="142"/>
  <c r="B4" i="142"/>
  <c r="A4" i="142"/>
  <c r="E3" i="142"/>
  <c r="C3" i="142"/>
  <c r="B3" i="142"/>
  <c r="A3" i="142"/>
  <c r="E2" i="142"/>
  <c r="C2" i="142"/>
  <c r="B2" i="142"/>
  <c r="A2" i="142"/>
  <c r="L101" i="55"/>
  <c r="H61" i="142"/>
  <c r="K101" i="55"/>
  <c r="J101" i="55"/>
  <c r="H55" i="142"/>
  <c r="I101" i="55"/>
  <c r="H52" i="142"/>
  <c r="H101" i="55"/>
  <c r="H49" i="142"/>
  <c r="G101" i="55"/>
  <c r="H46" i="142"/>
  <c r="F101" i="55"/>
  <c r="E101" i="55"/>
  <c r="H40" i="142"/>
  <c r="D101" i="55"/>
  <c r="L100" i="55"/>
  <c r="H60" i="142"/>
  <c r="K100" i="55"/>
  <c r="H57" i="142"/>
  <c r="J100" i="55"/>
  <c r="H54" i="142"/>
  <c r="I100" i="55"/>
  <c r="H100" i="55"/>
  <c r="H48" i="142"/>
  <c r="G100" i="55"/>
  <c r="H45" i="142"/>
  <c r="F100" i="55"/>
  <c r="H42" i="142"/>
  <c r="E100" i="55"/>
  <c r="H39" i="142"/>
  <c r="D100" i="55"/>
  <c r="H36" i="142"/>
  <c r="L99" i="55"/>
  <c r="H59" i="142"/>
  <c r="H56" i="142"/>
  <c r="J99" i="55"/>
  <c r="I99" i="55"/>
  <c r="H50" i="142"/>
  <c r="H99" i="55"/>
  <c r="H47" i="142"/>
  <c r="G99" i="55"/>
  <c r="H44" i="142"/>
  <c r="F99" i="55"/>
  <c r="H41" i="142"/>
  <c r="E99" i="55"/>
  <c r="D99" i="55"/>
  <c r="H68" i="55"/>
  <c r="L64" i="55"/>
  <c r="K64" i="55"/>
  <c r="H28" i="142"/>
  <c r="J64" i="55"/>
  <c r="H25" i="142"/>
  <c r="I64" i="55"/>
  <c r="H22" i="142"/>
  <c r="H64" i="55"/>
  <c r="G64" i="55"/>
  <c r="H16" i="142"/>
  <c r="F64" i="55"/>
  <c r="H13" i="142"/>
  <c r="E64" i="55"/>
  <c r="D64" i="55"/>
  <c r="L63" i="55"/>
  <c r="H30" i="142"/>
  <c r="K63" i="55"/>
  <c r="H27" i="142"/>
  <c r="J63" i="55"/>
  <c r="H24" i="142"/>
  <c r="I63" i="55"/>
  <c r="H21" i="142"/>
  <c r="H63" i="55"/>
  <c r="H18" i="142"/>
  <c r="G63" i="55"/>
  <c r="H15" i="142"/>
  <c r="F63" i="55"/>
  <c r="H12" i="142"/>
  <c r="E63" i="55"/>
  <c r="H9" i="142"/>
  <c r="D63" i="55"/>
  <c r="L62" i="55"/>
  <c r="H29" i="142"/>
  <c r="K62" i="55"/>
  <c r="H26" i="142"/>
  <c r="J62" i="55"/>
  <c r="I62" i="55"/>
  <c r="H20" i="142"/>
  <c r="H62" i="55"/>
  <c r="H17" i="142"/>
  <c r="G62" i="55"/>
  <c r="H14" i="142"/>
  <c r="F62" i="55"/>
  <c r="E62" i="55"/>
  <c r="H8" i="142"/>
  <c r="D62" i="55"/>
  <c r="H5" i="142"/>
  <c r="H31" i="55"/>
  <c r="G19" i="142"/>
  <c r="L1" i="55"/>
  <c r="C31" i="119"/>
  <c r="D28" i="119"/>
  <c r="D31" i="119"/>
  <c r="E28" i="119"/>
  <c r="E31" i="119"/>
  <c r="C25" i="119"/>
  <c r="D22" i="119"/>
  <c r="D25" i="119"/>
  <c r="D33" i="119"/>
  <c r="K1" i="119"/>
  <c r="C31" i="75"/>
  <c r="D28" i="75"/>
  <c r="D31" i="75"/>
  <c r="E28" i="75"/>
  <c r="E31" i="75"/>
  <c r="F28" i="75"/>
  <c r="F31" i="75"/>
  <c r="G28" i="75"/>
  <c r="G31" i="75"/>
  <c r="H28" i="75"/>
  <c r="H31" i="75"/>
  <c r="C25" i="75"/>
  <c r="D22" i="75"/>
  <c r="D25" i="75"/>
  <c r="D33" i="75"/>
  <c r="L1" i="75"/>
  <c r="I17" i="118"/>
  <c r="H17" i="118"/>
  <c r="G17" i="118"/>
  <c r="F17" i="118"/>
  <c r="L1" i="118"/>
  <c r="J33" i="71"/>
  <c r="J15" i="71"/>
  <c r="F15" i="71"/>
  <c r="L1" i="71"/>
  <c r="Q101" i="109"/>
  <c r="P101" i="109"/>
  <c r="O101" i="109"/>
  <c r="M101" i="109"/>
  <c r="Q100" i="109"/>
  <c r="P100" i="109"/>
  <c r="O100" i="109"/>
  <c r="M100" i="109"/>
  <c r="Q99" i="109"/>
  <c r="P99" i="109"/>
  <c r="O99" i="109"/>
  <c r="M99" i="109"/>
  <c r="Q98" i="109"/>
  <c r="P98" i="109"/>
  <c r="O98" i="109"/>
  <c r="M98" i="109"/>
  <c r="Q97" i="109"/>
  <c r="P97" i="109"/>
  <c r="O97" i="109"/>
  <c r="M97" i="109"/>
  <c r="Q96" i="109"/>
  <c r="P96" i="109"/>
  <c r="O96" i="109"/>
  <c r="M96" i="109"/>
  <c r="Q95" i="109"/>
  <c r="P95" i="109"/>
  <c r="O95" i="109"/>
  <c r="M95" i="109"/>
  <c r="Q94" i="109"/>
  <c r="P94" i="109"/>
  <c r="O94" i="109"/>
  <c r="M94" i="109"/>
  <c r="Q93" i="109"/>
  <c r="P93" i="109"/>
  <c r="O93" i="109"/>
  <c r="M93" i="109"/>
  <c r="Q92" i="109"/>
  <c r="P92" i="109"/>
  <c r="O92" i="109"/>
  <c r="M92" i="109"/>
  <c r="Q91" i="109"/>
  <c r="P91" i="109"/>
  <c r="O91" i="109"/>
  <c r="M91" i="109"/>
  <c r="Q90" i="109"/>
  <c r="P90" i="109"/>
  <c r="O90" i="109"/>
  <c r="M90" i="109"/>
  <c r="Q89" i="109"/>
  <c r="P89" i="109"/>
  <c r="O89" i="109"/>
  <c r="M89" i="109"/>
  <c r="Q88" i="109"/>
  <c r="P88" i="109"/>
  <c r="O88" i="109"/>
  <c r="M88" i="109"/>
  <c r="Q87" i="109"/>
  <c r="P87" i="109"/>
  <c r="O87" i="109"/>
  <c r="M87" i="109"/>
  <c r="Q86" i="109"/>
  <c r="P86" i="109"/>
  <c r="O86" i="109"/>
  <c r="M86" i="109"/>
  <c r="Q85" i="109"/>
  <c r="P85" i="109"/>
  <c r="O85" i="109"/>
  <c r="M85" i="109"/>
  <c r="Q84" i="109"/>
  <c r="P84" i="109"/>
  <c r="O84" i="109"/>
  <c r="M84" i="109"/>
  <c r="Q83" i="109"/>
  <c r="P83" i="109"/>
  <c r="O83" i="109"/>
  <c r="M83" i="109"/>
  <c r="O82" i="109"/>
  <c r="M82" i="109"/>
  <c r="Q81" i="109"/>
  <c r="P81" i="109"/>
  <c r="O81" i="109"/>
  <c r="M81" i="109"/>
  <c r="Q80" i="109"/>
  <c r="P80" i="109"/>
  <c r="O80" i="109"/>
  <c r="M80" i="109"/>
  <c r="Q79" i="109"/>
  <c r="P79" i="109"/>
  <c r="O79" i="109"/>
  <c r="M79" i="109"/>
  <c r="Q78" i="109"/>
  <c r="P78" i="109"/>
  <c r="O78" i="109"/>
  <c r="M78" i="109"/>
  <c r="Q77" i="109"/>
  <c r="P77" i="109"/>
  <c r="O77" i="109"/>
  <c r="M77" i="109"/>
  <c r="Q70" i="109"/>
  <c r="P70" i="109"/>
  <c r="O70" i="109"/>
  <c r="M70" i="109"/>
  <c r="Q69" i="109"/>
  <c r="P69" i="109"/>
  <c r="O69" i="109"/>
  <c r="M69" i="109"/>
  <c r="Q68" i="109"/>
  <c r="P68" i="109"/>
  <c r="O68" i="109"/>
  <c r="M68" i="109"/>
  <c r="Q67" i="109"/>
  <c r="P67" i="109"/>
  <c r="O67" i="109"/>
  <c r="M67" i="109"/>
  <c r="Q66" i="109"/>
  <c r="P66" i="109"/>
  <c r="O66" i="109"/>
  <c r="M66" i="109"/>
  <c r="Q65" i="109"/>
  <c r="P65" i="109"/>
  <c r="O65" i="109"/>
  <c r="M65" i="109"/>
  <c r="Q64" i="109"/>
  <c r="P64" i="109"/>
  <c r="O64" i="109"/>
  <c r="M64" i="109"/>
  <c r="Q63" i="109"/>
  <c r="P63" i="109"/>
  <c r="O63" i="109"/>
  <c r="M63" i="109"/>
  <c r="Q62" i="109"/>
  <c r="P62" i="109"/>
  <c r="O62" i="109"/>
  <c r="M62" i="109"/>
  <c r="Q61" i="109"/>
  <c r="P61" i="109"/>
  <c r="O61" i="109"/>
  <c r="M61" i="109"/>
  <c r="Q60" i="109"/>
  <c r="P60" i="109"/>
  <c r="O60" i="109"/>
  <c r="M60" i="109"/>
  <c r="Q59" i="109"/>
  <c r="P59" i="109"/>
  <c r="O59" i="109"/>
  <c r="M59" i="109"/>
  <c r="Q58" i="109"/>
  <c r="P58" i="109"/>
  <c r="O58" i="109"/>
  <c r="M58" i="109"/>
  <c r="Q57" i="109"/>
  <c r="P57" i="109"/>
  <c r="O57" i="109"/>
  <c r="M57" i="109"/>
  <c r="Q56" i="109"/>
  <c r="P56" i="109"/>
  <c r="O56" i="109"/>
  <c r="M56" i="109"/>
  <c r="Q55" i="109"/>
  <c r="P55" i="109"/>
  <c r="O55" i="109"/>
  <c r="M55" i="109"/>
  <c r="Q54" i="109"/>
  <c r="P54" i="109"/>
  <c r="O54" i="109"/>
  <c r="M54" i="109"/>
  <c r="Q53" i="109"/>
  <c r="P53" i="109"/>
  <c r="O53" i="109"/>
  <c r="M53" i="109"/>
  <c r="Q52" i="109"/>
  <c r="P52" i="109"/>
  <c r="O52" i="109"/>
  <c r="M52" i="109"/>
  <c r="Q51" i="109"/>
  <c r="P51" i="109"/>
  <c r="O51" i="109"/>
  <c r="M51" i="109"/>
  <c r="Q50" i="109"/>
  <c r="P50" i="109"/>
  <c r="O50" i="109"/>
  <c r="M50" i="109"/>
  <c r="Q49" i="109"/>
  <c r="P49" i="109"/>
  <c r="O49" i="109"/>
  <c r="M49" i="109"/>
  <c r="Q48" i="109"/>
  <c r="P48" i="109"/>
  <c r="O48" i="109"/>
  <c r="M48" i="109"/>
  <c r="Q47" i="109"/>
  <c r="P47" i="109"/>
  <c r="O47" i="109"/>
  <c r="M47" i="109"/>
  <c r="Q46" i="109"/>
  <c r="P46" i="109"/>
  <c r="O46" i="109"/>
  <c r="M46" i="109"/>
  <c r="Q45" i="109"/>
  <c r="P45" i="109"/>
  <c r="O45" i="109"/>
  <c r="M45" i="109"/>
  <c r="Q44" i="109"/>
  <c r="P44" i="109"/>
  <c r="O44" i="109"/>
  <c r="M44" i="109"/>
  <c r="Q43" i="109"/>
  <c r="P43" i="109"/>
  <c r="O43" i="109"/>
  <c r="M43" i="109"/>
  <c r="Q42" i="109"/>
  <c r="P42" i="109"/>
  <c r="O42" i="109"/>
  <c r="M42" i="109"/>
  <c r="Q41" i="109"/>
  <c r="P41" i="109"/>
  <c r="O41" i="109"/>
  <c r="M41" i="109"/>
  <c r="Q40" i="109"/>
  <c r="P40" i="109"/>
  <c r="O40" i="109"/>
  <c r="M40" i="109"/>
  <c r="Q39" i="109"/>
  <c r="P39" i="109"/>
  <c r="O39" i="109"/>
  <c r="M39" i="109"/>
  <c r="Q38" i="109"/>
  <c r="P38" i="109"/>
  <c r="O38" i="109"/>
  <c r="M38" i="109"/>
  <c r="Q37" i="109"/>
  <c r="P37" i="109"/>
  <c r="O37" i="109"/>
  <c r="M37" i="109"/>
  <c r="Q36" i="109"/>
  <c r="P36" i="109"/>
  <c r="O36" i="109"/>
  <c r="M36" i="109"/>
  <c r="Q35" i="109"/>
  <c r="P35" i="109"/>
  <c r="O35" i="109"/>
  <c r="M35" i="109"/>
  <c r="Q34" i="109"/>
  <c r="P34" i="109"/>
  <c r="O34" i="109"/>
  <c r="M34" i="109"/>
  <c r="Q33" i="109"/>
  <c r="P33" i="109"/>
  <c r="O33" i="109"/>
  <c r="M33" i="109"/>
  <c r="Q32" i="109"/>
  <c r="P32" i="109"/>
  <c r="O32" i="109"/>
  <c r="M32" i="109"/>
  <c r="Q31" i="109"/>
  <c r="P31" i="109"/>
  <c r="O31" i="109"/>
  <c r="M31" i="109"/>
  <c r="Q30" i="109"/>
  <c r="P30" i="109"/>
  <c r="O30" i="109"/>
  <c r="M30" i="109"/>
  <c r="Q29" i="109"/>
  <c r="P29" i="109"/>
  <c r="O29" i="109"/>
  <c r="M29" i="109"/>
  <c r="Q28" i="109"/>
  <c r="P28" i="109"/>
  <c r="O28" i="109"/>
  <c r="M28" i="109"/>
  <c r="Q27" i="109"/>
  <c r="P27" i="109"/>
  <c r="O27" i="109"/>
  <c r="M27" i="109"/>
  <c r="Q26" i="109"/>
  <c r="P26" i="109"/>
  <c r="O26" i="109"/>
  <c r="M26" i="109"/>
  <c r="Q25" i="109"/>
  <c r="P25" i="109"/>
  <c r="O25" i="109"/>
  <c r="M25" i="109"/>
  <c r="Q24" i="109"/>
  <c r="P24" i="109"/>
  <c r="O24" i="109"/>
  <c r="M24" i="109"/>
  <c r="Q23" i="109"/>
  <c r="P23" i="109"/>
  <c r="O23" i="109"/>
  <c r="M23" i="109"/>
  <c r="Q22" i="109"/>
  <c r="P22" i="109"/>
  <c r="O22" i="109"/>
  <c r="M22" i="109"/>
  <c r="Q21" i="109"/>
  <c r="P21" i="109"/>
  <c r="O21" i="109"/>
  <c r="M21" i="109"/>
  <c r="Q20" i="109"/>
  <c r="P20" i="109"/>
  <c r="O20" i="109"/>
  <c r="M20" i="109"/>
  <c r="Q19" i="109"/>
  <c r="P19" i="109"/>
  <c r="O19" i="109"/>
  <c r="M19" i="109"/>
  <c r="Q18" i="109"/>
  <c r="P18" i="109"/>
  <c r="O18" i="109"/>
  <c r="M18" i="109"/>
  <c r="Q17" i="109"/>
  <c r="P17" i="109"/>
  <c r="O17" i="109"/>
  <c r="M17" i="109"/>
  <c r="P1" i="109"/>
  <c r="M63" i="100"/>
  <c r="I126" i="100" s="1"/>
  <c r="M126" i="100" s="1"/>
  <c r="I189" i="100" s="1"/>
  <c r="M189" i="100" s="1"/>
  <c r="H253" i="100" s="1"/>
  <c r="K253" i="100" s="1"/>
  <c r="H317" i="100" s="1"/>
  <c r="K317" i="100" s="1"/>
  <c r="H381" i="100" s="1"/>
  <c r="K381" i="100" s="1"/>
  <c r="I445" i="100" s="1"/>
  <c r="M445" i="100" s="1"/>
  <c r="H509" i="100" s="1"/>
  <c r="K509" i="100" s="1"/>
  <c r="H63" i="100"/>
  <c r="D126" i="100" s="1"/>
  <c r="H126" i="100" s="1"/>
  <c r="M62" i="100"/>
  <c r="H62" i="100"/>
  <c r="I80" i="100"/>
  <c r="M80" i="100"/>
  <c r="I143" i="100"/>
  <c r="M143" i="100"/>
  <c r="K207" i="100"/>
  <c r="H271" i="100"/>
  <c r="K271" i="100"/>
  <c r="H335" i="100"/>
  <c r="K335" i="100"/>
  <c r="I399" i="100"/>
  <c r="M399" i="100"/>
  <c r="H463" i="100"/>
  <c r="K463" i="100"/>
  <c r="M1" i="100"/>
  <c r="C1" i="110"/>
  <c r="E113" i="140"/>
  <c r="C113" i="140"/>
  <c r="B113" i="140"/>
  <c r="A113" i="140"/>
  <c r="E112" i="140"/>
  <c r="C112" i="140"/>
  <c r="B112" i="140"/>
  <c r="A112" i="140"/>
  <c r="E111" i="140"/>
  <c r="C111" i="140"/>
  <c r="B111" i="140"/>
  <c r="A111" i="140"/>
  <c r="E110" i="140"/>
  <c r="C110" i="140"/>
  <c r="B110" i="140"/>
  <c r="A110" i="140"/>
  <c r="E109" i="140"/>
  <c r="C109" i="140"/>
  <c r="B109" i="140"/>
  <c r="A109" i="140"/>
  <c r="E108" i="140"/>
  <c r="C108" i="140"/>
  <c r="B108" i="140"/>
  <c r="A108" i="140"/>
  <c r="E107" i="140"/>
  <c r="C107" i="140"/>
  <c r="B107" i="140"/>
  <c r="A107" i="140"/>
  <c r="E106" i="140"/>
  <c r="C106" i="140"/>
  <c r="B106" i="140"/>
  <c r="A106" i="140"/>
  <c r="E105" i="140"/>
  <c r="C105" i="140"/>
  <c r="B105" i="140"/>
  <c r="A105" i="140"/>
  <c r="E104" i="140"/>
  <c r="C104" i="140"/>
  <c r="B104" i="140"/>
  <c r="A104" i="140"/>
  <c r="E103" i="140"/>
  <c r="C103" i="140"/>
  <c r="B103" i="140"/>
  <c r="A103" i="140"/>
  <c r="E102" i="140"/>
  <c r="C102" i="140"/>
  <c r="B102" i="140"/>
  <c r="A102" i="140"/>
  <c r="E101" i="140"/>
  <c r="C101" i="140"/>
  <c r="B101" i="140"/>
  <c r="A101" i="140"/>
  <c r="E100" i="140"/>
  <c r="C100" i="140"/>
  <c r="B100" i="140"/>
  <c r="A100" i="140"/>
  <c r="E99" i="140"/>
  <c r="C99" i="140"/>
  <c r="B99" i="140"/>
  <c r="A99" i="140"/>
  <c r="E98" i="140"/>
  <c r="C98" i="140"/>
  <c r="B98" i="140"/>
  <c r="A98" i="140"/>
  <c r="E97" i="140"/>
  <c r="C97" i="140"/>
  <c r="B97" i="140"/>
  <c r="A97" i="140"/>
  <c r="E96" i="140"/>
  <c r="C96" i="140"/>
  <c r="B96" i="140"/>
  <c r="A96" i="140"/>
  <c r="E95" i="140"/>
  <c r="C95" i="140"/>
  <c r="B95" i="140"/>
  <c r="A95" i="140"/>
  <c r="E94" i="140"/>
  <c r="C94" i="140"/>
  <c r="B94" i="140"/>
  <c r="A94" i="140"/>
  <c r="E93" i="140"/>
  <c r="C93" i="140"/>
  <c r="B93" i="140"/>
  <c r="A93" i="140"/>
  <c r="E92" i="140"/>
  <c r="C92" i="140"/>
  <c r="B92" i="140"/>
  <c r="A92" i="140"/>
  <c r="E91" i="140"/>
  <c r="C91" i="140"/>
  <c r="B91" i="140"/>
  <c r="A91" i="140"/>
  <c r="E90" i="140"/>
  <c r="C90" i="140"/>
  <c r="B90" i="140"/>
  <c r="A90" i="140"/>
  <c r="E89" i="140"/>
  <c r="C89" i="140"/>
  <c r="B89" i="140"/>
  <c r="A89" i="140"/>
  <c r="E88" i="140"/>
  <c r="C88" i="140"/>
  <c r="B88" i="140"/>
  <c r="A88" i="140"/>
  <c r="E87" i="140"/>
  <c r="C87" i="140"/>
  <c r="B87" i="140"/>
  <c r="A87" i="140"/>
  <c r="E86" i="140"/>
  <c r="C86" i="140"/>
  <c r="B86" i="140"/>
  <c r="A86" i="140"/>
  <c r="E85" i="140"/>
  <c r="C85" i="140"/>
  <c r="B85" i="140"/>
  <c r="A85" i="140"/>
  <c r="E84" i="140"/>
  <c r="C84" i="140"/>
  <c r="B84" i="140"/>
  <c r="A84" i="140"/>
  <c r="E83" i="140"/>
  <c r="C83" i="140"/>
  <c r="B83" i="140"/>
  <c r="A83" i="140"/>
  <c r="E82" i="140"/>
  <c r="C82" i="140"/>
  <c r="B82" i="140"/>
  <c r="A82" i="140"/>
  <c r="E81" i="140"/>
  <c r="C81" i="140"/>
  <c r="B81" i="140"/>
  <c r="A81" i="140"/>
  <c r="E80" i="140"/>
  <c r="C80" i="140"/>
  <c r="B80" i="140"/>
  <c r="A80" i="140"/>
  <c r="E79" i="140"/>
  <c r="C79" i="140"/>
  <c r="B79" i="140"/>
  <c r="A79" i="140"/>
  <c r="E78" i="140"/>
  <c r="C78" i="140"/>
  <c r="B78" i="140"/>
  <c r="A78" i="140"/>
  <c r="E77" i="140"/>
  <c r="C77" i="140"/>
  <c r="B77" i="140"/>
  <c r="A77" i="140"/>
  <c r="E76" i="140"/>
  <c r="C76" i="140"/>
  <c r="B76" i="140"/>
  <c r="A76" i="140"/>
  <c r="E75" i="140"/>
  <c r="C75" i="140"/>
  <c r="B75" i="140"/>
  <c r="A75" i="140"/>
  <c r="E74" i="140"/>
  <c r="C74" i="140"/>
  <c r="B74" i="140"/>
  <c r="A74" i="140"/>
  <c r="E73" i="140"/>
  <c r="C73" i="140"/>
  <c r="B73" i="140"/>
  <c r="A73" i="140"/>
  <c r="E72" i="140"/>
  <c r="C72" i="140"/>
  <c r="B72" i="140"/>
  <c r="A72" i="140"/>
  <c r="E71" i="140"/>
  <c r="C71" i="140"/>
  <c r="B71" i="140"/>
  <c r="A71" i="140"/>
  <c r="E70" i="140"/>
  <c r="C70" i="140"/>
  <c r="B70" i="140"/>
  <c r="A70" i="140"/>
  <c r="I69" i="140"/>
  <c r="E69" i="140"/>
  <c r="C69" i="140"/>
  <c r="B69" i="140"/>
  <c r="A69" i="140"/>
  <c r="E68" i="140"/>
  <c r="C68" i="140"/>
  <c r="B68" i="140"/>
  <c r="A68" i="140"/>
  <c r="E67" i="140"/>
  <c r="C67" i="140"/>
  <c r="B67" i="140"/>
  <c r="A67" i="140"/>
  <c r="E66" i="140"/>
  <c r="C66" i="140"/>
  <c r="B66" i="140"/>
  <c r="A66" i="140"/>
  <c r="E65" i="140"/>
  <c r="C65" i="140"/>
  <c r="B65" i="140"/>
  <c r="A65" i="140"/>
  <c r="E64" i="140"/>
  <c r="C64" i="140"/>
  <c r="B64" i="140"/>
  <c r="A64" i="140"/>
  <c r="E63" i="140"/>
  <c r="C63" i="140"/>
  <c r="B63" i="140"/>
  <c r="A63" i="140"/>
  <c r="E62" i="140"/>
  <c r="C62" i="140"/>
  <c r="B62" i="140"/>
  <c r="A62" i="140"/>
  <c r="E61" i="140"/>
  <c r="C61" i="140"/>
  <c r="B61" i="140"/>
  <c r="A61" i="140"/>
  <c r="E60" i="140"/>
  <c r="C60" i="140"/>
  <c r="B60" i="140"/>
  <c r="A60" i="140"/>
  <c r="E59" i="140"/>
  <c r="C59" i="140"/>
  <c r="B59" i="140"/>
  <c r="A59" i="140"/>
  <c r="E58" i="140"/>
  <c r="C58" i="140"/>
  <c r="B58" i="140"/>
  <c r="A58" i="140"/>
  <c r="E57" i="140"/>
  <c r="C57" i="140"/>
  <c r="B57" i="140"/>
  <c r="A57" i="140"/>
  <c r="E56" i="140"/>
  <c r="C56" i="140"/>
  <c r="B56" i="140"/>
  <c r="A56" i="140"/>
  <c r="E55" i="140"/>
  <c r="C55" i="140"/>
  <c r="B55" i="140"/>
  <c r="A55" i="140"/>
  <c r="E54" i="140"/>
  <c r="C54" i="140"/>
  <c r="B54" i="140"/>
  <c r="A54" i="140"/>
  <c r="E53" i="140"/>
  <c r="C53" i="140"/>
  <c r="B53" i="140"/>
  <c r="A53" i="140"/>
  <c r="E52" i="140"/>
  <c r="C52" i="140"/>
  <c r="B52" i="140"/>
  <c r="A52" i="140"/>
  <c r="E51" i="140"/>
  <c r="C51" i="140"/>
  <c r="B51" i="140"/>
  <c r="A51" i="140"/>
  <c r="E50" i="140"/>
  <c r="C50" i="140"/>
  <c r="B50" i="140"/>
  <c r="A50" i="140"/>
  <c r="E49" i="140"/>
  <c r="C49" i="140"/>
  <c r="B49" i="140"/>
  <c r="A49" i="140"/>
  <c r="E48" i="140"/>
  <c r="C48" i="140"/>
  <c r="B48" i="140"/>
  <c r="A48" i="140"/>
  <c r="I47" i="140"/>
  <c r="E47" i="140"/>
  <c r="C47" i="140"/>
  <c r="B47" i="140"/>
  <c r="A47" i="140"/>
  <c r="E46" i="140"/>
  <c r="C46" i="140"/>
  <c r="B46" i="140"/>
  <c r="A46" i="140"/>
  <c r="E45" i="140"/>
  <c r="C45" i="140"/>
  <c r="B45" i="140"/>
  <c r="A45" i="140"/>
  <c r="E44" i="140"/>
  <c r="C44" i="140"/>
  <c r="B44" i="140"/>
  <c r="A44" i="140"/>
  <c r="E43" i="140"/>
  <c r="C43" i="140"/>
  <c r="B43" i="140"/>
  <c r="A43" i="140"/>
  <c r="E42" i="140"/>
  <c r="C42" i="140"/>
  <c r="B42" i="140"/>
  <c r="A42" i="140"/>
  <c r="E41" i="140"/>
  <c r="C41" i="140"/>
  <c r="B41" i="140"/>
  <c r="A41" i="140"/>
  <c r="E40" i="140"/>
  <c r="C40" i="140"/>
  <c r="B40" i="140"/>
  <c r="A40" i="140"/>
  <c r="E39" i="140"/>
  <c r="C39" i="140"/>
  <c r="B39" i="140"/>
  <c r="A39" i="140"/>
  <c r="E38" i="140"/>
  <c r="C38" i="140"/>
  <c r="B38" i="140"/>
  <c r="A38" i="140"/>
  <c r="E37" i="140"/>
  <c r="C37" i="140"/>
  <c r="B37" i="140"/>
  <c r="A37" i="140"/>
  <c r="E36" i="140"/>
  <c r="C36" i="140"/>
  <c r="B36" i="140"/>
  <c r="A36" i="140"/>
  <c r="E35" i="140"/>
  <c r="C35" i="140"/>
  <c r="B35" i="140"/>
  <c r="A35" i="140"/>
  <c r="E34" i="140"/>
  <c r="C34" i="140"/>
  <c r="B34" i="140"/>
  <c r="A34" i="140"/>
  <c r="I33" i="140"/>
  <c r="E33" i="140"/>
  <c r="C33" i="140"/>
  <c r="B33" i="140"/>
  <c r="A33" i="140"/>
  <c r="E32" i="140"/>
  <c r="C32" i="140"/>
  <c r="B32" i="140"/>
  <c r="A32" i="140"/>
  <c r="I31" i="140"/>
  <c r="E31" i="140"/>
  <c r="C31" i="140"/>
  <c r="B31" i="140"/>
  <c r="A31" i="140"/>
  <c r="E30" i="140"/>
  <c r="C30" i="140"/>
  <c r="B30" i="140"/>
  <c r="A30" i="140"/>
  <c r="E29" i="140"/>
  <c r="C29" i="140"/>
  <c r="B29" i="140"/>
  <c r="A29" i="140"/>
  <c r="I28" i="140"/>
  <c r="E28" i="140"/>
  <c r="C28" i="140"/>
  <c r="B28" i="140"/>
  <c r="A28" i="140"/>
  <c r="I27" i="140"/>
  <c r="E27" i="140"/>
  <c r="C27" i="140"/>
  <c r="B27" i="140"/>
  <c r="A27" i="140"/>
  <c r="I26" i="140"/>
  <c r="E26" i="140"/>
  <c r="C26" i="140"/>
  <c r="B26" i="140"/>
  <c r="A26" i="140"/>
  <c r="E25" i="140"/>
  <c r="C25" i="140"/>
  <c r="B25" i="140"/>
  <c r="A25" i="140"/>
  <c r="E24" i="140"/>
  <c r="C24" i="140"/>
  <c r="B24" i="140"/>
  <c r="A24" i="140"/>
  <c r="I23" i="140"/>
  <c r="E23" i="140"/>
  <c r="C23" i="140"/>
  <c r="B23" i="140"/>
  <c r="A23" i="140"/>
  <c r="E22" i="140"/>
  <c r="C22" i="140"/>
  <c r="B22" i="140"/>
  <c r="A22" i="140"/>
  <c r="I21" i="140"/>
  <c r="E21" i="140"/>
  <c r="C21" i="140"/>
  <c r="B21" i="140"/>
  <c r="A21" i="140"/>
  <c r="I20" i="140"/>
  <c r="E20" i="140"/>
  <c r="C20" i="140"/>
  <c r="B20" i="140"/>
  <c r="A20" i="140"/>
  <c r="I19" i="140"/>
  <c r="E19" i="140"/>
  <c r="C19" i="140"/>
  <c r="B19" i="140"/>
  <c r="A19" i="140"/>
  <c r="I18" i="140"/>
  <c r="E18" i="140"/>
  <c r="C18" i="140"/>
  <c r="B18" i="140"/>
  <c r="A18" i="140"/>
  <c r="I17" i="140"/>
  <c r="E17" i="140"/>
  <c r="C17" i="140"/>
  <c r="B17" i="140"/>
  <c r="A17" i="140"/>
  <c r="I16" i="140"/>
  <c r="E16" i="140"/>
  <c r="C16" i="140"/>
  <c r="B16" i="140"/>
  <c r="A16" i="140"/>
  <c r="I15" i="140"/>
  <c r="E15" i="140"/>
  <c r="C15" i="140"/>
  <c r="B15" i="140"/>
  <c r="A15" i="140"/>
  <c r="E14" i="140"/>
  <c r="C14" i="140"/>
  <c r="B14" i="140"/>
  <c r="A14" i="140"/>
  <c r="I13" i="140"/>
  <c r="E13" i="140"/>
  <c r="C13" i="140"/>
  <c r="B13" i="140"/>
  <c r="A13" i="140"/>
  <c r="I12" i="140"/>
  <c r="E12" i="140"/>
  <c r="C12" i="140"/>
  <c r="B12" i="140"/>
  <c r="A12" i="140"/>
  <c r="I11" i="140"/>
  <c r="E11" i="140"/>
  <c r="C11" i="140"/>
  <c r="B11" i="140"/>
  <c r="A11" i="140"/>
  <c r="I10" i="140"/>
  <c r="E10" i="140"/>
  <c r="C10" i="140"/>
  <c r="B10" i="140"/>
  <c r="A10" i="140"/>
  <c r="I9" i="140"/>
  <c r="E9" i="140"/>
  <c r="C9" i="140"/>
  <c r="B9" i="140"/>
  <c r="A9" i="140"/>
  <c r="I8" i="140"/>
  <c r="E8" i="140"/>
  <c r="C8" i="140"/>
  <c r="B8" i="140"/>
  <c r="A8" i="140"/>
  <c r="I7" i="140"/>
  <c r="E7" i="140"/>
  <c r="C7" i="140"/>
  <c r="B7" i="140"/>
  <c r="A7" i="140"/>
  <c r="E6" i="140"/>
  <c r="C6" i="140"/>
  <c r="B6" i="140"/>
  <c r="A6" i="140"/>
  <c r="I5" i="140"/>
  <c r="E5" i="140"/>
  <c r="C5" i="140"/>
  <c r="B5" i="140"/>
  <c r="A5" i="140"/>
  <c r="I4" i="140"/>
  <c r="E4" i="140"/>
  <c r="C4" i="140"/>
  <c r="B4" i="140"/>
  <c r="A4" i="140"/>
  <c r="I3" i="140"/>
  <c r="E3" i="140"/>
  <c r="C3" i="140"/>
  <c r="B3" i="140"/>
  <c r="A3" i="140"/>
  <c r="I2" i="140"/>
  <c r="E2" i="140"/>
  <c r="C2" i="140"/>
  <c r="B2" i="140"/>
  <c r="A2" i="140"/>
  <c r="M24" i="102"/>
  <c r="G24" i="102"/>
  <c r="D24" i="102"/>
  <c r="G23" i="102"/>
  <c r="D23" i="102"/>
  <c r="J22" i="102"/>
  <c r="G22" i="102"/>
  <c r="D22" i="102"/>
  <c r="L21" i="102"/>
  <c r="K21" i="102"/>
  <c r="H30" i="140" s="1"/>
  <c r="I23" i="102"/>
  <c r="H21" i="102"/>
  <c r="F21" i="102"/>
  <c r="I14" i="140"/>
  <c r="E21" i="102"/>
  <c r="H14" i="140"/>
  <c r="C21" i="102"/>
  <c r="D21" i="102"/>
  <c r="B21" i="102"/>
  <c r="H6" i="140"/>
  <c r="J20" i="102"/>
  <c r="G20" i="102"/>
  <c r="D20" i="102"/>
  <c r="M19" i="102"/>
  <c r="J19" i="102"/>
  <c r="G19" i="102"/>
  <c r="D19" i="102"/>
  <c r="M18" i="102"/>
  <c r="J18" i="102"/>
  <c r="G18" i="102"/>
  <c r="D18" i="102"/>
  <c r="M17" i="102"/>
  <c r="J17" i="102"/>
  <c r="G17" i="102"/>
  <c r="D17" i="102"/>
  <c r="A12" i="102"/>
  <c r="AC14" i="102"/>
  <c r="AG1" i="102"/>
  <c r="I13" i="11"/>
  <c r="J1" i="11"/>
  <c r="B18" i="135"/>
  <c r="H1" i="135"/>
  <c r="O77" i="32"/>
  <c r="N77" i="32"/>
  <c r="O76" i="32"/>
  <c r="N76" i="32"/>
  <c r="O75" i="32"/>
  <c r="N75" i="32"/>
  <c r="O74" i="32"/>
  <c r="N74" i="32"/>
  <c r="O73" i="32"/>
  <c r="N73" i="32"/>
  <c r="O72" i="32"/>
  <c r="N72" i="32"/>
  <c r="O71" i="32"/>
  <c r="N71" i="32"/>
  <c r="O70" i="32"/>
  <c r="N70" i="32"/>
  <c r="O69" i="32"/>
  <c r="N69" i="32"/>
  <c r="O68" i="32"/>
  <c r="N68" i="32"/>
  <c r="O67" i="32"/>
  <c r="N67" i="32"/>
  <c r="O66" i="32"/>
  <c r="N66" i="32"/>
  <c r="O65" i="32"/>
  <c r="N65" i="32"/>
  <c r="O64" i="32"/>
  <c r="N64" i="32"/>
  <c r="O63" i="32"/>
  <c r="N63" i="32"/>
  <c r="O62" i="32"/>
  <c r="N62" i="32"/>
  <c r="O61" i="32"/>
  <c r="N61" i="32"/>
  <c r="O60" i="32"/>
  <c r="N60" i="32"/>
  <c r="O59" i="32"/>
  <c r="N59" i="32"/>
  <c r="O58" i="32"/>
  <c r="N58" i="32"/>
  <c r="A49" i="32"/>
  <c r="E26" i="32"/>
  <c r="O21" i="54"/>
  <c r="P21" i="54"/>
  <c r="C33" i="75"/>
  <c r="C33" i="119"/>
  <c r="S23" i="98"/>
  <c r="T23" i="98"/>
  <c r="J23" i="98"/>
  <c r="H11" i="142"/>
  <c r="I72" i="54"/>
  <c r="H19" i="142"/>
  <c r="R21" i="54"/>
  <c r="S21" i="54"/>
  <c r="H51" i="142"/>
  <c r="V23" i="98"/>
  <c r="X23" i="98"/>
  <c r="X24" i="98"/>
  <c r="V22" i="98"/>
  <c r="W22" i="98"/>
  <c r="E28" i="5"/>
  <c r="I28" i="5"/>
  <c r="Q28" i="5"/>
  <c r="G49" i="34"/>
  <c r="J72" i="98"/>
  <c r="B47" i="34"/>
  <c r="B44" i="34"/>
  <c r="E22" i="119"/>
  <c r="E25" i="119"/>
  <c r="E22" i="75"/>
  <c r="E25" i="75"/>
  <c r="O22" i="54"/>
  <c r="Q22" i="54"/>
  <c r="Q36" i="54"/>
  <c r="H38" i="142"/>
  <c r="H72" i="98"/>
  <c r="H77" i="98"/>
  <c r="Y22" i="98"/>
  <c r="Z22" i="98"/>
  <c r="I72" i="98"/>
  <c r="H37" i="142"/>
  <c r="G22" i="98"/>
  <c r="H22" i="98"/>
  <c r="U21" i="54"/>
  <c r="V21" i="54"/>
  <c r="U22" i="54"/>
  <c r="V22" i="54"/>
  <c r="J72" i="54"/>
  <c r="J77" i="54"/>
  <c r="O37" i="54"/>
  <c r="Y23" i="98"/>
  <c r="AA23" i="98"/>
  <c r="AA24" i="98"/>
  <c r="O72" i="98"/>
  <c r="F28" i="5"/>
  <c r="J22" i="98"/>
  <c r="K22" i="98"/>
  <c r="X21" i="54"/>
  <c r="Y21" i="54"/>
  <c r="X22" i="54"/>
  <c r="K72" i="54"/>
  <c r="K77" i="54"/>
  <c r="R37" i="54"/>
  <c r="T37" i="54"/>
  <c r="T56" i="54"/>
  <c r="AE22" i="98"/>
  <c r="AF22" i="98"/>
  <c r="AE23" i="98"/>
  <c r="AB23" i="98"/>
  <c r="D44" i="34"/>
  <c r="E46" i="34"/>
  <c r="G23" i="98"/>
  <c r="H23" i="98"/>
  <c r="R22" i="54"/>
  <c r="AA21" i="54"/>
  <c r="AB21" i="54"/>
  <c r="AB23" i="54"/>
  <c r="AA22" i="54"/>
  <c r="AB22" i="54"/>
  <c r="L72" i="54"/>
  <c r="L88" i="54"/>
  <c r="L90" i="54"/>
  <c r="H35" i="142"/>
  <c r="G72" i="98"/>
  <c r="G77" i="98"/>
  <c r="H6" i="142"/>
  <c r="F22" i="54"/>
  <c r="D43" i="34"/>
  <c r="D47" i="34"/>
  <c r="H7" i="142"/>
  <c r="F21" i="54"/>
  <c r="G21" i="54"/>
  <c r="H53" i="142"/>
  <c r="M72" i="98"/>
  <c r="M88" i="98"/>
  <c r="M90" i="98"/>
  <c r="I22" i="54"/>
  <c r="J22" i="54"/>
  <c r="N72" i="54"/>
  <c r="P22" i="98"/>
  <c r="Q22" i="98"/>
  <c r="M23" i="98"/>
  <c r="N23" i="98"/>
  <c r="K72" i="98"/>
  <c r="K77" i="98"/>
  <c r="B28" i="5"/>
  <c r="AD22" i="54"/>
  <c r="AF22" i="54"/>
  <c r="L21" i="54"/>
  <c r="M21" i="54"/>
  <c r="L22" i="54"/>
  <c r="M22" i="54"/>
  <c r="G72" i="54"/>
  <c r="G77" i="54"/>
  <c r="O72" i="54"/>
  <c r="S22" i="98"/>
  <c r="T22" i="98"/>
  <c r="T24" i="98"/>
  <c r="P23" i="98"/>
  <c r="R23" i="98"/>
  <c r="L72" i="98"/>
  <c r="L88" i="98"/>
  <c r="L90" i="98"/>
  <c r="C28" i="5"/>
  <c r="S28" i="5"/>
  <c r="H13" i="105"/>
  <c r="K13" i="105"/>
  <c r="F13" i="105"/>
  <c r="K69" i="133"/>
  <c r="Q69" i="133"/>
  <c r="F91" i="133"/>
  <c r="K70" i="133"/>
  <c r="Q70" i="133"/>
  <c r="K72" i="133"/>
  <c r="Q72" i="133"/>
  <c r="R82" i="133"/>
  <c r="K68" i="133"/>
  <c r="K91" i="133"/>
  <c r="Q91" i="133"/>
  <c r="F92" i="133"/>
  <c r="F95" i="133"/>
  <c r="O22" i="50"/>
  <c r="I105" i="133"/>
  <c r="L557" i="14"/>
  <c r="L529" i="14"/>
  <c r="L515" i="14"/>
  <c r="L501" i="14"/>
  <c r="L473" i="14"/>
  <c r="L459" i="14"/>
  <c r="L445" i="14"/>
  <c r="L417" i="14"/>
  <c r="L403" i="14"/>
  <c r="L389" i="14"/>
  <c r="L361" i="14"/>
  <c r="L347" i="14"/>
  <c r="L333" i="14"/>
  <c r="L305" i="14"/>
  <c r="L291" i="14"/>
  <c r="L277" i="14"/>
  <c r="L249" i="14"/>
  <c r="L235" i="14"/>
  <c r="L221" i="14"/>
  <c r="L193" i="14"/>
  <c r="L179" i="14"/>
  <c r="L165" i="14"/>
  <c r="L137" i="14"/>
  <c r="L123" i="14"/>
  <c r="L109" i="14"/>
  <c r="D14" i="148"/>
  <c r="D26" i="148"/>
  <c r="D30" i="148"/>
  <c r="D34" i="148"/>
  <c r="D50" i="148"/>
  <c r="D58" i="148"/>
  <c r="D62" i="148"/>
  <c r="D64" i="148"/>
  <c r="D19" i="148"/>
  <c r="D27" i="148"/>
  <c r="D35" i="148"/>
  <c r="D39" i="148"/>
  <c r="D43" i="148"/>
  <c r="D63" i="148"/>
  <c r="D13" i="15"/>
  <c r="D12" i="148"/>
  <c r="D20" i="148"/>
  <c r="D40" i="148"/>
  <c r="D44" i="148"/>
  <c r="D52" i="148"/>
  <c r="D56" i="148"/>
  <c r="D60" i="148"/>
  <c r="D25" i="148"/>
  <c r="D29" i="148"/>
  <c r="D33" i="148"/>
  <c r="D45" i="148"/>
  <c r="D57" i="148"/>
  <c r="D61" i="148"/>
  <c r="L75" i="14"/>
  <c r="G41" i="145"/>
  <c r="G38" i="145"/>
  <c r="G40" i="145"/>
  <c r="H201" i="147"/>
  <c r="H199" i="147"/>
  <c r="H197" i="147"/>
  <c r="H195" i="147"/>
  <c r="H198" i="147"/>
  <c r="H196" i="147"/>
  <c r="H194" i="147"/>
  <c r="S52" i="54"/>
  <c r="G7" i="143"/>
  <c r="Z14" i="102"/>
  <c r="G80" i="140"/>
  <c r="G79" i="140"/>
  <c r="G77" i="140"/>
  <c r="G48" i="142"/>
  <c r="G17" i="142"/>
  <c r="G47" i="142"/>
  <c r="G18" i="142"/>
  <c r="V52" i="54"/>
  <c r="T53" i="98"/>
  <c r="K69" i="98"/>
  <c r="K85" i="98"/>
  <c r="G7" i="144"/>
  <c r="W53" i="98"/>
  <c r="L69" i="98"/>
  <c r="L85" i="98"/>
  <c r="G8" i="144"/>
  <c r="D118" i="147"/>
  <c r="D56" i="146"/>
  <c r="D52" i="146"/>
  <c r="D53" i="146"/>
  <c r="H30" i="55"/>
  <c r="G68" i="55"/>
  <c r="F68" i="55"/>
  <c r="H67" i="55"/>
  <c r="G56" i="146"/>
  <c r="G53" i="146"/>
  <c r="G52" i="146"/>
  <c r="G54" i="146"/>
  <c r="G55" i="146"/>
  <c r="K29" i="53"/>
  <c r="D10" i="140"/>
  <c r="D20" i="140"/>
  <c r="D28" i="140"/>
  <c r="D44" i="140"/>
  <c r="D52" i="140"/>
  <c r="D84" i="140"/>
  <c r="D101" i="140"/>
  <c r="D107" i="140"/>
  <c r="D3" i="142"/>
  <c r="D21" i="140"/>
  <c r="D23" i="140"/>
  <c r="D38" i="140"/>
  <c r="D62" i="140"/>
  <c r="D77" i="140"/>
  <c r="D86" i="140"/>
  <c r="D95" i="140"/>
  <c r="D5" i="142"/>
  <c r="D13" i="142"/>
  <c r="D5" i="144"/>
  <c r="H14" i="21"/>
  <c r="D9" i="140"/>
  <c r="D27" i="140"/>
  <c r="D51" i="140"/>
  <c r="D58" i="140"/>
  <c r="D88" i="140"/>
  <c r="D99" i="140"/>
  <c r="D105" i="140"/>
  <c r="D2" i="140"/>
  <c r="D14" i="140"/>
  <c r="D16" i="140"/>
  <c r="D31" i="140"/>
  <c r="D70" i="140"/>
  <c r="D72" i="140"/>
  <c r="D94" i="140"/>
  <c r="D97" i="140"/>
  <c r="D103" i="140"/>
  <c r="D31" i="142"/>
  <c r="O17" i="54"/>
  <c r="D2" i="143"/>
  <c r="H29" i="53"/>
  <c r="M16" i="53"/>
  <c r="S16" i="53"/>
  <c r="D8" i="140"/>
  <c r="D12" i="140"/>
  <c r="D19" i="140"/>
  <c r="D37" i="140"/>
  <c r="D39" i="140"/>
  <c r="D43" i="140"/>
  <c r="D57" i="140"/>
  <c r="D68" i="140"/>
  <c r="D74" i="140"/>
  <c r="D87" i="140"/>
  <c r="D89" i="140"/>
  <c r="D91" i="140"/>
  <c r="D108" i="140"/>
  <c r="D3" i="143"/>
  <c r="D2" i="144"/>
  <c r="D2" i="146"/>
  <c r="D10" i="143"/>
  <c r="D11" i="143"/>
  <c r="D9" i="143"/>
  <c r="D8" i="144"/>
  <c r="D9" i="144"/>
  <c r="D37" i="142"/>
  <c r="D38" i="142"/>
  <c r="D39" i="142"/>
  <c r="D41" i="142"/>
  <c r="D47" i="142"/>
  <c r="D49" i="142"/>
  <c r="D52" i="142"/>
  <c r="D54" i="142"/>
  <c r="D56" i="142"/>
  <c r="D46" i="142"/>
  <c r="D48" i="142"/>
  <c r="D51" i="142"/>
  <c r="D57" i="142"/>
  <c r="D11" i="144"/>
  <c r="D10" i="144"/>
  <c r="D4" i="145"/>
  <c r="D12" i="145"/>
  <c r="D16" i="145"/>
  <c r="D32" i="145"/>
  <c r="D36" i="145"/>
  <c r="D19" i="145"/>
  <c r="D9" i="145"/>
  <c r="D21" i="145"/>
  <c r="D25" i="145"/>
  <c r="D37" i="145"/>
  <c r="D41" i="145"/>
  <c r="D3" i="145"/>
  <c r="D6" i="145"/>
  <c r="D10" i="145"/>
  <c r="D14" i="145"/>
  <c r="D22" i="145"/>
  <c r="D38" i="145"/>
  <c r="D7" i="145"/>
  <c r="D23" i="145"/>
  <c r="D39" i="145"/>
  <c r="D2" i="145"/>
  <c r="D8" i="148"/>
  <c r="D7" i="148"/>
  <c r="D6" i="148"/>
  <c r="D4" i="148"/>
  <c r="K13" i="136"/>
  <c r="E14" i="21"/>
  <c r="J13" i="136"/>
  <c r="D201" i="147"/>
  <c r="D197" i="147"/>
  <c r="D189" i="147"/>
  <c r="D187" i="147"/>
  <c r="D185" i="147"/>
  <c r="D179" i="147"/>
  <c r="D173" i="147"/>
  <c r="D171" i="147"/>
  <c r="D165" i="147"/>
  <c r="D163" i="147"/>
  <c r="D161" i="147"/>
  <c r="D153" i="147"/>
  <c r="D149" i="147"/>
  <c r="D147" i="147"/>
  <c r="D143" i="147"/>
  <c r="D137" i="147"/>
  <c r="D133" i="147"/>
  <c r="D129" i="147"/>
  <c r="D127" i="147"/>
  <c r="D125" i="147"/>
  <c r="D115" i="147"/>
  <c r="D113" i="147"/>
  <c r="D111" i="147"/>
  <c r="D107" i="147"/>
  <c r="D99" i="147"/>
  <c r="D97" i="147"/>
  <c r="D93" i="147"/>
  <c r="D91" i="147"/>
  <c r="D89" i="147"/>
  <c r="D79" i="147"/>
  <c r="D77" i="147"/>
  <c r="D75" i="147"/>
  <c r="D69" i="147"/>
  <c r="D63" i="147"/>
  <c r="D61" i="147"/>
  <c r="D57" i="147"/>
  <c r="D53" i="147"/>
  <c r="D51" i="147"/>
  <c r="D43" i="147"/>
  <c r="D41" i="147"/>
  <c r="D14" i="21"/>
  <c r="D200" i="147"/>
  <c r="D176" i="147"/>
  <c r="D168" i="147"/>
  <c r="D144" i="147"/>
  <c r="D136" i="147"/>
  <c r="D128" i="147"/>
  <c r="D88" i="147"/>
  <c r="D80" i="147"/>
  <c r="D72" i="147"/>
  <c r="D56" i="147"/>
  <c r="D51" i="146"/>
  <c r="D49" i="146"/>
  <c r="D45" i="146"/>
  <c r="D43" i="146"/>
  <c r="D40" i="146"/>
  <c r="D28" i="146"/>
  <c r="D25" i="146"/>
  <c r="D23" i="146"/>
  <c r="D18" i="146"/>
  <c r="D8" i="146"/>
  <c r="D6" i="146"/>
  <c r="Y29" i="49"/>
  <c r="K12" i="49"/>
  <c r="G47" i="146"/>
  <c r="D170" i="147"/>
  <c r="D162" i="147"/>
  <c r="D154" i="147"/>
  <c r="D130" i="147"/>
  <c r="D122" i="147"/>
  <c r="D98" i="147"/>
  <c r="D82" i="147"/>
  <c r="D66" i="147"/>
  <c r="D58" i="147"/>
  <c r="D35" i="147"/>
  <c r="D33" i="147"/>
  <c r="D29" i="147"/>
  <c r="D25" i="147"/>
  <c r="D23" i="147"/>
  <c r="D17" i="147"/>
  <c r="D11" i="147"/>
  <c r="D9" i="147"/>
  <c r="D7" i="147"/>
  <c r="F13" i="20"/>
  <c r="D196" i="147"/>
  <c r="D188" i="147"/>
  <c r="D172" i="147"/>
  <c r="D164" i="147"/>
  <c r="D132" i="147"/>
  <c r="D116" i="147"/>
  <c r="D108" i="147"/>
  <c r="D100" i="147"/>
  <c r="D60" i="147"/>
  <c r="D52" i="147"/>
  <c r="D44" i="147"/>
  <c r="E13" i="15"/>
  <c r="D48" i="146"/>
  <c r="D41" i="146"/>
  <c r="D39" i="146"/>
  <c r="D37" i="146"/>
  <c r="D32" i="146"/>
  <c r="D27" i="146"/>
  <c r="D26" i="146"/>
  <c r="D22" i="146"/>
  <c r="D21" i="146"/>
  <c r="D19" i="146"/>
  <c r="D14" i="146"/>
  <c r="D12" i="146"/>
  <c r="D11" i="146"/>
  <c r="D9" i="146"/>
  <c r="D7" i="146"/>
  <c r="D5" i="146"/>
  <c r="E13" i="20"/>
  <c r="D174" i="147"/>
  <c r="D142" i="147"/>
  <c r="D110" i="147"/>
  <c r="D78" i="147"/>
  <c r="D46" i="147"/>
  <c r="D20" i="147"/>
  <c r="D12" i="147"/>
  <c r="D4" i="147"/>
  <c r="D198" i="147"/>
  <c r="D166" i="147"/>
  <c r="D134" i="147"/>
  <c r="D38" i="147"/>
  <c r="D30" i="147"/>
  <c r="D22" i="147"/>
  <c r="D14" i="147"/>
  <c r="D6" i="147"/>
  <c r="H13" i="15"/>
  <c r="D126" i="147"/>
  <c r="D94" i="147"/>
  <c r="D62" i="147"/>
  <c r="D32" i="147"/>
  <c r="D24" i="147"/>
  <c r="D16" i="147"/>
  <c r="D5" i="140"/>
  <c r="D7" i="140"/>
  <c r="D11" i="140"/>
  <c r="D18" i="140"/>
  <c r="D22" i="140"/>
  <c r="D25" i="140"/>
  <c r="D36" i="140"/>
  <c r="D42" i="140"/>
  <c r="D46" i="140"/>
  <c r="D49" i="140"/>
  <c r="D53" i="140"/>
  <c r="D56" i="140"/>
  <c r="D67" i="140"/>
  <c r="D73" i="140"/>
  <c r="D79" i="140"/>
  <c r="D81" i="140"/>
  <c r="D83" i="140"/>
  <c r="D85" i="140"/>
  <c r="D100" i="140"/>
  <c r="D102" i="140"/>
  <c r="D111" i="140"/>
  <c r="D113" i="140"/>
  <c r="D2" i="142"/>
  <c r="D4" i="142"/>
  <c r="D10" i="142"/>
  <c r="D12" i="142"/>
  <c r="D14" i="142"/>
  <c r="D16" i="142"/>
  <c r="D18" i="142"/>
  <c r="D20" i="142"/>
  <c r="D26" i="142"/>
  <c r="D28" i="142"/>
  <c r="D30" i="142"/>
  <c r="D4" i="143"/>
  <c r="D3" i="144"/>
  <c r="J16" i="53"/>
  <c r="P16" i="53"/>
  <c r="D34" i="147"/>
  <c r="D150" i="147"/>
  <c r="D5" i="143"/>
  <c r="P18" i="98"/>
  <c r="G6" i="144"/>
  <c r="K16" i="53"/>
  <c r="Q16" i="53"/>
  <c r="K13" i="14"/>
  <c r="K543" i="14"/>
  <c r="D10" i="147"/>
  <c r="D54" i="147"/>
  <c r="D182" i="147"/>
  <c r="I6" i="140"/>
  <c r="AD14" i="102"/>
  <c r="T18" i="49"/>
  <c r="K78" i="12"/>
  <c r="M1" i="148"/>
  <c r="Y18" i="98"/>
  <c r="G9" i="144"/>
  <c r="L68" i="54"/>
  <c r="L85" i="54"/>
  <c r="M68" i="54"/>
  <c r="N68" i="54"/>
  <c r="K85" i="54"/>
  <c r="F37" i="54"/>
  <c r="G37" i="54"/>
  <c r="G56" i="54"/>
  <c r="J85" i="54"/>
  <c r="I68" i="54"/>
  <c r="H68" i="54"/>
  <c r="I85" i="54"/>
  <c r="AE22" i="54"/>
  <c r="Q23" i="98"/>
  <c r="Q24" i="98"/>
  <c r="M77" i="98"/>
  <c r="U23" i="98"/>
  <c r="I31" i="55"/>
  <c r="G52" i="142"/>
  <c r="I68" i="55"/>
  <c r="AC22" i="54"/>
  <c r="L77" i="54"/>
  <c r="L23" i="98"/>
  <c r="L24" i="98"/>
  <c r="K23" i="98"/>
  <c r="K24" i="98"/>
  <c r="G88" i="54"/>
  <c r="G90" i="54"/>
  <c r="Z23" i="98"/>
  <c r="K88" i="98"/>
  <c r="K90" i="98"/>
  <c r="N77" i="98"/>
  <c r="J88" i="54"/>
  <c r="J90" i="54"/>
  <c r="W22" i="54"/>
  <c r="G88" i="98"/>
  <c r="C44" i="34"/>
  <c r="F44" i="34"/>
  <c r="C47" i="34"/>
  <c r="F47" i="34"/>
  <c r="K557" i="14"/>
  <c r="K389" i="14"/>
  <c r="K263" i="14"/>
  <c r="K75" i="14"/>
  <c r="G21" i="142"/>
  <c r="P52" i="54"/>
  <c r="G6" i="143"/>
  <c r="G69" i="140"/>
  <c r="G71" i="140"/>
  <c r="G70" i="140"/>
  <c r="AE14" i="102"/>
  <c r="AF14" i="102"/>
  <c r="G99" i="140"/>
  <c r="G84" i="140"/>
  <c r="G83" i="140"/>
  <c r="G85" i="140"/>
  <c r="G89" i="140"/>
  <c r="J31" i="55"/>
  <c r="G24" i="142"/>
  <c r="J68" i="55"/>
  <c r="K68" i="55"/>
  <c r="L68" i="55"/>
  <c r="L67" i="55"/>
  <c r="I67" i="55"/>
  <c r="G67" i="55"/>
  <c r="L17" i="54"/>
  <c r="G5" i="143"/>
  <c r="G51" i="146"/>
  <c r="H37" i="54"/>
  <c r="H56" i="54"/>
  <c r="L37" i="98"/>
  <c r="AC36" i="54"/>
  <c r="AC23" i="54"/>
  <c r="G90" i="98"/>
  <c r="G92" i="140"/>
  <c r="G93" i="140"/>
  <c r="G97" i="140"/>
  <c r="G94" i="140"/>
  <c r="E68" i="55"/>
  <c r="E67" i="55"/>
  <c r="F67" i="55"/>
  <c r="D68" i="55"/>
  <c r="C68" i="55"/>
  <c r="C67" i="55"/>
  <c r="K67" i="55"/>
  <c r="P26" i="138"/>
  <c r="P34" i="138"/>
  <c r="P35" i="138"/>
  <c r="H84" i="138"/>
  <c r="O84" i="138" s="1"/>
  <c r="P45" i="138"/>
  <c r="P50" i="138"/>
  <c r="H58" i="140"/>
  <c r="AB20" i="102"/>
  <c r="H68" i="140"/>
  <c r="H59" i="140"/>
  <c r="I59" i="140"/>
  <c r="I58" i="140"/>
  <c r="H61" i="140"/>
  <c r="G104" i="140"/>
  <c r="G102" i="140"/>
  <c r="G98" i="140"/>
  <c r="G103" i="140"/>
  <c r="G101" i="140"/>
  <c r="S37" i="54"/>
  <c r="S56" i="54"/>
  <c r="F90" i="98"/>
  <c r="F91" i="98"/>
  <c r="F94" i="98"/>
  <c r="F95" i="98"/>
  <c r="G87" i="98"/>
  <c r="G89" i="98"/>
  <c r="F89" i="98"/>
  <c r="D22" i="54"/>
  <c r="E22" i="54"/>
  <c r="H165" i="147"/>
  <c r="H164" i="147"/>
  <c r="H163" i="147"/>
  <c r="G91" i="140"/>
  <c r="H88" i="98"/>
  <c r="H90" i="98"/>
  <c r="K22" i="54"/>
  <c r="AB18" i="98"/>
  <c r="Z53" i="98"/>
  <c r="M69" i="98"/>
  <c r="M85" i="98"/>
  <c r="G26" i="146"/>
  <c r="G22" i="146"/>
  <c r="G24" i="146"/>
  <c r="T11" i="49"/>
  <c r="E12" i="49"/>
  <c r="G20" i="146"/>
  <c r="H97" i="147"/>
  <c r="H96" i="147"/>
  <c r="H94" i="147"/>
  <c r="H95" i="147"/>
  <c r="H90" i="147"/>
  <c r="O88" i="54"/>
  <c r="O90" i="54"/>
  <c r="O77" i="54"/>
  <c r="H73" i="147"/>
  <c r="H72" i="147"/>
  <c r="H67" i="147"/>
  <c r="G96" i="140"/>
  <c r="X37" i="98"/>
  <c r="AA37" i="98"/>
  <c r="G87" i="140"/>
  <c r="G82" i="140"/>
  <c r="Q37" i="98"/>
  <c r="T22" i="54"/>
  <c r="T23" i="54"/>
  <c r="S22" i="54"/>
  <c r="Y22" i="54"/>
  <c r="Y36" i="54"/>
  <c r="Z22" i="54"/>
  <c r="G90" i="140"/>
  <c r="G95" i="140"/>
  <c r="Q23" i="54"/>
  <c r="G86" i="140"/>
  <c r="G88" i="140"/>
  <c r="T37" i="98"/>
  <c r="K88" i="54"/>
  <c r="K90" i="54"/>
  <c r="K221" i="14"/>
  <c r="G67" i="140"/>
  <c r="G68" i="140"/>
  <c r="G66" i="140"/>
  <c r="N22" i="54"/>
  <c r="I88" i="98"/>
  <c r="I90" i="98"/>
  <c r="I77" i="98"/>
  <c r="J88" i="98"/>
  <c r="J90" i="98"/>
  <c r="J77" i="98"/>
  <c r="G81" i="140"/>
  <c r="G78" i="140"/>
  <c r="G8" i="143"/>
  <c r="X17" i="54"/>
  <c r="H69" i="147"/>
  <c r="H162" i="147"/>
  <c r="H168" i="147"/>
  <c r="H70" i="147"/>
  <c r="G9" i="146"/>
  <c r="G7" i="146"/>
  <c r="Q29" i="49"/>
  <c r="H176" i="147"/>
  <c r="H172" i="147"/>
  <c r="H171" i="147"/>
  <c r="H173" i="147"/>
  <c r="H86" i="147"/>
  <c r="H85" i="147"/>
  <c r="H87" i="147"/>
  <c r="H63" i="147"/>
  <c r="H62" i="147"/>
  <c r="H33" i="147"/>
  <c r="H32" i="147"/>
  <c r="H26" i="147"/>
  <c r="AG23" i="98"/>
  <c r="AF23" i="98"/>
  <c r="I30" i="55"/>
  <c r="G22" i="142"/>
  <c r="L77" i="98"/>
  <c r="M23" i="54"/>
  <c r="O23" i="98"/>
  <c r="AC23" i="98"/>
  <c r="AD23" i="98"/>
  <c r="P22" i="54"/>
  <c r="P23" i="54"/>
  <c r="W23" i="98"/>
  <c r="H33" i="71"/>
  <c r="D33" i="71"/>
  <c r="G33" i="71"/>
  <c r="B33" i="71"/>
  <c r="G71" i="98"/>
  <c r="G8" i="146"/>
  <c r="AB12" i="49"/>
  <c r="H175" i="147"/>
  <c r="H93" i="147"/>
  <c r="H61" i="147"/>
  <c r="H167" i="147"/>
  <c r="H92" i="147"/>
  <c r="H185" i="147"/>
  <c r="H182" i="147"/>
  <c r="H181" i="147"/>
  <c r="H178" i="147"/>
  <c r="H180" i="147"/>
  <c r="H183" i="147"/>
  <c r="H112" i="147"/>
  <c r="H110" i="147"/>
  <c r="H12" i="49"/>
  <c r="G36" i="146"/>
  <c r="D23" i="49"/>
  <c r="G31" i="55"/>
  <c r="G49" i="142"/>
  <c r="G39" i="145"/>
  <c r="L95" i="14"/>
  <c r="L151" i="14"/>
  <c r="L207" i="14"/>
  <c r="L263" i="14"/>
  <c r="L319" i="14"/>
  <c r="L375" i="14"/>
  <c r="L431" i="14"/>
  <c r="L487" i="14"/>
  <c r="H124" i="147"/>
  <c r="G12" i="49"/>
  <c r="I63" i="140"/>
  <c r="E89" i="138"/>
  <c r="H154" i="147"/>
  <c r="H161" i="147"/>
  <c r="H158" i="147"/>
  <c r="H156" i="147"/>
  <c r="H160" i="147"/>
  <c r="H155" i="147"/>
  <c r="H157" i="147"/>
  <c r="H159" i="147"/>
  <c r="G17" i="146"/>
  <c r="D67" i="55"/>
  <c r="N77" i="54"/>
  <c r="N88" i="54"/>
  <c r="N90" i="54"/>
  <c r="X11" i="49"/>
  <c r="X12" i="49"/>
  <c r="I12" i="49"/>
  <c r="H153" i="147"/>
  <c r="H147" i="147"/>
  <c r="H152" i="147"/>
  <c r="H149" i="147"/>
  <c r="H151" i="147"/>
  <c r="H148" i="147"/>
  <c r="H146" i="147"/>
  <c r="G55" i="142"/>
  <c r="J30" i="55"/>
  <c r="M18" i="98"/>
  <c r="Q53" i="98"/>
  <c r="J69" i="98"/>
  <c r="J85" i="98"/>
  <c r="J67" i="55"/>
  <c r="H22" i="54"/>
  <c r="G22" i="54"/>
  <c r="G36" i="54"/>
  <c r="W36" i="54"/>
  <c r="W23" i="54"/>
  <c r="G20" i="142"/>
  <c r="I88" i="54"/>
  <c r="I90" i="54"/>
  <c r="I77" i="54"/>
  <c r="L37" i="54"/>
  <c r="AB36" i="54"/>
  <c r="F22" i="119"/>
  <c r="F25" i="119"/>
  <c r="G51" i="142"/>
  <c r="G50" i="142"/>
  <c r="U24" i="98"/>
  <c r="U37" i="98"/>
  <c r="G48" i="146"/>
  <c r="G49" i="146"/>
  <c r="G50" i="146"/>
  <c r="T36" i="54"/>
  <c r="S36" i="54"/>
  <c r="S23" i="54"/>
  <c r="G72" i="140"/>
  <c r="G73" i="140"/>
  <c r="W14" i="102"/>
  <c r="I13" i="105"/>
  <c r="D22" i="148"/>
  <c r="D54" i="148"/>
  <c r="D23" i="148"/>
  <c r="D55" i="148"/>
  <c r="D28" i="148"/>
  <c r="K11" i="49"/>
  <c r="Z11" i="49"/>
  <c r="D41" i="148"/>
  <c r="D55" i="146"/>
  <c r="D4" i="140"/>
  <c r="D66" i="140"/>
  <c r="D11" i="142"/>
  <c r="D47" i="140"/>
  <c r="D109" i="140"/>
  <c r="D3" i="140"/>
  <c r="D65" i="140"/>
  <c r="D18" i="147"/>
  <c r="D55" i="140"/>
  <c r="D7" i="142"/>
  <c r="D15" i="140"/>
  <c r="D50" i="140"/>
  <c r="D78" i="140"/>
  <c r="D110" i="140"/>
  <c r="D7" i="143"/>
  <c r="D35" i="142"/>
  <c r="D44" i="142"/>
  <c r="D58" i="142"/>
  <c r="D55" i="142"/>
  <c r="D8" i="145"/>
  <c r="D40" i="145"/>
  <c r="D29" i="145"/>
  <c r="D35" i="145"/>
  <c r="D34" i="145"/>
  <c r="D11" i="148"/>
  <c r="D3" i="148"/>
  <c r="D199" i="147"/>
  <c r="D183" i="147"/>
  <c r="D167" i="147"/>
  <c r="D151" i="147"/>
  <c r="D135" i="147"/>
  <c r="D119" i="147"/>
  <c r="D103" i="147"/>
  <c r="D87" i="147"/>
  <c r="D71" i="147"/>
  <c r="D55" i="147"/>
  <c r="D39" i="147"/>
  <c r="D160" i="147"/>
  <c r="D96" i="147"/>
  <c r="G13" i="15"/>
  <c r="D35" i="146"/>
  <c r="D15" i="146"/>
  <c r="H13" i="136"/>
  <c r="D138" i="147"/>
  <c r="D74" i="147"/>
  <c r="D31" i="147"/>
  <c r="D15" i="147"/>
  <c r="X29" i="49"/>
  <c r="D148" i="147"/>
  <c r="D84" i="147"/>
  <c r="D50" i="146"/>
  <c r="D36" i="146"/>
  <c r="G13" i="105"/>
  <c r="D13" i="105"/>
  <c r="E13" i="105"/>
  <c r="F13" i="136"/>
  <c r="D38" i="148"/>
  <c r="C13" i="15"/>
  <c r="D47" i="148"/>
  <c r="D24" i="148"/>
  <c r="D13" i="148"/>
  <c r="D49" i="148"/>
  <c r="D59" i="140"/>
  <c r="D19" i="142"/>
  <c r="D69" i="140"/>
  <c r="D21" i="142"/>
  <c r="D34" i="140"/>
  <c r="D9" i="142"/>
  <c r="D40" i="140"/>
  <c r="D112" i="140"/>
  <c r="D26" i="140"/>
  <c r="D61" i="140"/>
  <c r="D93" i="140"/>
  <c r="D26" i="147"/>
  <c r="D32" i="142"/>
  <c r="D42" i="142"/>
  <c r="D60" i="142"/>
  <c r="D59" i="142"/>
  <c r="D20" i="145"/>
  <c r="D13" i="145"/>
  <c r="D15" i="145"/>
  <c r="D26" i="145"/>
  <c r="G14" i="21"/>
  <c r="D2" i="148"/>
  <c r="D195" i="147"/>
  <c r="D177" i="147"/>
  <c r="D159" i="147"/>
  <c r="D141" i="147"/>
  <c r="D123" i="147"/>
  <c r="D105" i="147"/>
  <c r="D85" i="147"/>
  <c r="D67" i="147"/>
  <c r="D49" i="147"/>
  <c r="D192" i="147"/>
  <c r="D120" i="147"/>
  <c r="D48" i="147"/>
  <c r="D38" i="146"/>
  <c r="D13" i="146"/>
  <c r="D186" i="147"/>
  <c r="D114" i="147"/>
  <c r="D42" i="147"/>
  <c r="D21" i="147"/>
  <c r="D3" i="147"/>
  <c r="D156" i="147"/>
  <c r="D76" i="147"/>
  <c r="D46" i="146"/>
  <c r="D31" i="146"/>
  <c r="D17" i="146"/>
  <c r="D3" i="146"/>
  <c r="D36" i="147"/>
  <c r="D102" i="147"/>
  <c r="D190" i="147"/>
  <c r="D8" i="147"/>
  <c r="D29" i="140"/>
  <c r="D60" i="140"/>
  <c r="D96" i="140"/>
  <c r="D6" i="142"/>
  <c r="D22" i="142"/>
  <c r="D4" i="144"/>
  <c r="G13" i="136"/>
  <c r="D42" i="148"/>
  <c r="D15" i="148"/>
  <c r="D51" i="148"/>
  <c r="D32" i="148"/>
  <c r="D17" i="148"/>
  <c r="D53" i="148"/>
  <c r="H13" i="11"/>
  <c r="D75" i="140"/>
  <c r="D27" i="142"/>
  <c r="D71" i="140"/>
  <c r="D29" i="142"/>
  <c r="D41" i="140"/>
  <c r="D17" i="142"/>
  <c r="D48" i="140"/>
  <c r="D15" i="142"/>
  <c r="D30" i="140"/>
  <c r="D64" i="140"/>
  <c r="D104" i="140"/>
  <c r="C2" i="149"/>
  <c r="D34" i="142"/>
  <c r="D45" i="142"/>
  <c r="D33" i="142"/>
  <c r="D61" i="142"/>
  <c r="D24" i="145"/>
  <c r="D17" i="145"/>
  <c r="D27" i="145"/>
  <c r="D30" i="145"/>
  <c r="D10" i="148"/>
  <c r="F14" i="21"/>
  <c r="D193" i="147"/>
  <c r="D175" i="147"/>
  <c r="D157" i="147"/>
  <c r="D139" i="147"/>
  <c r="D121" i="147"/>
  <c r="D101" i="147"/>
  <c r="D83" i="147"/>
  <c r="D65" i="147"/>
  <c r="D47" i="147"/>
  <c r="D184" i="147"/>
  <c r="D112" i="147"/>
  <c r="D40" i="147"/>
  <c r="D33" i="146"/>
  <c r="D10" i="146"/>
  <c r="D178" i="147"/>
  <c r="D106" i="147"/>
  <c r="D37" i="147"/>
  <c r="D19" i="147"/>
  <c r="F13" i="15"/>
  <c r="D140" i="147"/>
  <c r="D68" i="147"/>
  <c r="D44" i="146"/>
  <c r="D29" i="146"/>
  <c r="D16" i="146"/>
  <c r="W29" i="49"/>
  <c r="D28" i="147"/>
  <c r="D70" i="147"/>
  <c r="D158" i="147"/>
  <c r="G13" i="11"/>
  <c r="F13" i="11"/>
  <c r="E13" i="11"/>
  <c r="D13" i="11"/>
  <c r="D32" i="140"/>
  <c r="D63" i="140"/>
  <c r="D98" i="140"/>
  <c r="D8" i="142"/>
  <c r="D24" i="142"/>
  <c r="D2" i="147"/>
  <c r="M36" i="54"/>
  <c r="O88" i="98"/>
  <c r="O90" i="98"/>
  <c r="O77" i="98"/>
  <c r="E23" i="49"/>
  <c r="E25" i="49"/>
  <c r="E26" i="49" s="1"/>
  <c r="H10" i="142"/>
  <c r="I21" i="54"/>
  <c r="J21" i="54"/>
  <c r="N18" i="150"/>
  <c r="L27" i="150"/>
  <c r="E23" i="98"/>
  <c r="F23" i="98"/>
  <c r="M18" i="150"/>
  <c r="S247" i="133"/>
  <c r="S241" i="133"/>
  <c r="H58" i="142"/>
  <c r="AB22" i="98"/>
  <c r="AC22" i="98"/>
  <c r="S21" i="49"/>
  <c r="S12" i="49"/>
  <c r="S36" i="49"/>
  <c r="T22" i="49"/>
  <c r="S20" i="49"/>
  <c r="S22" i="49"/>
  <c r="E23" i="54"/>
  <c r="E36" i="54"/>
  <c r="T36" i="49"/>
  <c r="T12" i="49"/>
  <c r="T21" i="49"/>
  <c r="T20" i="49"/>
  <c r="U22" i="49"/>
  <c r="F236" i="133"/>
  <c r="K213" i="133"/>
  <c r="L223" i="133"/>
  <c r="H132" i="147"/>
  <c r="H130" i="147"/>
  <c r="H133" i="147"/>
  <c r="H137" i="147"/>
  <c r="H134" i="147"/>
  <c r="H136" i="147"/>
  <c r="G33" i="146"/>
  <c r="H72" i="54"/>
  <c r="H106" i="147"/>
  <c r="H108" i="147"/>
  <c r="H113" i="147"/>
  <c r="H111" i="147"/>
  <c r="H109" i="147"/>
  <c r="G29" i="146"/>
  <c r="H31" i="147"/>
  <c r="H45" i="147"/>
  <c r="H28" i="147"/>
  <c r="D12" i="49"/>
  <c r="C276" i="138"/>
  <c r="D286" i="138"/>
  <c r="D340" i="138" s="1"/>
  <c r="D394" i="138" s="1"/>
  <c r="N340" i="138"/>
  <c r="N374" i="138"/>
  <c r="G11" i="146"/>
  <c r="H29" i="147"/>
  <c r="H47" i="147"/>
  <c r="H84" i="147"/>
  <c r="G27" i="122"/>
  <c r="I25" i="6"/>
  <c r="K44" i="6"/>
  <c r="K50" i="6" s="1"/>
  <c r="G10" i="146"/>
  <c r="H27" i="147"/>
  <c r="H49" i="147"/>
  <c r="H170" i="147"/>
  <c r="R241" i="133"/>
  <c r="R315" i="133"/>
  <c r="O52" i="50"/>
  <c r="O54" i="50"/>
  <c r="O61" i="50"/>
  <c r="K31" i="6"/>
  <c r="K39" i="6" s="1"/>
  <c r="S18" i="49"/>
  <c r="H174" i="147"/>
  <c r="H88" i="147"/>
  <c r="H82" i="147"/>
  <c r="H30" i="147"/>
  <c r="H89" i="147"/>
  <c r="C191" i="138"/>
  <c r="C243" i="138" s="1"/>
  <c r="N359" i="138"/>
  <c r="G27" i="146"/>
  <c r="H44" i="147"/>
  <c r="K183" i="133"/>
  <c r="Q183" i="133"/>
  <c r="H181" i="138"/>
  <c r="O181" i="138" s="1"/>
  <c r="E343" i="138"/>
  <c r="N339" i="138"/>
  <c r="E374" i="138"/>
  <c r="E88" i="138"/>
  <c r="E178" i="138"/>
  <c r="N360" i="138"/>
  <c r="H83" i="147"/>
  <c r="H48" i="147"/>
  <c r="J12" i="49"/>
  <c r="S270" i="133"/>
  <c r="S316" i="133"/>
  <c r="E101" i="138"/>
  <c r="D330" i="138"/>
  <c r="N354" i="138"/>
  <c r="P243" i="138"/>
  <c r="R200" i="133"/>
  <c r="G15" i="71"/>
  <c r="B15" i="71"/>
  <c r="H15" i="71"/>
  <c r="D15" i="71"/>
  <c r="J41" i="150"/>
  <c r="L40" i="150"/>
  <c r="L41" i="150"/>
  <c r="I33" i="71"/>
  <c r="E33" i="71"/>
  <c r="F33" i="71"/>
  <c r="I15" i="71"/>
  <c r="E15" i="71"/>
  <c r="I22" i="140"/>
  <c r="S29" i="80"/>
  <c r="P292" i="138"/>
  <c r="P310" i="138"/>
  <c r="P239" i="138"/>
  <c r="R227" i="138"/>
  <c r="R295" i="138"/>
  <c r="J390" i="100"/>
  <c r="P240" i="138"/>
  <c r="R241" i="138"/>
  <c r="K117" i="133"/>
  <c r="K140" i="133"/>
  <c r="Q140" i="133"/>
  <c r="O246" i="133"/>
  <c r="I176" i="133"/>
  <c r="K304" i="133"/>
  <c r="K327" i="133"/>
  <c r="Q327" i="133"/>
  <c r="Q304" i="133"/>
  <c r="K305" i="133"/>
  <c r="K328" i="133"/>
  <c r="Q328" i="133"/>
  <c r="I293" i="133"/>
  <c r="D340" i="133"/>
  <c r="K340" i="133"/>
  <c r="Q340" i="133"/>
  <c r="H330" i="133"/>
  <c r="S106" i="133"/>
  <c r="F94" i="133"/>
  <c r="K115" i="133"/>
  <c r="K138" i="133"/>
  <c r="Q138" i="133"/>
  <c r="K166" i="133"/>
  <c r="K189" i="133"/>
  <c r="L199" i="133"/>
  <c r="S335" i="133"/>
  <c r="F186" i="133"/>
  <c r="H307" i="133"/>
  <c r="N307" i="133"/>
  <c r="N330" i="133"/>
  <c r="T330" i="133"/>
  <c r="U330" i="133"/>
  <c r="O105" i="133"/>
  <c r="K67" i="133"/>
  <c r="Q67" i="133"/>
  <c r="K113" i="133"/>
  <c r="I340" i="133"/>
  <c r="I318" i="133"/>
  <c r="O200" i="133"/>
  <c r="O176" i="133"/>
  <c r="K116" i="133"/>
  <c r="K139" i="133"/>
  <c r="Q139" i="133"/>
  <c r="S317" i="133"/>
  <c r="K279" i="133"/>
  <c r="Q279" i="133"/>
  <c r="Q305" i="133"/>
  <c r="Q307" i="133"/>
  <c r="R317" i="133"/>
  <c r="S266" i="133"/>
  <c r="L317" i="133"/>
  <c r="H283" i="133"/>
  <c r="H260" i="133"/>
  <c r="N260" i="133"/>
  <c r="T260" i="133"/>
  <c r="U260" i="133"/>
  <c r="K277" i="133"/>
  <c r="Q277" i="133"/>
  <c r="R265" i="133"/>
  <c r="K232" i="133"/>
  <c r="Q232" i="133"/>
  <c r="K280" i="133"/>
  <c r="Q280" i="133"/>
  <c r="S223" i="133"/>
  <c r="K283" i="133"/>
  <c r="K185" i="133"/>
  <c r="Q185" i="133"/>
  <c r="D212" i="133"/>
  <c r="D211" i="133"/>
  <c r="H213" i="133"/>
  <c r="N213" i="133"/>
  <c r="T213" i="133"/>
  <c r="U213" i="133"/>
  <c r="H236" i="133"/>
  <c r="R221" i="133"/>
  <c r="R219" i="133"/>
  <c r="Q164" i="133"/>
  <c r="Q208" i="133"/>
  <c r="Q213" i="133"/>
  <c r="R223" i="133"/>
  <c r="K236" i="133"/>
  <c r="L246" i="133"/>
  <c r="Q66" i="133"/>
  <c r="K89" i="133"/>
  <c r="Q89" i="133"/>
  <c r="O152" i="133"/>
  <c r="K207" i="133"/>
  <c r="Q330" i="133"/>
  <c r="R340" i="133"/>
  <c r="H166" i="133"/>
  <c r="N166" i="133"/>
  <c r="N189" i="133"/>
  <c r="T189" i="133"/>
  <c r="U189" i="133"/>
  <c r="G177" i="133"/>
  <c r="M177" i="133"/>
  <c r="R288" i="133"/>
  <c r="R294" i="133"/>
  <c r="O82" i="133"/>
  <c r="F89" i="133"/>
  <c r="K119" i="133"/>
  <c r="K142" i="133"/>
  <c r="L152" i="133"/>
  <c r="K211" i="133"/>
  <c r="Q163" i="133"/>
  <c r="S194" i="133"/>
  <c r="K258" i="133"/>
  <c r="K255" i="133"/>
  <c r="K301" i="133"/>
  <c r="Q166" i="133"/>
  <c r="R176" i="133"/>
  <c r="Q115" i="133"/>
  <c r="S124" i="133"/>
  <c r="R173" i="133"/>
  <c r="D223" i="133"/>
  <c r="K223" i="133"/>
  <c r="Q223" i="133"/>
  <c r="D152" i="133"/>
  <c r="K152" i="133"/>
  <c r="Q152" i="133"/>
  <c r="H142" i="133"/>
  <c r="Q68" i="133"/>
  <c r="D259" i="133"/>
  <c r="H259" i="133"/>
  <c r="N259" i="133"/>
  <c r="R153" i="133"/>
  <c r="S147" i="133"/>
  <c r="I152" i="133"/>
  <c r="K90" i="133"/>
  <c r="Q90" i="133"/>
  <c r="K92" i="133"/>
  <c r="Q92" i="133"/>
  <c r="D129" i="133"/>
  <c r="K129" i="133"/>
  <c r="Q129" i="133"/>
  <c r="G130" i="133"/>
  <c r="H119" i="133"/>
  <c r="N119" i="133"/>
  <c r="S127" i="133"/>
  <c r="Q117" i="133"/>
  <c r="Q114" i="133"/>
  <c r="D270" i="133"/>
  <c r="K270" i="133"/>
  <c r="Q270" i="133"/>
  <c r="R106" i="133"/>
  <c r="K93" i="133"/>
  <c r="Q93" i="133"/>
  <c r="H72" i="133"/>
  <c r="N72" i="133"/>
  <c r="T72" i="133"/>
  <c r="U72" i="133"/>
  <c r="D82" i="133"/>
  <c r="K82" i="133"/>
  <c r="Q82" i="133"/>
  <c r="D71" i="133"/>
  <c r="H71" i="133"/>
  <c r="N71" i="133"/>
  <c r="N94" i="133"/>
  <c r="T94" i="133"/>
  <c r="U94" i="133"/>
  <c r="D246" i="133"/>
  <c r="K246" i="133"/>
  <c r="Q246" i="133"/>
  <c r="D188" i="133"/>
  <c r="D282" i="133"/>
  <c r="H282" i="133"/>
  <c r="L82" i="133"/>
  <c r="K95" i="133"/>
  <c r="S78" i="133"/>
  <c r="D56" i="133"/>
  <c r="K56" i="133"/>
  <c r="D55" i="133"/>
  <c r="K55" i="133"/>
  <c r="N45" i="133"/>
  <c r="D43" i="133"/>
  <c r="D42" i="133"/>
  <c r="D141" i="133"/>
  <c r="D199" i="133"/>
  <c r="K199" i="133"/>
  <c r="Q199" i="133"/>
  <c r="D235" i="133"/>
  <c r="H235" i="133"/>
  <c r="N44" i="133"/>
  <c r="D54" i="133"/>
  <c r="K54" i="133"/>
  <c r="N46" i="133"/>
  <c r="H95" i="133"/>
  <c r="D94" i="133"/>
  <c r="H94" i="133"/>
  <c r="D176" i="133"/>
  <c r="K176" i="133"/>
  <c r="Q176" i="133"/>
  <c r="D165" i="133"/>
  <c r="H165" i="133"/>
  <c r="N165" i="133"/>
  <c r="D329" i="133"/>
  <c r="H329" i="133"/>
  <c r="D118" i="133"/>
  <c r="H118" i="133"/>
  <c r="N118" i="133"/>
  <c r="D317" i="133"/>
  <c r="K317" i="133"/>
  <c r="Q317" i="133"/>
  <c r="D306" i="133"/>
  <c r="H306" i="133"/>
  <c r="N306" i="133"/>
  <c r="G22" i="122"/>
  <c r="N156" i="138"/>
  <c r="K156" i="138"/>
  <c r="P236" i="138"/>
  <c r="P279" i="138"/>
  <c r="P296" i="138"/>
  <c r="R279" i="138"/>
  <c r="P284" i="138"/>
  <c r="R313" i="138"/>
  <c r="R322" i="138"/>
  <c r="C353" i="138"/>
  <c r="C407" i="138"/>
  <c r="E105" i="138"/>
  <c r="E158" i="138"/>
  <c r="E150" i="138"/>
  <c r="D57" i="14"/>
  <c r="K137" i="14"/>
  <c r="K193" i="14"/>
  <c r="K249" i="14"/>
  <c r="K305" i="14"/>
  <c r="K361" i="14"/>
  <c r="K417" i="14"/>
  <c r="K473" i="14"/>
  <c r="K529" i="14"/>
  <c r="K95" i="14"/>
  <c r="K123" i="14"/>
  <c r="K179" i="14"/>
  <c r="K235" i="14"/>
  <c r="K291" i="14"/>
  <c r="K347" i="14"/>
  <c r="K403" i="14"/>
  <c r="K459" i="14"/>
  <c r="G27" i="5"/>
  <c r="I49" i="147" s="1"/>
  <c r="I45" i="147"/>
  <c r="N385" i="138"/>
  <c r="E408" i="138"/>
  <c r="N423" i="138"/>
  <c r="Q288" i="138"/>
  <c r="S288" i="138" s="1"/>
  <c r="K425" i="138"/>
  <c r="N414" i="138"/>
  <c r="E342" i="138"/>
  <c r="K352" i="138"/>
  <c r="K366" i="138"/>
  <c r="N410" i="138"/>
  <c r="N411" i="138"/>
  <c r="E375" i="138"/>
  <c r="K357" i="138"/>
  <c r="N352" i="138"/>
  <c r="N366" i="138"/>
  <c r="E355" i="138"/>
  <c r="C428" i="138"/>
  <c r="N343" i="138"/>
  <c r="E354" i="138"/>
  <c r="K360" i="138"/>
  <c r="Q289" i="138"/>
  <c r="S289" i="138" s="1"/>
  <c r="K343" i="138"/>
  <c r="E235" i="138"/>
  <c r="E287" i="138"/>
  <c r="C282" i="138"/>
  <c r="C336" i="138" s="1"/>
  <c r="C390" i="138" s="1"/>
  <c r="F233" i="138"/>
  <c r="E193" i="138"/>
  <c r="H64" i="138"/>
  <c r="C208" i="138"/>
  <c r="C260" i="138" s="1"/>
  <c r="C314" i="138" s="1"/>
  <c r="C368" i="138" s="1"/>
  <c r="C422" i="138" s="1"/>
  <c r="C199" i="138"/>
  <c r="E104" i="138"/>
  <c r="E95" i="138"/>
  <c r="E100" i="138"/>
  <c r="E94" i="138"/>
  <c r="E92" i="138"/>
  <c r="H6" i="145"/>
  <c r="P83" i="138"/>
  <c r="P93" i="138"/>
  <c r="P102" i="138"/>
  <c r="R102" i="138"/>
  <c r="R154" i="138"/>
  <c r="P174" i="138"/>
  <c r="P186" i="138"/>
  <c r="P190" i="138"/>
  <c r="P204" i="138"/>
  <c r="R198" i="138"/>
  <c r="R183" i="138"/>
  <c r="R189" i="138"/>
  <c r="R196" i="138"/>
  <c r="R204" i="138"/>
  <c r="R216" i="138"/>
  <c r="P350" i="138"/>
  <c r="P187" i="138"/>
  <c r="P338" i="138"/>
  <c r="P85" i="138"/>
  <c r="P74" i="138"/>
  <c r="P99" i="138"/>
  <c r="J261" i="100"/>
  <c r="P345" i="138"/>
  <c r="P349" i="138"/>
  <c r="E78" i="138"/>
  <c r="P23" i="138"/>
  <c r="Y22" i="102"/>
  <c r="C192" i="138"/>
  <c r="C244" i="138" s="1"/>
  <c r="E90" i="138"/>
  <c r="E138" i="138"/>
  <c r="Q54" i="138"/>
  <c r="S54" i="138" s="1"/>
  <c r="Q51" i="138"/>
  <c r="S51" i="138" s="1"/>
  <c r="Q27" i="138"/>
  <c r="S27" i="138" s="1"/>
  <c r="N126" i="138"/>
  <c r="Q126" i="138" s="1"/>
  <c r="S126" i="138" s="1"/>
  <c r="R77" i="138"/>
  <c r="R143" i="138"/>
  <c r="R79" i="138"/>
  <c r="R136" i="138"/>
  <c r="R85" i="138"/>
  <c r="P29" i="138"/>
  <c r="K192" i="138"/>
  <c r="K196" i="138"/>
  <c r="S22" i="102"/>
  <c r="H63" i="140"/>
  <c r="P36" i="138"/>
  <c r="Y24" i="102"/>
  <c r="K229" i="138"/>
  <c r="N106" i="138"/>
  <c r="G18" i="136"/>
  <c r="G25" i="136" s="1"/>
  <c r="K249" i="138"/>
  <c r="M122" i="100"/>
  <c r="M185" i="100" s="1"/>
  <c r="K249" i="100" s="1"/>
  <c r="K313" i="100" s="1"/>
  <c r="K377" i="100" s="1"/>
  <c r="M441" i="100" s="1"/>
  <c r="K505" i="100" s="1"/>
  <c r="M97" i="100"/>
  <c r="M160" i="100"/>
  <c r="K224" i="100"/>
  <c r="K288" i="100"/>
  <c r="L288" i="100" s="1"/>
  <c r="K352" i="100"/>
  <c r="K480" i="100"/>
  <c r="M115" i="100"/>
  <c r="M178" i="100" s="1"/>
  <c r="K242" i="100" s="1"/>
  <c r="M120" i="100"/>
  <c r="M123" i="100"/>
  <c r="I186" i="100"/>
  <c r="M186" i="100"/>
  <c r="L316" i="100"/>
  <c r="K178" i="138"/>
  <c r="N246" i="138"/>
  <c r="C57" i="14"/>
  <c r="N209" i="138"/>
  <c r="Q209" i="138" s="1"/>
  <c r="S209" i="138" s="1"/>
  <c r="K173" i="138"/>
  <c r="N121" i="138"/>
  <c r="D19" i="21"/>
  <c r="N251" i="138"/>
  <c r="N261" i="138"/>
  <c r="N265" i="138"/>
  <c r="N36" i="100"/>
  <c r="F282" i="138"/>
  <c r="F336" i="138" s="1"/>
  <c r="H336" i="138" s="1"/>
  <c r="N37" i="100"/>
  <c r="F301" i="138"/>
  <c r="H301" i="138" s="1"/>
  <c r="N44" i="100"/>
  <c r="H342" i="138"/>
  <c r="O342" i="138" s="1"/>
  <c r="N24" i="100"/>
  <c r="J315" i="100"/>
  <c r="J318" i="100" s="1"/>
  <c r="F203" i="138"/>
  <c r="F255" i="138" s="1"/>
  <c r="N49" i="100"/>
  <c r="N39" i="100"/>
  <c r="N41" i="100"/>
  <c r="L508" i="100"/>
  <c r="F379" i="100"/>
  <c r="F382" i="100" s="1"/>
  <c r="H343" i="138"/>
  <c r="F315" i="100"/>
  <c r="F318" i="100" s="1"/>
  <c r="F231" i="138"/>
  <c r="H59" i="100"/>
  <c r="H122" i="100" s="1"/>
  <c r="N188" i="100"/>
  <c r="L380" i="100"/>
  <c r="J379" i="100"/>
  <c r="J382" i="100" s="1"/>
  <c r="N17" i="100"/>
  <c r="N23" i="100"/>
  <c r="N125" i="100"/>
  <c r="N444" i="100"/>
  <c r="D143" i="100"/>
  <c r="H143" i="100"/>
  <c r="N62" i="100"/>
  <c r="M56" i="100"/>
  <c r="M119" i="100" s="1"/>
  <c r="M182" i="100" s="1"/>
  <c r="K246" i="100" s="1"/>
  <c r="G61" i="100"/>
  <c r="G64" i="100" s="1"/>
  <c r="H194" i="138"/>
  <c r="U16" i="5"/>
  <c r="I51" i="140"/>
  <c r="D24" i="136"/>
  <c r="H93" i="138"/>
  <c r="O93" i="138" s="1"/>
  <c r="I43" i="140"/>
  <c r="I34" i="140"/>
  <c r="H28" i="100"/>
  <c r="H91" i="100" s="1"/>
  <c r="I53" i="147"/>
  <c r="H27" i="5"/>
  <c r="I57" i="147" s="1"/>
  <c r="N90" i="138"/>
  <c r="K90" i="138"/>
  <c r="N172" i="138"/>
  <c r="K230" i="138"/>
  <c r="N230" i="138"/>
  <c r="Q230" i="138" s="1"/>
  <c r="S230" i="138" s="1"/>
  <c r="K252" i="138"/>
  <c r="N252" i="138"/>
  <c r="I65" i="140"/>
  <c r="N138" i="138"/>
  <c r="K87" i="138"/>
  <c r="P38" i="138"/>
  <c r="E59" i="138"/>
  <c r="M22" i="100"/>
  <c r="M85" i="100" s="1"/>
  <c r="C186" i="138"/>
  <c r="C238" i="138" s="1"/>
  <c r="C292" i="138" s="1"/>
  <c r="C346" i="138" s="1"/>
  <c r="C400" i="138" s="1"/>
  <c r="K104" i="138"/>
  <c r="N235" i="138"/>
  <c r="N244" i="138"/>
  <c r="S20" i="102"/>
  <c r="H29" i="100"/>
  <c r="X20" i="5"/>
  <c r="P32" i="138"/>
  <c r="H82" i="140"/>
  <c r="I49" i="140"/>
  <c r="N141" i="138"/>
  <c r="Q141" i="138" s="1"/>
  <c r="S141" i="138" s="1"/>
  <c r="I106" i="147"/>
  <c r="I104" i="6"/>
  <c r="I116" i="6"/>
  <c r="K116" i="6"/>
  <c r="H53" i="140"/>
  <c r="R99" i="138"/>
  <c r="J134" i="100"/>
  <c r="I16" i="21"/>
  <c r="K76" i="138"/>
  <c r="K258" i="138"/>
  <c r="N258" i="138"/>
  <c r="Q258" i="138" s="1"/>
  <c r="K386" i="138"/>
  <c r="N386" i="138"/>
  <c r="E32" i="138"/>
  <c r="I36" i="140"/>
  <c r="N95" i="138"/>
  <c r="Q95" i="138" s="1"/>
  <c r="S95" i="138" s="1"/>
  <c r="K95" i="138"/>
  <c r="N150" i="138"/>
  <c r="Q150" i="138" s="1"/>
  <c r="S150" i="138" s="1"/>
  <c r="N98" i="138"/>
  <c r="N87" i="138"/>
  <c r="K332" i="138"/>
  <c r="K73" i="138"/>
  <c r="N73" i="138"/>
  <c r="N147" i="138"/>
  <c r="Q147" i="138" s="1"/>
  <c r="S147" i="138" s="1"/>
  <c r="K213" i="138"/>
  <c r="N213" i="138"/>
  <c r="P33" i="138"/>
  <c r="N215" i="138"/>
  <c r="Q215" i="138" s="1"/>
  <c r="S215" i="138" s="1"/>
  <c r="N375" i="138"/>
  <c r="Q375" i="138" s="1"/>
  <c r="S375" i="138" s="1"/>
  <c r="K226" i="138"/>
  <c r="N226" i="138"/>
  <c r="J18" i="136"/>
  <c r="J25" i="136" s="1"/>
  <c r="N72" i="138"/>
  <c r="K110" i="138"/>
  <c r="N110" i="138"/>
  <c r="K247" i="138"/>
  <c r="N247" i="138"/>
  <c r="Q247" i="138" s="1"/>
  <c r="S247" i="138" s="1"/>
  <c r="H19" i="100"/>
  <c r="E29" i="138"/>
  <c r="N101" i="138"/>
  <c r="Q101" i="138" s="1"/>
  <c r="S101" i="138" s="1"/>
  <c r="K101" i="138"/>
  <c r="H43" i="100"/>
  <c r="C184" i="138"/>
  <c r="N142" i="138"/>
  <c r="Q142" i="138" s="1"/>
  <c r="S142" i="138" s="1"/>
  <c r="K262" i="138"/>
  <c r="N262" i="138"/>
  <c r="N266" i="138"/>
  <c r="Q266" i="138" s="1"/>
  <c r="S266" i="138" s="1"/>
  <c r="M29" i="100"/>
  <c r="M33" i="100"/>
  <c r="N267" i="138"/>
  <c r="K206" i="138"/>
  <c r="K257" i="138"/>
  <c r="K225" i="138"/>
  <c r="K330" i="138"/>
  <c r="J23" i="136"/>
  <c r="J24" i="136"/>
  <c r="E50" i="138"/>
  <c r="H97" i="138"/>
  <c r="O97" i="138" s="1"/>
  <c r="R71" i="138"/>
  <c r="R96" i="138"/>
  <c r="J133" i="100"/>
  <c r="D313" i="138"/>
  <c r="D367" i="138" s="1"/>
  <c r="D421" i="138" s="1"/>
  <c r="K175" i="138"/>
  <c r="N175" i="138"/>
  <c r="K200" i="138"/>
  <c r="N200" i="138"/>
  <c r="N210" i="138"/>
  <c r="K210" i="138"/>
  <c r="N233" i="138"/>
  <c r="K233" i="138"/>
  <c r="N331" i="138"/>
  <c r="K331" i="138"/>
  <c r="N92" i="138"/>
  <c r="K92" i="138"/>
  <c r="N105" i="138"/>
  <c r="K105" i="138"/>
  <c r="K428" i="138"/>
  <c r="N428" i="138"/>
  <c r="K103" i="138"/>
  <c r="N103" i="138"/>
  <c r="N153" i="138"/>
  <c r="K176" i="138"/>
  <c r="N176" i="138"/>
  <c r="N211" i="138"/>
  <c r="Q211" i="138" s="1"/>
  <c r="S211" i="138" s="1"/>
  <c r="K211" i="138"/>
  <c r="K255" i="138"/>
  <c r="N255" i="138"/>
  <c r="N429" i="138"/>
  <c r="K429" i="138"/>
  <c r="K108" i="138"/>
  <c r="N108" i="138"/>
  <c r="E214" i="138"/>
  <c r="E267" i="138"/>
  <c r="N384" i="138"/>
  <c r="K384" i="138"/>
  <c r="N78" i="138"/>
  <c r="K78" i="138"/>
  <c r="N160" i="138"/>
  <c r="Q160" i="138" s="1"/>
  <c r="S160" i="138" s="1"/>
  <c r="G76" i="98"/>
  <c r="G73" i="98"/>
  <c r="G35" i="146"/>
  <c r="P36" i="54"/>
  <c r="G23" i="54"/>
  <c r="AD37" i="98"/>
  <c r="AD24" i="98"/>
  <c r="AA17" i="54"/>
  <c r="G9" i="143"/>
  <c r="Y52" i="54"/>
  <c r="Y23" i="54"/>
  <c r="AE18" i="98"/>
  <c r="G10" i="144"/>
  <c r="AC53" i="98"/>
  <c r="N69" i="98"/>
  <c r="N85" i="98"/>
  <c r="G34" i="146"/>
  <c r="G30" i="146"/>
  <c r="G28" i="146"/>
  <c r="G31" i="146"/>
  <c r="G45" i="142"/>
  <c r="F31" i="55"/>
  <c r="G15" i="142"/>
  <c r="G14" i="142"/>
  <c r="G46" i="142"/>
  <c r="G30" i="55"/>
  <c r="G44" i="142"/>
  <c r="G16" i="142"/>
  <c r="AG37" i="98"/>
  <c r="AG24" i="98"/>
  <c r="N23" i="54"/>
  <c r="N36" i="54"/>
  <c r="K36" i="54"/>
  <c r="K23" i="54"/>
  <c r="G32" i="146"/>
  <c r="O24" i="98"/>
  <c r="O37" i="98"/>
  <c r="Z36" i="54"/>
  <c r="Z23" i="54"/>
  <c r="T307" i="133"/>
  <c r="U307" i="133"/>
  <c r="E276" i="138"/>
  <c r="C330" i="138"/>
  <c r="AA12" i="49"/>
  <c r="Z12" i="49"/>
  <c r="G59" i="140"/>
  <c r="G58" i="140"/>
  <c r="T14" i="102"/>
  <c r="G65" i="140"/>
  <c r="G62" i="140"/>
  <c r="G64" i="140"/>
  <c r="G60" i="140"/>
  <c r="G63" i="140"/>
  <c r="G61" i="140"/>
  <c r="L176" i="133"/>
  <c r="G43" i="146"/>
  <c r="G45" i="146"/>
  <c r="G44" i="146"/>
  <c r="G46" i="146"/>
  <c r="G42" i="146"/>
  <c r="N393" i="138"/>
  <c r="K393" i="138"/>
  <c r="AC24" i="98"/>
  <c r="AC37" i="98"/>
  <c r="F37" i="98"/>
  <c r="F24" i="98"/>
  <c r="N413" i="138"/>
  <c r="Q413" i="138" s="1"/>
  <c r="S413" i="138" s="1"/>
  <c r="K413" i="138"/>
  <c r="K224" i="138"/>
  <c r="G15" i="146"/>
  <c r="G13" i="146"/>
  <c r="G12" i="146"/>
  <c r="G14" i="146"/>
  <c r="G16" i="146"/>
  <c r="H88" i="54"/>
  <c r="H90" i="54"/>
  <c r="H77" i="54"/>
  <c r="I37" i="54"/>
  <c r="G91" i="98"/>
  <c r="G94" i="98"/>
  <c r="N37" i="54"/>
  <c r="N56" i="54"/>
  <c r="M37" i="54"/>
  <c r="M56" i="54"/>
  <c r="Q189" i="133"/>
  <c r="R199" i="133"/>
  <c r="K104" i="6"/>
  <c r="J23" i="54"/>
  <c r="J36" i="54"/>
  <c r="N53" i="98"/>
  <c r="I69" i="98"/>
  <c r="I85" i="98"/>
  <c r="G5" i="144"/>
  <c r="J18" i="98"/>
  <c r="N85" i="54"/>
  <c r="O68" i="54"/>
  <c r="O85" i="54"/>
  <c r="H23" i="54"/>
  <c r="H36" i="54"/>
  <c r="G39" i="146"/>
  <c r="G37" i="146"/>
  <c r="G41" i="146"/>
  <c r="G38" i="146"/>
  <c r="G40" i="146"/>
  <c r="D384" i="138"/>
  <c r="E384" i="138" s="1"/>
  <c r="G22" i="119"/>
  <c r="G25" i="119"/>
  <c r="K136" i="133"/>
  <c r="Q136" i="133"/>
  <c r="Q113" i="133"/>
  <c r="Q116" i="133"/>
  <c r="N283" i="133"/>
  <c r="T283" i="133"/>
  <c r="U283" i="133"/>
  <c r="T166" i="133"/>
  <c r="U166" i="133"/>
  <c r="Q283" i="133"/>
  <c r="R293" i="133"/>
  <c r="L293" i="133"/>
  <c r="H211" i="133"/>
  <c r="N211" i="133"/>
  <c r="D222" i="133"/>
  <c r="K222" i="133"/>
  <c r="Q222" i="133"/>
  <c r="H212" i="133"/>
  <c r="N212" i="133"/>
  <c r="N235" i="133"/>
  <c r="T235" i="133"/>
  <c r="U235" i="133"/>
  <c r="Q236" i="133"/>
  <c r="R246" i="133"/>
  <c r="D281" i="133"/>
  <c r="D187" i="133"/>
  <c r="D197" i="133"/>
  <c r="K197" i="133"/>
  <c r="Q197" i="133"/>
  <c r="H188" i="133"/>
  <c r="D292" i="133"/>
  <c r="K292" i="133"/>
  <c r="Q292" i="133"/>
  <c r="Q142" i="133"/>
  <c r="R152" i="133"/>
  <c r="Q119" i="133"/>
  <c r="R129" i="133"/>
  <c r="L129" i="133"/>
  <c r="K324" i="133"/>
  <c r="Q324" i="133"/>
  <c r="Q301" i="133"/>
  <c r="Q255" i="133"/>
  <c r="K278" i="133"/>
  <c r="Q278" i="133"/>
  <c r="Q258" i="133"/>
  <c r="K281" i="133"/>
  <c r="Q281" i="133"/>
  <c r="K234" i="133"/>
  <c r="Q234" i="133"/>
  <c r="Q211" i="133"/>
  <c r="K230" i="133"/>
  <c r="Q230" i="133"/>
  <c r="Q207" i="133"/>
  <c r="D258" i="133"/>
  <c r="D140" i="133"/>
  <c r="H140" i="133"/>
  <c r="H141" i="133"/>
  <c r="D269" i="133"/>
  <c r="K269" i="133"/>
  <c r="Q269" i="133"/>
  <c r="N95" i="133"/>
  <c r="T95" i="133"/>
  <c r="U95" i="133"/>
  <c r="D198" i="133"/>
  <c r="K198" i="133"/>
  <c r="Q198" i="133"/>
  <c r="T71" i="133"/>
  <c r="U71" i="133"/>
  <c r="N43" i="133"/>
  <c r="D81" i="133"/>
  <c r="K81" i="133"/>
  <c r="Q81" i="133"/>
  <c r="N236" i="133"/>
  <c r="T236" i="133"/>
  <c r="U236" i="133"/>
  <c r="D70" i="133"/>
  <c r="D69" i="133"/>
  <c r="L105" i="133"/>
  <c r="Q95" i="133"/>
  <c r="R105" i="133"/>
  <c r="D151" i="133"/>
  <c r="K151" i="133"/>
  <c r="Q151" i="133"/>
  <c r="D245" i="133"/>
  <c r="K245" i="133"/>
  <c r="Q245" i="133"/>
  <c r="D234" i="133"/>
  <c r="H234" i="133"/>
  <c r="D53" i="133"/>
  <c r="K53" i="133"/>
  <c r="N142" i="133"/>
  <c r="T142" i="133"/>
  <c r="U142" i="133"/>
  <c r="T119" i="133"/>
  <c r="U119" i="133"/>
  <c r="D93" i="133"/>
  <c r="H93" i="133"/>
  <c r="D104" i="133"/>
  <c r="K104" i="133"/>
  <c r="Q104" i="133"/>
  <c r="D221" i="133"/>
  <c r="K221" i="133"/>
  <c r="Q221" i="133"/>
  <c r="D210" i="133"/>
  <c r="H210" i="133"/>
  <c r="N210" i="133"/>
  <c r="D41" i="133"/>
  <c r="N42" i="133"/>
  <c r="D52" i="133"/>
  <c r="K52" i="133"/>
  <c r="D316" i="133"/>
  <c r="K316" i="133"/>
  <c r="Q316" i="133"/>
  <c r="D305" i="133"/>
  <c r="D128" i="133"/>
  <c r="K128" i="133"/>
  <c r="Q128" i="133"/>
  <c r="D117" i="133"/>
  <c r="D328" i="133"/>
  <c r="H328" i="133"/>
  <c r="D339" i="133"/>
  <c r="K339" i="133"/>
  <c r="Q339" i="133"/>
  <c r="D175" i="133"/>
  <c r="K175" i="133"/>
  <c r="Q175" i="133"/>
  <c r="D164" i="133"/>
  <c r="K138" i="138"/>
  <c r="K411" i="138"/>
  <c r="C391" i="138"/>
  <c r="H233" i="138"/>
  <c r="O233" i="138" s="1"/>
  <c r="F285" i="138"/>
  <c r="H285" i="138" s="1"/>
  <c r="O285" i="138" s="1"/>
  <c r="C251" i="138"/>
  <c r="C305" i="138" s="1"/>
  <c r="C359" i="138" s="1"/>
  <c r="C413" i="138" s="1"/>
  <c r="H97" i="100"/>
  <c r="N97" i="100" s="1"/>
  <c r="H160" i="100"/>
  <c r="H231" i="138"/>
  <c r="F283" i="138"/>
  <c r="H283" i="138" s="1"/>
  <c r="H355" i="138"/>
  <c r="O355" i="138" s="1"/>
  <c r="H246" i="138"/>
  <c r="N143" i="100"/>
  <c r="C190" i="138"/>
  <c r="C242" i="138" s="1"/>
  <c r="C296" i="138" s="1"/>
  <c r="P171" i="138"/>
  <c r="P344" i="138"/>
  <c r="G11" i="144"/>
  <c r="AF53" i="98"/>
  <c r="O69" i="98"/>
  <c r="O85" i="98"/>
  <c r="AB52" i="54"/>
  <c r="AD17" i="54"/>
  <c r="G10" i="143"/>
  <c r="H71" i="98"/>
  <c r="G43" i="142"/>
  <c r="G11" i="142"/>
  <c r="F30" i="55"/>
  <c r="G12" i="142"/>
  <c r="G41" i="142"/>
  <c r="G42" i="142"/>
  <c r="G13" i="142"/>
  <c r="E31" i="55"/>
  <c r="C384" i="138"/>
  <c r="E330" i="138"/>
  <c r="J37" i="54"/>
  <c r="J56" i="54"/>
  <c r="K37" i="54"/>
  <c r="K56" i="54"/>
  <c r="G51" i="140"/>
  <c r="Q14" i="102"/>
  <c r="G53" i="140"/>
  <c r="G56" i="140"/>
  <c r="G54" i="140"/>
  <c r="G55" i="140"/>
  <c r="G50" i="140"/>
  <c r="G52" i="140"/>
  <c r="G57" i="140"/>
  <c r="T212" i="133"/>
  <c r="U212" i="133"/>
  <c r="I58" i="98"/>
  <c r="H58" i="98"/>
  <c r="G18" i="98"/>
  <c r="K53" i="98"/>
  <c r="H69" i="98"/>
  <c r="H85" i="98"/>
  <c r="G4" i="144"/>
  <c r="G95" i="98"/>
  <c r="H87" i="98"/>
  <c r="H89" i="98"/>
  <c r="H305" i="133"/>
  <c r="N305" i="133"/>
  <c r="D291" i="133"/>
  <c r="K291" i="133"/>
  <c r="Q291" i="133"/>
  <c r="H281" i="133"/>
  <c r="H258" i="133"/>
  <c r="N258" i="133"/>
  <c r="D280" i="133"/>
  <c r="D290" i="133"/>
  <c r="K290" i="133"/>
  <c r="Q290" i="133"/>
  <c r="D186" i="133"/>
  <c r="H187" i="133"/>
  <c r="L177" i="133"/>
  <c r="D150" i="133"/>
  <c r="K150" i="133"/>
  <c r="Q150" i="133"/>
  <c r="D139" i="133"/>
  <c r="H139" i="133"/>
  <c r="H164" i="133"/>
  <c r="N164" i="133"/>
  <c r="L130" i="133"/>
  <c r="D257" i="133"/>
  <c r="H257" i="133"/>
  <c r="N257" i="133"/>
  <c r="N280" i="133"/>
  <c r="T280" i="133"/>
  <c r="D268" i="133"/>
  <c r="K268" i="133"/>
  <c r="Q268" i="133"/>
  <c r="N282" i="133"/>
  <c r="T282" i="133"/>
  <c r="U282" i="133"/>
  <c r="T259" i="133"/>
  <c r="U259" i="133"/>
  <c r="H117" i="133"/>
  <c r="N117" i="133"/>
  <c r="H69" i="133"/>
  <c r="N69" i="133"/>
  <c r="D79" i="133"/>
  <c r="K79" i="133"/>
  <c r="Q79" i="133"/>
  <c r="D68" i="133"/>
  <c r="H68" i="133"/>
  <c r="N68" i="133"/>
  <c r="D80" i="133"/>
  <c r="K80" i="133"/>
  <c r="Q80" i="133"/>
  <c r="H70" i="133"/>
  <c r="N70" i="133"/>
  <c r="D244" i="133"/>
  <c r="K244" i="133"/>
  <c r="Q244" i="133"/>
  <c r="D233" i="133"/>
  <c r="H233" i="133"/>
  <c r="D327" i="133"/>
  <c r="H327" i="133"/>
  <c r="D338" i="133"/>
  <c r="K338" i="133"/>
  <c r="Q338" i="133"/>
  <c r="N329" i="133"/>
  <c r="T329" i="133"/>
  <c r="U329" i="133"/>
  <c r="T306" i="133"/>
  <c r="U306" i="133"/>
  <c r="N234" i="133"/>
  <c r="T234" i="133"/>
  <c r="U234" i="133"/>
  <c r="T211" i="133"/>
  <c r="U211" i="133"/>
  <c r="N188" i="133"/>
  <c r="T188" i="133"/>
  <c r="U188" i="133"/>
  <c r="T165" i="133"/>
  <c r="U165" i="133"/>
  <c r="D116" i="133"/>
  <c r="H116" i="133"/>
  <c r="N116" i="133"/>
  <c r="N139" i="133"/>
  <c r="T139" i="133"/>
  <c r="U139" i="133"/>
  <c r="D127" i="133"/>
  <c r="K127" i="133"/>
  <c r="Q127" i="133"/>
  <c r="D304" i="133"/>
  <c r="H304" i="133"/>
  <c r="N304" i="133"/>
  <c r="D315" i="133"/>
  <c r="K315" i="133"/>
  <c r="Q315" i="133"/>
  <c r="D51" i="133"/>
  <c r="K51" i="133"/>
  <c r="N41" i="133"/>
  <c r="D40" i="133"/>
  <c r="D103" i="133"/>
  <c r="K103" i="133"/>
  <c r="Q103" i="133"/>
  <c r="D92" i="133"/>
  <c r="H92" i="133"/>
  <c r="D163" i="133"/>
  <c r="H163" i="133"/>
  <c r="N163" i="133"/>
  <c r="D174" i="133"/>
  <c r="K174" i="133"/>
  <c r="Q174" i="133"/>
  <c r="T118" i="133"/>
  <c r="U118" i="133"/>
  <c r="N141" i="133"/>
  <c r="T141" i="133"/>
  <c r="U141" i="133"/>
  <c r="D209" i="133"/>
  <c r="H209" i="133"/>
  <c r="N209" i="133"/>
  <c r="D220" i="133"/>
  <c r="K220" i="133"/>
  <c r="Q220" i="133"/>
  <c r="H319" i="138"/>
  <c r="F373" i="138"/>
  <c r="H373" i="138" s="1"/>
  <c r="O373" i="138" s="1"/>
  <c r="G224" i="100"/>
  <c r="L224" i="100"/>
  <c r="G288" i="100"/>
  <c r="N160" i="100"/>
  <c r="L207" i="100"/>
  <c r="D271" i="100"/>
  <c r="G40" i="142"/>
  <c r="E30" i="55"/>
  <c r="G39" i="142"/>
  <c r="G9" i="142"/>
  <c r="G8" i="142"/>
  <c r="G38" i="142"/>
  <c r="D31" i="55"/>
  <c r="G10" i="142"/>
  <c r="H76" i="98"/>
  <c r="H73" i="98"/>
  <c r="AE52" i="54"/>
  <c r="G11" i="143"/>
  <c r="D18" i="98"/>
  <c r="G3" i="144"/>
  <c r="H53" i="98"/>
  <c r="G69" i="98"/>
  <c r="G85" i="98"/>
  <c r="D138" i="133"/>
  <c r="H138" i="133"/>
  <c r="D149" i="133"/>
  <c r="K149" i="133"/>
  <c r="Q149" i="133"/>
  <c r="G48" i="140"/>
  <c r="G47" i="140"/>
  <c r="G43" i="140"/>
  <c r="G44" i="140"/>
  <c r="N14" i="102"/>
  <c r="K14" i="102"/>
  <c r="G45" i="140"/>
  <c r="G49" i="140"/>
  <c r="G46" i="140"/>
  <c r="G42" i="140"/>
  <c r="D279" i="133"/>
  <c r="H279" i="133"/>
  <c r="H280" i="133"/>
  <c r="D196" i="133"/>
  <c r="K196" i="133"/>
  <c r="Q196" i="133"/>
  <c r="H186" i="133"/>
  <c r="D185" i="133"/>
  <c r="D67" i="133"/>
  <c r="H67" i="133"/>
  <c r="N67" i="133"/>
  <c r="D256" i="133"/>
  <c r="H256" i="133"/>
  <c r="N256" i="133"/>
  <c r="D267" i="133"/>
  <c r="K267" i="133"/>
  <c r="Q267" i="133"/>
  <c r="D78" i="133"/>
  <c r="K78" i="133"/>
  <c r="Q78" i="133"/>
  <c r="D137" i="133"/>
  <c r="H137" i="133"/>
  <c r="D148" i="133"/>
  <c r="K148" i="133"/>
  <c r="Q148" i="133"/>
  <c r="D39" i="133"/>
  <c r="D243" i="133"/>
  <c r="K243" i="133"/>
  <c r="Q243" i="133"/>
  <c r="D232" i="133"/>
  <c r="H232" i="133"/>
  <c r="D102" i="133"/>
  <c r="K102" i="133"/>
  <c r="Q102" i="133"/>
  <c r="D91" i="133"/>
  <c r="H91" i="133"/>
  <c r="D337" i="133"/>
  <c r="K337" i="133"/>
  <c r="Q337" i="133"/>
  <c r="D326" i="133"/>
  <c r="H326" i="133"/>
  <c r="N40" i="133"/>
  <c r="D50" i="133"/>
  <c r="K50" i="133"/>
  <c r="D314" i="133"/>
  <c r="K314" i="133"/>
  <c r="Q314" i="133"/>
  <c r="D303" i="133"/>
  <c r="H303" i="133"/>
  <c r="N303" i="133"/>
  <c r="D173" i="133"/>
  <c r="K173" i="133"/>
  <c r="Q173" i="133"/>
  <c r="D162" i="133"/>
  <c r="H162" i="133"/>
  <c r="N162" i="133"/>
  <c r="T162" i="133"/>
  <c r="D208" i="133"/>
  <c r="H208" i="133"/>
  <c r="N208" i="133"/>
  <c r="D219" i="133"/>
  <c r="K219" i="133"/>
  <c r="Q219" i="133"/>
  <c r="T164" i="133"/>
  <c r="U164" i="133"/>
  <c r="N187" i="133"/>
  <c r="T187" i="133"/>
  <c r="U187" i="133"/>
  <c r="D126" i="133"/>
  <c r="K126" i="133"/>
  <c r="Q126" i="133"/>
  <c r="D115" i="133"/>
  <c r="H115" i="133"/>
  <c r="N115" i="133"/>
  <c r="N138" i="133"/>
  <c r="O319" i="138"/>
  <c r="G352" i="100"/>
  <c r="G35" i="142"/>
  <c r="G36" i="142"/>
  <c r="G7" i="142"/>
  <c r="G37" i="142"/>
  <c r="G6" i="142"/>
  <c r="D30" i="55"/>
  <c r="C31" i="55"/>
  <c r="G5" i="142"/>
  <c r="I71" i="98"/>
  <c r="D289" i="133"/>
  <c r="K289" i="133"/>
  <c r="Q289" i="133"/>
  <c r="G35" i="140"/>
  <c r="G37" i="140"/>
  <c r="G41" i="140"/>
  <c r="G40" i="140"/>
  <c r="G34" i="140"/>
  <c r="G38" i="140"/>
  <c r="G39" i="140"/>
  <c r="G2" i="144"/>
  <c r="E53" i="98"/>
  <c r="F69" i="98"/>
  <c r="F85" i="98"/>
  <c r="D77" i="133"/>
  <c r="K77" i="133"/>
  <c r="Q77" i="133"/>
  <c r="D195" i="133"/>
  <c r="K195" i="133"/>
  <c r="Q195" i="133"/>
  <c r="H185" i="133"/>
  <c r="D184" i="133"/>
  <c r="D255" i="133"/>
  <c r="H255" i="133"/>
  <c r="N255" i="133"/>
  <c r="N278" i="133"/>
  <c r="T278" i="133"/>
  <c r="U278" i="133"/>
  <c r="D266" i="133"/>
  <c r="K266" i="133"/>
  <c r="Q266" i="133"/>
  <c r="T257" i="133"/>
  <c r="U257" i="133"/>
  <c r="U280" i="133"/>
  <c r="L57" i="133"/>
  <c r="M57" i="133"/>
  <c r="D136" i="133"/>
  <c r="D147" i="133"/>
  <c r="K147" i="133"/>
  <c r="Q147" i="133"/>
  <c r="D231" i="133"/>
  <c r="H231" i="133"/>
  <c r="D242" i="133"/>
  <c r="K242" i="133"/>
  <c r="Q242" i="133"/>
  <c r="D207" i="133"/>
  <c r="D218" i="133"/>
  <c r="K218" i="133"/>
  <c r="Q218" i="133"/>
  <c r="D172" i="133"/>
  <c r="K172" i="133"/>
  <c r="Q172" i="133"/>
  <c r="D161" i="133"/>
  <c r="H161" i="133"/>
  <c r="N161" i="133"/>
  <c r="N184" i="133"/>
  <c r="D313" i="133"/>
  <c r="K313" i="133"/>
  <c r="Q313" i="133"/>
  <c r="D302" i="133"/>
  <c r="H302" i="133"/>
  <c r="N302" i="133"/>
  <c r="D90" i="133"/>
  <c r="H90" i="133"/>
  <c r="D101" i="133"/>
  <c r="K101" i="133"/>
  <c r="Q101" i="133"/>
  <c r="D125" i="133"/>
  <c r="K125" i="133"/>
  <c r="Q125" i="133"/>
  <c r="D114" i="133"/>
  <c r="H114" i="133"/>
  <c r="N114" i="133"/>
  <c r="D336" i="133"/>
  <c r="K336" i="133"/>
  <c r="Q336" i="133"/>
  <c r="D325" i="133"/>
  <c r="H325" i="133"/>
  <c r="T116" i="133"/>
  <c r="U116" i="133"/>
  <c r="H416" i="100"/>
  <c r="L352" i="100"/>
  <c r="I76" i="98"/>
  <c r="I73" i="98"/>
  <c r="J71" i="98"/>
  <c r="C30" i="55"/>
  <c r="G33" i="142"/>
  <c r="G34" i="142"/>
  <c r="G32" i="142"/>
  <c r="G4" i="142"/>
  <c r="G3" i="142"/>
  <c r="G2" i="142"/>
  <c r="G33" i="140"/>
  <c r="H14" i="102"/>
  <c r="G26" i="140"/>
  <c r="H207" i="133"/>
  <c r="N207" i="133"/>
  <c r="D206" i="133"/>
  <c r="D183" i="133"/>
  <c r="H184" i="133"/>
  <c r="D194" i="133"/>
  <c r="K194" i="133"/>
  <c r="Q194" i="133"/>
  <c r="H136" i="133"/>
  <c r="G153" i="133"/>
  <c r="D254" i="133"/>
  <c r="D253" i="133"/>
  <c r="D265" i="133"/>
  <c r="K265" i="133"/>
  <c r="Q265" i="133"/>
  <c r="T256" i="133"/>
  <c r="U256" i="133"/>
  <c r="N279" i="133"/>
  <c r="T279" i="133"/>
  <c r="U279" i="133"/>
  <c r="D230" i="133"/>
  <c r="H230" i="133"/>
  <c r="D241" i="133"/>
  <c r="K241" i="133"/>
  <c r="Q241" i="133"/>
  <c r="D146" i="133"/>
  <c r="K146" i="133"/>
  <c r="Q146" i="133"/>
  <c r="D217" i="133"/>
  <c r="K217" i="133"/>
  <c r="Q217" i="133"/>
  <c r="U162" i="133"/>
  <c r="N185" i="133"/>
  <c r="T185" i="133"/>
  <c r="U185" i="133"/>
  <c r="D324" i="133"/>
  <c r="D323" i="133"/>
  <c r="D335" i="133"/>
  <c r="K335" i="133"/>
  <c r="Q335" i="133"/>
  <c r="D100" i="133"/>
  <c r="K100" i="133"/>
  <c r="Q100" i="133"/>
  <c r="D89" i="133"/>
  <c r="T115" i="133"/>
  <c r="U115" i="133"/>
  <c r="T138" i="133"/>
  <c r="U138" i="133"/>
  <c r="D124" i="133"/>
  <c r="K124" i="133"/>
  <c r="Q124" i="133"/>
  <c r="D113" i="133"/>
  <c r="H113" i="133"/>
  <c r="N113" i="133"/>
  <c r="D312" i="133"/>
  <c r="K312" i="133"/>
  <c r="Q312" i="133"/>
  <c r="D301" i="133"/>
  <c r="D171" i="133"/>
  <c r="K171" i="133"/>
  <c r="Q171" i="133"/>
  <c r="D160" i="133"/>
  <c r="D170" i="133"/>
  <c r="K170" i="133"/>
  <c r="Q170" i="133"/>
  <c r="G480" i="100"/>
  <c r="G24" i="140"/>
  <c r="G23" i="140"/>
  <c r="H301" i="133"/>
  <c r="N301" i="133"/>
  <c r="N324" i="133"/>
  <c r="D300" i="133"/>
  <c r="H324" i="133"/>
  <c r="H254" i="133"/>
  <c r="N254" i="133"/>
  <c r="D216" i="133"/>
  <c r="K216" i="133"/>
  <c r="Q216" i="133"/>
  <c r="H206" i="133"/>
  <c r="N206" i="133"/>
  <c r="T206" i="133"/>
  <c r="U206" i="133"/>
  <c r="S224" i="133"/>
  <c r="G224" i="133"/>
  <c r="M224" i="133"/>
  <c r="L224" i="133"/>
  <c r="D182" i="133"/>
  <c r="H182" i="133"/>
  <c r="H183" i="133"/>
  <c r="G200" i="133"/>
  <c r="D193" i="133"/>
  <c r="K193" i="133"/>
  <c r="Q193" i="133"/>
  <c r="H160" i="133"/>
  <c r="N160" i="133"/>
  <c r="D264" i="133"/>
  <c r="K264" i="133"/>
  <c r="Q264" i="133"/>
  <c r="H89" i="133"/>
  <c r="G106" i="133"/>
  <c r="N325" i="133"/>
  <c r="T325" i="133"/>
  <c r="U325" i="133"/>
  <c r="T302" i="133"/>
  <c r="U302" i="133"/>
  <c r="D99" i="133"/>
  <c r="K99" i="133"/>
  <c r="Q99" i="133"/>
  <c r="N230" i="133"/>
  <c r="T230" i="133"/>
  <c r="U230" i="133"/>
  <c r="T207" i="133"/>
  <c r="U207" i="133"/>
  <c r="D311" i="133"/>
  <c r="K311" i="133"/>
  <c r="Q311" i="133"/>
  <c r="T184" i="133"/>
  <c r="U184" i="133"/>
  <c r="T161" i="133"/>
  <c r="U161" i="133"/>
  <c r="D123" i="133"/>
  <c r="K123" i="133"/>
  <c r="Q123" i="133"/>
  <c r="H300" i="133"/>
  <c r="N300" i="133"/>
  <c r="T300" i="133"/>
  <c r="U300" i="133"/>
  <c r="D310" i="133"/>
  <c r="K310" i="133"/>
  <c r="Q310" i="133"/>
  <c r="M318" i="133"/>
  <c r="S318" i="133"/>
  <c r="G318" i="133"/>
  <c r="L318" i="133"/>
  <c r="R318" i="133"/>
  <c r="H253" i="133"/>
  <c r="N253" i="133"/>
  <c r="T253" i="133"/>
  <c r="U253" i="133"/>
  <c r="D263" i="133"/>
  <c r="K263" i="133"/>
  <c r="Q263" i="133"/>
  <c r="G271" i="133"/>
  <c r="D192" i="133"/>
  <c r="T324" i="133"/>
  <c r="U324" i="133"/>
  <c r="R418" i="138"/>
  <c r="B38" i="71"/>
  <c r="C37" i="71"/>
  <c r="D37" i="71"/>
  <c r="D48" i="71" s="1"/>
  <c r="E37" i="71"/>
  <c r="H37" i="71"/>
  <c r="J37" i="71"/>
  <c r="R350" i="138"/>
  <c r="R345" i="138"/>
  <c r="F244" i="18"/>
  <c r="F252" i="18"/>
  <c r="F248" i="18"/>
  <c r="F217" i="18"/>
  <c r="F218" i="18"/>
  <c r="F184" i="18"/>
  <c r="F214" i="18"/>
  <c r="F185" i="18"/>
  <c r="I66" i="140"/>
  <c r="L480" i="100"/>
  <c r="J452" i="100"/>
  <c r="M404" i="100"/>
  <c r="J262" i="100"/>
  <c r="E315" i="100"/>
  <c r="E318" i="100" s="1"/>
  <c r="P237" i="138"/>
  <c r="H34" i="100"/>
  <c r="N34" i="100" s="1"/>
  <c r="E61" i="100"/>
  <c r="E64" i="100" s="1"/>
  <c r="E67" i="100" s="1"/>
  <c r="P373" i="138"/>
  <c r="R364" i="138"/>
  <c r="E379" i="100"/>
  <c r="E382" i="100" s="1"/>
  <c r="P290" i="138"/>
  <c r="M40" i="100"/>
  <c r="D123" i="100"/>
  <c r="H123" i="100"/>
  <c r="N123" i="100"/>
  <c r="N60" i="100"/>
  <c r="H115" i="100"/>
  <c r="H178" i="100" s="1"/>
  <c r="N115" i="100"/>
  <c r="N52" i="100"/>
  <c r="H20" i="100"/>
  <c r="H83" i="100" s="1"/>
  <c r="J251" i="100"/>
  <c r="J254" i="100"/>
  <c r="M105" i="100"/>
  <c r="M168" i="100" s="1"/>
  <c r="K232" i="100" s="1"/>
  <c r="K296" i="100" s="1"/>
  <c r="N57" i="100"/>
  <c r="M113" i="100"/>
  <c r="M176" i="100" s="1"/>
  <c r="K240" i="100" s="1"/>
  <c r="N50" i="100"/>
  <c r="M118" i="100"/>
  <c r="M181" i="100" s="1"/>
  <c r="K245" i="100" s="1"/>
  <c r="N55" i="100"/>
  <c r="N88" i="138"/>
  <c r="K139" i="138"/>
  <c r="J507" i="100"/>
  <c r="J510" i="100" s="1"/>
  <c r="G187" i="100"/>
  <c r="G190" i="100" s="1"/>
  <c r="G271" i="100"/>
  <c r="H354" i="138"/>
  <c r="O354" i="138" s="1"/>
  <c r="P264" i="138"/>
  <c r="D81" i="100"/>
  <c r="N18" i="100"/>
  <c r="J326" i="100"/>
  <c r="R268" i="138"/>
  <c r="N80" i="100"/>
  <c r="D336" i="100"/>
  <c r="G336" i="100"/>
  <c r="D400" i="100"/>
  <c r="H400" i="100"/>
  <c r="L272" i="100"/>
  <c r="F129" i="18"/>
  <c r="F284" i="18"/>
  <c r="F62" i="18"/>
  <c r="J306" i="18"/>
  <c r="D186" i="100"/>
  <c r="H186" i="100"/>
  <c r="D250" i="100"/>
  <c r="G250" i="100"/>
  <c r="K482" i="100"/>
  <c r="N418" i="100"/>
  <c r="L336" i="100"/>
  <c r="H81" i="100"/>
  <c r="N81" i="100" s="1"/>
  <c r="D335" i="100"/>
  <c r="L271" i="100"/>
  <c r="G335" i="100"/>
  <c r="D399" i="100"/>
  <c r="H399" i="100"/>
  <c r="L335" i="100"/>
  <c r="H121" i="11"/>
  <c r="AB22" i="102"/>
  <c r="I71" i="140"/>
  <c r="P77" i="138"/>
  <c r="H18" i="136"/>
  <c r="H25" i="136" s="1"/>
  <c r="K118" i="6"/>
  <c r="H124" i="6"/>
  <c r="E25" i="138"/>
  <c r="K231" i="138"/>
  <c r="N231" i="138"/>
  <c r="Q231" i="138" s="1"/>
  <c r="S231" i="138" s="1"/>
  <c r="N248" i="138"/>
  <c r="K248" i="138"/>
  <c r="K106" i="6"/>
  <c r="K111" i="6" s="1"/>
  <c r="I111" i="6" s="1"/>
  <c r="H111" i="6"/>
  <c r="K245" i="138"/>
  <c r="N245" i="138"/>
  <c r="Q245" i="138" s="1"/>
  <c r="S245" i="138" s="1"/>
  <c r="F374" i="138"/>
  <c r="H320" i="138"/>
  <c r="R163" i="138"/>
  <c r="L18" i="136"/>
  <c r="D294" i="138"/>
  <c r="D348" i="138" s="1"/>
  <c r="D402" i="138" s="1"/>
  <c r="I30" i="140"/>
  <c r="H14" i="145"/>
  <c r="H34" i="140"/>
  <c r="P17" i="102"/>
  <c r="I41" i="140"/>
  <c r="P24" i="102"/>
  <c r="M54" i="100"/>
  <c r="F135" i="138"/>
  <c r="H135" i="138" s="1"/>
  <c r="O135" i="138" s="1"/>
  <c r="P107" i="138"/>
  <c r="P119" i="138"/>
  <c r="J198" i="100"/>
  <c r="P183" i="138"/>
  <c r="I86" i="147"/>
  <c r="O20" i="5"/>
  <c r="O28" i="5" s="1"/>
  <c r="O26" i="5"/>
  <c r="I112" i="147" s="1"/>
  <c r="I108" i="147"/>
  <c r="I130" i="147"/>
  <c r="R16" i="5"/>
  <c r="U26" i="5"/>
  <c r="I160" i="147" s="1"/>
  <c r="U20" i="5"/>
  <c r="I156" i="147"/>
  <c r="N162" i="138"/>
  <c r="Q162" i="138" s="1"/>
  <c r="S162" i="138" s="1"/>
  <c r="K162" i="138"/>
  <c r="I55" i="140"/>
  <c r="I194" i="147"/>
  <c r="Y20" i="5"/>
  <c r="I188" i="147"/>
  <c r="P31" i="138"/>
  <c r="I25" i="140"/>
  <c r="I29" i="140"/>
  <c r="M20" i="102"/>
  <c r="P53" i="138"/>
  <c r="N123" i="138"/>
  <c r="K123" i="138"/>
  <c r="H56" i="14"/>
  <c r="H25" i="145" s="1"/>
  <c r="I121" i="11"/>
  <c r="E97" i="11"/>
  <c r="H27" i="100"/>
  <c r="H90" i="100" s="1"/>
  <c r="H31" i="100"/>
  <c r="F275" i="18"/>
  <c r="G306" i="18"/>
  <c r="K306" i="18" s="1"/>
  <c r="L306" i="18" s="1"/>
  <c r="F277" i="18"/>
  <c r="F33" i="18"/>
  <c r="F210" i="18"/>
  <c r="C22" i="11"/>
  <c r="H104" i="138"/>
  <c r="H69" i="140"/>
  <c r="R384" i="138"/>
  <c r="R401" i="138"/>
  <c r="L273" i="14"/>
  <c r="K301" i="14"/>
  <c r="AB24" i="102"/>
  <c r="G54" i="105"/>
  <c r="L36" i="105"/>
  <c r="K36" i="105"/>
  <c r="L41" i="105"/>
  <c r="K17" i="105"/>
  <c r="K19" i="105"/>
  <c r="K25" i="105"/>
  <c r="K29" i="105"/>
  <c r="K33" i="105"/>
  <c r="K41" i="105"/>
  <c r="K43" i="105"/>
  <c r="H54" i="105"/>
  <c r="D54" i="105"/>
  <c r="F45" i="105"/>
  <c r="L31" i="105"/>
  <c r="L42" i="105"/>
  <c r="C54" i="105"/>
  <c r="L30" i="105"/>
  <c r="L28" i="105"/>
  <c r="F54" i="105"/>
  <c r="B54" i="105"/>
  <c r="L43" i="105"/>
  <c r="L35" i="105"/>
  <c r="L27" i="105"/>
  <c r="E54" i="105"/>
  <c r="L34" i="105"/>
  <c r="L29" i="105"/>
  <c r="L26" i="105"/>
  <c r="L38" i="105"/>
  <c r="F28" i="18"/>
  <c r="F29" i="18"/>
  <c r="F27" i="18"/>
  <c r="F25" i="18"/>
  <c r="F26" i="18"/>
  <c r="F189" i="18"/>
  <c r="F289" i="18"/>
  <c r="F256" i="18"/>
  <c r="F222" i="18"/>
  <c r="F98" i="18"/>
  <c r="F34" i="18"/>
  <c r="F166" i="18"/>
  <c r="F30" i="18"/>
  <c r="S312" i="133"/>
  <c r="R312" i="133"/>
  <c r="S264" i="133"/>
  <c r="R266" i="133"/>
  <c r="S265" i="133"/>
  <c r="R267" i="133"/>
  <c r="S220" i="133"/>
  <c r="S218" i="133"/>
  <c r="S219" i="133"/>
  <c r="R218" i="133"/>
  <c r="S171" i="133"/>
  <c r="S177" i="133"/>
  <c r="R177" i="133"/>
  <c r="R174" i="133"/>
  <c r="S170" i="133"/>
  <c r="S175" i="133"/>
  <c r="R170" i="133"/>
  <c r="R130" i="133"/>
  <c r="R124" i="133"/>
  <c r="S128" i="133"/>
  <c r="S82" i="133"/>
  <c r="R79" i="133"/>
  <c r="S81" i="133"/>
  <c r="S80" i="133"/>
  <c r="R78" i="133"/>
  <c r="Q71" i="133"/>
  <c r="R81" i="133"/>
  <c r="K165" i="133"/>
  <c r="K188" i="133"/>
  <c r="K306" i="133"/>
  <c r="K94" i="133"/>
  <c r="L269" i="133"/>
  <c r="K282" i="133"/>
  <c r="Q259" i="133"/>
  <c r="R269" i="133"/>
  <c r="F282" i="133"/>
  <c r="Q212" i="133"/>
  <c r="R222" i="133"/>
  <c r="K118" i="133"/>
  <c r="K235" i="133"/>
  <c r="C95" i="122"/>
  <c r="C97" i="122"/>
  <c r="C100" i="122"/>
  <c r="D95" i="122"/>
  <c r="D97" i="122"/>
  <c r="D100" i="122"/>
  <c r="B95" i="122"/>
  <c r="B97" i="122"/>
  <c r="B100" i="122"/>
  <c r="E95" i="122"/>
  <c r="E97" i="122"/>
  <c r="G95" i="122"/>
  <c r="G97" i="122"/>
  <c r="G100" i="122"/>
  <c r="F97" i="122"/>
  <c r="F100" i="122"/>
  <c r="E64" i="122"/>
  <c r="H28" i="122"/>
  <c r="G37" i="122"/>
  <c r="N399" i="100"/>
  <c r="D463" i="100"/>
  <c r="D314" i="100"/>
  <c r="G314" i="100"/>
  <c r="D464" i="100"/>
  <c r="G464" i="100"/>
  <c r="L464" i="100"/>
  <c r="N400" i="100"/>
  <c r="H323" i="133"/>
  <c r="D333" i="133"/>
  <c r="G341" i="133"/>
  <c r="N137" i="133"/>
  <c r="T137" i="133"/>
  <c r="U137" i="133"/>
  <c r="T114" i="133"/>
  <c r="U114" i="133"/>
  <c r="T208" i="133"/>
  <c r="U208" i="133"/>
  <c r="N231" i="133"/>
  <c r="T231" i="133"/>
  <c r="U231" i="133"/>
  <c r="U237" i="133"/>
  <c r="T303" i="133"/>
  <c r="U303" i="133"/>
  <c r="N326" i="133"/>
  <c r="T326" i="133"/>
  <c r="U326" i="133"/>
  <c r="N232" i="133"/>
  <c r="T232" i="133"/>
  <c r="U232" i="133"/>
  <c r="T209" i="133"/>
  <c r="U209" i="133"/>
  <c r="U214" i="133"/>
  <c r="T304" i="133"/>
  <c r="U304" i="133"/>
  <c r="N327" i="133"/>
  <c r="T327" i="133"/>
  <c r="U327" i="133"/>
  <c r="T69" i="133"/>
  <c r="U69" i="133"/>
  <c r="N92" i="133"/>
  <c r="T92" i="133"/>
  <c r="U92" i="133"/>
  <c r="H408" i="138"/>
  <c r="O408" i="138" s="1"/>
  <c r="N136" i="133"/>
  <c r="T136" i="133"/>
  <c r="U136" i="133"/>
  <c r="T113" i="133"/>
  <c r="U113" i="133"/>
  <c r="J76" i="98"/>
  <c r="J73" i="98"/>
  <c r="D144" i="100"/>
  <c r="R367" i="138"/>
  <c r="D334" i="133"/>
  <c r="K334" i="133"/>
  <c r="Q334" i="133"/>
  <c r="N183" i="133"/>
  <c r="T183" i="133"/>
  <c r="U183" i="133"/>
  <c r="U190" i="133"/>
  <c r="T160" i="133"/>
  <c r="U160" i="133"/>
  <c r="M271" i="133"/>
  <c r="R271" i="133"/>
  <c r="S271" i="133"/>
  <c r="L271" i="133"/>
  <c r="G20" i="140"/>
  <c r="G22" i="140"/>
  <c r="G19" i="140"/>
  <c r="G21" i="140"/>
  <c r="G25" i="140"/>
  <c r="G18" i="140"/>
  <c r="E14" i="102"/>
  <c r="T255" i="133"/>
  <c r="U255" i="133"/>
  <c r="T254" i="133"/>
  <c r="U254" i="133"/>
  <c r="N277" i="133"/>
  <c r="T277" i="133"/>
  <c r="U277" i="133"/>
  <c r="D229" i="133"/>
  <c r="D240" i="133"/>
  <c r="K240" i="133"/>
  <c r="Q240" i="133"/>
  <c r="N233" i="133"/>
  <c r="T233" i="133"/>
  <c r="U233" i="133"/>
  <c r="T210" i="133"/>
  <c r="U210" i="133"/>
  <c r="T301" i="133"/>
  <c r="U301" i="133"/>
  <c r="T68" i="133"/>
  <c r="U68" i="133"/>
  <c r="N91" i="133"/>
  <c r="T91" i="133"/>
  <c r="U91" i="133"/>
  <c r="T117" i="133"/>
  <c r="U117" i="133"/>
  <c r="N140" i="133"/>
  <c r="T140" i="133"/>
  <c r="U140" i="133"/>
  <c r="N328" i="133"/>
  <c r="T328" i="133"/>
  <c r="U328" i="133"/>
  <c r="U331" i="133"/>
  <c r="T305" i="133"/>
  <c r="U305" i="133"/>
  <c r="G31" i="140"/>
  <c r="G28" i="140"/>
  <c r="G32" i="140"/>
  <c r="G29" i="140"/>
  <c r="G27" i="140"/>
  <c r="G30" i="140"/>
  <c r="T163" i="133"/>
  <c r="U163" i="133"/>
  <c r="N186" i="133"/>
  <c r="T186" i="133"/>
  <c r="U186" i="133"/>
  <c r="T70" i="133"/>
  <c r="U70" i="133"/>
  <c r="N93" i="133"/>
  <c r="T93" i="133"/>
  <c r="U93" i="133"/>
  <c r="T258" i="133"/>
  <c r="U258" i="133"/>
  <c r="N281" i="133"/>
  <c r="T281" i="133"/>
  <c r="U281" i="133"/>
  <c r="N90" i="133"/>
  <c r="T90" i="133"/>
  <c r="U90" i="133"/>
  <c r="T67" i="133"/>
  <c r="U67" i="133"/>
  <c r="H91" i="98"/>
  <c r="H94" i="98"/>
  <c r="H95" i="98"/>
  <c r="I87" i="98"/>
  <c r="I89" i="98"/>
  <c r="D66" i="133"/>
  <c r="G36" i="140"/>
  <c r="D278" i="133"/>
  <c r="Q188" i="133"/>
  <c r="R198" i="133"/>
  <c r="L198" i="133"/>
  <c r="G68" i="54"/>
  <c r="H85" i="54"/>
  <c r="P37" i="54"/>
  <c r="P56" i="54"/>
  <c r="Q37" i="54"/>
  <c r="Q56" i="54"/>
  <c r="Z37" i="98"/>
  <c r="Z24" i="98"/>
  <c r="W37" i="98"/>
  <c r="W24" i="98"/>
  <c r="R37" i="98"/>
  <c r="R24" i="98"/>
  <c r="AF37" i="98"/>
  <c r="AF24" i="98"/>
  <c r="H24" i="98"/>
  <c r="H37" i="98"/>
  <c r="I24" i="140"/>
  <c r="V23" i="54"/>
  <c r="V36" i="54"/>
  <c r="E33" i="75"/>
  <c r="F22" i="75"/>
  <c r="F25" i="75"/>
  <c r="AF36" i="54"/>
  <c r="AF23" i="54"/>
  <c r="F28" i="119"/>
  <c r="F31" i="119"/>
  <c r="E33" i="119"/>
  <c r="K37" i="98"/>
  <c r="Q165" i="133"/>
  <c r="R175" i="133"/>
  <c r="L175" i="133"/>
  <c r="G19" i="146"/>
  <c r="K333" i="14"/>
  <c r="G36" i="145"/>
  <c r="K151" i="14"/>
  <c r="K277" i="14"/>
  <c r="K431" i="14"/>
  <c r="G76" i="140"/>
  <c r="G74" i="140"/>
  <c r="G75" i="98"/>
  <c r="F81" i="98"/>
  <c r="F82" i="98"/>
  <c r="I17" i="54"/>
  <c r="G53" i="142"/>
  <c r="M52" i="54"/>
  <c r="M85" i="54"/>
  <c r="G21" i="146"/>
  <c r="G18" i="146"/>
  <c r="G37" i="145"/>
  <c r="K445" i="14"/>
  <c r="AG14" i="102"/>
  <c r="G100" i="140"/>
  <c r="K31" i="55"/>
  <c r="G23" i="142"/>
  <c r="G34" i="145"/>
  <c r="K165" i="14"/>
  <c r="K319" i="14"/>
  <c r="K487" i="14"/>
  <c r="I23" i="98"/>
  <c r="G75" i="140"/>
  <c r="D18" i="148"/>
  <c r="D46" i="148"/>
  <c r="D36" i="148"/>
  <c r="D31" i="148"/>
  <c r="D59" i="148"/>
  <c r="D16" i="148"/>
  <c r="D48" i="148"/>
  <c r="D21" i="148"/>
  <c r="D37" i="148"/>
  <c r="D65" i="148"/>
  <c r="D54" i="146"/>
  <c r="D35" i="140"/>
  <c r="D90" i="140"/>
  <c r="D13" i="140"/>
  <c r="D45" i="140"/>
  <c r="D92" i="140"/>
  <c r="D6" i="143"/>
  <c r="D17" i="140"/>
  <c r="D82" i="140"/>
  <c r="D25" i="142"/>
  <c r="D24" i="140"/>
  <c r="D80" i="140"/>
  <c r="D23" i="142"/>
  <c r="D86" i="147"/>
  <c r="D6" i="140"/>
  <c r="D33" i="140"/>
  <c r="D54" i="140"/>
  <c r="D76" i="140"/>
  <c r="D106" i="140"/>
  <c r="D6" i="144"/>
  <c r="D8" i="143"/>
  <c r="D36" i="142"/>
  <c r="D40" i="142"/>
  <c r="D50" i="142"/>
  <c r="D43" i="142"/>
  <c r="D53" i="142"/>
  <c r="D7" i="144"/>
  <c r="D28" i="145"/>
  <c r="D5" i="145"/>
  <c r="D33" i="145"/>
  <c r="D31" i="145"/>
  <c r="D18" i="145"/>
  <c r="D11" i="145"/>
  <c r="D9" i="148"/>
  <c r="D5" i="148"/>
  <c r="G13" i="20"/>
  <c r="D191" i="147"/>
  <c r="D181" i="147"/>
  <c r="D169" i="147"/>
  <c r="D155" i="147"/>
  <c r="D145" i="147"/>
  <c r="D131" i="147"/>
  <c r="D117" i="147"/>
  <c r="D109" i="147"/>
  <c r="D95" i="147"/>
  <c r="D81" i="147"/>
  <c r="D73" i="147"/>
  <c r="D59" i="147"/>
  <c r="D45" i="147"/>
  <c r="I13" i="136"/>
  <c r="D152" i="147"/>
  <c r="D104" i="147"/>
  <c r="D64" i="147"/>
  <c r="D47" i="146"/>
  <c r="D30" i="146"/>
  <c r="D20" i="146"/>
  <c r="D4" i="146"/>
  <c r="D194" i="147"/>
  <c r="D146" i="147"/>
  <c r="D90" i="147"/>
  <c r="D50" i="147"/>
  <c r="D27" i="147"/>
  <c r="D13" i="147"/>
  <c r="D5" i="147"/>
  <c r="D180" i="147"/>
  <c r="D124" i="147"/>
  <c r="D92" i="147"/>
  <c r="Y12" i="5"/>
  <c r="D42" i="146"/>
  <c r="D34" i="146"/>
  <c r="D24" i="146"/>
  <c r="B46" i="34"/>
  <c r="B45" i="34"/>
  <c r="B43" i="34"/>
  <c r="K501" i="14"/>
  <c r="G25" i="142"/>
  <c r="K109" i="14"/>
  <c r="K515" i="14"/>
  <c r="G54" i="142"/>
  <c r="G105" i="140"/>
  <c r="J13" i="14"/>
  <c r="G35" i="145"/>
  <c r="K207" i="14"/>
  <c r="K375" i="14"/>
  <c r="G21" i="102"/>
  <c r="H23" i="142"/>
  <c r="M72" i="54"/>
  <c r="H31" i="142"/>
  <c r="AD21" i="54"/>
  <c r="AE21" i="54"/>
  <c r="H43" i="142"/>
  <c r="M22" i="98"/>
  <c r="N22" i="98"/>
  <c r="H184" i="147"/>
  <c r="H179" i="147"/>
  <c r="H104" i="147"/>
  <c r="H101" i="147"/>
  <c r="H100" i="147"/>
  <c r="H105" i="147"/>
  <c r="H99" i="147"/>
  <c r="I24" i="50"/>
  <c r="D22" i="98"/>
  <c r="E22" i="98"/>
  <c r="H103" i="147"/>
  <c r="H102" i="147"/>
  <c r="P12" i="49"/>
  <c r="Q260" i="133"/>
  <c r="R270" i="133"/>
  <c r="L270" i="133"/>
  <c r="S269" i="133"/>
  <c r="C21" i="54"/>
  <c r="D21" i="54"/>
  <c r="H2" i="142"/>
  <c r="F72" i="54"/>
  <c r="F184" i="133"/>
  <c r="K161" i="133"/>
  <c r="G27" i="150"/>
  <c r="G26" i="122"/>
  <c r="G25" i="122"/>
  <c r="G24" i="122"/>
  <c r="G28" i="122"/>
  <c r="F233" i="133"/>
  <c r="K210" i="133"/>
  <c r="I27" i="150"/>
  <c r="K19" i="150"/>
  <c r="H79" i="12"/>
  <c r="D28" i="150"/>
  <c r="H127" i="147"/>
  <c r="H53" i="147"/>
  <c r="H78" i="147"/>
  <c r="H79" i="147"/>
  <c r="H128" i="147"/>
  <c r="H34" i="147"/>
  <c r="H76" i="147"/>
  <c r="H56" i="147"/>
  <c r="H35" i="147"/>
  <c r="H126" i="147"/>
  <c r="H80" i="147"/>
  <c r="H57" i="147"/>
  <c r="H40" i="147"/>
  <c r="B12" i="49"/>
  <c r="D17" i="49"/>
  <c r="U11" i="49"/>
  <c r="K67" i="6"/>
  <c r="K74" i="6" s="1"/>
  <c r="E97" i="138"/>
  <c r="C202" i="138"/>
  <c r="E87" i="138"/>
  <c r="H235" i="138"/>
  <c r="F287" i="138"/>
  <c r="F341" i="138" s="1"/>
  <c r="H36" i="147"/>
  <c r="U12" i="49"/>
  <c r="K424" i="138"/>
  <c r="N424" i="138"/>
  <c r="K373" i="138"/>
  <c r="F56" i="14"/>
  <c r="B31" i="118"/>
  <c r="F223" i="18"/>
  <c r="J321" i="18"/>
  <c r="M321" i="18" s="1"/>
  <c r="F323" i="133"/>
  <c r="K300" i="133"/>
  <c r="Q300" i="133"/>
  <c r="C246" i="138"/>
  <c r="C298" i="138" s="1"/>
  <c r="N342" i="138"/>
  <c r="K351" i="138"/>
  <c r="N422" i="138"/>
  <c r="I22" i="11"/>
  <c r="K253" i="133"/>
  <c r="Q253" i="133"/>
  <c r="F276" i="133"/>
  <c r="D97" i="11"/>
  <c r="I82" i="133"/>
  <c r="F152" i="18"/>
  <c r="J309" i="18"/>
  <c r="N358" i="138"/>
  <c r="K390" i="138"/>
  <c r="K394" i="138"/>
  <c r="B22" i="11"/>
  <c r="D25" i="21"/>
  <c r="F126" i="18"/>
  <c r="AA21" i="102"/>
  <c r="F120" i="18"/>
  <c r="J311" i="18"/>
  <c r="F128" i="18"/>
  <c r="F160" i="18"/>
  <c r="G316" i="18"/>
  <c r="K316" i="18" s="1"/>
  <c r="F285" i="18"/>
  <c r="I309" i="18"/>
  <c r="K309" i="18"/>
  <c r="F280" i="18"/>
  <c r="L104" i="133"/>
  <c r="Q94" i="133"/>
  <c r="R104" i="133"/>
  <c r="L316" i="133"/>
  <c r="K329" i="133"/>
  <c r="Q306" i="133"/>
  <c r="R316" i="133"/>
  <c r="Q235" i="133"/>
  <c r="R245" i="133"/>
  <c r="L245" i="133"/>
  <c r="L128" i="133"/>
  <c r="K141" i="133"/>
  <c r="Q118" i="133"/>
  <c r="R128" i="133"/>
  <c r="Q282" i="133"/>
  <c r="R292" i="133"/>
  <c r="L292" i="133"/>
  <c r="H97" i="122"/>
  <c r="E100" i="122"/>
  <c r="H100" i="122"/>
  <c r="H95" i="122"/>
  <c r="U341" i="133"/>
  <c r="U340" i="133"/>
  <c r="U246" i="133"/>
  <c r="U247" i="133"/>
  <c r="U224" i="133"/>
  <c r="U223" i="133"/>
  <c r="J28" i="150"/>
  <c r="J42" i="150"/>
  <c r="J43" i="150"/>
  <c r="L28" i="150"/>
  <c r="E24" i="98"/>
  <c r="E37" i="98"/>
  <c r="AE23" i="54"/>
  <c r="AE36" i="54"/>
  <c r="G31" i="145"/>
  <c r="J235" i="14"/>
  <c r="J417" i="14"/>
  <c r="J403" i="14"/>
  <c r="J375" i="14"/>
  <c r="J333" i="14"/>
  <c r="J277" i="14"/>
  <c r="J445" i="14"/>
  <c r="J389" i="14"/>
  <c r="J75" i="14"/>
  <c r="J123" i="14"/>
  <c r="J305" i="14"/>
  <c r="J291" i="14"/>
  <c r="J207" i="14"/>
  <c r="J151" i="14"/>
  <c r="J109" i="14"/>
  <c r="J165" i="14"/>
  <c r="J95" i="14"/>
  <c r="J249" i="14"/>
  <c r="J263" i="14"/>
  <c r="J459" i="14"/>
  <c r="G33" i="145"/>
  <c r="J193" i="14"/>
  <c r="J179" i="14"/>
  <c r="G30" i="145"/>
  <c r="I13" i="14"/>
  <c r="J487" i="14"/>
  <c r="J431" i="14"/>
  <c r="J361" i="14"/>
  <c r="J543" i="14"/>
  <c r="J347" i="14"/>
  <c r="J529" i="14"/>
  <c r="J515" i="14"/>
  <c r="J557" i="14"/>
  <c r="J501" i="14"/>
  <c r="J473" i="14"/>
  <c r="J221" i="14"/>
  <c r="J137" i="14"/>
  <c r="J12" i="14"/>
  <c r="J319" i="14"/>
  <c r="G32" i="145"/>
  <c r="F68" i="54"/>
  <c r="F85" i="54"/>
  <c r="G85" i="54"/>
  <c r="K71" i="98"/>
  <c r="G4" i="146"/>
  <c r="G6" i="146"/>
  <c r="P29" i="49"/>
  <c r="G3" i="146"/>
  <c r="G5" i="146"/>
  <c r="G2" i="146"/>
  <c r="F45" i="34"/>
  <c r="C45" i="34"/>
  <c r="G109" i="140"/>
  <c r="G106" i="140"/>
  <c r="G108" i="140"/>
  <c r="G110" i="140"/>
  <c r="G113" i="140"/>
  <c r="G107" i="140"/>
  <c r="G112" i="140"/>
  <c r="G111" i="140"/>
  <c r="F17" i="54"/>
  <c r="G4" i="143"/>
  <c r="J52" i="54"/>
  <c r="H278" i="133"/>
  <c r="D277" i="133"/>
  <c r="D288" i="133"/>
  <c r="K288" i="133"/>
  <c r="Q288" i="133"/>
  <c r="U167" i="133"/>
  <c r="C28" i="118"/>
  <c r="C31" i="118"/>
  <c r="B38" i="118"/>
  <c r="H187" i="147"/>
  <c r="H192" i="147"/>
  <c r="H191" i="147"/>
  <c r="H188" i="147"/>
  <c r="H190" i="147"/>
  <c r="H193" i="147"/>
  <c r="H186" i="147"/>
  <c r="H189" i="147"/>
  <c r="L58" i="98"/>
  <c r="K58" i="98"/>
  <c r="D239" i="133"/>
  <c r="G247" i="133"/>
  <c r="H229" i="133"/>
  <c r="G12" i="140"/>
  <c r="G13" i="140"/>
  <c r="G15" i="140"/>
  <c r="G16" i="140"/>
  <c r="G11" i="140"/>
  <c r="G17" i="140"/>
  <c r="G10" i="140"/>
  <c r="G14" i="140"/>
  <c r="B14" i="102"/>
  <c r="G463" i="100"/>
  <c r="I28" i="150"/>
  <c r="N37" i="98"/>
  <c r="N24" i="98"/>
  <c r="M77" i="54"/>
  <c r="M88" i="54"/>
  <c r="M90" i="54"/>
  <c r="G28" i="142"/>
  <c r="G57" i="142"/>
  <c r="G26" i="142"/>
  <c r="G56" i="142"/>
  <c r="G58" i="142"/>
  <c r="L31" i="55"/>
  <c r="K30" i="55"/>
  <c r="G27" i="142"/>
  <c r="G78" i="98"/>
  <c r="G80" i="98"/>
  <c r="G82" i="98"/>
  <c r="G21" i="98"/>
  <c r="U284" i="133"/>
  <c r="U120" i="133"/>
  <c r="D378" i="100"/>
  <c r="G378" i="100"/>
  <c r="I24" i="98"/>
  <c r="I37" i="98"/>
  <c r="I91" i="98"/>
  <c r="I94" i="98"/>
  <c r="N394" i="138"/>
  <c r="M19" i="150"/>
  <c r="K27" i="150"/>
  <c r="K184" i="133"/>
  <c r="Q184" i="133"/>
  <c r="Q161" i="133"/>
  <c r="D23" i="54"/>
  <c r="D36" i="54"/>
  <c r="C46" i="34"/>
  <c r="F46" i="34"/>
  <c r="U308" i="133"/>
  <c r="U199" i="133"/>
  <c r="U200" i="133"/>
  <c r="H144" i="100"/>
  <c r="N390" i="138"/>
  <c r="Q390" i="138" s="1"/>
  <c r="S390" i="138" s="1"/>
  <c r="H17" i="145"/>
  <c r="H287" i="138"/>
  <c r="O287" i="138" s="1"/>
  <c r="Q287" i="138" s="1"/>
  <c r="S287" i="138" s="1"/>
  <c r="K233" i="133"/>
  <c r="Q233" i="133"/>
  <c r="Q210" i="133"/>
  <c r="F88" i="54"/>
  <c r="F73" i="54"/>
  <c r="F77" i="54"/>
  <c r="F78" i="54"/>
  <c r="C43" i="34"/>
  <c r="F43" i="34"/>
  <c r="G28" i="119"/>
  <c r="G31" i="119"/>
  <c r="G33" i="119"/>
  <c r="F33" i="119"/>
  <c r="F33" i="75"/>
  <c r="G22" i="75"/>
  <c r="G25" i="75"/>
  <c r="H66" i="133"/>
  <c r="N66" i="133"/>
  <c r="D65" i="133"/>
  <c r="D76" i="133"/>
  <c r="K76" i="133"/>
  <c r="Q76" i="133"/>
  <c r="U261" i="133"/>
  <c r="U143" i="133"/>
  <c r="Q329" i="133"/>
  <c r="R339" i="133"/>
  <c r="L339" i="133"/>
  <c r="L151" i="133"/>
  <c r="Q141" i="133"/>
  <c r="R151" i="133"/>
  <c r="F49" i="34"/>
  <c r="L463" i="100"/>
  <c r="O58" i="98"/>
  <c r="N58" i="98"/>
  <c r="U294" i="133"/>
  <c r="U293" i="133"/>
  <c r="D28" i="118"/>
  <c r="D31" i="118"/>
  <c r="C38" i="118"/>
  <c r="U152" i="133"/>
  <c r="U153" i="133"/>
  <c r="U130" i="133"/>
  <c r="U129" i="133"/>
  <c r="I21" i="98"/>
  <c r="I25" i="98"/>
  <c r="H21" i="98"/>
  <c r="H25" i="98"/>
  <c r="G30" i="142"/>
  <c r="G29" i="142"/>
  <c r="G31" i="142"/>
  <c r="G60" i="142"/>
  <c r="G59" i="142"/>
  <c r="L30" i="55"/>
  <c r="G61" i="142"/>
  <c r="G7" i="140"/>
  <c r="G8" i="140"/>
  <c r="G2" i="140"/>
  <c r="G3" i="140"/>
  <c r="G5" i="140"/>
  <c r="G9" i="140"/>
  <c r="G4" i="140"/>
  <c r="G6" i="140"/>
  <c r="H277" i="133"/>
  <c r="D276" i="133"/>
  <c r="D287" i="133"/>
  <c r="K287" i="133"/>
  <c r="Q287" i="133"/>
  <c r="G3" i="143"/>
  <c r="G52" i="54"/>
  <c r="D52" i="54"/>
  <c r="C17" i="54"/>
  <c r="G2" i="143"/>
  <c r="N28" i="150"/>
  <c r="L42" i="150"/>
  <c r="L43" i="150"/>
  <c r="G33" i="75"/>
  <c r="H22" i="75"/>
  <c r="H25" i="75"/>
  <c r="H33" i="75"/>
  <c r="H65" i="133"/>
  <c r="N65" i="133"/>
  <c r="T65" i="133"/>
  <c r="U65" i="133"/>
  <c r="M83" i="133"/>
  <c r="R83" i="133"/>
  <c r="S83" i="133"/>
  <c r="G83" i="133"/>
  <c r="L83" i="133"/>
  <c r="U318" i="133"/>
  <c r="U317" i="133"/>
  <c r="H75" i="98"/>
  <c r="G38" i="98"/>
  <c r="G81" i="98"/>
  <c r="J402" i="14"/>
  <c r="J472" i="14"/>
  <c r="J458" i="14"/>
  <c r="J528" i="14"/>
  <c r="J304" i="14"/>
  <c r="J416" i="14"/>
  <c r="J318" i="14"/>
  <c r="J94" i="14"/>
  <c r="J206" i="14"/>
  <c r="J178" i="14"/>
  <c r="J248" i="14"/>
  <c r="J234" i="14"/>
  <c r="J164" i="14"/>
  <c r="J430" i="14"/>
  <c r="J388" i="14"/>
  <c r="J276" i="14"/>
  <c r="J500" i="14"/>
  <c r="J360" i="14"/>
  <c r="J332" i="14"/>
  <c r="J150" i="14"/>
  <c r="J542" i="14"/>
  <c r="J514" i="14"/>
  <c r="J136" i="14"/>
  <c r="J486" i="14"/>
  <c r="J374" i="14"/>
  <c r="J444" i="14"/>
  <c r="J290" i="14"/>
  <c r="J346" i="14"/>
  <c r="J108" i="14"/>
  <c r="J556" i="14"/>
  <c r="J220" i="14"/>
  <c r="J74" i="14"/>
  <c r="J122" i="14"/>
  <c r="J262" i="14"/>
  <c r="J192" i="14"/>
  <c r="U271" i="133"/>
  <c r="U270" i="133"/>
  <c r="F89" i="54"/>
  <c r="F90" i="54"/>
  <c r="T66" i="133"/>
  <c r="U66" i="133"/>
  <c r="N89" i="133"/>
  <c r="T89" i="133"/>
  <c r="U89" i="133"/>
  <c r="U96" i="133"/>
  <c r="H37" i="119"/>
  <c r="H38" i="119"/>
  <c r="G71" i="54"/>
  <c r="F81" i="54"/>
  <c r="F82" i="54"/>
  <c r="C20" i="54"/>
  <c r="N144" i="100"/>
  <c r="I95" i="98"/>
  <c r="J87" i="98"/>
  <c r="J89" i="98"/>
  <c r="D442" i="100"/>
  <c r="H442" i="100"/>
  <c r="I42" i="150"/>
  <c r="I43" i="150"/>
  <c r="G43" i="150"/>
  <c r="M28" i="150"/>
  <c r="O28" i="150"/>
  <c r="U176" i="133"/>
  <c r="U177" i="133"/>
  <c r="K76" i="98"/>
  <c r="S38" i="98"/>
  <c r="K73" i="98"/>
  <c r="H13" i="14"/>
  <c r="I417" i="14"/>
  <c r="I487" i="14"/>
  <c r="G29" i="145"/>
  <c r="I249" i="14"/>
  <c r="I277" i="14"/>
  <c r="G27" i="145"/>
  <c r="I319" i="14"/>
  <c r="I515" i="14"/>
  <c r="I459" i="14"/>
  <c r="I333" i="14"/>
  <c r="I12" i="14"/>
  <c r="I193" i="14"/>
  <c r="I263" i="14"/>
  <c r="I473" i="14"/>
  <c r="G26" i="145"/>
  <c r="I403" i="14"/>
  <c r="I347" i="14"/>
  <c r="I557" i="14"/>
  <c r="I501" i="14"/>
  <c r="I431" i="14"/>
  <c r="I123" i="14"/>
  <c r="I375" i="14"/>
  <c r="I137" i="14"/>
  <c r="I543" i="14"/>
  <c r="I235" i="14"/>
  <c r="I109" i="14"/>
  <c r="I529" i="14"/>
  <c r="I151" i="14"/>
  <c r="I445" i="14"/>
  <c r="I179" i="14"/>
  <c r="I207" i="14"/>
  <c r="I305" i="14"/>
  <c r="I75" i="14"/>
  <c r="I95" i="14"/>
  <c r="G28" i="145"/>
  <c r="I165" i="14"/>
  <c r="H12" i="14"/>
  <c r="I361" i="14"/>
  <c r="I221" i="14"/>
  <c r="I291" i="14"/>
  <c r="I389" i="14"/>
  <c r="L58" i="150"/>
  <c r="G58" i="150"/>
  <c r="J91" i="98"/>
  <c r="J94" i="98"/>
  <c r="J95" i="98"/>
  <c r="K87" i="98"/>
  <c r="K89" i="98"/>
  <c r="I38" i="75"/>
  <c r="I37" i="75"/>
  <c r="I39" i="75"/>
  <c r="E28" i="118"/>
  <c r="E31" i="118"/>
  <c r="D38" i="118"/>
  <c r="I430" i="14"/>
  <c r="I304" i="14"/>
  <c r="I556" i="14"/>
  <c r="I276" i="14"/>
  <c r="I164" i="14"/>
  <c r="I94" i="14"/>
  <c r="I472" i="14"/>
  <c r="I360" i="14"/>
  <c r="I514" i="14"/>
  <c r="I346" i="14"/>
  <c r="I486" i="14"/>
  <c r="I192" i="14"/>
  <c r="I444" i="14"/>
  <c r="I332" i="14"/>
  <c r="I220" i="14"/>
  <c r="I108" i="14"/>
  <c r="I528" i="14"/>
  <c r="I248" i="14"/>
  <c r="I500" i="14"/>
  <c r="I402" i="14"/>
  <c r="I542" i="14"/>
  <c r="I74" i="14"/>
  <c r="I206" i="14"/>
  <c r="I262" i="14"/>
  <c r="I318" i="14"/>
  <c r="I374" i="14"/>
  <c r="I416" i="14"/>
  <c r="I136" i="14"/>
  <c r="I388" i="14"/>
  <c r="I458" i="14"/>
  <c r="I150" i="14"/>
  <c r="I122" i="14"/>
  <c r="I178" i="14"/>
  <c r="I234" i="14"/>
  <c r="I290" i="14"/>
  <c r="L71" i="98"/>
  <c r="H39" i="119"/>
  <c r="F95" i="54"/>
  <c r="G87" i="54"/>
  <c r="G89" i="54"/>
  <c r="F91" i="54"/>
  <c r="F94" i="54"/>
  <c r="H38" i="98"/>
  <c r="H57" i="98"/>
  <c r="I38" i="98"/>
  <c r="I57" i="98"/>
  <c r="D286" i="133"/>
  <c r="G294" i="133"/>
  <c r="H276" i="133"/>
  <c r="U38" i="98"/>
  <c r="U57" i="98"/>
  <c r="T38" i="98"/>
  <c r="T57" i="98"/>
  <c r="E20" i="54"/>
  <c r="E24" i="54"/>
  <c r="D20" i="54"/>
  <c r="D24" i="54"/>
  <c r="U105" i="133"/>
  <c r="U106" i="133"/>
  <c r="H78" i="98"/>
  <c r="H80" i="98"/>
  <c r="H82" i="98"/>
  <c r="J21" i="98"/>
  <c r="U73" i="133"/>
  <c r="H30" i="98"/>
  <c r="H34" i="98"/>
  <c r="H56" i="98"/>
  <c r="H59" i="98"/>
  <c r="H63" i="98"/>
  <c r="H65" i="98"/>
  <c r="H66" i="98"/>
  <c r="H39" i="98"/>
  <c r="H28" i="98"/>
  <c r="H32" i="98"/>
  <c r="H35" i="98"/>
  <c r="H41" i="98"/>
  <c r="H29" i="98"/>
  <c r="H33" i="98"/>
  <c r="H109" i="14"/>
  <c r="H487" i="14"/>
  <c r="H473" i="14"/>
  <c r="H263" i="14"/>
  <c r="H249" i="14"/>
  <c r="H291" i="14"/>
  <c r="H333" i="14"/>
  <c r="G24" i="145"/>
  <c r="H459" i="14"/>
  <c r="H193" i="14"/>
  <c r="H319" i="14"/>
  <c r="H515" i="14"/>
  <c r="H361" i="14"/>
  <c r="H123" i="14"/>
  <c r="H417" i="14"/>
  <c r="H305" i="14"/>
  <c r="G23" i="145"/>
  <c r="H347" i="14"/>
  <c r="H529" i="14"/>
  <c r="G13" i="14"/>
  <c r="G25" i="145"/>
  <c r="G22" i="145"/>
  <c r="H151" i="14"/>
  <c r="H165" i="14"/>
  <c r="H277" i="14"/>
  <c r="H557" i="14"/>
  <c r="H207" i="14"/>
  <c r="H221" i="14"/>
  <c r="H75" i="14"/>
  <c r="H375" i="14"/>
  <c r="H389" i="14"/>
  <c r="H431" i="14"/>
  <c r="H445" i="14"/>
  <c r="H179" i="14"/>
  <c r="H543" i="14"/>
  <c r="H501" i="14"/>
  <c r="G12" i="14"/>
  <c r="H95" i="14"/>
  <c r="H235" i="14"/>
  <c r="H137" i="14"/>
  <c r="H403" i="14"/>
  <c r="H514" i="14"/>
  <c r="H444" i="14"/>
  <c r="H248" i="14"/>
  <c r="H74" i="14"/>
  <c r="H178" i="14"/>
  <c r="H374" i="14"/>
  <c r="H346" i="14"/>
  <c r="H290" i="14"/>
  <c r="H276" i="14"/>
  <c r="H108" i="14"/>
  <c r="H234" i="14"/>
  <c r="H486" i="14"/>
  <c r="H430" i="14"/>
  <c r="H556" i="14"/>
  <c r="H458" i="14"/>
  <c r="H542" i="14"/>
  <c r="H262" i="14"/>
  <c r="H220" i="14"/>
  <c r="H388" i="14"/>
  <c r="H94" i="14"/>
  <c r="H206" i="14"/>
  <c r="H122" i="14"/>
  <c r="H304" i="14"/>
  <c r="H500" i="14"/>
  <c r="H528" i="14"/>
  <c r="H164" i="14"/>
  <c r="H360" i="14"/>
  <c r="H136" i="14"/>
  <c r="H402" i="14"/>
  <c r="H472" i="14"/>
  <c r="H150" i="14"/>
  <c r="H192" i="14"/>
  <c r="H318" i="14"/>
  <c r="H416" i="14"/>
  <c r="H332" i="14"/>
  <c r="D506" i="100"/>
  <c r="G506" i="100"/>
  <c r="G80" i="54"/>
  <c r="G73" i="54"/>
  <c r="G76" i="54"/>
  <c r="G78" i="54"/>
  <c r="H75" i="54"/>
  <c r="I30" i="98"/>
  <c r="I34" i="98"/>
  <c r="I56" i="98"/>
  <c r="I59" i="98"/>
  <c r="I63" i="98"/>
  <c r="I65" i="98"/>
  <c r="I66" i="98"/>
  <c r="I39" i="98"/>
  <c r="I28" i="98"/>
  <c r="I32" i="98"/>
  <c r="I35" i="98"/>
  <c r="I41" i="98"/>
  <c r="I44" i="98"/>
  <c r="I29" i="98"/>
  <c r="I33" i="98"/>
  <c r="D27" i="54"/>
  <c r="D31" i="54"/>
  <c r="D34" i="54"/>
  <c r="D40" i="54"/>
  <c r="D29" i="54"/>
  <c r="D33" i="54"/>
  <c r="D55" i="54"/>
  <c r="D58" i="54"/>
  <c r="D62" i="54"/>
  <c r="D64" i="54"/>
  <c r="D65" i="54"/>
  <c r="D38" i="54"/>
  <c r="D28" i="54"/>
  <c r="D32" i="54"/>
  <c r="K91" i="98"/>
  <c r="K94" i="98"/>
  <c r="I46" i="98"/>
  <c r="H3" i="144"/>
  <c r="E29" i="54"/>
  <c r="E33" i="54"/>
  <c r="E55" i="54"/>
  <c r="E58" i="54"/>
  <c r="E62" i="54"/>
  <c r="E64" i="54"/>
  <c r="E65" i="54"/>
  <c r="E38" i="54"/>
  <c r="E27" i="54"/>
  <c r="E31" i="54"/>
  <c r="E34" i="54"/>
  <c r="E40" i="54"/>
  <c r="E43" i="54"/>
  <c r="E28" i="54"/>
  <c r="E32" i="54"/>
  <c r="R58" i="98"/>
  <c r="Q58" i="98"/>
  <c r="G91" i="54"/>
  <c r="G94" i="54"/>
  <c r="H71" i="54"/>
  <c r="G81" i="54"/>
  <c r="L21" i="98"/>
  <c r="L25" i="98"/>
  <c r="K21" i="98"/>
  <c r="K25" i="98"/>
  <c r="G64" i="150"/>
  <c r="G62" i="150"/>
  <c r="G61" i="150"/>
  <c r="J61" i="150"/>
  <c r="J76" i="150"/>
  <c r="G76" i="150" s="1"/>
  <c r="G60" i="150"/>
  <c r="G63" i="150"/>
  <c r="G59" i="150"/>
  <c r="G66" i="150"/>
  <c r="J66" i="150"/>
  <c r="J81" i="150"/>
  <c r="G65" i="150"/>
  <c r="J65" i="150"/>
  <c r="J80" i="150" s="1"/>
  <c r="G543" i="14"/>
  <c r="G21" i="145"/>
  <c r="G18" i="145"/>
  <c r="G249" i="14"/>
  <c r="G207" i="14"/>
  <c r="G151" i="14"/>
  <c r="G515" i="14"/>
  <c r="G375" i="14"/>
  <c r="G221" i="14"/>
  <c r="G305" i="14"/>
  <c r="G347" i="14"/>
  <c r="G557" i="14"/>
  <c r="G19" i="145"/>
  <c r="G20" i="145"/>
  <c r="G235" i="14"/>
  <c r="G263" i="14"/>
  <c r="G123" i="14"/>
  <c r="G165" i="14"/>
  <c r="G473" i="14"/>
  <c r="G417" i="14"/>
  <c r="G179" i="14"/>
  <c r="G291" i="14"/>
  <c r="G529" i="14"/>
  <c r="G319" i="14"/>
  <c r="G487" i="14"/>
  <c r="G501" i="14"/>
  <c r="G445" i="14"/>
  <c r="G109" i="14"/>
  <c r="G333" i="14"/>
  <c r="G431" i="14"/>
  <c r="G403" i="14"/>
  <c r="G361" i="14"/>
  <c r="G389" i="14"/>
  <c r="G277" i="14"/>
  <c r="G459" i="14"/>
  <c r="F13" i="14"/>
  <c r="G75" i="14"/>
  <c r="G193" i="14"/>
  <c r="F12" i="14"/>
  <c r="G137" i="14"/>
  <c r="G95" i="14"/>
  <c r="G82" i="54"/>
  <c r="F20" i="54"/>
  <c r="G374" i="14"/>
  <c r="G290" i="14"/>
  <c r="G416" i="14"/>
  <c r="G262" i="14"/>
  <c r="G486" i="14"/>
  <c r="G276" i="14"/>
  <c r="G178" i="14"/>
  <c r="G346" i="14"/>
  <c r="G542" i="14"/>
  <c r="G444" i="14"/>
  <c r="G136" i="14"/>
  <c r="G192" i="14"/>
  <c r="G500" i="14"/>
  <c r="G430" i="14"/>
  <c r="G458" i="14"/>
  <c r="G514" i="14"/>
  <c r="G528" i="14"/>
  <c r="G220" i="14"/>
  <c r="G388" i="14"/>
  <c r="G206" i="14"/>
  <c r="G556" i="14"/>
  <c r="G108" i="14"/>
  <c r="G74" i="14"/>
  <c r="G304" i="14"/>
  <c r="G472" i="14"/>
  <c r="G360" i="14"/>
  <c r="G248" i="14"/>
  <c r="G94" i="14"/>
  <c r="G164" i="14"/>
  <c r="G234" i="14"/>
  <c r="G122" i="14"/>
  <c r="G318" i="14"/>
  <c r="G150" i="14"/>
  <c r="G402" i="14"/>
  <c r="G332" i="14"/>
  <c r="U83" i="133"/>
  <c r="U82" i="133"/>
  <c r="I75" i="98"/>
  <c r="J38" i="98"/>
  <c r="H81" i="98"/>
  <c r="L73" i="98"/>
  <c r="L76" i="98"/>
  <c r="V38" i="98"/>
  <c r="F28" i="118"/>
  <c r="F31" i="118"/>
  <c r="E38" i="118"/>
  <c r="L59" i="150"/>
  <c r="F179" i="14"/>
  <c r="F557" i="14"/>
  <c r="F221" i="14"/>
  <c r="F333" i="14"/>
  <c r="G16" i="145"/>
  <c r="E13" i="14"/>
  <c r="F319" i="14"/>
  <c r="G14" i="145"/>
  <c r="F361" i="14"/>
  <c r="F305" i="14"/>
  <c r="F347" i="14"/>
  <c r="G17" i="145"/>
  <c r="F95" i="14"/>
  <c r="F193" i="14"/>
  <c r="F529" i="14"/>
  <c r="F543" i="14"/>
  <c r="F137" i="14"/>
  <c r="F515" i="14"/>
  <c r="G15" i="145"/>
  <c r="F389" i="14"/>
  <c r="F445" i="14"/>
  <c r="F501" i="14"/>
  <c r="F291" i="14"/>
  <c r="F403" i="14"/>
  <c r="F235" i="14"/>
  <c r="F109" i="14"/>
  <c r="F487" i="14"/>
  <c r="F277" i="14"/>
  <c r="F207" i="14"/>
  <c r="F459" i="14"/>
  <c r="F151" i="14"/>
  <c r="F249" i="14"/>
  <c r="F431" i="14"/>
  <c r="F263" i="14"/>
  <c r="F375" i="14"/>
  <c r="F473" i="14"/>
  <c r="F123" i="14"/>
  <c r="F417" i="14"/>
  <c r="F75" i="14"/>
  <c r="F165" i="14"/>
  <c r="E12" i="14"/>
  <c r="K30" i="98"/>
  <c r="K34" i="98"/>
  <c r="K56" i="98"/>
  <c r="K59" i="98"/>
  <c r="K63" i="98"/>
  <c r="K65" i="98"/>
  <c r="K66" i="98"/>
  <c r="K39" i="98"/>
  <c r="K29" i="98"/>
  <c r="K33" i="98"/>
  <c r="K28" i="98"/>
  <c r="K32" i="98"/>
  <c r="K35" i="98"/>
  <c r="K41" i="98"/>
  <c r="H73" i="54"/>
  <c r="H76" i="54"/>
  <c r="H78" i="54"/>
  <c r="I75" i="54"/>
  <c r="H80" i="54"/>
  <c r="H82" i="54"/>
  <c r="I20" i="54"/>
  <c r="H57" i="54"/>
  <c r="G57" i="54"/>
  <c r="X38" i="98"/>
  <c r="X57" i="98"/>
  <c r="W38" i="98"/>
  <c r="W57" i="98"/>
  <c r="M71" i="98"/>
  <c r="F108" i="14"/>
  <c r="F346" i="14"/>
  <c r="F402" i="14"/>
  <c r="F276" i="14"/>
  <c r="F164" i="14"/>
  <c r="F192" i="14"/>
  <c r="F416" i="14"/>
  <c r="F500" i="14"/>
  <c r="F178" i="14"/>
  <c r="F150" i="14"/>
  <c r="F94" i="14"/>
  <c r="F444" i="14"/>
  <c r="F248" i="14"/>
  <c r="F528" i="14"/>
  <c r="F74" i="14"/>
  <c r="F388" i="14"/>
  <c r="F206" i="14"/>
  <c r="F262" i="14"/>
  <c r="F360" i="14"/>
  <c r="F458" i="14"/>
  <c r="F430" i="14"/>
  <c r="F332" i="14"/>
  <c r="F290" i="14"/>
  <c r="F304" i="14"/>
  <c r="F374" i="14"/>
  <c r="F234" i="14"/>
  <c r="F136" i="14"/>
  <c r="F542" i="14"/>
  <c r="F486" i="14"/>
  <c r="F122" i="14"/>
  <c r="F472" i="14"/>
  <c r="F220" i="14"/>
  <c r="F556" i="14"/>
  <c r="F514" i="14"/>
  <c r="F318" i="14"/>
  <c r="L28" i="98"/>
  <c r="L32" i="98"/>
  <c r="L35" i="98"/>
  <c r="L41" i="98"/>
  <c r="L44" i="98"/>
  <c r="L30" i="98"/>
  <c r="L34" i="98"/>
  <c r="L56" i="98"/>
  <c r="L59" i="98"/>
  <c r="L63" i="98"/>
  <c r="L65" i="98"/>
  <c r="L66" i="98"/>
  <c r="L39" i="98"/>
  <c r="L29" i="98"/>
  <c r="L33" i="98"/>
  <c r="U58" i="98"/>
  <c r="T58" i="98"/>
  <c r="H20" i="54"/>
  <c r="H24" i="54"/>
  <c r="G20" i="54"/>
  <c r="G24" i="54"/>
  <c r="L38" i="98"/>
  <c r="L57" i="98"/>
  <c r="K38" i="98"/>
  <c r="K57" i="98"/>
  <c r="E45" i="54"/>
  <c r="H2" i="143"/>
  <c r="K95" i="98"/>
  <c r="L87" i="98"/>
  <c r="L89" i="98"/>
  <c r="L60" i="150"/>
  <c r="G28" i="118"/>
  <c r="G31" i="118"/>
  <c r="F38" i="118"/>
  <c r="I78" i="98"/>
  <c r="I80" i="98"/>
  <c r="I82" i="98"/>
  <c r="M21" i="98"/>
  <c r="G95" i="54"/>
  <c r="H87" i="54"/>
  <c r="H89" i="54"/>
  <c r="G27" i="54"/>
  <c r="G31" i="54"/>
  <c r="G34" i="54"/>
  <c r="G40" i="54"/>
  <c r="G29" i="54"/>
  <c r="G33" i="54"/>
  <c r="G55" i="54"/>
  <c r="G58" i="54"/>
  <c r="G62" i="54"/>
  <c r="G64" i="54"/>
  <c r="G65" i="54"/>
  <c r="G38" i="54"/>
  <c r="G28" i="54"/>
  <c r="G32" i="54"/>
  <c r="H91" i="54"/>
  <c r="H94" i="54"/>
  <c r="O21" i="98"/>
  <c r="O25" i="98"/>
  <c r="N21" i="98"/>
  <c r="N25" i="98"/>
  <c r="H29" i="54"/>
  <c r="H33" i="54"/>
  <c r="H55" i="54"/>
  <c r="H58" i="54"/>
  <c r="H62" i="54"/>
  <c r="H64" i="54"/>
  <c r="H65" i="54"/>
  <c r="H38" i="54"/>
  <c r="H28" i="54"/>
  <c r="H32" i="54"/>
  <c r="H27" i="54"/>
  <c r="H31" i="54"/>
  <c r="H34" i="54"/>
  <c r="H40" i="54"/>
  <c r="H43" i="54"/>
  <c r="H81" i="54"/>
  <c r="I71" i="54"/>
  <c r="E206" i="14"/>
  <c r="E514" i="14"/>
  <c r="E150" i="14"/>
  <c r="E556" i="14"/>
  <c r="E192" i="14"/>
  <c r="E472" i="14"/>
  <c r="E416" i="14"/>
  <c r="E74" i="14"/>
  <c r="E304" i="14"/>
  <c r="E346" i="14"/>
  <c r="E444" i="14"/>
  <c r="E360" i="14"/>
  <c r="E542" i="14"/>
  <c r="E528" i="14"/>
  <c r="E248" i="14"/>
  <c r="E122" i="14"/>
  <c r="E332" i="14"/>
  <c r="E136" i="14"/>
  <c r="E94" i="14"/>
  <c r="E178" i="14"/>
  <c r="E402" i="14"/>
  <c r="E318" i="14"/>
  <c r="E234" i="14"/>
  <c r="E486" i="14"/>
  <c r="E458" i="14"/>
  <c r="E108" i="14"/>
  <c r="E374" i="14"/>
  <c r="E164" i="14"/>
  <c r="E430" i="14"/>
  <c r="E500" i="14"/>
  <c r="E276" i="14"/>
  <c r="E388" i="14"/>
  <c r="E220" i="14"/>
  <c r="E290" i="14"/>
  <c r="E262" i="14"/>
  <c r="L46" i="98"/>
  <c r="H4" i="144"/>
  <c r="E515" i="14"/>
  <c r="E375" i="14"/>
  <c r="E557" i="14"/>
  <c r="E137" i="14"/>
  <c r="E347" i="14"/>
  <c r="E277" i="14"/>
  <c r="E249" i="14"/>
  <c r="E263" i="14"/>
  <c r="E291" i="14"/>
  <c r="G12" i="145"/>
  <c r="E207" i="14"/>
  <c r="E487" i="14"/>
  <c r="E333" i="14"/>
  <c r="E319" i="14"/>
  <c r="E417" i="14"/>
  <c r="G11" i="145"/>
  <c r="D13" i="14"/>
  <c r="E445" i="14"/>
  <c r="E473" i="14"/>
  <c r="G13" i="145"/>
  <c r="E389" i="14"/>
  <c r="E403" i="14"/>
  <c r="D12" i="14"/>
  <c r="E109" i="14"/>
  <c r="G10" i="145"/>
  <c r="E151" i="14"/>
  <c r="E361" i="14"/>
  <c r="E305" i="14"/>
  <c r="E221" i="14"/>
  <c r="E179" i="14"/>
  <c r="E123" i="14"/>
  <c r="E95" i="14"/>
  <c r="E501" i="14"/>
  <c r="E529" i="14"/>
  <c r="E459" i="14"/>
  <c r="E543" i="14"/>
  <c r="E431" i="14"/>
  <c r="E193" i="14"/>
  <c r="E165" i="14"/>
  <c r="E235" i="14"/>
  <c r="E75" i="14"/>
  <c r="J75" i="98"/>
  <c r="M38" i="98"/>
  <c r="I81" i="98"/>
  <c r="H28" i="118"/>
  <c r="G38" i="118"/>
  <c r="L61" i="150"/>
  <c r="M73" i="98"/>
  <c r="M76" i="98"/>
  <c r="Y38" i="98"/>
  <c r="L91" i="98"/>
  <c r="L94" i="98"/>
  <c r="K20" i="54"/>
  <c r="K24" i="54"/>
  <c r="J20" i="54"/>
  <c r="J24" i="54"/>
  <c r="N38" i="98"/>
  <c r="N57" i="98"/>
  <c r="O38" i="98"/>
  <c r="O57" i="98"/>
  <c r="K29" i="54"/>
  <c r="K33" i="54"/>
  <c r="K55" i="54"/>
  <c r="K58" i="54"/>
  <c r="K62" i="54"/>
  <c r="K64" i="54"/>
  <c r="K65" i="54"/>
  <c r="K38" i="54"/>
  <c r="K27" i="54"/>
  <c r="K31" i="54"/>
  <c r="K34" i="54"/>
  <c r="K40" i="54"/>
  <c r="K43" i="54"/>
  <c r="K28" i="54"/>
  <c r="K32" i="54"/>
  <c r="Z38" i="98"/>
  <c r="Z57" i="98"/>
  <c r="AA38" i="98"/>
  <c r="AA57" i="98"/>
  <c r="J78" i="98"/>
  <c r="J80" i="98"/>
  <c r="J82" i="98"/>
  <c r="D389" i="14"/>
  <c r="C12" i="14"/>
  <c r="D207" i="14"/>
  <c r="D109" i="14"/>
  <c r="C13" i="14"/>
  <c r="G8" i="145"/>
  <c r="D249" i="14"/>
  <c r="D123" i="14"/>
  <c r="D193" i="14"/>
  <c r="D95" i="14"/>
  <c r="D361" i="14"/>
  <c r="D151" i="14"/>
  <c r="D221" i="14"/>
  <c r="D291" i="14"/>
  <c r="D347" i="14"/>
  <c r="D179" i="14"/>
  <c r="D557" i="14"/>
  <c r="D515" i="14"/>
  <c r="D501" i="14"/>
  <c r="D137" i="14"/>
  <c r="D431" i="14"/>
  <c r="D529" i="14"/>
  <c r="D487" i="14"/>
  <c r="D165" i="14"/>
  <c r="D375" i="14"/>
  <c r="D333" i="14"/>
  <c r="D263" i="14"/>
  <c r="D277" i="14"/>
  <c r="D403" i="14"/>
  <c r="D459" i="14"/>
  <c r="D305" i="14"/>
  <c r="G6" i="145"/>
  <c r="D543" i="14"/>
  <c r="G9" i="145"/>
  <c r="D473" i="14"/>
  <c r="G7" i="145"/>
  <c r="D319" i="14"/>
  <c r="D75" i="14"/>
  <c r="D235" i="14"/>
  <c r="D417" i="14"/>
  <c r="D445" i="14"/>
  <c r="H3" i="143"/>
  <c r="H45" i="54"/>
  <c r="W58" i="98"/>
  <c r="X58" i="98"/>
  <c r="N71" i="98"/>
  <c r="N28" i="98"/>
  <c r="N32" i="98"/>
  <c r="N35" i="98"/>
  <c r="N41" i="98"/>
  <c r="N29" i="98"/>
  <c r="N33" i="98"/>
  <c r="N30" i="98"/>
  <c r="N34" i="98"/>
  <c r="N56" i="98"/>
  <c r="N59" i="98"/>
  <c r="N63" i="98"/>
  <c r="N65" i="98"/>
  <c r="N66" i="98"/>
  <c r="N39" i="98"/>
  <c r="K57" i="54"/>
  <c r="J57" i="54"/>
  <c r="J29" i="54"/>
  <c r="J33" i="54"/>
  <c r="J55" i="54"/>
  <c r="J58" i="54"/>
  <c r="J62" i="54"/>
  <c r="J64" i="54"/>
  <c r="J65" i="54"/>
  <c r="J38" i="54"/>
  <c r="J27" i="54"/>
  <c r="J31" i="54"/>
  <c r="J34" i="54"/>
  <c r="J40" i="54"/>
  <c r="J28" i="54"/>
  <c r="J32" i="54"/>
  <c r="L95" i="98"/>
  <c r="M87" i="98"/>
  <c r="M89" i="98"/>
  <c r="L62" i="150"/>
  <c r="O61" i="150"/>
  <c r="D290" i="14"/>
  <c r="D304" i="14"/>
  <c r="D472" i="14"/>
  <c r="D248" i="14"/>
  <c r="D206" i="14"/>
  <c r="D458" i="14"/>
  <c r="D374" i="14"/>
  <c r="D276" i="14"/>
  <c r="D430" i="14"/>
  <c r="D74" i="14"/>
  <c r="D108" i="14"/>
  <c r="D234" i="14"/>
  <c r="D192" i="14"/>
  <c r="D402" i="14"/>
  <c r="D136" i="14"/>
  <c r="D150" i="14"/>
  <c r="D500" i="14"/>
  <c r="D318" i="14"/>
  <c r="D164" i="14"/>
  <c r="D514" i="14"/>
  <c r="D528" i="14"/>
  <c r="D542" i="14"/>
  <c r="D178" i="14"/>
  <c r="D332" i="14"/>
  <c r="D346" i="14"/>
  <c r="D416" i="14"/>
  <c r="D262" i="14"/>
  <c r="D486" i="14"/>
  <c r="D94" i="14"/>
  <c r="D122" i="14"/>
  <c r="D556" i="14"/>
  <c r="D444" i="14"/>
  <c r="D220" i="14"/>
  <c r="D360" i="14"/>
  <c r="D388" i="14"/>
  <c r="I80" i="54"/>
  <c r="I82" i="54"/>
  <c r="L20" i="54"/>
  <c r="I76" i="54"/>
  <c r="I78" i="54"/>
  <c r="J75" i="54"/>
  <c r="I73" i="54"/>
  <c r="O30" i="98"/>
  <c r="O34" i="98"/>
  <c r="O56" i="98"/>
  <c r="O59" i="98"/>
  <c r="O63" i="98"/>
  <c r="O65" i="98"/>
  <c r="O66" i="98"/>
  <c r="O39" i="98"/>
  <c r="O29" i="98"/>
  <c r="O33" i="98"/>
  <c r="O28" i="98"/>
  <c r="O32" i="98"/>
  <c r="O35" i="98"/>
  <c r="O41" i="98"/>
  <c r="O44" i="98"/>
  <c r="H95" i="54"/>
  <c r="I87" i="54"/>
  <c r="I89" i="54"/>
  <c r="M91" i="98"/>
  <c r="M94" i="98"/>
  <c r="M95" i="98"/>
  <c r="N87" i="98"/>
  <c r="N89" i="98"/>
  <c r="N76" i="98"/>
  <c r="AB38" i="98"/>
  <c r="N73" i="98"/>
  <c r="P21" i="98"/>
  <c r="D21" i="98"/>
  <c r="O46" i="98"/>
  <c r="H5" i="144"/>
  <c r="L63" i="150"/>
  <c r="P38" i="98"/>
  <c r="K75" i="98"/>
  <c r="K78" i="98"/>
  <c r="J81" i="98"/>
  <c r="K80" i="98"/>
  <c r="K82" i="98"/>
  <c r="S21" i="98"/>
  <c r="K45" i="54"/>
  <c r="H4" i="143"/>
  <c r="G2" i="145"/>
  <c r="C235" i="14"/>
  <c r="C277" i="14"/>
  <c r="C221" i="14"/>
  <c r="C75" i="14"/>
  <c r="C361" i="14"/>
  <c r="C263" i="14"/>
  <c r="C137" i="14"/>
  <c r="C207" i="14"/>
  <c r="C445" i="14"/>
  <c r="C389" i="14"/>
  <c r="C543" i="14"/>
  <c r="C333" i="14"/>
  <c r="C347" i="14"/>
  <c r="G5" i="145"/>
  <c r="C403" i="14"/>
  <c r="G3" i="145"/>
  <c r="C305" i="14"/>
  <c r="C473" i="14"/>
  <c r="C515" i="14"/>
  <c r="C529" i="14"/>
  <c r="C319" i="14"/>
  <c r="C249" i="14"/>
  <c r="C431" i="14"/>
  <c r="C375" i="14"/>
  <c r="C179" i="14"/>
  <c r="C165" i="14"/>
  <c r="G4" i="145"/>
  <c r="C193" i="14"/>
  <c r="C459" i="14"/>
  <c r="C557" i="14"/>
  <c r="C151" i="14"/>
  <c r="C95" i="14"/>
  <c r="C487" i="14"/>
  <c r="C417" i="14"/>
  <c r="C109" i="14"/>
  <c r="C291" i="14"/>
  <c r="C501" i="14"/>
  <c r="C123" i="14"/>
  <c r="N20" i="54"/>
  <c r="N24" i="54"/>
  <c r="M20" i="54"/>
  <c r="M24" i="54"/>
  <c r="I91" i="54"/>
  <c r="I94" i="54"/>
  <c r="I95" i="54"/>
  <c r="J87" i="54"/>
  <c r="J89" i="54"/>
  <c r="J71" i="54"/>
  <c r="I81" i="54"/>
  <c r="O76" i="150"/>
  <c r="L76" i="150" s="1"/>
  <c r="C472" i="14"/>
  <c r="C122" i="14"/>
  <c r="C108" i="14"/>
  <c r="C458" i="14"/>
  <c r="C528" i="14"/>
  <c r="C276" i="14"/>
  <c r="C150" i="14"/>
  <c r="C444" i="14"/>
  <c r="C290" i="14"/>
  <c r="C248" i="14"/>
  <c r="C178" i="14"/>
  <c r="C416" i="14"/>
  <c r="C514" i="14"/>
  <c r="C486" i="14"/>
  <c r="C94" i="14"/>
  <c r="C346" i="14"/>
  <c r="C304" i="14"/>
  <c r="C388" i="14"/>
  <c r="C374" i="14"/>
  <c r="C556" i="14"/>
  <c r="C192" i="14"/>
  <c r="C74" i="14"/>
  <c r="C234" i="14"/>
  <c r="C360" i="14"/>
  <c r="C402" i="14"/>
  <c r="C430" i="14"/>
  <c r="C262" i="14"/>
  <c r="C542" i="14"/>
  <c r="C164" i="14"/>
  <c r="C220" i="14"/>
  <c r="C318" i="14"/>
  <c r="C206" i="14"/>
  <c r="C500" i="14"/>
  <c r="C332" i="14"/>
  <c r="C136" i="14"/>
  <c r="N91" i="98"/>
  <c r="N94" i="98"/>
  <c r="J91" i="54"/>
  <c r="J94" i="54"/>
  <c r="J95" i="54"/>
  <c r="K87" i="54"/>
  <c r="K89" i="54"/>
  <c r="L64" i="150"/>
  <c r="N57" i="54"/>
  <c r="M57" i="54"/>
  <c r="Q21" i="98"/>
  <c r="Q25" i="98"/>
  <c r="R21" i="98"/>
  <c r="R25" i="98"/>
  <c r="M29" i="54"/>
  <c r="M33" i="54"/>
  <c r="M55" i="54"/>
  <c r="M58" i="54"/>
  <c r="M62" i="54"/>
  <c r="M64" i="54"/>
  <c r="M65" i="54"/>
  <c r="M38" i="54"/>
  <c r="M27" i="54"/>
  <c r="M31" i="54"/>
  <c r="M34" i="54"/>
  <c r="M40" i="54"/>
  <c r="M28" i="54"/>
  <c r="M32" i="54"/>
  <c r="T21" i="98"/>
  <c r="T25" i="98"/>
  <c r="U21" i="98"/>
  <c r="U25" i="98"/>
  <c r="O71" i="98"/>
  <c r="Q38" i="98"/>
  <c r="Q57" i="98"/>
  <c r="R38" i="98"/>
  <c r="R57" i="98"/>
  <c r="E21" i="98"/>
  <c r="E25" i="98"/>
  <c r="F21" i="98"/>
  <c r="F25" i="98"/>
  <c r="J76" i="54"/>
  <c r="J78" i="54"/>
  <c r="K75" i="54"/>
  <c r="J80" i="54"/>
  <c r="J82" i="54"/>
  <c r="O20" i="54"/>
  <c r="J73" i="54"/>
  <c r="N27" i="54"/>
  <c r="N31" i="54"/>
  <c r="N34" i="54"/>
  <c r="N40" i="54"/>
  <c r="N43" i="54"/>
  <c r="N29" i="54"/>
  <c r="N33" i="54"/>
  <c r="N55" i="54"/>
  <c r="N58" i="54"/>
  <c r="N62" i="54"/>
  <c r="N64" i="54"/>
  <c r="N65" i="54"/>
  <c r="N38" i="54"/>
  <c r="N28" i="54"/>
  <c r="N32" i="54"/>
  <c r="L75" i="98"/>
  <c r="L78" i="98"/>
  <c r="K81" i="98"/>
  <c r="L80" i="98"/>
  <c r="L82" i="98"/>
  <c r="V21" i="98"/>
  <c r="AC38" i="98"/>
  <c r="AC57" i="98"/>
  <c r="AD38" i="98"/>
  <c r="AD57" i="98"/>
  <c r="Z58" i="98"/>
  <c r="AA58" i="98"/>
  <c r="K91" i="54"/>
  <c r="K94" i="54"/>
  <c r="E28" i="98"/>
  <c r="E32" i="98"/>
  <c r="E35" i="98"/>
  <c r="E41" i="98"/>
  <c r="E30" i="98"/>
  <c r="E34" i="98"/>
  <c r="E56" i="98"/>
  <c r="E59" i="98"/>
  <c r="E63" i="98"/>
  <c r="E65" i="98"/>
  <c r="E66" i="98"/>
  <c r="E39" i="98"/>
  <c r="E29" i="98"/>
  <c r="E33" i="98"/>
  <c r="R28" i="98"/>
  <c r="R32" i="98"/>
  <c r="R35" i="98"/>
  <c r="R41" i="98"/>
  <c r="R44" i="98"/>
  <c r="R30" i="98"/>
  <c r="R34" i="98"/>
  <c r="R56" i="98"/>
  <c r="R59" i="98"/>
  <c r="R63" i="98"/>
  <c r="R65" i="98"/>
  <c r="R66" i="98"/>
  <c r="R39" i="98"/>
  <c r="R29" i="98"/>
  <c r="R33" i="98"/>
  <c r="W21" i="98"/>
  <c r="W25" i="98"/>
  <c r="X21" i="98"/>
  <c r="X25" i="98"/>
  <c r="U30" i="98"/>
  <c r="U34" i="98"/>
  <c r="U56" i="98"/>
  <c r="U59" i="98"/>
  <c r="U63" i="98"/>
  <c r="U65" i="98"/>
  <c r="U66" i="98"/>
  <c r="U39" i="98"/>
  <c r="U29" i="98"/>
  <c r="U33" i="98"/>
  <c r="U28" i="98"/>
  <c r="U32" i="98"/>
  <c r="U35" i="98"/>
  <c r="U41" i="98"/>
  <c r="U44" i="98"/>
  <c r="Q30" i="98"/>
  <c r="Q34" i="98"/>
  <c r="Q56" i="98"/>
  <c r="Q59" i="98"/>
  <c r="Q63" i="98"/>
  <c r="Q65" i="98"/>
  <c r="Q66" i="98"/>
  <c r="Q39" i="98"/>
  <c r="Q28" i="98"/>
  <c r="Q32" i="98"/>
  <c r="Q35" i="98"/>
  <c r="Q41" i="98"/>
  <c r="Q29" i="98"/>
  <c r="Q33" i="98"/>
  <c r="Q57" i="54"/>
  <c r="P57" i="54"/>
  <c r="AD58" i="98"/>
  <c r="AC58" i="98"/>
  <c r="H5" i="143"/>
  <c r="N45" i="54"/>
  <c r="M75" i="98"/>
  <c r="M78" i="98"/>
  <c r="L81" i="98"/>
  <c r="M80" i="98"/>
  <c r="M82" i="98"/>
  <c r="Y21" i="98"/>
  <c r="K71" i="54"/>
  <c r="J81" i="54"/>
  <c r="T29" i="98"/>
  <c r="T33" i="98"/>
  <c r="T28" i="98"/>
  <c r="T32" i="98"/>
  <c r="T35" i="98"/>
  <c r="T41" i="98"/>
  <c r="T30" i="98"/>
  <c r="T34" i="98"/>
  <c r="T56" i="98"/>
  <c r="T59" i="98"/>
  <c r="T63" i="98"/>
  <c r="T65" i="98"/>
  <c r="T66" i="98"/>
  <c r="T39" i="98"/>
  <c r="Q20" i="54"/>
  <c r="Q24" i="54"/>
  <c r="P20" i="54"/>
  <c r="P24" i="54"/>
  <c r="F30" i="98"/>
  <c r="F34" i="98"/>
  <c r="F56" i="98"/>
  <c r="F59" i="98"/>
  <c r="F63" i="98"/>
  <c r="F65" i="98"/>
  <c r="F66" i="98"/>
  <c r="F39" i="98"/>
  <c r="F29" i="98"/>
  <c r="F33" i="98"/>
  <c r="F28" i="98"/>
  <c r="F32" i="98"/>
  <c r="F35" i="98"/>
  <c r="F41" i="98"/>
  <c r="F44" i="98"/>
  <c r="O76" i="98"/>
  <c r="AE38" i="98"/>
  <c r="O73" i="98"/>
  <c r="L65" i="150"/>
  <c r="N95" i="98"/>
  <c r="O87" i="98"/>
  <c r="O89" i="98"/>
  <c r="H2" i="144"/>
  <c r="F46" i="98"/>
  <c r="Q29" i="54"/>
  <c r="Q33" i="54"/>
  <c r="Q55" i="54"/>
  <c r="Q58" i="54"/>
  <c r="Q62" i="54"/>
  <c r="Q64" i="54"/>
  <c r="Q65" i="54"/>
  <c r="Q38" i="54"/>
  <c r="Q27" i="54"/>
  <c r="Q31" i="54"/>
  <c r="Q34" i="54"/>
  <c r="Q40" i="54"/>
  <c r="Q43" i="54"/>
  <c r="Q28" i="54"/>
  <c r="Q32" i="54"/>
  <c r="AA21" i="98"/>
  <c r="AA25" i="98"/>
  <c r="Z21" i="98"/>
  <c r="Z25" i="98"/>
  <c r="X30" i="98"/>
  <c r="X34" i="98"/>
  <c r="X56" i="98"/>
  <c r="X59" i="98"/>
  <c r="X63" i="98"/>
  <c r="X65" i="98"/>
  <c r="X66" i="98"/>
  <c r="X39" i="98"/>
  <c r="X28" i="98"/>
  <c r="X32" i="98"/>
  <c r="X35" i="98"/>
  <c r="X41" i="98"/>
  <c r="X44" i="98"/>
  <c r="X29" i="98"/>
  <c r="X33" i="98"/>
  <c r="H6" i="144"/>
  <c r="R46" i="98"/>
  <c r="S57" i="54"/>
  <c r="T57" i="54"/>
  <c r="L66" i="150"/>
  <c r="O66" i="150"/>
  <c r="O81" i="150"/>
  <c r="O65" i="150"/>
  <c r="O80" i="150"/>
  <c r="K73" i="54"/>
  <c r="K76" i="54"/>
  <c r="K78" i="54"/>
  <c r="L75" i="54"/>
  <c r="L78" i="54"/>
  <c r="M75" i="54"/>
  <c r="M78" i="54"/>
  <c r="N75" i="54"/>
  <c r="N78" i="54"/>
  <c r="O75" i="54"/>
  <c r="O78" i="54"/>
  <c r="K80" i="54"/>
  <c r="K82" i="54"/>
  <c r="R20" i="54"/>
  <c r="O91" i="98"/>
  <c r="O94" i="98"/>
  <c r="AF38" i="98"/>
  <c r="AF57" i="98"/>
  <c r="AG38" i="98"/>
  <c r="AG57" i="98"/>
  <c r="P28" i="54"/>
  <c r="P32" i="54"/>
  <c r="P29" i="54"/>
  <c r="P33" i="54"/>
  <c r="P55" i="54"/>
  <c r="P58" i="54"/>
  <c r="P62" i="54"/>
  <c r="P64" i="54"/>
  <c r="P65" i="54"/>
  <c r="P38" i="54"/>
  <c r="P27" i="54"/>
  <c r="P31" i="54"/>
  <c r="P34" i="54"/>
  <c r="P40" i="54"/>
  <c r="N75" i="98"/>
  <c r="N78" i="98"/>
  <c r="M81" i="98"/>
  <c r="N80" i="98"/>
  <c r="N82" i="98"/>
  <c r="AB21" i="98"/>
  <c r="H7" i="144"/>
  <c r="U46" i="98"/>
  <c r="W30" i="98"/>
  <c r="W34" i="98"/>
  <c r="W56" i="98"/>
  <c r="W59" i="98"/>
  <c r="W63" i="98"/>
  <c r="W65" i="98"/>
  <c r="W66" i="98"/>
  <c r="W39" i="98"/>
  <c r="W28" i="98"/>
  <c r="W32" i="98"/>
  <c r="W35" i="98"/>
  <c r="W41" i="98"/>
  <c r="W29" i="98"/>
  <c r="W33" i="98"/>
  <c r="K95" i="54"/>
  <c r="L87" i="54"/>
  <c r="L89" i="54"/>
  <c r="X46" i="98"/>
  <c r="H8" i="144"/>
  <c r="L91" i="54"/>
  <c r="L94" i="54"/>
  <c r="L95" i="54"/>
  <c r="M87" i="54"/>
  <c r="M89" i="54"/>
  <c r="K81" i="54"/>
  <c r="L80" i="54"/>
  <c r="L82" i="54"/>
  <c r="U20" i="54"/>
  <c r="L71" i="54"/>
  <c r="T20" i="54"/>
  <c r="T24" i="54"/>
  <c r="S20" i="54"/>
  <c r="S24" i="54"/>
  <c r="Z29" i="98"/>
  <c r="Z33" i="98"/>
  <c r="Z30" i="98"/>
  <c r="Z34" i="98"/>
  <c r="Z56" i="98"/>
  <c r="Z59" i="98"/>
  <c r="Z63" i="98"/>
  <c r="Z65" i="98"/>
  <c r="Z66" i="98"/>
  <c r="Z39" i="98"/>
  <c r="Z28" i="98"/>
  <c r="Z32" i="98"/>
  <c r="Z35" i="98"/>
  <c r="Z41" i="98"/>
  <c r="Q45" i="54"/>
  <c r="H6" i="143"/>
  <c r="O75" i="98"/>
  <c r="O78" i="98"/>
  <c r="O81" i="98"/>
  <c r="N81" i="98"/>
  <c r="O80" i="98"/>
  <c r="O82" i="98"/>
  <c r="AE21" i="98"/>
  <c r="AG58" i="98"/>
  <c r="AF58" i="98"/>
  <c r="AD21" i="98"/>
  <c r="AD25" i="98"/>
  <c r="AC21" i="98"/>
  <c r="AC25" i="98"/>
  <c r="O95" i="98"/>
  <c r="AA29" i="98"/>
  <c r="AA33" i="98"/>
  <c r="AA30" i="98"/>
  <c r="AA34" i="98"/>
  <c r="AA56" i="98"/>
  <c r="AA59" i="98"/>
  <c r="AA63" i="98"/>
  <c r="AA65" i="98"/>
  <c r="AA66" i="98"/>
  <c r="AA39" i="98"/>
  <c r="AA28" i="98"/>
  <c r="AA32" i="98"/>
  <c r="AA35" i="98"/>
  <c r="AA41" i="98"/>
  <c r="AA44" i="98"/>
  <c r="M91" i="54"/>
  <c r="M94" i="54"/>
  <c r="AD30" i="98"/>
  <c r="AD34" i="98"/>
  <c r="AD56" i="98"/>
  <c r="AD59" i="98"/>
  <c r="AD63" i="98"/>
  <c r="AD65" i="98"/>
  <c r="AD66" i="98"/>
  <c r="AD39" i="98"/>
  <c r="AD28" i="98"/>
  <c r="AD32" i="98"/>
  <c r="AD35" i="98"/>
  <c r="AD41" i="98"/>
  <c r="AD44" i="98"/>
  <c r="AD29" i="98"/>
  <c r="AD33" i="98"/>
  <c r="L73" i="54"/>
  <c r="L76" i="54"/>
  <c r="U37" i="54"/>
  <c r="W20" i="54"/>
  <c r="W24" i="54"/>
  <c r="V20" i="54"/>
  <c r="V24" i="54"/>
  <c r="W57" i="54"/>
  <c r="V57" i="54"/>
  <c r="S28" i="54"/>
  <c r="S32" i="54"/>
  <c r="S29" i="54"/>
  <c r="S33" i="54"/>
  <c r="S55" i="54"/>
  <c r="S58" i="54"/>
  <c r="S62" i="54"/>
  <c r="S64" i="54"/>
  <c r="S65" i="54"/>
  <c r="S38" i="54"/>
  <c r="S27" i="54"/>
  <c r="S31" i="54"/>
  <c r="S34" i="54"/>
  <c r="S40" i="54"/>
  <c r="AA46" i="98"/>
  <c r="H9" i="144"/>
  <c r="AC30" i="98"/>
  <c r="AC34" i="98"/>
  <c r="AC56" i="98"/>
  <c r="AC59" i="98"/>
  <c r="AC63" i="98"/>
  <c r="AC65" i="98"/>
  <c r="AC66" i="98"/>
  <c r="AC39" i="98"/>
  <c r="AC28" i="98"/>
  <c r="AC32" i="98"/>
  <c r="AC35" i="98"/>
  <c r="AC41" i="98"/>
  <c r="AC29" i="98"/>
  <c r="AC33" i="98"/>
  <c r="AG21" i="98"/>
  <c r="AG25" i="98"/>
  <c r="AF21" i="98"/>
  <c r="AF25" i="98"/>
  <c r="T27" i="54"/>
  <c r="T31" i="54"/>
  <c r="T34" i="54"/>
  <c r="T40" i="54"/>
  <c r="T43" i="54"/>
  <c r="T29" i="54"/>
  <c r="T33" i="54"/>
  <c r="T55" i="54"/>
  <c r="T58" i="54"/>
  <c r="T62" i="54"/>
  <c r="T64" i="54"/>
  <c r="T65" i="54"/>
  <c r="T38" i="54"/>
  <c r="T28" i="54"/>
  <c r="T32" i="54"/>
  <c r="W27" i="54"/>
  <c r="W31" i="54"/>
  <c r="W34" i="54"/>
  <c r="W40" i="54"/>
  <c r="W43" i="54"/>
  <c r="W29" i="54"/>
  <c r="W33" i="54"/>
  <c r="W55" i="54"/>
  <c r="W58" i="54"/>
  <c r="W62" i="54"/>
  <c r="W64" i="54"/>
  <c r="W65" i="54"/>
  <c r="W38" i="54"/>
  <c r="W28" i="54"/>
  <c r="W32" i="54"/>
  <c r="AD46" i="98"/>
  <c r="H10" i="144"/>
  <c r="V37" i="54"/>
  <c r="V56" i="54"/>
  <c r="W37" i="54"/>
  <c r="W56" i="54"/>
  <c r="AG28" i="98"/>
  <c r="AG32" i="98"/>
  <c r="AG35" i="98"/>
  <c r="AG41" i="98"/>
  <c r="AG44" i="98"/>
  <c r="AG29" i="98"/>
  <c r="AG33" i="98"/>
  <c r="AG30" i="98"/>
  <c r="AG34" i="98"/>
  <c r="AG56" i="98"/>
  <c r="AG59" i="98"/>
  <c r="AG63" i="98"/>
  <c r="AG65" i="98"/>
  <c r="AG66" i="98"/>
  <c r="AG39" i="98"/>
  <c r="H7" i="143"/>
  <c r="T45" i="54"/>
  <c r="L81" i="54"/>
  <c r="M80" i="54"/>
  <c r="M82" i="54"/>
  <c r="X20" i="54"/>
  <c r="M71" i="54"/>
  <c r="Z57" i="54"/>
  <c r="Y57" i="54"/>
  <c r="AF29" i="98"/>
  <c r="AF33" i="98"/>
  <c r="AF30" i="98"/>
  <c r="AF34" i="98"/>
  <c r="AF56" i="98"/>
  <c r="AF59" i="98"/>
  <c r="AF63" i="98"/>
  <c r="AF65" i="98"/>
  <c r="AF66" i="98"/>
  <c r="AF39" i="98"/>
  <c r="AF28" i="98"/>
  <c r="AF32" i="98"/>
  <c r="AF35" i="98"/>
  <c r="AF41" i="98"/>
  <c r="V29" i="54"/>
  <c r="V33" i="54"/>
  <c r="V55" i="54"/>
  <c r="V58" i="54"/>
  <c r="V62" i="54"/>
  <c r="V64" i="54"/>
  <c r="V65" i="54"/>
  <c r="V38" i="54"/>
  <c r="V27" i="54"/>
  <c r="V31" i="54"/>
  <c r="V34" i="54"/>
  <c r="V40" i="54"/>
  <c r="V28" i="54"/>
  <c r="V32" i="54"/>
  <c r="M95" i="54"/>
  <c r="N87" i="54"/>
  <c r="N89" i="54"/>
  <c r="AG46" i="98"/>
  <c r="H11" i="144"/>
  <c r="N91" i="54"/>
  <c r="N94" i="54"/>
  <c r="N95" i="54"/>
  <c r="O87" i="54"/>
  <c r="O89" i="54"/>
  <c r="M76" i="54"/>
  <c r="X37" i="54"/>
  <c r="M73" i="54"/>
  <c r="Z20" i="54"/>
  <c r="Z24" i="54"/>
  <c r="Y20" i="54"/>
  <c r="Y24" i="54"/>
  <c r="H8" i="143"/>
  <c r="W45" i="54"/>
  <c r="O91" i="54"/>
  <c r="O94" i="54"/>
  <c r="O95" i="54"/>
  <c r="Y29" i="54"/>
  <c r="Y33" i="54"/>
  <c r="Y55" i="54"/>
  <c r="Y58" i="54"/>
  <c r="Y62" i="54"/>
  <c r="Y64" i="54"/>
  <c r="Y65" i="54"/>
  <c r="Y38" i="54"/>
  <c r="Y28" i="54"/>
  <c r="Y32" i="54"/>
  <c r="Y27" i="54"/>
  <c r="Y31" i="54"/>
  <c r="Y34" i="54"/>
  <c r="Y40" i="54"/>
  <c r="Z28" i="54"/>
  <c r="Z32" i="54"/>
  <c r="Z29" i="54"/>
  <c r="Z33" i="54"/>
  <c r="Z55" i="54"/>
  <c r="Z58" i="54"/>
  <c r="Z62" i="54"/>
  <c r="Z64" i="54"/>
  <c r="Z65" i="54"/>
  <c r="Z38" i="54"/>
  <c r="Z27" i="54"/>
  <c r="Z31" i="54"/>
  <c r="Z34" i="54"/>
  <c r="Z40" i="54"/>
  <c r="Z43" i="54"/>
  <c r="N71" i="54"/>
  <c r="M81" i="54"/>
  <c r="N80" i="54"/>
  <c r="N82" i="54"/>
  <c r="AA20" i="54"/>
  <c r="AC57" i="54"/>
  <c r="AB57" i="54"/>
  <c r="Y37" i="54"/>
  <c r="Y56" i="54"/>
  <c r="Z37" i="54"/>
  <c r="Z56" i="54"/>
  <c r="H9" i="143"/>
  <c r="Z45" i="54"/>
  <c r="AC20" i="54"/>
  <c r="AC24" i="54"/>
  <c r="AB20" i="54"/>
  <c r="AB24" i="54"/>
  <c r="N76" i="54"/>
  <c r="AA37" i="54"/>
  <c r="N73" i="54"/>
  <c r="AE57" i="54"/>
  <c r="AF57" i="54"/>
  <c r="AC28" i="54"/>
  <c r="AC32" i="54"/>
  <c r="AC29" i="54"/>
  <c r="AC33" i="54"/>
  <c r="AC55" i="54"/>
  <c r="AC58" i="54"/>
  <c r="AC62" i="54"/>
  <c r="AC64" i="54"/>
  <c r="AC65" i="54"/>
  <c r="AC38" i="54"/>
  <c r="AC27" i="54"/>
  <c r="AC31" i="54"/>
  <c r="AC34" i="54"/>
  <c r="AC40" i="54"/>
  <c r="AC43" i="54"/>
  <c r="N81" i="54"/>
  <c r="O80" i="54"/>
  <c r="O82" i="54"/>
  <c r="AD20" i="54"/>
  <c r="O71" i="54"/>
  <c r="AB29" i="54"/>
  <c r="AB33" i="54"/>
  <c r="AB55" i="54"/>
  <c r="AB58" i="54"/>
  <c r="AB62" i="54"/>
  <c r="AB64" i="54"/>
  <c r="AB65" i="54"/>
  <c r="AB38" i="54"/>
  <c r="AB28" i="54"/>
  <c r="AB32" i="54"/>
  <c r="AB27" i="54"/>
  <c r="AB31" i="54"/>
  <c r="AB34" i="54"/>
  <c r="AB40" i="54"/>
  <c r="AB37" i="54"/>
  <c r="AB56" i="54"/>
  <c r="AC37" i="54"/>
  <c r="AC56" i="54"/>
  <c r="AF20" i="54"/>
  <c r="AF24" i="54"/>
  <c r="AE20" i="54"/>
  <c r="AE24" i="54"/>
  <c r="AC45" i="54"/>
  <c r="H10" i="143"/>
  <c r="O73" i="54"/>
  <c r="O81" i="54"/>
  <c r="O76" i="54"/>
  <c r="AD37" i="54"/>
  <c r="AE29" i="54"/>
  <c r="AE33" i="54"/>
  <c r="AE55" i="54"/>
  <c r="AE58" i="54"/>
  <c r="AE62" i="54"/>
  <c r="AE64" i="54"/>
  <c r="AE65" i="54"/>
  <c r="AE38" i="54"/>
  <c r="AE27" i="54"/>
  <c r="AE31" i="54"/>
  <c r="AE34" i="54"/>
  <c r="AE40" i="54"/>
  <c r="AE28" i="54"/>
  <c r="AE32" i="54"/>
  <c r="AF37" i="54"/>
  <c r="AF56" i="54"/>
  <c r="AE37" i="54"/>
  <c r="AE56" i="54"/>
  <c r="AF28" i="54"/>
  <c r="AF32" i="54"/>
  <c r="AF29" i="54"/>
  <c r="AF33" i="54"/>
  <c r="AF55" i="54"/>
  <c r="AF58" i="54"/>
  <c r="AF62" i="54"/>
  <c r="AF64" i="54"/>
  <c r="AF65" i="54"/>
  <c r="AF38" i="54"/>
  <c r="AF27" i="54"/>
  <c r="AF31" i="54"/>
  <c r="AF34" i="54"/>
  <c r="AF40" i="54"/>
  <c r="AF43" i="54"/>
  <c r="H11" i="143"/>
  <c r="AF45" i="54"/>
  <c r="L33" i="105"/>
  <c r="G24" i="5"/>
  <c r="H16" i="5"/>
  <c r="X26" i="5"/>
  <c r="I184" i="147" s="1"/>
  <c r="I82" i="147"/>
  <c r="I84" i="147"/>
  <c r="U24" i="5"/>
  <c r="U28" i="5" s="1"/>
  <c r="L26" i="5"/>
  <c r="I88" i="147" s="1"/>
  <c r="I134" i="147"/>
  <c r="R26" i="5"/>
  <c r="I136" i="147" s="1"/>
  <c r="U27" i="5"/>
  <c r="I161" i="147" s="1"/>
  <c r="I46" i="147"/>
  <c r="H27" i="21"/>
  <c r="O59" i="150"/>
  <c r="O74" i="150" s="1"/>
  <c r="L74" i="150" s="1"/>
  <c r="I17" i="21"/>
  <c r="I19" i="21" s="1"/>
  <c r="J58" i="150"/>
  <c r="H100" i="138"/>
  <c r="F152" i="138"/>
  <c r="H152" i="138" s="1"/>
  <c r="H95" i="100"/>
  <c r="C212" i="138"/>
  <c r="C264" i="138" s="1"/>
  <c r="C318" i="138" s="1"/>
  <c r="C372" i="138" s="1"/>
  <c r="C426" i="138" s="1"/>
  <c r="H103" i="138"/>
  <c r="F155" i="138"/>
  <c r="F208" i="138" s="1"/>
  <c r="N139" i="138"/>
  <c r="H82" i="138"/>
  <c r="O82" i="138" s="1"/>
  <c r="D319" i="138"/>
  <c r="D373" i="138" s="1"/>
  <c r="D427" i="138" s="1"/>
  <c r="H250" i="100"/>
  <c r="K250" i="100" s="1"/>
  <c r="N186" i="100"/>
  <c r="C204" i="138"/>
  <c r="C256" i="138" s="1"/>
  <c r="V20" i="102"/>
  <c r="X28" i="5"/>
  <c r="M53" i="100"/>
  <c r="AG21" i="102"/>
  <c r="AG23" i="102" s="1"/>
  <c r="H112" i="140" s="1"/>
  <c r="T21" i="102"/>
  <c r="T23" i="102" s="1"/>
  <c r="H56" i="140" s="1"/>
  <c r="B131" i="11"/>
  <c r="F22" i="18"/>
  <c r="H22" i="100"/>
  <c r="N22" i="100" s="1"/>
  <c r="F25" i="136"/>
  <c r="G97" i="11"/>
  <c r="G133" i="11" s="1"/>
  <c r="G135" i="11" s="1"/>
  <c r="G20" i="5"/>
  <c r="H309" i="18"/>
  <c r="H24" i="5"/>
  <c r="G432" i="138"/>
  <c r="L20" i="5"/>
  <c r="F178" i="18"/>
  <c r="G24" i="136"/>
  <c r="E55" i="14"/>
  <c r="H12" i="145" s="1"/>
  <c r="I109" i="147"/>
  <c r="F121" i="11"/>
  <c r="G22" i="11"/>
  <c r="Q111" i="138"/>
  <c r="S111" i="138" s="1"/>
  <c r="F57" i="18"/>
  <c r="F127" i="18"/>
  <c r="F159" i="18"/>
  <c r="F63" i="18"/>
  <c r="D131" i="11"/>
  <c r="F92" i="18"/>
  <c r="D61" i="100"/>
  <c r="D64" i="100" s="1"/>
  <c r="D67" i="100" s="1"/>
  <c r="F276" i="18"/>
  <c r="E507" i="100"/>
  <c r="P387" i="138"/>
  <c r="Z27" i="5"/>
  <c r="I201" i="147" s="1"/>
  <c r="D23" i="136"/>
  <c r="H28" i="136"/>
  <c r="G26" i="5"/>
  <c r="I48" i="147" s="1"/>
  <c r="L27" i="5"/>
  <c r="I89" i="147" s="1"/>
  <c r="L24" i="5"/>
  <c r="I133" i="147"/>
  <c r="X16" i="5"/>
  <c r="J21" i="136" s="1"/>
  <c r="I44" i="147"/>
  <c r="R20" i="5"/>
  <c r="I191" i="147"/>
  <c r="Y26" i="5"/>
  <c r="I192" i="147" s="1"/>
  <c r="Y24" i="5"/>
  <c r="Z20" i="5"/>
  <c r="Z28" i="5"/>
  <c r="H23" i="136"/>
  <c r="I21" i="136"/>
  <c r="F23" i="136"/>
  <c r="H79" i="138"/>
  <c r="O79" i="138" s="1"/>
  <c r="L18" i="105"/>
  <c r="K31" i="105"/>
  <c r="K39" i="105"/>
  <c r="E73" i="138"/>
  <c r="F311" i="18"/>
  <c r="F24" i="18"/>
  <c r="N120" i="138"/>
  <c r="N214" i="138"/>
  <c r="Q214" i="138" s="1"/>
  <c r="S214" i="138" s="1"/>
  <c r="K214" i="138"/>
  <c r="H321" i="138"/>
  <c r="F375" i="138"/>
  <c r="I60" i="140"/>
  <c r="R148" i="138"/>
  <c r="J196" i="100"/>
  <c r="Z21" i="102"/>
  <c r="H70" i="140" s="1"/>
  <c r="AB19" i="102"/>
  <c r="H36" i="140"/>
  <c r="P19" i="102"/>
  <c r="K124" i="100"/>
  <c r="K127" i="100" s="1"/>
  <c r="I129" i="100" s="1"/>
  <c r="R74" i="138"/>
  <c r="E38" i="138"/>
  <c r="E91" i="138"/>
  <c r="R240" i="138"/>
  <c r="E31" i="138"/>
  <c r="E35" i="138"/>
  <c r="C187" i="138"/>
  <c r="C239" i="138" s="1"/>
  <c r="N15" i="14"/>
  <c r="N53" i="14" s="1"/>
  <c r="G53" i="14"/>
  <c r="K187" i="100"/>
  <c r="K190" i="100" s="1"/>
  <c r="F22" i="21"/>
  <c r="F23" i="21" s="1"/>
  <c r="I20" i="21"/>
  <c r="I22" i="21" s="1"/>
  <c r="K155" i="138"/>
  <c r="H56" i="100"/>
  <c r="H119" i="100" s="1"/>
  <c r="M28" i="100"/>
  <c r="H24" i="136"/>
  <c r="L39" i="105"/>
  <c r="K34" i="105"/>
  <c r="L37" i="105"/>
  <c r="G21" i="105"/>
  <c r="K30" i="105"/>
  <c r="K27" i="105"/>
  <c r="K18" i="105"/>
  <c r="O58" i="150"/>
  <c r="O73" i="150" s="1"/>
  <c r="L73" i="150" s="1"/>
  <c r="K37" i="105"/>
  <c r="I73" i="140"/>
  <c r="K35" i="105"/>
  <c r="L40" i="105"/>
  <c r="G23" i="136"/>
  <c r="I23" i="136"/>
  <c r="K40" i="105"/>
  <c r="L16" i="105"/>
  <c r="P33" i="49"/>
  <c r="H5" i="146"/>
  <c r="P16" i="49"/>
  <c r="AB16" i="49"/>
  <c r="Z33" i="49"/>
  <c r="H55" i="146"/>
  <c r="K26" i="105"/>
  <c r="J54" i="105"/>
  <c r="K273" i="14"/>
  <c r="R376" i="138"/>
  <c r="R430" i="138"/>
  <c r="H74" i="138"/>
  <c r="O74" i="138" s="1"/>
  <c r="Q342" i="138" l="1"/>
  <c r="S342" i="138" s="1"/>
  <c r="Q283" i="138"/>
  <c r="S283" i="138" s="1"/>
  <c r="Q235" i="138"/>
  <c r="S235" i="138" s="1"/>
  <c r="Q282" i="138"/>
  <c r="S282" i="138" s="1"/>
  <c r="Q391" i="138"/>
  <c r="S391" i="138" s="1"/>
  <c r="Q261" i="138"/>
  <c r="S261" i="138" s="1"/>
  <c r="Q246" i="138"/>
  <c r="S246" i="138" s="1"/>
  <c r="F390" i="138"/>
  <c r="H390" i="138" s="1"/>
  <c r="Q336" i="138"/>
  <c r="S336" i="138" s="1"/>
  <c r="F337" i="138"/>
  <c r="H337" i="138" s="1"/>
  <c r="H282" i="138"/>
  <c r="Q195" i="138"/>
  <c r="S195" i="138" s="1"/>
  <c r="F286" i="138"/>
  <c r="H286" i="138" s="1"/>
  <c r="O286" i="138" s="1"/>
  <c r="H234" i="138"/>
  <c r="O234" i="138" s="1"/>
  <c r="Q234" i="138" s="1"/>
  <c r="S234" i="138" s="1"/>
  <c r="Q309" i="138"/>
  <c r="S309" i="138" s="1"/>
  <c r="Q321" i="138"/>
  <c r="S321" i="138" s="1"/>
  <c r="D353" i="138"/>
  <c r="D407" i="138" s="1"/>
  <c r="E407" i="138" s="1"/>
  <c r="E299" i="138"/>
  <c r="Q306" i="138"/>
  <c r="S306" i="138" s="1"/>
  <c r="E247" i="138"/>
  <c r="I74" i="6"/>
  <c r="I50" i="6"/>
  <c r="H314" i="18"/>
  <c r="M315" i="18"/>
  <c r="L315" i="18"/>
  <c r="L321" i="18"/>
  <c r="I317" i="18"/>
  <c r="K317" i="18"/>
  <c r="M317" i="18" s="1"/>
  <c r="F219" i="18"/>
  <c r="F95" i="18"/>
  <c r="F286" i="18"/>
  <c r="K313" i="18"/>
  <c r="I313" i="18"/>
  <c r="K307" i="18"/>
  <c r="M307" i="18" s="1"/>
  <c r="H307" i="18"/>
  <c r="H313" i="18"/>
  <c r="J319" i="18"/>
  <c r="L317" i="18"/>
  <c r="H321" i="18"/>
  <c r="F281" i="18"/>
  <c r="F124" i="18"/>
  <c r="F176" i="18"/>
  <c r="F56" i="18"/>
  <c r="F279" i="18"/>
  <c r="I321" i="18"/>
  <c r="F282" i="18"/>
  <c r="F243" i="18"/>
  <c r="F216" i="18"/>
  <c r="F91" i="18"/>
  <c r="F84" i="18"/>
  <c r="F151" i="18"/>
  <c r="H317" i="18"/>
  <c r="M306" i="18"/>
  <c r="F89" i="18"/>
  <c r="L309" i="18"/>
  <c r="F133" i="18"/>
  <c r="F158" i="18"/>
  <c r="F87" i="18"/>
  <c r="L307" i="18"/>
  <c r="M314" i="18"/>
  <c r="H310" i="18"/>
  <c r="I307" i="18"/>
  <c r="E79" i="12"/>
  <c r="K77" i="12"/>
  <c r="Y28" i="5"/>
  <c r="L27" i="136"/>
  <c r="L29" i="136"/>
  <c r="L21" i="136"/>
  <c r="S35" i="49"/>
  <c r="O27" i="5"/>
  <c r="I113" i="147" s="1"/>
  <c r="Q431" i="138"/>
  <c r="S431" i="138" s="1"/>
  <c r="N419" i="138"/>
  <c r="Q419" i="138" s="1"/>
  <c r="S419" i="138" s="1"/>
  <c r="K419" i="138"/>
  <c r="K334" i="138"/>
  <c r="N407" i="138"/>
  <c r="Q407" i="138" s="1"/>
  <c r="S407" i="138" s="1"/>
  <c r="K365" i="138"/>
  <c r="N395" i="138"/>
  <c r="N371" i="138"/>
  <c r="Q371" i="138" s="1"/>
  <c r="S371" i="138" s="1"/>
  <c r="K405" i="138"/>
  <c r="N365" i="138"/>
  <c r="Q365" i="138" s="1"/>
  <c r="S365" i="138" s="1"/>
  <c r="K371" i="138"/>
  <c r="N406" i="138"/>
  <c r="Q299" i="138"/>
  <c r="S299" i="138" s="1"/>
  <c r="N353" i="138"/>
  <c r="Q353" i="138" s="1"/>
  <c r="S353" i="138" s="1"/>
  <c r="K363" i="138"/>
  <c r="N362" i="138"/>
  <c r="N417" i="138"/>
  <c r="Q417" i="138" s="1"/>
  <c r="S417" i="138" s="1"/>
  <c r="Q128" i="138"/>
  <c r="S128" i="138" s="1"/>
  <c r="Q25" i="138"/>
  <c r="S25" i="138" s="1"/>
  <c r="Q24" i="138"/>
  <c r="S24" i="138" s="1"/>
  <c r="N38" i="138"/>
  <c r="Q38" i="138" s="1"/>
  <c r="S38" i="138" s="1"/>
  <c r="N62" i="138"/>
  <c r="Q62" i="138" s="1"/>
  <c r="S62" i="138" s="1"/>
  <c r="Q42" i="138"/>
  <c r="S42" i="138" s="1"/>
  <c r="Q57" i="138"/>
  <c r="S57" i="138" s="1"/>
  <c r="Q56" i="138"/>
  <c r="S56" i="138" s="1"/>
  <c r="Q110" i="138"/>
  <c r="S110" i="138" s="1"/>
  <c r="Q98" i="138"/>
  <c r="S98" i="138" s="1"/>
  <c r="Q73" i="138"/>
  <c r="S73" i="138" s="1"/>
  <c r="H155" i="138"/>
  <c r="Q424" i="138"/>
  <c r="S424" i="138" s="1"/>
  <c r="F202" i="138"/>
  <c r="H202" i="138" s="1"/>
  <c r="O202" i="138" s="1"/>
  <c r="C297" i="138"/>
  <c r="C351" i="138" s="1"/>
  <c r="E245" i="138"/>
  <c r="E286" i="138"/>
  <c r="C340" i="138"/>
  <c r="D283" i="138"/>
  <c r="E231" i="138"/>
  <c r="E177" i="138"/>
  <c r="Q317" i="138"/>
  <c r="S317" i="138" s="1"/>
  <c r="Q305" i="138"/>
  <c r="S305" i="138" s="1"/>
  <c r="E181" i="138"/>
  <c r="E351" i="138"/>
  <c r="C405" i="138"/>
  <c r="E246" i="138"/>
  <c r="Q316" i="138"/>
  <c r="S316" i="138" s="1"/>
  <c r="E194" i="138"/>
  <c r="E230" i="138"/>
  <c r="Q286" i="138"/>
  <c r="S286" i="138" s="1"/>
  <c r="Q285" i="138"/>
  <c r="S285" i="138" s="1"/>
  <c r="E390" i="138"/>
  <c r="E234" i="138"/>
  <c r="Q97" i="138"/>
  <c r="S97" i="138" s="1"/>
  <c r="F309" i="138"/>
  <c r="H255" i="138"/>
  <c r="Q252" i="138"/>
  <c r="S252" i="138" s="1"/>
  <c r="Q153" i="138"/>
  <c r="S153" i="138" s="1"/>
  <c r="Q78" i="138"/>
  <c r="S78" i="138" s="1"/>
  <c r="Q200" i="138"/>
  <c r="S200" i="138" s="1"/>
  <c r="Q156" i="138"/>
  <c r="S156" i="138" s="1"/>
  <c r="Q226" i="138"/>
  <c r="S226" i="138" s="1"/>
  <c r="Q105" i="138"/>
  <c r="S105" i="138" s="1"/>
  <c r="Q213" i="138"/>
  <c r="H203" i="138"/>
  <c r="Q265" i="138"/>
  <c r="S265" i="138" s="1"/>
  <c r="Q108" i="138"/>
  <c r="S108" i="138" s="1"/>
  <c r="Q106" i="138"/>
  <c r="S106" i="138" s="1"/>
  <c r="Q262" i="138"/>
  <c r="S262" i="138" s="1"/>
  <c r="Q303" i="138"/>
  <c r="S303" i="138" s="1"/>
  <c r="Q411" i="138"/>
  <c r="S411" i="138" s="1"/>
  <c r="Q72" i="138"/>
  <c r="S72" i="138" s="1"/>
  <c r="Q87" i="138"/>
  <c r="S87" i="138" s="1"/>
  <c r="Q120" i="138"/>
  <c r="S120" i="138" s="1"/>
  <c r="Q249" i="138"/>
  <c r="S249" i="138" s="1"/>
  <c r="Q359" i="138"/>
  <c r="S359" i="138" s="1"/>
  <c r="Q210" i="138"/>
  <c r="S210" i="138" s="1"/>
  <c r="Q90" i="138"/>
  <c r="S90" i="138" s="1"/>
  <c r="Q28" i="138"/>
  <c r="S28" i="138" s="1"/>
  <c r="C263" i="138"/>
  <c r="E211" i="138"/>
  <c r="E149" i="138"/>
  <c r="Q314" i="138"/>
  <c r="S314" i="138" s="1"/>
  <c r="E72" i="138"/>
  <c r="Q312" i="138"/>
  <c r="S312" i="138" s="1"/>
  <c r="E206" i="138"/>
  <c r="E139" i="138"/>
  <c r="E153" i="138"/>
  <c r="Q278" i="138"/>
  <c r="S278" i="138" s="1"/>
  <c r="E103" i="138"/>
  <c r="Q277" i="138"/>
  <c r="S277" i="138" s="1"/>
  <c r="Q319" i="138"/>
  <c r="S319" i="138" s="1"/>
  <c r="S258" i="138"/>
  <c r="Q385" i="138"/>
  <c r="S385" i="138" s="1"/>
  <c r="F300" i="138"/>
  <c r="H300" i="138" s="1"/>
  <c r="Q257" i="138"/>
  <c r="S257" i="138" s="1"/>
  <c r="Q255" i="138"/>
  <c r="S255" i="138" s="1"/>
  <c r="Q206" i="138"/>
  <c r="S206" i="138" s="1"/>
  <c r="H193" i="138"/>
  <c r="F245" i="138"/>
  <c r="F206" i="138"/>
  <c r="H153" i="138"/>
  <c r="Q425" i="138"/>
  <c r="S425" i="138" s="1"/>
  <c r="E63" i="138"/>
  <c r="N126" i="100"/>
  <c r="D189" i="100"/>
  <c r="H189" i="100" s="1"/>
  <c r="C217" i="138"/>
  <c r="C269" i="138" s="1"/>
  <c r="C323" i="138" s="1"/>
  <c r="C377" i="138" s="1"/>
  <c r="C431" i="138" s="1"/>
  <c r="N63" i="100"/>
  <c r="N83" i="100"/>
  <c r="N35" i="100"/>
  <c r="N47" i="100"/>
  <c r="M183" i="100"/>
  <c r="K247" i="100" s="1"/>
  <c r="N104" i="100"/>
  <c r="H163" i="100"/>
  <c r="G227" i="100" s="1"/>
  <c r="G291" i="100" s="1"/>
  <c r="G355" i="100" s="1"/>
  <c r="H419" i="100" s="1"/>
  <c r="G483" i="100" s="1"/>
  <c r="N100" i="100"/>
  <c r="N177" i="100"/>
  <c r="G241" i="100"/>
  <c r="G305" i="100" s="1"/>
  <c r="G369" i="100" s="1"/>
  <c r="H433" i="100" s="1"/>
  <c r="G497" i="100" s="1"/>
  <c r="N105" i="100"/>
  <c r="H168" i="100"/>
  <c r="N98" i="100"/>
  <c r="H161" i="100"/>
  <c r="N109" i="100"/>
  <c r="H172" i="100"/>
  <c r="N107" i="100"/>
  <c r="H170" i="100"/>
  <c r="H176" i="100"/>
  <c r="N113" i="100"/>
  <c r="N89" i="100"/>
  <c r="H152" i="100"/>
  <c r="G216" i="100" s="1"/>
  <c r="G280" i="100" s="1"/>
  <c r="G344" i="100" s="1"/>
  <c r="H408" i="100" s="1"/>
  <c r="G472" i="100" s="1"/>
  <c r="H175" i="100"/>
  <c r="N112" i="100"/>
  <c r="H181" i="100"/>
  <c r="N118" i="100"/>
  <c r="N110" i="100"/>
  <c r="H173" i="100"/>
  <c r="H150" i="100"/>
  <c r="G214" i="100" s="1"/>
  <c r="N87" i="100"/>
  <c r="G242" i="100"/>
  <c r="G306" i="100" s="1"/>
  <c r="G370" i="100" s="1"/>
  <c r="H434" i="100" s="1"/>
  <c r="G498" i="100" s="1"/>
  <c r="N178" i="100"/>
  <c r="H162" i="100"/>
  <c r="N99" i="100"/>
  <c r="H165" i="100"/>
  <c r="N102" i="100"/>
  <c r="N86" i="100"/>
  <c r="H149" i="100"/>
  <c r="G213" i="100" s="1"/>
  <c r="G277" i="100" s="1"/>
  <c r="G341" i="100" s="1"/>
  <c r="H405" i="100" s="1"/>
  <c r="G469" i="100" s="1"/>
  <c r="N46" i="100"/>
  <c r="H167" i="100"/>
  <c r="N121" i="100"/>
  <c r="N28" i="100"/>
  <c r="N114" i="100"/>
  <c r="N42" i="100"/>
  <c r="O24" i="50"/>
  <c r="O31" i="50" s="1"/>
  <c r="J64" i="150"/>
  <c r="J79" i="150" s="1"/>
  <c r="F78" i="150"/>
  <c r="G78" i="150" s="1"/>
  <c r="O64" i="150"/>
  <c r="O79" i="150" s="1"/>
  <c r="L79" i="150" s="1"/>
  <c r="K133" i="14"/>
  <c r="J62" i="150"/>
  <c r="J77" i="150" s="1"/>
  <c r="K67" i="150"/>
  <c r="G45" i="105"/>
  <c r="J24" i="102"/>
  <c r="O16" i="5"/>
  <c r="G29" i="136" s="1"/>
  <c r="G482" i="100"/>
  <c r="L482" i="100" s="1"/>
  <c r="P408" i="138"/>
  <c r="F67" i="150"/>
  <c r="O62" i="150"/>
  <c r="O77" i="150" s="1"/>
  <c r="K161" i="14"/>
  <c r="F74" i="150"/>
  <c r="G74" i="150" s="1"/>
  <c r="K77" i="150"/>
  <c r="G79" i="150"/>
  <c r="H39" i="145"/>
  <c r="O63" i="150"/>
  <c r="O78" i="150" s="1"/>
  <c r="L78" i="150" s="1"/>
  <c r="K119" i="14"/>
  <c r="H38" i="145"/>
  <c r="C352" i="138"/>
  <c r="E298" i="138"/>
  <c r="C420" i="138"/>
  <c r="E420" i="138" s="1"/>
  <c r="E366" i="138"/>
  <c r="C254" i="138"/>
  <c r="E202" i="138"/>
  <c r="H341" i="138"/>
  <c r="O341" i="138" s="1"/>
  <c r="Q341" i="138" s="1"/>
  <c r="S341" i="138" s="1"/>
  <c r="F395" i="138"/>
  <c r="H395" i="138" s="1"/>
  <c r="O395" i="138" s="1"/>
  <c r="Q395" i="138" s="1"/>
  <c r="S395" i="138" s="1"/>
  <c r="E144" i="138"/>
  <c r="E156" i="138"/>
  <c r="E341" i="138"/>
  <c r="C395" i="138"/>
  <c r="E395" i="138" s="1"/>
  <c r="N388" i="138"/>
  <c r="K388" i="138"/>
  <c r="E258" i="138"/>
  <c r="E336" i="138"/>
  <c r="O64" i="138"/>
  <c r="E157" i="138"/>
  <c r="C210" i="138"/>
  <c r="E155" i="138"/>
  <c r="F211" i="138"/>
  <c r="H158" i="138"/>
  <c r="K416" i="138"/>
  <c r="N416" i="138"/>
  <c r="K396" i="138"/>
  <c r="N396" i="138"/>
  <c r="F205" i="138"/>
  <c r="H205" i="138" s="1"/>
  <c r="E312" i="138"/>
  <c r="F427" i="138"/>
  <c r="H427" i="138" s="1"/>
  <c r="O427" i="138" s="1"/>
  <c r="C369" i="138"/>
  <c r="E297" i="138"/>
  <c r="K420" i="138"/>
  <c r="N420" i="138"/>
  <c r="Q420" i="138" s="1"/>
  <c r="S420" i="138" s="1"/>
  <c r="Q373" i="138"/>
  <c r="S373" i="138" s="1"/>
  <c r="F339" i="138"/>
  <c r="E405" i="138"/>
  <c r="E282" i="138"/>
  <c r="F340" i="138"/>
  <c r="K408" i="138"/>
  <c r="N408" i="138"/>
  <c r="Q408" i="138" s="1"/>
  <c r="S408" i="138" s="1"/>
  <c r="K412" i="138"/>
  <c r="C205" i="138"/>
  <c r="E152" i="138"/>
  <c r="D285" i="138"/>
  <c r="E233" i="138"/>
  <c r="E396" i="138"/>
  <c r="K355" i="138"/>
  <c r="E429" i="138"/>
  <c r="Q311" i="138"/>
  <c r="S311" i="138" s="1"/>
  <c r="N355" i="138"/>
  <c r="Q315" i="138"/>
  <c r="S315" i="138" s="1"/>
  <c r="K354" i="138"/>
  <c r="H396" i="138"/>
  <c r="O396" i="138" s="1"/>
  <c r="Q233" i="138"/>
  <c r="S233" i="138" s="1"/>
  <c r="Q366" i="138"/>
  <c r="S366" i="138" s="1"/>
  <c r="Q320" i="138"/>
  <c r="S320" i="138" s="1"/>
  <c r="Q368" i="138"/>
  <c r="S368" i="138" s="1"/>
  <c r="Q30" i="138"/>
  <c r="S30" i="138" s="1"/>
  <c r="E34" i="138"/>
  <c r="Q44" i="138"/>
  <c r="S44" i="138" s="1"/>
  <c r="Q52" i="138"/>
  <c r="S52" i="138" s="1"/>
  <c r="E75" i="138"/>
  <c r="K100" i="138"/>
  <c r="Q155" i="138"/>
  <c r="S155" i="138" s="1"/>
  <c r="Q181" i="138"/>
  <c r="S181" i="138" s="1"/>
  <c r="Q357" i="138"/>
  <c r="S357" i="138" s="1"/>
  <c r="Q370" i="138"/>
  <c r="S370" i="138" s="1"/>
  <c r="Q363" i="138"/>
  <c r="S363" i="138" s="1"/>
  <c r="Q369" i="138"/>
  <c r="S369" i="138" s="1"/>
  <c r="E76" i="138"/>
  <c r="C228" i="138"/>
  <c r="E175" i="138"/>
  <c r="E147" i="138"/>
  <c r="E192" i="138"/>
  <c r="E244" i="138"/>
  <c r="C172" i="138"/>
  <c r="E120" i="138"/>
  <c r="E146" i="138"/>
  <c r="C229" i="138"/>
  <c r="E176" i="138"/>
  <c r="E191" i="138"/>
  <c r="E243" i="138"/>
  <c r="Q60" i="138"/>
  <c r="S60" i="138" s="1"/>
  <c r="E83" i="138"/>
  <c r="M31" i="100"/>
  <c r="M94" i="100" s="1"/>
  <c r="M157" i="100" s="1"/>
  <c r="K221" i="100" s="1"/>
  <c r="K285" i="100" s="1"/>
  <c r="K349" i="100" s="1"/>
  <c r="M413" i="100" s="1"/>
  <c r="K477" i="100" s="1"/>
  <c r="H40" i="100"/>
  <c r="H103" i="100" s="1"/>
  <c r="H166" i="100" s="1"/>
  <c r="G230" i="100" s="1"/>
  <c r="G294" i="100" s="1"/>
  <c r="Q49" i="138"/>
  <c r="S49" i="138" s="1"/>
  <c r="Q55" i="138"/>
  <c r="S55" i="138" s="1"/>
  <c r="Q39" i="138"/>
  <c r="S39" i="138" s="1"/>
  <c r="E53" i="138"/>
  <c r="Q360" i="138"/>
  <c r="S360" i="138" s="1"/>
  <c r="Q354" i="138"/>
  <c r="S354" i="138" s="1"/>
  <c r="Q397" i="138"/>
  <c r="S397" i="138" s="1"/>
  <c r="Q343" i="138"/>
  <c r="S343" i="138" s="1"/>
  <c r="Q422" i="138"/>
  <c r="S422" i="138" s="1"/>
  <c r="Q414" i="138"/>
  <c r="S414" i="138" s="1"/>
  <c r="K443" i="100"/>
  <c r="K446" i="100" s="1"/>
  <c r="Q429" i="138"/>
  <c r="S429" i="138" s="1"/>
  <c r="E428" i="138"/>
  <c r="K422" i="138"/>
  <c r="K417" i="138"/>
  <c r="E397" i="138"/>
  <c r="Q337" i="138"/>
  <c r="S337" i="138" s="1"/>
  <c r="Q374" i="138"/>
  <c r="S374" i="138" s="1"/>
  <c r="Q428" i="138"/>
  <c r="S428" i="138" s="1"/>
  <c r="Q423" i="138"/>
  <c r="S423" i="138" s="1"/>
  <c r="E409" i="138"/>
  <c r="N409" i="138" s="1"/>
  <c r="K397" i="138"/>
  <c r="Q355" i="138"/>
  <c r="S355" i="138" s="1"/>
  <c r="H409" i="138"/>
  <c r="O409" i="138" s="1"/>
  <c r="K409" i="138"/>
  <c r="K354" i="100"/>
  <c r="I319" i="18"/>
  <c r="H319" i="18"/>
  <c r="C196" i="138"/>
  <c r="C248" i="138" s="1"/>
  <c r="E143" i="138"/>
  <c r="K143" i="138" s="1"/>
  <c r="I311" i="18"/>
  <c r="K311" i="18"/>
  <c r="H311" i="18"/>
  <c r="K360" i="100"/>
  <c r="M424" i="100" s="1"/>
  <c r="L316" i="18"/>
  <c r="M316" i="18"/>
  <c r="K309" i="100"/>
  <c r="K373" i="100" s="1"/>
  <c r="N21" i="100"/>
  <c r="H84" i="100"/>
  <c r="N84" i="100" s="1"/>
  <c r="M82" i="100"/>
  <c r="N19" i="100"/>
  <c r="AB17" i="102"/>
  <c r="H66" i="140"/>
  <c r="H96" i="138"/>
  <c r="O96" i="138" s="1"/>
  <c r="P48" i="138"/>
  <c r="L23" i="102"/>
  <c r="I32" i="140" s="1"/>
  <c r="M21" i="102"/>
  <c r="R21" i="102"/>
  <c r="S17" i="102"/>
  <c r="I42" i="140"/>
  <c r="S19" i="102"/>
  <c r="I44" i="140"/>
  <c r="I57" i="140"/>
  <c r="V24" i="102"/>
  <c r="F61" i="100"/>
  <c r="F64" i="100" s="1"/>
  <c r="J70" i="100"/>
  <c r="M43" i="100"/>
  <c r="F175" i="18"/>
  <c r="K320" i="18"/>
  <c r="H320" i="18"/>
  <c r="F306" i="18"/>
  <c r="F19" i="18"/>
  <c r="H318" i="18"/>
  <c r="I318" i="18"/>
  <c r="I507" i="100"/>
  <c r="I510" i="100" s="1"/>
  <c r="I512" i="100" s="1"/>
  <c r="M91" i="100"/>
  <c r="F122" i="138"/>
  <c r="F174" i="138" s="1"/>
  <c r="I315" i="100"/>
  <c r="I318" i="100" s="1"/>
  <c r="I320" i="100" s="1"/>
  <c r="J327" i="100" s="1"/>
  <c r="J135" i="100"/>
  <c r="N20" i="100"/>
  <c r="F130" i="138"/>
  <c r="H130" i="138" s="1"/>
  <c r="O130" i="138" s="1"/>
  <c r="AE21" i="102"/>
  <c r="AE23" i="102" s="1"/>
  <c r="H96" i="140" s="1"/>
  <c r="F145" i="138"/>
  <c r="I316" i="18"/>
  <c r="M310" i="18"/>
  <c r="F209" i="18"/>
  <c r="I310" i="18"/>
  <c r="F31" i="18"/>
  <c r="F21" i="18"/>
  <c r="H308" i="18"/>
  <c r="I320" i="18"/>
  <c r="L314" i="18"/>
  <c r="K468" i="100"/>
  <c r="F251" i="18"/>
  <c r="F250" i="18"/>
  <c r="N157" i="138"/>
  <c r="Q157" i="138" s="1"/>
  <c r="S157" i="138" s="1"/>
  <c r="E43" i="138"/>
  <c r="K89" i="138"/>
  <c r="P20" i="102"/>
  <c r="I39" i="140"/>
  <c r="E80" i="138"/>
  <c r="E37" i="138"/>
  <c r="H92" i="138"/>
  <c r="F144" i="138"/>
  <c r="E45" i="138"/>
  <c r="N203" i="138"/>
  <c r="Q203" i="138" s="1"/>
  <c r="S203" i="138" s="1"/>
  <c r="K203" i="138"/>
  <c r="E22" i="11"/>
  <c r="E131" i="11"/>
  <c r="F22" i="11"/>
  <c r="F133" i="11" s="1"/>
  <c r="F135" i="11" s="1"/>
  <c r="F97" i="11"/>
  <c r="I131" i="11"/>
  <c r="H315" i="18"/>
  <c r="I315" i="18"/>
  <c r="K312" i="18"/>
  <c r="H312" i="18"/>
  <c r="F132" i="138"/>
  <c r="H132" i="138" s="1"/>
  <c r="O132" i="138" s="1"/>
  <c r="H81" i="138"/>
  <c r="O81" i="138" s="1"/>
  <c r="J516" i="100"/>
  <c r="R415" i="138"/>
  <c r="Z23" i="102"/>
  <c r="H72" i="140" s="1"/>
  <c r="R113" i="138"/>
  <c r="M309" i="18"/>
  <c r="I314" i="18"/>
  <c r="N21" i="102"/>
  <c r="N23" i="102" s="1"/>
  <c r="H40" i="140" s="1"/>
  <c r="U21" i="102"/>
  <c r="F212" i="18"/>
  <c r="H316" i="18"/>
  <c r="H374" i="138"/>
  <c r="F428" i="138"/>
  <c r="H428" i="138" s="1"/>
  <c r="F283" i="18"/>
  <c r="V19" i="102"/>
  <c r="I50" i="140"/>
  <c r="I113" i="138"/>
  <c r="F124" i="100"/>
  <c r="F127" i="100" s="1"/>
  <c r="G77" i="12"/>
  <c r="I77" i="12" s="1"/>
  <c r="I20" i="12"/>
  <c r="K79" i="6"/>
  <c r="K87" i="6" s="1"/>
  <c r="H87" i="6"/>
  <c r="E26" i="138"/>
  <c r="K75" i="138"/>
  <c r="N75" i="138"/>
  <c r="Q75" i="138" s="1"/>
  <c r="S75" i="138" s="1"/>
  <c r="K171" i="138"/>
  <c r="N171" i="138"/>
  <c r="N177" i="138"/>
  <c r="Q177" i="138" s="1"/>
  <c r="S177" i="138" s="1"/>
  <c r="K177" i="138"/>
  <c r="K194" i="138"/>
  <c r="N194" i="138"/>
  <c r="Q194" i="138" s="1"/>
  <c r="S194" i="138" s="1"/>
  <c r="N427" i="138"/>
  <c r="K427" i="138"/>
  <c r="H55" i="140"/>
  <c r="V22" i="102"/>
  <c r="K175" i="14"/>
  <c r="K308" i="18"/>
  <c r="Q88" i="138"/>
  <c r="S88" i="138" s="1"/>
  <c r="N184" i="100"/>
  <c r="Q92" i="138"/>
  <c r="S92" i="138" s="1"/>
  <c r="H82" i="100"/>
  <c r="N82" i="100" s="1"/>
  <c r="Q121" i="138"/>
  <c r="S121" i="138" s="1"/>
  <c r="I39" i="6"/>
  <c r="G23" i="21"/>
  <c r="G27" i="21" s="1"/>
  <c r="Q76" i="138"/>
  <c r="S76" i="138" s="1"/>
  <c r="N94" i="138"/>
  <c r="Q94" i="138" s="1"/>
  <c r="S94" i="138" s="1"/>
  <c r="K94" i="138"/>
  <c r="Q100" i="138"/>
  <c r="S100" i="138" s="1"/>
  <c r="Q173" i="138"/>
  <c r="S173" i="138" s="1"/>
  <c r="K260" i="138"/>
  <c r="N260" i="138"/>
  <c r="Q260" i="138" s="1"/>
  <c r="S260" i="138" s="1"/>
  <c r="F187" i="100"/>
  <c r="F190" i="100" s="1"/>
  <c r="E56" i="14"/>
  <c r="C121" i="11"/>
  <c r="L161" i="14"/>
  <c r="H120" i="100"/>
  <c r="F163" i="138"/>
  <c r="H163" i="138" s="1"/>
  <c r="L163" i="138" s="1"/>
  <c r="P163" i="138" s="1"/>
  <c r="Q103" i="138"/>
  <c r="S103" i="138" s="1"/>
  <c r="O21" i="102"/>
  <c r="I38" i="140" s="1"/>
  <c r="H38" i="100"/>
  <c r="M48" i="100"/>
  <c r="M111" i="100" s="1"/>
  <c r="E23" i="136"/>
  <c r="N243" i="138"/>
  <c r="K243" i="138"/>
  <c r="H55" i="14"/>
  <c r="H24" i="145" s="1"/>
  <c r="I55" i="14"/>
  <c r="H28" i="145" s="1"/>
  <c r="F187" i="18"/>
  <c r="F254" i="18"/>
  <c r="F162" i="18"/>
  <c r="M318" i="18"/>
  <c r="R64" i="138"/>
  <c r="I18" i="136"/>
  <c r="I25" i="136" s="1"/>
  <c r="S41" i="138"/>
  <c r="B121" i="11"/>
  <c r="L175" i="14"/>
  <c r="L56" i="14"/>
  <c r="E23" i="21"/>
  <c r="E27" i="21" s="1"/>
  <c r="J56" i="14"/>
  <c r="H33" i="145" s="1"/>
  <c r="E61" i="138"/>
  <c r="I97" i="11"/>
  <c r="D22" i="11"/>
  <c r="D133" i="11" s="1"/>
  <c r="D135" i="11" s="1"/>
  <c r="B21" i="105"/>
  <c r="G28" i="5"/>
  <c r="K298" i="100"/>
  <c r="K341" i="100"/>
  <c r="K367" i="100"/>
  <c r="H314" i="100"/>
  <c r="K314" i="100" s="1"/>
  <c r="L250" i="100"/>
  <c r="K353" i="100"/>
  <c r="L241" i="100"/>
  <c r="K305" i="100"/>
  <c r="C64" i="138"/>
  <c r="E36" i="138"/>
  <c r="E96" i="138"/>
  <c r="E48" i="138"/>
  <c r="E58" i="138"/>
  <c r="H108" i="138"/>
  <c r="F160" i="138"/>
  <c r="K180" i="138"/>
  <c r="N180" i="138"/>
  <c r="Q180" i="138" s="1"/>
  <c r="S180" i="138" s="1"/>
  <c r="N24" i="14"/>
  <c r="N56" i="14" s="1"/>
  <c r="G56" i="14"/>
  <c r="H21" i="145" s="1"/>
  <c r="I43" i="147"/>
  <c r="G16" i="5"/>
  <c r="D29" i="136" s="1"/>
  <c r="H84" i="140"/>
  <c r="AD21" i="102"/>
  <c r="E33" i="138"/>
  <c r="F133" i="138"/>
  <c r="H133" i="138" s="1"/>
  <c r="O133" i="138" s="1"/>
  <c r="H60" i="140"/>
  <c r="Y19" i="102"/>
  <c r="W21" i="102"/>
  <c r="H99" i="6"/>
  <c r="K92" i="6"/>
  <c r="K99" i="6" s="1"/>
  <c r="D64" i="138"/>
  <c r="E23" i="138"/>
  <c r="I35" i="140"/>
  <c r="P18" i="102"/>
  <c r="S18" i="102"/>
  <c r="H43" i="140"/>
  <c r="Q21" i="102"/>
  <c r="S21" i="102" s="1"/>
  <c r="V18" i="102"/>
  <c r="H51" i="140"/>
  <c r="H49" i="140"/>
  <c r="S24" i="102"/>
  <c r="F55" i="14"/>
  <c r="H16" i="145" s="1"/>
  <c r="N18" i="14"/>
  <c r="G55" i="14"/>
  <c r="H20" i="145" s="1"/>
  <c r="R293" i="138"/>
  <c r="R324" i="138" s="1"/>
  <c r="I379" i="100"/>
  <c r="I382" i="100" s="1"/>
  <c r="I384" i="100" s="1"/>
  <c r="J391" i="100" s="1"/>
  <c r="N56" i="100"/>
  <c r="K304" i="100"/>
  <c r="K300" i="100"/>
  <c r="K161" i="138"/>
  <c r="N161" i="138"/>
  <c r="Q161" i="138" s="1"/>
  <c r="S161" i="138" s="1"/>
  <c r="N158" i="138"/>
  <c r="Q158" i="138" s="1"/>
  <c r="S158" i="138" s="1"/>
  <c r="K158" i="138"/>
  <c r="L443" i="100"/>
  <c r="L446" i="100" s="1"/>
  <c r="K306" i="100"/>
  <c r="L242" i="100"/>
  <c r="H73" i="138"/>
  <c r="F121" i="138"/>
  <c r="H121" i="138" s="1"/>
  <c r="N263" i="138"/>
  <c r="Q263" i="138" s="1"/>
  <c r="S263" i="138" s="1"/>
  <c r="K263" i="138"/>
  <c r="I324" i="138"/>
  <c r="P276" i="138"/>
  <c r="H20" i="5"/>
  <c r="H28" i="5" s="1"/>
  <c r="H26" i="5"/>
  <c r="I56" i="147" s="1"/>
  <c r="I52" i="147"/>
  <c r="H54" i="140"/>
  <c r="I23" i="21"/>
  <c r="K216" i="100"/>
  <c r="K359" i="100"/>
  <c r="K293" i="100"/>
  <c r="L248" i="100"/>
  <c r="K312" i="100"/>
  <c r="H92" i="100"/>
  <c r="H155" i="100" s="1"/>
  <c r="G219" i="100" s="1"/>
  <c r="G283" i="100" s="1"/>
  <c r="G347" i="100" s="1"/>
  <c r="N29" i="100"/>
  <c r="K227" i="100"/>
  <c r="K365" i="100"/>
  <c r="J21" i="102"/>
  <c r="H22" i="140"/>
  <c r="H23" i="102"/>
  <c r="J23" i="102" s="1"/>
  <c r="H101" i="100"/>
  <c r="H164" i="100" s="1"/>
  <c r="G228" i="100" s="1"/>
  <c r="G292" i="100" s="1"/>
  <c r="G356" i="100" s="1"/>
  <c r="H420" i="100" s="1"/>
  <c r="G484" i="100" s="1"/>
  <c r="K61" i="100"/>
  <c r="K64" i="100" s="1"/>
  <c r="I66" i="100" s="1"/>
  <c r="J72" i="100" s="1"/>
  <c r="M27" i="100"/>
  <c r="I61" i="100"/>
  <c r="I64" i="100" s="1"/>
  <c r="I67" i="100" s="1"/>
  <c r="M38" i="100"/>
  <c r="M101" i="100" s="1"/>
  <c r="M164" i="100" s="1"/>
  <c r="M45" i="100"/>
  <c r="J61" i="100"/>
  <c r="J64" i="100" s="1"/>
  <c r="J67" i="100" s="1"/>
  <c r="K109" i="138"/>
  <c r="N109" i="138"/>
  <c r="Q109" i="138" s="1"/>
  <c r="S109" i="138" s="1"/>
  <c r="P80" i="138"/>
  <c r="F131" i="138"/>
  <c r="F184" i="138" s="1"/>
  <c r="N228" i="138"/>
  <c r="K228" i="138"/>
  <c r="N254" i="138"/>
  <c r="K254" i="138"/>
  <c r="E18" i="136"/>
  <c r="E24" i="136"/>
  <c r="F25" i="21"/>
  <c r="L24" i="136"/>
  <c r="L23" i="136"/>
  <c r="I251" i="100"/>
  <c r="I254" i="100" s="1"/>
  <c r="I256" i="100" s="1"/>
  <c r="R179" i="138"/>
  <c r="R218" i="138" s="1"/>
  <c r="V21" i="102"/>
  <c r="H110" i="140"/>
  <c r="H85" i="100"/>
  <c r="N85" i="100" s="1"/>
  <c r="F27" i="21"/>
  <c r="L28" i="5"/>
  <c r="B97" i="11"/>
  <c r="B133" i="11" s="1"/>
  <c r="B135" i="11" s="1"/>
  <c r="K23" i="102"/>
  <c r="H31" i="140"/>
  <c r="H100" i="140"/>
  <c r="AF21" i="102"/>
  <c r="H97" i="11"/>
  <c r="H133" i="11" s="1"/>
  <c r="H135" i="11" s="1"/>
  <c r="L16" i="5"/>
  <c r="F21" i="136" s="1"/>
  <c r="R27" i="5"/>
  <c r="I137" i="147" s="1"/>
  <c r="D21" i="105"/>
  <c r="H25" i="100"/>
  <c r="H48" i="100"/>
  <c r="Q89" i="138"/>
  <c r="S89" i="138" s="1"/>
  <c r="N55" i="14"/>
  <c r="N57" i="14" s="1"/>
  <c r="R24" i="5"/>
  <c r="R28" i="5" s="1"/>
  <c r="K105" i="14"/>
  <c r="I54" i="105"/>
  <c r="F154" i="138"/>
  <c r="H154" i="138" s="1"/>
  <c r="O154" i="138" s="1"/>
  <c r="F251" i="100"/>
  <c r="F254" i="100" s="1"/>
  <c r="H21" i="105"/>
  <c r="L25" i="136"/>
  <c r="D23" i="21"/>
  <c r="J518" i="100"/>
  <c r="Q331" i="138"/>
  <c r="S331" i="138" s="1"/>
  <c r="B48" i="71"/>
  <c r="L55" i="14"/>
  <c r="S40" i="138"/>
  <c r="H106" i="100"/>
  <c r="H169" i="100" s="1"/>
  <c r="G233" i="100" s="1"/>
  <c r="G297" i="100" s="1"/>
  <c r="G361" i="100" s="1"/>
  <c r="Q251" i="138"/>
  <c r="S251" i="138" s="1"/>
  <c r="I56" i="14"/>
  <c r="H29" i="145" s="1"/>
  <c r="H102" i="138"/>
  <c r="O102" i="138" s="1"/>
  <c r="K124" i="6"/>
  <c r="I124" i="6" s="1"/>
  <c r="M92" i="100"/>
  <c r="M155" i="100" s="1"/>
  <c r="M148" i="100"/>
  <c r="K212" i="100" s="1"/>
  <c r="K276" i="100" s="1"/>
  <c r="K340" i="100" s="1"/>
  <c r="M22" i="102"/>
  <c r="E2" i="149"/>
  <c r="C83" i="12"/>
  <c r="B45" i="15"/>
  <c r="C15" i="15" s="1"/>
  <c r="C45" i="15" s="1"/>
  <c r="D15" i="15" s="1"/>
  <c r="D45" i="15" s="1"/>
  <c r="E15" i="15" s="1"/>
  <c r="E45" i="15" s="1"/>
  <c r="F15" i="15" s="1"/>
  <c r="F45" i="15" s="1"/>
  <c r="G15" i="15" s="1"/>
  <c r="G45" i="15" s="1"/>
  <c r="H15" i="15" s="1"/>
  <c r="H45" i="15" s="1"/>
  <c r="I15" i="15" s="1"/>
  <c r="I45" i="15" s="1"/>
  <c r="K42" i="105"/>
  <c r="I21" i="105"/>
  <c r="K38" i="105"/>
  <c r="E21" i="105"/>
  <c r="H22" i="146"/>
  <c r="F16" i="49"/>
  <c r="U13" i="49"/>
  <c r="T30" i="49"/>
  <c r="Y13" i="49"/>
  <c r="J16" i="49"/>
  <c r="H42" i="146"/>
  <c r="X30" i="49"/>
  <c r="F22" i="49"/>
  <c r="H24" i="146"/>
  <c r="T32" i="49"/>
  <c r="U15" i="49"/>
  <c r="Q16" i="49"/>
  <c r="R16" i="49" s="1"/>
  <c r="H10" i="146"/>
  <c r="Q33" i="49"/>
  <c r="Q17" i="49"/>
  <c r="H11" i="146"/>
  <c r="Q34" i="49"/>
  <c r="H23" i="146"/>
  <c r="U14" i="49"/>
  <c r="T31" i="49"/>
  <c r="Y14" i="49"/>
  <c r="X31" i="49"/>
  <c r="H43" i="146"/>
  <c r="U32" i="49"/>
  <c r="G22" i="49"/>
  <c r="V15" i="49"/>
  <c r="H29" i="146"/>
  <c r="T33" i="49"/>
  <c r="U16" i="49"/>
  <c r="H25" i="146"/>
  <c r="T34" i="49"/>
  <c r="H26" i="146"/>
  <c r="U17" i="49"/>
  <c r="V13" i="49"/>
  <c r="H27" i="146"/>
  <c r="G16" i="49"/>
  <c r="U30" i="49"/>
  <c r="K16" i="49"/>
  <c r="H47" i="146"/>
  <c r="Z13" i="49"/>
  <c r="Y30" i="49"/>
  <c r="V32" i="49"/>
  <c r="H34" i="146"/>
  <c r="H22" i="49"/>
  <c r="W15" i="49"/>
  <c r="H30" i="146"/>
  <c r="U33" i="49"/>
  <c r="V16" i="49"/>
  <c r="H31" i="146"/>
  <c r="U34" i="49"/>
  <c r="V17" i="49"/>
  <c r="V14" i="49"/>
  <c r="H28" i="146"/>
  <c r="U31" i="49"/>
  <c r="H48" i="146"/>
  <c r="Z14" i="49"/>
  <c r="Y31" i="49"/>
  <c r="W32" i="49"/>
  <c r="H39" i="146"/>
  <c r="X15" i="49"/>
  <c r="I22" i="49"/>
  <c r="H35" i="146"/>
  <c r="V33" i="49"/>
  <c r="W16" i="49"/>
  <c r="F28" i="71"/>
  <c r="H36" i="146"/>
  <c r="V34" i="49"/>
  <c r="W17" i="49"/>
  <c r="H2" i="146"/>
  <c r="P30" i="49"/>
  <c r="P13" i="49"/>
  <c r="B16" i="49"/>
  <c r="H32" i="146"/>
  <c r="V30" i="49"/>
  <c r="W13" i="49"/>
  <c r="H16" i="49"/>
  <c r="Z30" i="49"/>
  <c r="AB13" i="49"/>
  <c r="AC13" i="49" s="1"/>
  <c r="H52" i="146"/>
  <c r="L16" i="49"/>
  <c r="X32" i="49"/>
  <c r="J22" i="49"/>
  <c r="H44" i="146"/>
  <c r="Y15" i="49"/>
  <c r="X16" i="49"/>
  <c r="W33" i="49"/>
  <c r="H40" i="146"/>
  <c r="W34" i="49"/>
  <c r="H41" i="146"/>
  <c r="X17" i="49"/>
  <c r="P31" i="49"/>
  <c r="P14" i="49"/>
  <c r="H3" i="146"/>
  <c r="H33" i="146"/>
  <c r="V31" i="49"/>
  <c r="W14" i="49"/>
  <c r="H53" i="146"/>
  <c r="AB14" i="49"/>
  <c r="Z31" i="49"/>
  <c r="K22" i="49"/>
  <c r="Z15" i="49"/>
  <c r="AA15" i="49" s="1"/>
  <c r="H49" i="146"/>
  <c r="Y32" i="49"/>
  <c r="X33" i="49"/>
  <c r="Y16" i="49"/>
  <c r="H45" i="146"/>
  <c r="Y17" i="49"/>
  <c r="X34" i="49"/>
  <c r="H46" i="146"/>
  <c r="C16" i="49"/>
  <c r="H7" i="146"/>
  <c r="Q13" i="49"/>
  <c r="Q30" i="49"/>
  <c r="X13" i="49"/>
  <c r="W30" i="49"/>
  <c r="I16" i="49"/>
  <c r="H37" i="146"/>
  <c r="P32" i="49"/>
  <c r="H4" i="146"/>
  <c r="P15" i="49"/>
  <c r="B22" i="49"/>
  <c r="Z32" i="49"/>
  <c r="H54" i="146"/>
  <c r="AB15" i="49"/>
  <c r="L22" i="49"/>
  <c r="Y33" i="49"/>
  <c r="H50" i="146"/>
  <c r="Z16" i="49"/>
  <c r="Y34" i="49"/>
  <c r="H51" i="146"/>
  <c r="Z17" i="49"/>
  <c r="Q31" i="49"/>
  <c r="Q14" i="49"/>
  <c r="H8" i="146"/>
  <c r="W31" i="49"/>
  <c r="X14" i="49"/>
  <c r="H38" i="146"/>
  <c r="C22" i="49"/>
  <c r="Q15" i="49"/>
  <c r="H9" i="146"/>
  <c r="Q32" i="49"/>
  <c r="P34" i="49"/>
  <c r="H6" i="146"/>
  <c r="P17" i="49"/>
  <c r="Z34" i="49"/>
  <c r="AB17" i="49"/>
  <c r="H56" i="146"/>
  <c r="G28" i="136"/>
  <c r="AC21" i="102"/>
  <c r="AC23" i="102" s="1"/>
  <c r="E510" i="100"/>
  <c r="E513" i="100" s="1"/>
  <c r="H122" i="138"/>
  <c r="O122" i="138" s="1"/>
  <c r="D25" i="136"/>
  <c r="H75" i="138"/>
  <c r="F123" i="138"/>
  <c r="F175" i="138" s="1"/>
  <c r="H94" i="138"/>
  <c r="F146" i="138"/>
  <c r="H105" i="138"/>
  <c r="F157" i="138"/>
  <c r="H156" i="138"/>
  <c r="F209" i="138"/>
  <c r="N31" i="138"/>
  <c r="Q31" i="138" s="1"/>
  <c r="S31" i="138" s="1"/>
  <c r="K31" i="138"/>
  <c r="E173" i="138"/>
  <c r="N32" i="138"/>
  <c r="Q32" i="138" s="1"/>
  <c r="S32" i="138" s="1"/>
  <c r="K32" i="138"/>
  <c r="H77" i="138"/>
  <c r="O77" i="138" s="1"/>
  <c r="F127" i="138"/>
  <c r="H127" i="138" s="1"/>
  <c r="O127" i="138" s="1"/>
  <c r="H185" i="100"/>
  <c r="N122" i="100"/>
  <c r="H86" i="138"/>
  <c r="O86" i="138" s="1"/>
  <c r="F137" i="138"/>
  <c r="N53" i="100"/>
  <c r="H116" i="100"/>
  <c r="H179" i="100" s="1"/>
  <c r="G243" i="100" s="1"/>
  <c r="E82" i="138"/>
  <c r="E133" i="138"/>
  <c r="F138" i="138"/>
  <c r="H138" i="138" s="1"/>
  <c r="O138" i="138" s="1"/>
  <c r="Q138" i="138" s="1"/>
  <c r="S138" i="138" s="1"/>
  <c r="H89" i="138"/>
  <c r="H15" i="145"/>
  <c r="E121" i="138"/>
  <c r="H18" i="145"/>
  <c r="G77" i="150"/>
  <c r="H33" i="100"/>
  <c r="N33" i="100" s="1"/>
  <c r="I87" i="6"/>
  <c r="H146" i="100"/>
  <c r="N146" i="100" s="1"/>
  <c r="H94" i="140"/>
  <c r="C133" i="11"/>
  <c r="C135" i="11" s="1"/>
  <c r="G79" i="12"/>
  <c r="C189" i="138"/>
  <c r="H48" i="71"/>
  <c r="Y17" i="102"/>
  <c r="Y18" i="102"/>
  <c r="F78" i="12"/>
  <c r="F79" i="12" s="1"/>
  <c r="Q104" i="138"/>
  <c r="S104" i="138" s="1"/>
  <c r="E124" i="100"/>
  <c r="I133" i="11"/>
  <c r="I135" i="11" s="1"/>
  <c r="N59" i="100"/>
  <c r="M30" i="100"/>
  <c r="M93" i="100" s="1"/>
  <c r="Q225" i="138"/>
  <c r="S225" i="138" s="1"/>
  <c r="E133" i="11"/>
  <c r="E135" i="11" s="1"/>
  <c r="J48" i="71"/>
  <c r="F53" i="150"/>
  <c r="F75" i="150"/>
  <c r="F82" i="150" s="1"/>
  <c r="K51" i="150"/>
  <c r="J51" i="150"/>
  <c r="C293" i="138"/>
  <c r="N119" i="100"/>
  <c r="H182" i="100"/>
  <c r="K83" i="138"/>
  <c r="N83" i="138"/>
  <c r="K35" i="138"/>
  <c r="N35" i="138"/>
  <c r="Q35" i="138" s="1"/>
  <c r="S35" i="138" s="1"/>
  <c r="C179" i="138"/>
  <c r="E127" i="138"/>
  <c r="E137" i="138"/>
  <c r="H45" i="105"/>
  <c r="H59" i="105" s="1"/>
  <c r="K28" i="105"/>
  <c r="C21" i="105"/>
  <c r="F21" i="105"/>
  <c r="F59" i="105" s="1"/>
  <c r="H22" i="11"/>
  <c r="K29" i="138"/>
  <c r="N29" i="138"/>
  <c r="I61" i="140"/>
  <c r="Y20" i="102"/>
  <c r="X21" i="102"/>
  <c r="I64" i="138"/>
  <c r="P43" i="138"/>
  <c r="H96" i="100"/>
  <c r="E77" i="138"/>
  <c r="E134" i="138"/>
  <c r="D293" i="138"/>
  <c r="D347" i="138" s="1"/>
  <c r="D401" i="138" s="1"/>
  <c r="C198" i="138"/>
  <c r="E145" i="138"/>
  <c r="E99" i="138"/>
  <c r="E102" i="138"/>
  <c r="E108" i="138"/>
  <c r="K61" i="138"/>
  <c r="N61" i="138"/>
  <c r="Q61" i="138" s="1"/>
  <c r="S61" i="138" s="1"/>
  <c r="C48" i="71"/>
  <c r="L54" i="105"/>
  <c r="K54" i="105"/>
  <c r="H375" i="138"/>
  <c r="F429" i="138"/>
  <c r="H429" i="138" s="1"/>
  <c r="N95" i="100"/>
  <c r="H158" i="100"/>
  <c r="G222" i="100" s="1"/>
  <c r="G286" i="100" s="1"/>
  <c r="H171" i="100"/>
  <c r="G235" i="100" s="1"/>
  <c r="G299" i="100" s="1"/>
  <c r="J73" i="150"/>
  <c r="L32" i="105"/>
  <c r="K32" i="105"/>
  <c r="K49" i="105"/>
  <c r="L49" i="105"/>
  <c r="I45" i="105"/>
  <c r="B45" i="105"/>
  <c r="L25" i="105"/>
  <c r="D45" i="105"/>
  <c r="C350" i="138"/>
  <c r="E107" i="138"/>
  <c r="H21" i="136"/>
  <c r="H27" i="136"/>
  <c r="H29" i="136"/>
  <c r="N54" i="100"/>
  <c r="M117" i="100"/>
  <c r="C332" i="138"/>
  <c r="G37" i="71"/>
  <c r="G48" i="71" s="1"/>
  <c r="E151" i="138"/>
  <c r="H57" i="14"/>
  <c r="J29" i="136"/>
  <c r="J27" i="136"/>
  <c r="J28" i="136"/>
  <c r="E86" i="138"/>
  <c r="K38" i="138"/>
  <c r="C310" i="138"/>
  <c r="J45" i="105"/>
  <c r="K58" i="105"/>
  <c r="L58" i="105"/>
  <c r="C45" i="105"/>
  <c r="C59" i="105" s="1"/>
  <c r="E45" i="105"/>
  <c r="E59" i="105" s="1"/>
  <c r="E48" i="71"/>
  <c r="K50" i="138"/>
  <c r="N50" i="138"/>
  <c r="Q50" i="138" s="1"/>
  <c r="S50" i="138" s="1"/>
  <c r="N30" i="100"/>
  <c r="E79" i="138"/>
  <c r="I27" i="136"/>
  <c r="I29" i="136"/>
  <c r="I28" i="136"/>
  <c r="G308" i="100"/>
  <c r="H13" i="145"/>
  <c r="E57" i="14"/>
  <c r="H148" i="100"/>
  <c r="H208" i="138"/>
  <c r="F260" i="138"/>
  <c r="D290" i="138"/>
  <c r="D344" i="138" s="1"/>
  <c r="D398" i="138" s="1"/>
  <c r="K91" i="138"/>
  <c r="N91" i="138"/>
  <c r="H72" i="138"/>
  <c r="F120" i="138"/>
  <c r="F172" i="138" s="1"/>
  <c r="F225" i="138" s="1"/>
  <c r="K16" i="105"/>
  <c r="M116" i="100"/>
  <c r="E28" i="136"/>
  <c r="E27" i="136"/>
  <c r="E21" i="136"/>
  <c r="AA23" i="102"/>
  <c r="I70" i="140"/>
  <c r="AB21" i="102"/>
  <c r="I25" i="21"/>
  <c r="I27" i="21" s="1"/>
  <c r="D27" i="21"/>
  <c r="J21" i="105"/>
  <c r="J59" i="105" s="1"/>
  <c r="L17" i="105"/>
  <c r="G59" i="105"/>
  <c r="H94" i="100"/>
  <c r="D277" i="138"/>
  <c r="F37" i="71"/>
  <c r="F48" i="71" s="1"/>
  <c r="C237" i="138"/>
  <c r="E184" i="138"/>
  <c r="E131" i="138"/>
  <c r="I57" i="14"/>
  <c r="P58" i="138"/>
  <c r="H76" i="138"/>
  <c r="F124" i="138"/>
  <c r="F176" i="138" s="1"/>
  <c r="H95" i="138"/>
  <c r="F147" i="138"/>
  <c r="H67" i="140"/>
  <c r="AB18" i="102"/>
  <c r="P37" i="138"/>
  <c r="H90" i="138"/>
  <c r="F139" i="138"/>
  <c r="K55" i="6"/>
  <c r="K62" i="6" s="1"/>
  <c r="I62" i="6" s="1"/>
  <c r="M96" i="100"/>
  <c r="M159" i="100" s="1"/>
  <c r="K223" i="100" s="1"/>
  <c r="K287" i="100" s="1"/>
  <c r="K351" i="100" s="1"/>
  <c r="M415" i="100" s="1"/>
  <c r="K479" i="100" s="1"/>
  <c r="Q332" i="138"/>
  <c r="S332" i="138" s="1"/>
  <c r="M103" i="100"/>
  <c r="M166" i="100" s="1"/>
  <c r="Q386" i="138"/>
  <c r="S386" i="138" s="1"/>
  <c r="R378" i="138"/>
  <c r="I378" i="138"/>
  <c r="E443" i="100"/>
  <c r="G443" i="100"/>
  <c r="G446" i="100" s="1"/>
  <c r="J443" i="100"/>
  <c r="K55" i="14"/>
  <c r="P159" i="138"/>
  <c r="J187" i="100"/>
  <c r="J190" i="100" s="1"/>
  <c r="I192" i="100" s="1"/>
  <c r="Q172" i="138"/>
  <c r="S172" i="138" s="1"/>
  <c r="H154" i="100"/>
  <c r="G218" i="100" s="1"/>
  <c r="G282" i="100" s="1"/>
  <c r="G346" i="100" s="1"/>
  <c r="H410" i="100" s="1"/>
  <c r="G474" i="100" s="1"/>
  <c r="J197" i="100"/>
  <c r="P151" i="138"/>
  <c r="I218" i="138"/>
  <c r="R165" i="138"/>
  <c r="P130" i="138"/>
  <c r="P198" i="138"/>
  <c r="E251" i="100"/>
  <c r="E254" i="100" s="1"/>
  <c r="E187" i="100"/>
  <c r="E190" i="100" s="1"/>
  <c r="J260" i="100"/>
  <c r="J263" i="100" s="1"/>
  <c r="H153" i="100"/>
  <c r="G217" i="100" s="1"/>
  <c r="G281" i="100" s="1"/>
  <c r="G345" i="100" s="1"/>
  <c r="F188" i="138"/>
  <c r="R270" i="138"/>
  <c r="I270" i="138"/>
  <c r="K311" i="100"/>
  <c r="K310" i="100"/>
  <c r="P123" i="138"/>
  <c r="Q123" i="138" s="1"/>
  <c r="S123" i="138" s="1"/>
  <c r="I165" i="138"/>
  <c r="P148" i="138"/>
  <c r="P136" i="138"/>
  <c r="M151" i="100"/>
  <c r="M174" i="100"/>
  <c r="M145" i="100"/>
  <c r="M158" i="100"/>
  <c r="M156" i="100"/>
  <c r="K220" i="100" s="1"/>
  <c r="K284" i="100" s="1"/>
  <c r="K348" i="100" s="1"/>
  <c r="M412" i="100" s="1"/>
  <c r="K476" i="100" s="1"/>
  <c r="N150" i="100"/>
  <c r="F391" i="138" l="1"/>
  <c r="H391" i="138" s="1"/>
  <c r="Q427" i="138"/>
  <c r="S427" i="138" s="1"/>
  <c r="E353" i="138"/>
  <c r="M319" i="18"/>
  <c r="L319" i="18"/>
  <c r="L313" i="18"/>
  <c r="M313" i="18"/>
  <c r="F29" i="136"/>
  <c r="G21" i="136"/>
  <c r="G27" i="136"/>
  <c r="F27" i="136"/>
  <c r="F28" i="136"/>
  <c r="Q409" i="138"/>
  <c r="S409" i="138" s="1"/>
  <c r="K389" i="138"/>
  <c r="N389" i="138"/>
  <c r="Q396" i="138"/>
  <c r="S396" i="138" s="1"/>
  <c r="K407" i="138"/>
  <c r="N143" i="138"/>
  <c r="N36" i="138"/>
  <c r="Q36" i="138" s="1"/>
  <c r="S36" i="138" s="1"/>
  <c r="K62" i="138"/>
  <c r="E197" i="138"/>
  <c r="K131" i="138"/>
  <c r="F254" i="138"/>
  <c r="F186" i="138"/>
  <c r="K144" i="138"/>
  <c r="K146" i="138"/>
  <c r="D337" i="138"/>
  <c r="E283" i="138"/>
  <c r="E340" i="138"/>
  <c r="C394" i="138"/>
  <c r="E394" i="138" s="1"/>
  <c r="K202" i="138"/>
  <c r="K179" i="138"/>
  <c r="F216" i="138"/>
  <c r="H216" i="138" s="1"/>
  <c r="L216" i="138" s="1"/>
  <c r="H131" i="138"/>
  <c r="O131" i="138" s="1"/>
  <c r="H309" i="138"/>
  <c r="F363" i="138"/>
  <c r="E203" i="138"/>
  <c r="E112" i="138"/>
  <c r="E164" i="138"/>
  <c r="C113" i="138"/>
  <c r="C317" i="138"/>
  <c r="E263" i="138"/>
  <c r="H23" i="118"/>
  <c r="H29" i="118"/>
  <c r="O163" i="138"/>
  <c r="Q163" i="138" s="1"/>
  <c r="S163" i="138" s="1"/>
  <c r="M163" i="138"/>
  <c r="H245" i="138"/>
  <c r="F299" i="138"/>
  <c r="F258" i="138"/>
  <c r="H206" i="138"/>
  <c r="F183" i="138"/>
  <c r="H183" i="138" s="1"/>
  <c r="O183" i="138" s="1"/>
  <c r="N63" i="138"/>
  <c r="Q63" i="138" s="1"/>
  <c r="S63" i="138" s="1"/>
  <c r="K63" i="138"/>
  <c r="N189" i="100"/>
  <c r="D253" i="100"/>
  <c r="G253" i="100" s="1"/>
  <c r="N31" i="100"/>
  <c r="N173" i="100"/>
  <c r="G237" i="100"/>
  <c r="G232" i="100"/>
  <c r="N168" i="100"/>
  <c r="L277" i="100"/>
  <c r="G229" i="100"/>
  <c r="N165" i="100"/>
  <c r="G240" i="100"/>
  <c r="N176" i="100"/>
  <c r="N40" i="100"/>
  <c r="N163" i="100"/>
  <c r="N167" i="100"/>
  <c r="G231" i="100"/>
  <c r="G234" i="100"/>
  <c r="N170" i="100"/>
  <c r="N161" i="100"/>
  <c r="G225" i="100"/>
  <c r="G226" i="100"/>
  <c r="N162" i="100"/>
  <c r="G245" i="100"/>
  <c r="N181" i="100"/>
  <c r="N101" i="100"/>
  <c r="L213" i="100"/>
  <c r="N152" i="100"/>
  <c r="N149" i="100"/>
  <c r="N172" i="100"/>
  <c r="G236" i="100"/>
  <c r="N175" i="100"/>
  <c r="G239" i="100"/>
  <c r="H38" i="140"/>
  <c r="H24" i="140"/>
  <c r="J67" i="150"/>
  <c r="O67" i="150"/>
  <c r="L77" i="150"/>
  <c r="C28" i="71"/>
  <c r="C50" i="71"/>
  <c r="X35" i="49"/>
  <c r="I432" i="138"/>
  <c r="H41" i="145"/>
  <c r="F227" i="138"/>
  <c r="H174" i="138"/>
  <c r="O174" i="138" s="1"/>
  <c r="D113" i="138"/>
  <c r="C423" i="138"/>
  <c r="C262" i="138"/>
  <c r="E210" i="138"/>
  <c r="E209" i="138"/>
  <c r="C406" i="138"/>
  <c r="E406" i="138" s="1"/>
  <c r="E352" i="138"/>
  <c r="F394" i="138"/>
  <c r="H394" i="138" s="1"/>
  <c r="O394" i="138" s="1"/>
  <c r="Q394" i="138" s="1"/>
  <c r="S394" i="138" s="1"/>
  <c r="H340" i="138"/>
  <c r="O340" i="138" s="1"/>
  <c r="Q340" i="138" s="1"/>
  <c r="S340" i="138" s="1"/>
  <c r="E208" i="138"/>
  <c r="E254" i="138"/>
  <c r="C308" i="138"/>
  <c r="E159" i="138"/>
  <c r="F257" i="138"/>
  <c r="F311" i="138" s="1"/>
  <c r="F148" i="138"/>
  <c r="H148" i="138" s="1"/>
  <c r="O148" i="138" s="1"/>
  <c r="D339" i="138"/>
  <c r="E285" i="138"/>
  <c r="E217" i="138"/>
  <c r="F263" i="138"/>
  <c r="H211" i="138"/>
  <c r="E205" i="138"/>
  <c r="C257" i="138"/>
  <c r="K36" i="138"/>
  <c r="K33" i="138"/>
  <c r="F191" i="138"/>
  <c r="F243" i="138" s="1"/>
  <c r="K149" i="138"/>
  <c r="N149" i="138"/>
  <c r="Q149" i="138" s="1"/>
  <c r="S149" i="138" s="1"/>
  <c r="F393" i="138"/>
  <c r="H393" i="138" s="1"/>
  <c r="O393" i="138" s="1"/>
  <c r="Q393" i="138" s="1"/>
  <c r="S393" i="138" s="1"/>
  <c r="H339" i="138"/>
  <c r="O339" i="138" s="1"/>
  <c r="Q339" i="138" s="1"/>
  <c r="S339" i="138" s="1"/>
  <c r="K152" i="138"/>
  <c r="N152" i="138"/>
  <c r="Q152" i="138" s="1"/>
  <c r="S152" i="138" s="1"/>
  <c r="G210" i="100"/>
  <c r="L210" i="100" s="1"/>
  <c r="N191" i="138"/>
  <c r="K191" i="138"/>
  <c r="C281" i="138"/>
  <c r="E229" i="138"/>
  <c r="C225" i="138"/>
  <c r="E172" i="138"/>
  <c r="E200" i="138"/>
  <c r="N53" i="138"/>
  <c r="Q53" i="138" s="1"/>
  <c r="S53" i="138" s="1"/>
  <c r="K53" i="138"/>
  <c r="N79" i="138"/>
  <c r="Q79" i="138" s="1"/>
  <c r="S79" i="138" s="1"/>
  <c r="H147" i="100"/>
  <c r="E93" i="138"/>
  <c r="M61" i="100"/>
  <c r="M64" i="100" s="1"/>
  <c r="E199" i="138"/>
  <c r="N148" i="100"/>
  <c r="D303" i="138"/>
  <c r="E249" i="138"/>
  <c r="E228" i="138"/>
  <c r="C280" i="138"/>
  <c r="N43" i="138"/>
  <c r="Q43" i="138" s="1"/>
  <c r="S43" i="138" s="1"/>
  <c r="K43" i="138"/>
  <c r="M320" i="18"/>
  <c r="L320" i="18"/>
  <c r="B59" i="105"/>
  <c r="L308" i="18"/>
  <c r="M308" i="18"/>
  <c r="K26" i="138"/>
  <c r="N26" i="138"/>
  <c r="Q26" i="138" s="1"/>
  <c r="S26" i="138" s="1"/>
  <c r="I54" i="140"/>
  <c r="U23" i="102"/>
  <c r="K45" i="138"/>
  <c r="N45" i="138"/>
  <c r="Q45" i="138" s="1"/>
  <c r="S45" i="138" s="1"/>
  <c r="R432" i="138"/>
  <c r="M311" i="18"/>
  <c r="L311" i="18"/>
  <c r="P71" i="138"/>
  <c r="P113" i="138" s="1"/>
  <c r="F173" i="138"/>
  <c r="J17" i="49"/>
  <c r="I99" i="6"/>
  <c r="E74" i="138"/>
  <c r="H306" i="18"/>
  <c r="I306" i="18"/>
  <c r="M106" i="100"/>
  <c r="N43" i="100"/>
  <c r="H183" i="100"/>
  <c r="N120" i="100"/>
  <c r="J57" i="14"/>
  <c r="F207" i="138"/>
  <c r="H207" i="138" s="1"/>
  <c r="O207" i="138" s="1"/>
  <c r="F185" i="138"/>
  <c r="H185" i="138" s="1"/>
  <c r="O185" i="138" s="1"/>
  <c r="P21" i="102"/>
  <c r="H145" i="100"/>
  <c r="G209" i="100" s="1"/>
  <c r="G273" i="100" s="1"/>
  <c r="E196" i="138"/>
  <c r="R17" i="49"/>
  <c r="G28" i="71"/>
  <c r="G50" i="71" s="1"/>
  <c r="AA14" i="49"/>
  <c r="F179" i="138"/>
  <c r="H179" i="138" s="1"/>
  <c r="O179" i="138" s="1"/>
  <c r="E186" i="138"/>
  <c r="D59" i="105"/>
  <c r="N92" i="100"/>
  <c r="O23" i="102"/>
  <c r="H78" i="140"/>
  <c r="AA17" i="49"/>
  <c r="AC15" i="49"/>
  <c r="H17" i="49"/>
  <c r="K17" i="49"/>
  <c r="F17" i="49"/>
  <c r="L312" i="18"/>
  <c r="M312" i="18"/>
  <c r="H144" i="138"/>
  <c r="F197" i="138"/>
  <c r="E85" i="138"/>
  <c r="N85" i="138" s="1"/>
  <c r="F198" i="138"/>
  <c r="H145" i="138"/>
  <c r="O145" i="138" s="1"/>
  <c r="R23" i="102"/>
  <c r="I48" i="140" s="1"/>
  <c r="I46" i="140"/>
  <c r="I59" i="105"/>
  <c r="E25" i="136"/>
  <c r="E29" i="136"/>
  <c r="K364" i="100"/>
  <c r="G57" i="14"/>
  <c r="N48" i="138"/>
  <c r="Q48" i="138" s="1"/>
  <c r="S48" i="138" s="1"/>
  <c r="K48" i="138"/>
  <c r="M417" i="100"/>
  <c r="M23" i="102"/>
  <c r="H32" i="140"/>
  <c r="K280" i="100"/>
  <c r="L216" i="100"/>
  <c r="K362" i="100"/>
  <c r="M108" i="100"/>
  <c r="M171" i="100" s="1"/>
  <c r="K235" i="100" s="1"/>
  <c r="N45" i="100"/>
  <c r="H62" i="140"/>
  <c r="W23" i="102"/>
  <c r="H64" i="140" s="1"/>
  <c r="E81" i="138"/>
  <c r="N81" i="138" s="1"/>
  <c r="Q81" i="138" s="1"/>
  <c r="S81" i="138" s="1"/>
  <c r="L314" i="100"/>
  <c r="H378" i="100"/>
  <c r="K378" i="100" s="1"/>
  <c r="L57" i="14"/>
  <c r="H40" i="145"/>
  <c r="L312" i="100"/>
  <c r="K376" i="100"/>
  <c r="K368" i="100"/>
  <c r="E84" i="138"/>
  <c r="M437" i="100"/>
  <c r="H61" i="100"/>
  <c r="H64" i="100" s="1"/>
  <c r="H67" i="100" s="1"/>
  <c r="F57" i="14"/>
  <c r="H86" i="140"/>
  <c r="AD23" i="102"/>
  <c r="H88" i="140" s="1"/>
  <c r="H160" i="138"/>
  <c r="F213" i="138"/>
  <c r="M431" i="100"/>
  <c r="H111" i="100"/>
  <c r="N48" i="100"/>
  <c r="M90" i="100"/>
  <c r="N27" i="100"/>
  <c r="M429" i="100"/>
  <c r="E119" i="138"/>
  <c r="E71" i="138"/>
  <c r="L305" i="100"/>
  <c r="K369" i="100"/>
  <c r="H254" i="138"/>
  <c r="O254" i="138" s="1"/>
  <c r="Q254" i="138" s="1"/>
  <c r="S254" i="138" s="1"/>
  <c r="F308" i="138"/>
  <c r="N25" i="100"/>
  <c r="H88" i="100"/>
  <c r="H102" i="140"/>
  <c r="AF23" i="102"/>
  <c r="H104" i="140" s="1"/>
  <c r="K291" i="100"/>
  <c r="L227" i="100"/>
  <c r="K357" i="100"/>
  <c r="Q23" i="102"/>
  <c r="H46" i="140"/>
  <c r="E64" i="138"/>
  <c r="D28" i="136"/>
  <c r="D21" i="136"/>
  <c r="D27" i="136"/>
  <c r="L341" i="100"/>
  <c r="M405" i="100"/>
  <c r="K488" i="100"/>
  <c r="N38" i="100"/>
  <c r="M423" i="100"/>
  <c r="K370" i="100"/>
  <c r="L306" i="100"/>
  <c r="F134" i="138"/>
  <c r="H83" i="138"/>
  <c r="O83" i="138" s="1"/>
  <c r="Q83" i="138" s="1"/>
  <c r="S83" i="138" s="1"/>
  <c r="J79" i="12"/>
  <c r="F2" i="149"/>
  <c r="I17" i="49"/>
  <c r="C17" i="49"/>
  <c r="AC14" i="49"/>
  <c r="R14" i="49"/>
  <c r="L18" i="49"/>
  <c r="L17" i="49"/>
  <c r="V35" i="49"/>
  <c r="G17" i="49"/>
  <c r="W35" i="49"/>
  <c r="W36" i="49" s="1"/>
  <c r="Y35" i="49"/>
  <c r="Y36" i="49" s="1"/>
  <c r="AC16" i="49"/>
  <c r="AA16" i="49"/>
  <c r="B25" i="49"/>
  <c r="P18" i="49"/>
  <c r="AC17" i="49"/>
  <c r="F50" i="71"/>
  <c r="J28" i="71"/>
  <c r="J50" i="71" s="1"/>
  <c r="R15" i="49"/>
  <c r="H28" i="71"/>
  <c r="H50" i="71" s="1"/>
  <c r="R13" i="49"/>
  <c r="AA13" i="49"/>
  <c r="T35" i="49"/>
  <c r="B28" i="71"/>
  <c r="B50" i="71" s="1"/>
  <c r="C23" i="49"/>
  <c r="Q18" i="49"/>
  <c r="Q20" i="49" s="1"/>
  <c r="C25" i="49"/>
  <c r="Q35" i="49"/>
  <c r="K24" i="136"/>
  <c r="K28" i="136"/>
  <c r="Z35" i="49"/>
  <c r="P35" i="49"/>
  <c r="L25" i="49"/>
  <c r="L23" i="49"/>
  <c r="L24" i="49"/>
  <c r="AB18" i="49"/>
  <c r="H23" i="49"/>
  <c r="W18" i="49"/>
  <c r="W20" i="49" s="1"/>
  <c r="H25" i="49"/>
  <c r="K27" i="136"/>
  <c r="K18" i="136"/>
  <c r="K23" i="136"/>
  <c r="F25" i="49"/>
  <c r="F23" i="49"/>
  <c r="U18" i="49"/>
  <c r="U20" i="49" s="1"/>
  <c r="G23" i="49"/>
  <c r="G25" i="49"/>
  <c r="V18" i="49"/>
  <c r="V20" i="49" s="1"/>
  <c r="K23" i="49"/>
  <c r="K25" i="49"/>
  <c r="Z18" i="49"/>
  <c r="J25" i="49"/>
  <c r="J23" i="49"/>
  <c r="Y18" i="49"/>
  <c r="Y20" i="49" s="1"/>
  <c r="I25" i="49"/>
  <c r="X18" i="49"/>
  <c r="X20" i="49" s="1"/>
  <c r="X21" i="49" s="1"/>
  <c r="X22" i="49" s="1"/>
  <c r="I23" i="49"/>
  <c r="E28" i="71"/>
  <c r="E50" i="71" s="1"/>
  <c r="U35" i="49"/>
  <c r="D28" i="71"/>
  <c r="D50" i="71" s="1"/>
  <c r="H80" i="140"/>
  <c r="F190" i="138"/>
  <c r="H137" i="138"/>
  <c r="O137" i="138" s="1"/>
  <c r="F261" i="138"/>
  <c r="H209" i="138"/>
  <c r="F199" i="138"/>
  <c r="H146" i="138"/>
  <c r="N127" i="138"/>
  <c r="Q127" i="138" s="1"/>
  <c r="S127" i="138" s="1"/>
  <c r="H172" i="138"/>
  <c r="H184" i="138"/>
  <c r="O184" i="138" s="1"/>
  <c r="H99" i="138"/>
  <c r="O99" i="138" s="1"/>
  <c r="F151" i="138"/>
  <c r="C241" i="138"/>
  <c r="E248" i="138"/>
  <c r="C302" i="138"/>
  <c r="H157" i="138"/>
  <c r="F210" i="138"/>
  <c r="P64" i="138"/>
  <c r="N103" i="100"/>
  <c r="E187" i="138"/>
  <c r="I79" i="12"/>
  <c r="G249" i="100"/>
  <c r="N185" i="100"/>
  <c r="E226" i="138"/>
  <c r="D278" i="138"/>
  <c r="K79" i="138"/>
  <c r="K130" i="138"/>
  <c r="H36" i="145"/>
  <c r="K57" i="14"/>
  <c r="N184" i="138"/>
  <c r="K184" i="138"/>
  <c r="F314" i="138"/>
  <c r="H260" i="138"/>
  <c r="N77" i="138"/>
  <c r="Q77" i="138" s="1"/>
  <c r="S77" i="138" s="1"/>
  <c r="K77" i="138"/>
  <c r="H159" i="100"/>
  <c r="N159" i="100" s="1"/>
  <c r="N96" i="100"/>
  <c r="M153" i="100"/>
  <c r="N153" i="100" s="1"/>
  <c r="N90" i="100"/>
  <c r="F136" i="138"/>
  <c r="H85" i="138"/>
  <c r="O85" i="138" s="1"/>
  <c r="C291" i="138"/>
  <c r="D331" i="138"/>
  <c r="L21" i="105"/>
  <c r="K21" i="105"/>
  <c r="G372" i="100"/>
  <c r="M180" i="100"/>
  <c r="N117" i="100"/>
  <c r="J519" i="100"/>
  <c r="K102" i="138"/>
  <c r="N102" i="138"/>
  <c r="Q102" i="138" s="1"/>
  <c r="S102" i="138" s="1"/>
  <c r="K96" i="138"/>
  <c r="N96" i="138"/>
  <c r="Q96" i="138" s="1"/>
  <c r="S96" i="138" s="1"/>
  <c r="E190" i="138"/>
  <c r="K75" i="150"/>
  <c r="K82" i="150" s="1"/>
  <c r="O51" i="150"/>
  <c r="F200" i="138"/>
  <c r="H147" i="138"/>
  <c r="C364" i="138"/>
  <c r="K151" i="138"/>
  <c r="N151" i="138"/>
  <c r="C404" i="138"/>
  <c r="G73" i="150"/>
  <c r="E212" i="138"/>
  <c r="E204" i="138"/>
  <c r="E198" i="138"/>
  <c r="C250" i="138"/>
  <c r="K137" i="138"/>
  <c r="N137" i="138"/>
  <c r="E179" i="138"/>
  <c r="C232" i="138"/>
  <c r="J53" i="150"/>
  <c r="J75" i="150"/>
  <c r="G75" i="150" s="1"/>
  <c r="M154" i="100"/>
  <c r="N154" i="100" s="1"/>
  <c r="N91" i="100"/>
  <c r="H176" i="138"/>
  <c r="O176" i="138" s="1"/>
  <c r="Q176" i="138" s="1"/>
  <c r="S176" i="138" s="1"/>
  <c r="F229" i="138"/>
  <c r="F159" i="138"/>
  <c r="H107" i="138"/>
  <c r="O107" i="138" s="1"/>
  <c r="I72" i="140"/>
  <c r="AB23" i="102"/>
  <c r="F113" i="138"/>
  <c r="H93" i="100"/>
  <c r="K81" i="138"/>
  <c r="F238" i="138"/>
  <c r="H186" i="138"/>
  <c r="O186" i="138" s="1"/>
  <c r="K107" i="138"/>
  <c r="N107" i="138"/>
  <c r="C213" i="138"/>
  <c r="E160" i="138"/>
  <c r="C207" i="138"/>
  <c r="E154" i="138"/>
  <c r="E148" i="138"/>
  <c r="C201" i="138"/>
  <c r="H91" i="138"/>
  <c r="O91" i="138" s="1"/>
  <c r="Q91" i="138" s="1"/>
  <c r="S91" i="138" s="1"/>
  <c r="F143" i="138"/>
  <c r="K85" i="138"/>
  <c r="N182" i="100"/>
  <c r="G246" i="100"/>
  <c r="E239" i="138"/>
  <c r="M179" i="100"/>
  <c r="K243" i="100" s="1"/>
  <c r="K307" i="100" s="1"/>
  <c r="K371" i="100" s="1"/>
  <c r="M435" i="100" s="1"/>
  <c r="K499" i="100" s="1"/>
  <c r="N116" i="100"/>
  <c r="H139" i="138"/>
  <c r="O139" i="138" s="1"/>
  <c r="Q139" i="138" s="1"/>
  <c r="S139" i="138" s="1"/>
  <c r="F192" i="138"/>
  <c r="N94" i="100"/>
  <c r="H157" i="100"/>
  <c r="H120" i="138"/>
  <c r="E130" i="138"/>
  <c r="C183" i="138"/>
  <c r="K45" i="105"/>
  <c r="L45" i="105"/>
  <c r="K86" i="138"/>
  <c r="N86" i="138"/>
  <c r="Q86" i="138" s="1"/>
  <c r="S86" i="138" s="1"/>
  <c r="C386" i="138"/>
  <c r="K99" i="138"/>
  <c r="N99" i="138"/>
  <c r="N145" i="138"/>
  <c r="K145" i="138"/>
  <c r="I62" i="140"/>
  <c r="X23" i="102"/>
  <c r="Y21" i="102"/>
  <c r="Q29" i="138"/>
  <c r="N134" i="138"/>
  <c r="K134" i="138"/>
  <c r="C347" i="138"/>
  <c r="E293" i="138"/>
  <c r="J446" i="100"/>
  <c r="J448" i="100" s="1"/>
  <c r="J455" i="100" s="1"/>
  <c r="H30" i="118"/>
  <c r="H24" i="118"/>
  <c r="E446" i="100"/>
  <c r="E449" i="100" s="1"/>
  <c r="G211" i="100"/>
  <c r="N147" i="100"/>
  <c r="J199" i="100"/>
  <c r="H188" i="138"/>
  <c r="O188" i="138" s="1"/>
  <c r="F240" i="138"/>
  <c r="F277" i="138"/>
  <c r="H225" i="138"/>
  <c r="K374" i="100"/>
  <c r="K375" i="100"/>
  <c r="H175" i="138"/>
  <c r="O175" i="138" s="1"/>
  <c r="F228" i="138"/>
  <c r="K230" i="100"/>
  <c r="N166" i="100"/>
  <c r="K222" i="100"/>
  <c r="N158" i="100"/>
  <c r="P165" i="138"/>
  <c r="K219" i="100"/>
  <c r="N155" i="100"/>
  <c r="K215" i="100"/>
  <c r="H409" i="100"/>
  <c r="N171" i="100"/>
  <c r="K238" i="100"/>
  <c r="K228" i="100"/>
  <c r="N164" i="100"/>
  <c r="G212" i="100"/>
  <c r="G307" i="100"/>
  <c r="H411" i="100"/>
  <c r="G358" i="100"/>
  <c r="G350" i="100"/>
  <c r="L214" i="100"/>
  <c r="G278" i="100"/>
  <c r="G363" i="100"/>
  <c r="H425" i="100"/>
  <c r="F259" i="138" l="1"/>
  <c r="F232" i="138"/>
  <c r="K80" i="138"/>
  <c r="N131" i="138"/>
  <c r="N80" i="138"/>
  <c r="Q80" i="138" s="1"/>
  <c r="S80" i="138" s="1"/>
  <c r="K37" i="138"/>
  <c r="N37" i="138"/>
  <c r="Q37" i="138" s="1"/>
  <c r="S37" i="138" s="1"/>
  <c r="N146" i="138"/>
  <c r="Q146" i="138" s="1"/>
  <c r="S146" i="138" s="1"/>
  <c r="N58" i="138"/>
  <c r="Q58" i="138" s="1"/>
  <c r="S58" i="138" s="1"/>
  <c r="N34" i="138"/>
  <c r="Q34" i="138" s="1"/>
  <c r="S34" i="138" s="1"/>
  <c r="K34" i="138"/>
  <c r="K58" i="138"/>
  <c r="N33" i="138"/>
  <c r="Q33" i="138" s="1"/>
  <c r="S33" i="138" s="1"/>
  <c r="Q131" i="138"/>
  <c r="S131" i="138" s="1"/>
  <c r="F237" i="138"/>
  <c r="F291" i="138" s="1"/>
  <c r="F345" i="138" s="1"/>
  <c r="H345" i="138" s="1"/>
  <c r="O345" i="138" s="1"/>
  <c r="K112" i="138"/>
  <c r="K93" i="138"/>
  <c r="K74" i="138"/>
  <c r="N144" i="138"/>
  <c r="Q144" i="138" s="1"/>
  <c r="S144" i="138" s="1"/>
  <c r="Q99" i="138"/>
  <c r="S99" i="138" s="1"/>
  <c r="K187" i="138"/>
  <c r="D391" i="138"/>
  <c r="E391" i="138" s="1"/>
  <c r="E337" i="138"/>
  <c r="D292" i="138"/>
  <c r="K119" i="138"/>
  <c r="K127" i="138"/>
  <c r="K164" i="138"/>
  <c r="N202" i="138"/>
  <c r="Q202" i="138" s="1"/>
  <c r="S202" i="138" s="1"/>
  <c r="F268" i="138"/>
  <c r="F322" i="138" s="1"/>
  <c r="Q145" i="138"/>
  <c r="S145" i="138" s="1"/>
  <c r="H257" i="138"/>
  <c r="H363" i="138"/>
  <c r="F417" i="138"/>
  <c r="H417" i="138" s="1"/>
  <c r="F236" i="138"/>
  <c r="F290" i="138" s="1"/>
  <c r="E255" i="138"/>
  <c r="D309" i="138"/>
  <c r="E317" i="138"/>
  <c r="C371" i="138"/>
  <c r="H299" i="138"/>
  <c r="F353" i="138"/>
  <c r="F312" i="138"/>
  <c r="H258" i="138"/>
  <c r="G223" i="100"/>
  <c r="F201" i="138"/>
  <c r="D317" i="100"/>
  <c r="G317" i="100" s="1"/>
  <c r="L253" i="100"/>
  <c r="M124" i="100"/>
  <c r="M127" i="100" s="1"/>
  <c r="G289" i="100"/>
  <c r="L225" i="100"/>
  <c r="L239" i="100"/>
  <c r="G303" i="100"/>
  <c r="G298" i="100"/>
  <c r="L234" i="100"/>
  <c r="G293" i="100"/>
  <c r="L229" i="100"/>
  <c r="G304" i="100"/>
  <c r="L240" i="100"/>
  <c r="G274" i="100"/>
  <c r="G295" i="100"/>
  <c r="L231" i="100"/>
  <c r="G309" i="100"/>
  <c r="L245" i="100"/>
  <c r="N145" i="100"/>
  <c r="G300" i="100"/>
  <c r="L236" i="100"/>
  <c r="G296" i="100"/>
  <c r="L232" i="100"/>
  <c r="G290" i="100"/>
  <c r="L226" i="100"/>
  <c r="G301" i="100"/>
  <c r="L237" i="100"/>
  <c r="G26" i="49"/>
  <c r="X36" i="49"/>
  <c r="N205" i="138"/>
  <c r="Q205" i="138" s="1"/>
  <c r="S205" i="138" s="1"/>
  <c r="K205" i="138"/>
  <c r="D315" i="138"/>
  <c r="E261" i="138"/>
  <c r="H191" i="138"/>
  <c r="O191" i="138" s="1"/>
  <c r="Q191" i="138" s="1"/>
  <c r="S191" i="138" s="1"/>
  <c r="D314" i="138"/>
  <c r="E260" i="138"/>
  <c r="C165" i="138"/>
  <c r="Q137" i="138"/>
  <c r="S137" i="138" s="1"/>
  <c r="F317" i="138"/>
  <c r="H263" i="138"/>
  <c r="D393" i="138"/>
  <c r="E393" i="138" s="1"/>
  <c r="E339" i="138"/>
  <c r="K208" i="138"/>
  <c r="N208" i="138"/>
  <c r="Q208" i="138" s="1"/>
  <c r="S208" i="138" s="1"/>
  <c r="E262" i="138"/>
  <c r="C316" i="138"/>
  <c r="N187" i="138"/>
  <c r="E257" i="138"/>
  <c r="C311" i="138"/>
  <c r="E269" i="138"/>
  <c r="D323" i="138"/>
  <c r="E308" i="138"/>
  <c r="C362" i="138"/>
  <c r="F279" i="138"/>
  <c r="F333" i="138" s="1"/>
  <c r="H227" i="138"/>
  <c r="O227" i="138" s="1"/>
  <c r="K199" i="138"/>
  <c r="N199" i="138"/>
  <c r="Q199" i="138" s="1"/>
  <c r="S199" i="138" s="1"/>
  <c r="D357" i="138"/>
  <c r="E303" i="138"/>
  <c r="E251" i="138"/>
  <c r="D305" i="138"/>
  <c r="D306" i="138"/>
  <c r="E252" i="138"/>
  <c r="C277" i="138"/>
  <c r="E225" i="138"/>
  <c r="E280" i="138"/>
  <c r="E281" i="138"/>
  <c r="C335" i="138"/>
  <c r="K217" i="100"/>
  <c r="K281" i="100" s="1"/>
  <c r="H198" i="138"/>
  <c r="O198" i="138" s="1"/>
  <c r="F250" i="138"/>
  <c r="H119" i="138"/>
  <c r="O119" i="138" s="1"/>
  <c r="F171" i="138"/>
  <c r="D124" i="100"/>
  <c r="D127" i="100" s="1"/>
  <c r="D130" i="100" s="1"/>
  <c r="Q36" i="49"/>
  <c r="V36" i="49"/>
  <c r="I40" i="140"/>
  <c r="P23" i="102"/>
  <c r="N106" i="100"/>
  <c r="M169" i="100"/>
  <c r="M187" i="100" s="1"/>
  <c r="M190" i="100" s="1"/>
  <c r="C174" i="138"/>
  <c r="E122" i="138"/>
  <c r="H173" i="138"/>
  <c r="F226" i="138"/>
  <c r="I56" i="140"/>
  <c r="V23" i="102"/>
  <c r="C26" i="49"/>
  <c r="E136" i="138"/>
  <c r="N136" i="138" s="1"/>
  <c r="L26" i="49"/>
  <c r="N108" i="100"/>
  <c r="K59" i="105"/>
  <c r="I26" i="49"/>
  <c r="V21" i="49"/>
  <c r="V22" i="49" s="1"/>
  <c r="N61" i="100"/>
  <c r="N64" i="100" s="1"/>
  <c r="N67" i="100" s="1"/>
  <c r="F249" i="138"/>
  <c r="H197" i="138"/>
  <c r="G247" i="100"/>
  <c r="N183" i="100"/>
  <c r="H291" i="138"/>
  <c r="O291" i="138" s="1"/>
  <c r="Q107" i="138"/>
  <c r="S107" i="138" s="1"/>
  <c r="L59" i="105"/>
  <c r="M421" i="100"/>
  <c r="I124" i="100"/>
  <c r="I127" i="100" s="1"/>
  <c r="D165" i="138"/>
  <c r="E113" i="138"/>
  <c r="Q184" i="138"/>
  <c r="S184" i="138" s="1"/>
  <c r="M434" i="100"/>
  <c r="L370" i="100"/>
  <c r="C188" i="138"/>
  <c r="E135" i="138"/>
  <c r="I442" i="100"/>
  <c r="M442" i="100" s="1"/>
  <c r="L378" i="100"/>
  <c r="Q85" i="138"/>
  <c r="S85" i="138" s="1"/>
  <c r="K355" i="100"/>
  <c r="L291" i="100"/>
  <c r="K23" i="138"/>
  <c r="N23" i="138"/>
  <c r="M433" i="100"/>
  <c r="L369" i="100"/>
  <c r="K84" i="138"/>
  <c r="N84" i="138"/>
  <c r="Q84" i="138" s="1"/>
  <c r="S84" i="138" s="1"/>
  <c r="M426" i="100"/>
  <c r="K218" i="100"/>
  <c r="K282" i="100" s="1"/>
  <c r="H31" i="118"/>
  <c r="K487" i="100"/>
  <c r="H174" i="100"/>
  <c r="N111" i="100"/>
  <c r="N405" i="100"/>
  <c r="K469" i="100"/>
  <c r="L469" i="100" s="1"/>
  <c r="H48" i="140"/>
  <c r="S23" i="102"/>
  <c r="K71" i="138"/>
  <c r="N71" i="138"/>
  <c r="Q71" i="138" s="1"/>
  <c r="S71" i="138" s="1"/>
  <c r="K495" i="100"/>
  <c r="M432" i="100"/>
  <c r="E132" i="138"/>
  <c r="K344" i="100"/>
  <c r="L280" i="100"/>
  <c r="H268" i="138"/>
  <c r="L268" i="138" s="1"/>
  <c r="H151" i="100"/>
  <c r="N88" i="100"/>
  <c r="L376" i="100"/>
  <c r="M440" i="100"/>
  <c r="M428" i="100"/>
  <c r="P216" i="138"/>
  <c r="P218" i="138" s="1"/>
  <c r="O216" i="138"/>
  <c r="M216" i="138"/>
  <c r="K493" i="100"/>
  <c r="F265" i="138"/>
  <c r="H265" i="138" s="1"/>
  <c r="H213" i="138"/>
  <c r="H134" i="138"/>
  <c r="O134" i="138" s="1"/>
  <c r="Q134" i="138" s="1"/>
  <c r="S134" i="138" s="1"/>
  <c r="F187" i="138"/>
  <c r="H308" i="138"/>
  <c r="O308" i="138" s="1"/>
  <c r="Q308" i="138" s="1"/>
  <c r="S308" i="138" s="1"/>
  <c r="F362" i="138"/>
  <c r="K481" i="100"/>
  <c r="K501" i="100"/>
  <c r="K79" i="12"/>
  <c r="H26" i="49"/>
  <c r="U36" i="49"/>
  <c r="J26" i="49"/>
  <c r="W21" i="49"/>
  <c r="W22" i="49" s="1"/>
  <c r="AA18" i="49"/>
  <c r="AA20" i="49" s="1"/>
  <c r="Z20" i="49"/>
  <c r="Z21" i="49" s="1"/>
  <c r="Z22" i="49" s="1"/>
  <c r="U21" i="49"/>
  <c r="Z36" i="49"/>
  <c r="P20" i="49"/>
  <c r="R18" i="49"/>
  <c r="R20" i="49" s="1"/>
  <c r="K26" i="49"/>
  <c r="AC18" i="49"/>
  <c r="AC20" i="49" s="1"/>
  <c r="AB20" i="49"/>
  <c r="K29" i="136"/>
  <c r="K25" i="136"/>
  <c r="F26" i="49"/>
  <c r="Y21" i="49"/>
  <c r="Y22" i="49" s="1"/>
  <c r="AB26" i="49"/>
  <c r="L243" i="100"/>
  <c r="D332" i="138"/>
  <c r="E278" i="138"/>
  <c r="C295" i="138"/>
  <c r="N179" i="100"/>
  <c r="F262" i="138"/>
  <c r="H210" i="138"/>
  <c r="F365" i="138"/>
  <c r="H311" i="138"/>
  <c r="H151" i="138"/>
  <c r="O151" i="138" s="1"/>
  <c r="Q151" i="138" s="1"/>
  <c r="S151" i="138" s="1"/>
  <c r="F204" i="138"/>
  <c r="H261" i="138"/>
  <c r="F315" i="138"/>
  <c r="L249" i="100"/>
  <c r="G313" i="100"/>
  <c r="C356" i="138"/>
  <c r="E302" i="138"/>
  <c r="F251" i="138"/>
  <c r="H199" i="138"/>
  <c r="F242" i="138"/>
  <c r="H190" i="138"/>
  <c r="O190" i="138" s="1"/>
  <c r="D279" i="138"/>
  <c r="D333" i="138" s="1"/>
  <c r="N179" i="138"/>
  <c r="Q179" i="138" s="1"/>
  <c r="S179" i="138" s="1"/>
  <c r="I64" i="140"/>
  <c r="Y23" i="102"/>
  <c r="H243" i="138"/>
  <c r="O243" i="138" s="1"/>
  <c r="Q243" i="138" s="1"/>
  <c r="S243" i="138" s="1"/>
  <c r="F297" i="138"/>
  <c r="G221" i="100"/>
  <c r="N157" i="100"/>
  <c r="F196" i="138"/>
  <c r="H143" i="138"/>
  <c r="O143" i="138" s="1"/>
  <c r="Q143" i="138" s="1"/>
  <c r="S143" i="138" s="1"/>
  <c r="E201" i="138"/>
  <c r="C253" i="138"/>
  <c r="N204" i="138"/>
  <c r="K204" i="138"/>
  <c r="D296" i="138"/>
  <c r="E242" i="138"/>
  <c r="H436" i="100"/>
  <c r="C345" i="138"/>
  <c r="H113" i="138"/>
  <c r="K136" i="138"/>
  <c r="G310" i="100"/>
  <c r="L246" i="100"/>
  <c r="N148" i="138"/>
  <c r="Q148" i="138" s="1"/>
  <c r="S148" i="138" s="1"/>
  <c r="K148" i="138"/>
  <c r="C265" i="138"/>
  <c r="E213" i="138"/>
  <c r="H238" i="138"/>
  <c r="O238" i="138" s="1"/>
  <c r="F292" i="138"/>
  <c r="N93" i="100"/>
  <c r="H124" i="100"/>
  <c r="H127" i="100" s="1"/>
  <c r="H130" i="100" s="1"/>
  <c r="D310" i="138"/>
  <c r="E256" i="138"/>
  <c r="J82" i="150"/>
  <c r="C418" i="138"/>
  <c r="H200" i="138"/>
  <c r="F252" i="138"/>
  <c r="N190" i="138"/>
  <c r="K190" i="138"/>
  <c r="N180" i="100"/>
  <c r="K244" i="100"/>
  <c r="O113" i="138"/>
  <c r="N130" i="138"/>
  <c r="C259" i="138"/>
  <c r="E207" i="138"/>
  <c r="N159" i="138"/>
  <c r="K159" i="138"/>
  <c r="H229" i="138"/>
  <c r="O229" i="138" s="1"/>
  <c r="Q229" i="138" s="1"/>
  <c r="S229" i="138" s="1"/>
  <c r="F281" i="138"/>
  <c r="F335" i="138" s="1"/>
  <c r="K198" i="138"/>
  <c r="N198" i="138"/>
  <c r="D318" i="138"/>
  <c r="E264" i="138"/>
  <c r="E238" i="138"/>
  <c r="F368" i="138"/>
  <c r="H314" i="138"/>
  <c r="C401" i="138"/>
  <c r="E401" i="138" s="1"/>
  <c r="E347" i="138"/>
  <c r="H25" i="118"/>
  <c r="S29" i="138"/>
  <c r="C236" i="138"/>
  <c r="E183" i="138"/>
  <c r="F165" i="138"/>
  <c r="F244" i="138"/>
  <c r="H192" i="138"/>
  <c r="O192" i="138" s="1"/>
  <c r="Q192" i="138" s="1"/>
  <c r="S192" i="138" s="1"/>
  <c r="H159" i="138"/>
  <c r="O159" i="138" s="1"/>
  <c r="F212" i="138"/>
  <c r="C284" i="138"/>
  <c r="E232" i="138"/>
  <c r="C304" i="138"/>
  <c r="E250" i="138"/>
  <c r="N212" i="138"/>
  <c r="K212" i="138"/>
  <c r="O53" i="150"/>
  <c r="O75" i="150"/>
  <c r="N154" i="138"/>
  <c r="Q154" i="138" s="1"/>
  <c r="S154" i="138" s="1"/>
  <c r="K154" i="138"/>
  <c r="D385" i="138"/>
  <c r="H136" i="138"/>
  <c r="O136" i="138" s="1"/>
  <c r="F189" i="138"/>
  <c r="G338" i="100"/>
  <c r="L274" i="100"/>
  <c r="G275" i="100"/>
  <c r="L211" i="100"/>
  <c r="F313" i="138"/>
  <c r="H259" i="138"/>
  <c r="O259" i="138" s="1"/>
  <c r="H240" i="138"/>
  <c r="O240" i="138" s="1"/>
  <c r="F294" i="138"/>
  <c r="F284" i="138"/>
  <c r="H232" i="138"/>
  <c r="F331" i="138"/>
  <c r="H277" i="138"/>
  <c r="M439" i="100"/>
  <c r="M438" i="100"/>
  <c r="K292" i="100"/>
  <c r="L228" i="100"/>
  <c r="K299" i="100"/>
  <c r="L235" i="100"/>
  <c r="K279" i="100"/>
  <c r="K209" i="100"/>
  <c r="K286" i="100"/>
  <c r="L222" i="100"/>
  <c r="Q175" i="138"/>
  <c r="K302" i="100"/>
  <c r="G473" i="100"/>
  <c r="K283" i="100"/>
  <c r="L219" i="100"/>
  <c r="K294" i="100"/>
  <c r="L230" i="100"/>
  <c r="H228" i="138"/>
  <c r="O228" i="138" s="1"/>
  <c r="Q228" i="138" s="1"/>
  <c r="S228" i="138" s="1"/>
  <c r="F280" i="138"/>
  <c r="F334" i="138" s="1"/>
  <c r="H422" i="100"/>
  <c r="G287" i="100"/>
  <c r="L223" i="100"/>
  <c r="G342" i="100"/>
  <c r="L278" i="100"/>
  <c r="H427" i="100"/>
  <c r="H414" i="100"/>
  <c r="G371" i="100"/>
  <c r="L307" i="100"/>
  <c r="K233" i="100"/>
  <c r="G489" i="100"/>
  <c r="G475" i="100"/>
  <c r="L212" i="100"/>
  <c r="P18" i="148"/>
  <c r="N59" i="148"/>
  <c r="I58" i="148"/>
  <c r="L4" i="148"/>
  <c r="O44" i="148"/>
  <c r="K34" i="148"/>
  <c r="L2" i="148"/>
  <c r="K36" i="148"/>
  <c r="J61" i="148"/>
  <c r="M44" i="148"/>
  <c r="N24" i="148"/>
  <c r="O37" i="148"/>
  <c r="K29" i="148"/>
  <c r="N63" i="148"/>
  <c r="K27" i="148"/>
  <c r="J18" i="148"/>
  <c r="I14" i="148"/>
  <c r="M22" i="148"/>
  <c r="K52" i="148"/>
  <c r="N44" i="148"/>
  <c r="L34" i="148"/>
  <c r="P40" i="148"/>
  <c r="M28" i="148"/>
  <c r="M8" i="148"/>
  <c r="L27" i="148"/>
  <c r="P41" i="148"/>
  <c r="M53" i="148"/>
  <c r="O13" i="148"/>
  <c r="M20" i="148"/>
  <c r="K55" i="148"/>
  <c r="K2" i="148"/>
  <c r="M45" i="148"/>
  <c r="I10" i="148"/>
  <c r="N47" i="148"/>
  <c r="K49" i="148"/>
  <c r="J28" i="148"/>
  <c r="H64" i="148"/>
  <c r="J49" i="148"/>
  <c r="N49" i="148"/>
  <c r="M30" i="148"/>
  <c r="P22" i="148"/>
  <c r="O19" i="148"/>
  <c r="I23" i="148"/>
  <c r="K43" i="148"/>
  <c r="M16" i="148"/>
  <c r="K42" i="148"/>
  <c r="I5" i="148"/>
  <c r="K58" i="148"/>
  <c r="P23" i="148"/>
  <c r="K31" i="148"/>
  <c r="I54" i="148"/>
  <c r="K45" i="148"/>
  <c r="P36" i="148"/>
  <c r="I62" i="148"/>
  <c r="O43" i="148"/>
  <c r="N5" i="148"/>
  <c r="M10" i="148"/>
  <c r="H10" i="148"/>
  <c r="L5" i="148"/>
  <c r="J31" i="148"/>
  <c r="K40" i="148"/>
  <c r="L42" i="148"/>
  <c r="J60" i="148"/>
  <c r="H58" i="148"/>
  <c r="P21" i="148"/>
  <c r="O64" i="148"/>
  <c r="H43" i="148"/>
  <c r="O25" i="148"/>
  <c r="L41" i="148"/>
  <c r="J11" i="148"/>
  <c r="M27" i="148"/>
  <c r="L61" i="148"/>
  <c r="L18" i="148"/>
  <c r="N29" i="148"/>
  <c r="N54" i="148"/>
  <c r="K44" i="148"/>
  <c r="I22" i="148"/>
  <c r="L22" i="148"/>
  <c r="N50" i="148"/>
  <c r="P53" i="148"/>
  <c r="K11" i="148"/>
  <c r="I48" i="148"/>
  <c r="L36" i="148"/>
  <c r="P33" i="148"/>
  <c r="M46" i="148"/>
  <c r="N45" i="148"/>
  <c r="I42" i="148"/>
  <c r="L30" i="148"/>
  <c r="I43" i="148"/>
  <c r="J56" i="148"/>
  <c r="N30" i="148"/>
  <c r="O53" i="148"/>
  <c r="N38" i="148"/>
  <c r="K61" i="148"/>
  <c r="N13" i="148"/>
  <c r="P25" i="148"/>
  <c r="L60" i="148"/>
  <c r="L59" i="148"/>
  <c r="H30" i="148"/>
  <c r="L17" i="148"/>
  <c r="L10" i="148"/>
  <c r="I36" i="148"/>
  <c r="N19" i="148"/>
  <c r="H25" i="148"/>
  <c r="I40" i="148"/>
  <c r="O40" i="148"/>
  <c r="H19" i="148"/>
  <c r="O38" i="148"/>
  <c r="P28" i="148"/>
  <c r="J33" i="148"/>
  <c r="K5" i="148"/>
  <c r="K7" i="148"/>
  <c r="H46" i="148"/>
  <c r="P2" i="148"/>
  <c r="H59" i="148"/>
  <c r="L58" i="148"/>
  <c r="P29" i="148"/>
  <c r="M62" i="148"/>
  <c r="L29" i="148"/>
  <c r="K19" i="148"/>
  <c r="J62" i="148"/>
  <c r="O26" i="148"/>
  <c r="I16" i="148"/>
  <c r="N14" i="148"/>
  <c r="K12" i="148"/>
  <c r="J51" i="148"/>
  <c r="O10" i="148"/>
  <c r="H14" i="148"/>
  <c r="H55" i="148"/>
  <c r="K30" i="148"/>
  <c r="H44" i="148"/>
  <c r="O56" i="148"/>
  <c r="H42" i="148"/>
  <c r="N23" i="148"/>
  <c r="N39" i="148"/>
  <c r="K41" i="148"/>
  <c r="L11" i="148"/>
  <c r="H23" i="148"/>
  <c r="J15" i="148"/>
  <c r="O61" i="148"/>
  <c r="H16" i="148"/>
  <c r="K64" i="148"/>
  <c r="I61" i="148"/>
  <c r="K6" i="148"/>
  <c r="J50" i="148"/>
  <c r="N46" i="148"/>
  <c r="H9" i="148"/>
  <c r="O29" i="148"/>
  <c r="L47" i="148"/>
  <c r="P65" i="148"/>
  <c r="I65" i="148"/>
  <c r="J39" i="148"/>
  <c r="I37" i="148"/>
  <c r="M37" i="148"/>
  <c r="N61" i="148"/>
  <c r="J13" i="148"/>
  <c r="H31" i="148"/>
  <c r="P58" i="148"/>
  <c r="M6" i="148"/>
  <c r="H51" i="148"/>
  <c r="K50" i="148"/>
  <c r="M36" i="148"/>
  <c r="P43" i="148"/>
  <c r="N34" i="148"/>
  <c r="L40" i="148"/>
  <c r="I56" i="148"/>
  <c r="M11" i="148"/>
  <c r="N4" i="148"/>
  <c r="N6" i="148"/>
  <c r="K33" i="148"/>
  <c r="M35" i="148"/>
  <c r="P3" i="148"/>
  <c r="J17" i="148"/>
  <c r="K25" i="148"/>
  <c r="I27" i="148"/>
  <c r="J47" i="148"/>
  <c r="H8" i="148"/>
  <c r="M25" i="148"/>
  <c r="N17" i="148"/>
  <c r="N51" i="148"/>
  <c r="P61" i="148"/>
  <c r="J34" i="148"/>
  <c r="H24" i="148"/>
  <c r="N16" i="148"/>
  <c r="H2" i="148"/>
  <c r="N36" i="148"/>
  <c r="O46" i="148"/>
  <c r="H6" i="148"/>
  <c r="J2" i="148"/>
  <c r="I19" i="148"/>
  <c r="J12" i="148"/>
  <c r="J35" i="148"/>
  <c r="I57" i="148"/>
  <c r="M14" i="148"/>
  <c r="L49" i="148"/>
  <c r="I45" i="148"/>
  <c r="L48" i="148"/>
  <c r="J14" i="148"/>
  <c r="J26" i="148"/>
  <c r="N43" i="148"/>
  <c r="P30" i="148"/>
  <c r="H52" i="148"/>
  <c r="P9" i="148"/>
  <c r="P12" i="148"/>
  <c r="N18" i="148"/>
  <c r="P13" i="148"/>
  <c r="N60" i="148"/>
  <c r="P46" i="148"/>
  <c r="J20" i="148"/>
  <c r="P15" i="148"/>
  <c r="K28" i="148"/>
  <c r="L43" i="148"/>
  <c r="I15" i="148"/>
  <c r="H62" i="148"/>
  <c r="O14" i="148"/>
  <c r="P64" i="148"/>
  <c r="M3" i="148"/>
  <c r="P56" i="148"/>
  <c r="O2" i="148"/>
  <c r="L54" i="148"/>
  <c r="L45" i="148"/>
  <c r="O33" i="148"/>
  <c r="M43" i="148"/>
  <c r="J54" i="148"/>
  <c r="O20" i="148"/>
  <c r="I30" i="148"/>
  <c r="M15" i="148"/>
  <c r="L15" i="148"/>
  <c r="I6" i="148"/>
  <c r="I24" i="148"/>
  <c r="M13" i="148"/>
  <c r="O4" i="148"/>
  <c r="J22" i="148"/>
  <c r="J30" i="148"/>
  <c r="I29" i="148"/>
  <c r="L21" i="148"/>
  <c r="M19" i="148"/>
  <c r="P34" i="148"/>
  <c r="H34" i="148"/>
  <c r="K65" i="148"/>
  <c r="M59" i="148"/>
  <c r="I7" i="148"/>
  <c r="M64" i="148"/>
  <c r="O36" i="148"/>
  <c r="J8" i="148"/>
  <c r="L26" i="148"/>
  <c r="O42" i="148"/>
  <c r="I4" i="148"/>
  <c r="O50" i="148"/>
  <c r="K56" i="148"/>
  <c r="O54" i="148"/>
  <c r="P24" i="148"/>
  <c r="N35" i="148"/>
  <c r="H20" i="148"/>
  <c r="P52" i="148"/>
  <c r="K63" i="148"/>
  <c r="N58" i="148"/>
  <c r="L64" i="148"/>
  <c r="O65" i="148"/>
  <c r="P54" i="148"/>
  <c r="J5" i="148"/>
  <c r="H49" i="148"/>
  <c r="L8" i="148"/>
  <c r="P47" i="148"/>
  <c r="M41" i="148"/>
  <c r="H56" i="148"/>
  <c r="N3" i="148"/>
  <c r="I51" i="148"/>
  <c r="N33" i="148"/>
  <c r="O6" i="148"/>
  <c r="M61" i="148"/>
  <c r="J45" i="148"/>
  <c r="M58" i="148"/>
  <c r="J59" i="148"/>
  <c r="O18" i="148"/>
  <c r="J27" i="148"/>
  <c r="O57" i="148"/>
  <c r="O48" i="148"/>
  <c r="J53" i="148"/>
  <c r="N9" i="148"/>
  <c r="I38" i="148"/>
  <c r="H3" i="148"/>
  <c r="J57" i="148"/>
  <c r="J21" i="148"/>
  <c r="K20" i="148"/>
  <c r="N41" i="148"/>
  <c r="H53" i="148"/>
  <c r="M26" i="148"/>
  <c r="M49" i="148"/>
  <c r="H17" i="148"/>
  <c r="K62" i="148"/>
  <c r="I63" i="148"/>
  <c r="H4" i="148"/>
  <c r="L13" i="148"/>
  <c r="P6" i="148"/>
  <c r="H11" i="148"/>
  <c r="M31" i="148"/>
  <c r="J29" i="148"/>
  <c r="O51" i="148"/>
  <c r="K47" i="148"/>
  <c r="P26" i="148"/>
  <c r="I59" i="148"/>
  <c r="O27" i="148"/>
  <c r="M55" i="148"/>
  <c r="N31" i="148"/>
  <c r="K57" i="148"/>
  <c r="J48" i="148"/>
  <c r="I8" i="148"/>
  <c r="I64" i="148"/>
  <c r="H61" i="148"/>
  <c r="O59" i="148"/>
  <c r="M52" i="148"/>
  <c r="P51" i="148"/>
  <c r="L23" i="148"/>
  <c r="M18" i="148"/>
  <c r="N8" i="148"/>
  <c r="H63" i="148"/>
  <c r="I11" i="148"/>
  <c r="J19" i="148"/>
  <c r="O21" i="148"/>
  <c r="H57" i="148"/>
  <c r="N48" i="148"/>
  <c r="O39" i="148"/>
  <c r="O15" i="148"/>
  <c r="I44" i="148"/>
  <c r="K54" i="148"/>
  <c r="O5" i="148"/>
  <c r="L51" i="148"/>
  <c r="I18" i="148"/>
  <c r="M63" i="148"/>
  <c r="K24" i="148"/>
  <c r="O24" i="148"/>
  <c r="L46" i="148"/>
  <c r="N56" i="148"/>
  <c r="J58" i="148"/>
  <c r="I60" i="148"/>
  <c r="H5" i="148"/>
  <c r="J46" i="148"/>
  <c r="P48" i="148"/>
  <c r="M57" i="148"/>
  <c r="J41" i="148"/>
  <c r="H15" i="148"/>
  <c r="N53" i="148"/>
  <c r="P63" i="148"/>
  <c r="J7" i="148"/>
  <c r="N40" i="148"/>
  <c r="K4" i="148"/>
  <c r="H60" i="148"/>
  <c r="M39" i="148"/>
  <c r="P60" i="148"/>
  <c r="M65" i="148"/>
  <c r="K53" i="148"/>
  <c r="J16" i="148"/>
  <c r="I2" i="148"/>
  <c r="L31" i="148"/>
  <c r="O30" i="148"/>
  <c r="I12" i="148"/>
  <c r="I49" i="148"/>
  <c r="J38" i="148"/>
  <c r="O60" i="148"/>
  <c r="M5" i="148"/>
  <c r="M21" i="148"/>
  <c r="L38" i="148"/>
  <c r="N2" i="148"/>
  <c r="O55" i="148"/>
  <c r="L52" i="148"/>
  <c r="K60" i="148"/>
  <c r="N15" i="148"/>
  <c r="K35" i="148"/>
  <c r="N10" i="148"/>
  <c r="O41" i="148"/>
  <c r="O49" i="148"/>
  <c r="P4" i="148"/>
  <c r="L57" i="148"/>
  <c r="K22" i="148"/>
  <c r="P19" i="148"/>
  <c r="L12" i="148"/>
  <c r="P31" i="148"/>
  <c r="L56" i="148"/>
  <c r="L14" i="148"/>
  <c r="K59" i="148"/>
  <c r="I52" i="148"/>
  <c r="I31" i="148"/>
  <c r="J37" i="148"/>
  <c r="N7" i="148"/>
  <c r="H21" i="148"/>
  <c r="L25" i="148"/>
  <c r="P45" i="148"/>
  <c r="H38" i="148"/>
  <c r="J3" i="148"/>
  <c r="P10" i="148"/>
  <c r="H41" i="148"/>
  <c r="J6" i="148"/>
  <c r="H13" i="148"/>
  <c r="I33" i="148"/>
  <c r="J10" i="148"/>
  <c r="J4" i="148"/>
  <c r="M24" i="148"/>
  <c r="P35" i="148"/>
  <c r="K13" i="148"/>
  <c r="O45" i="148"/>
  <c r="M29" i="148"/>
  <c r="J43" i="148"/>
  <c r="I25" i="148"/>
  <c r="O9" i="148"/>
  <c r="H54" i="148"/>
  <c r="H45" i="148"/>
  <c r="M4" i="148"/>
  <c r="O52" i="148"/>
  <c r="K8" i="148"/>
  <c r="H65" i="148"/>
  <c r="P5" i="148"/>
  <c r="J44" i="148"/>
  <c r="P44" i="148"/>
  <c r="H37" i="148"/>
  <c r="H22" i="148"/>
  <c r="P7" i="148"/>
  <c r="J65" i="148"/>
  <c r="I9" i="148"/>
  <c r="H39" i="148"/>
  <c r="M54" i="148"/>
  <c r="P55" i="148"/>
  <c r="L65" i="148"/>
  <c r="L50" i="148"/>
  <c r="P16" i="148"/>
  <c r="K51" i="148"/>
  <c r="K17" i="148"/>
  <c r="I55" i="148"/>
  <c r="H35" i="148"/>
  <c r="I13" i="148"/>
  <c r="P20" i="148"/>
  <c r="J55" i="148"/>
  <c r="M2" i="148"/>
  <c r="M38" i="148"/>
  <c r="I26" i="148"/>
  <c r="O35" i="148"/>
  <c r="J24" i="148"/>
  <c r="O3" i="148"/>
  <c r="K48" i="148"/>
  <c r="N42" i="148"/>
  <c r="L3" i="148"/>
  <c r="M42" i="148"/>
  <c r="I20" i="148"/>
  <c r="L44" i="148"/>
  <c r="P11" i="148"/>
  <c r="O22" i="148"/>
  <c r="N25" i="148"/>
  <c r="N65" i="148"/>
  <c r="I21" i="148"/>
  <c r="M34" i="148"/>
  <c r="L24" i="148"/>
  <c r="J9" i="148"/>
  <c r="P14" i="148"/>
  <c r="I46" i="148"/>
  <c r="N27" i="148"/>
  <c r="I41" i="148"/>
  <c r="J52" i="148"/>
  <c r="I35" i="148"/>
  <c r="P37" i="148"/>
  <c r="J63" i="148"/>
  <c r="K9" i="148"/>
  <c r="H27" i="148"/>
  <c r="M12" i="148"/>
  <c r="O16" i="148"/>
  <c r="L63" i="148"/>
  <c r="L20" i="148"/>
  <c r="P49" i="148"/>
  <c r="L33" i="148"/>
  <c r="H40" i="148"/>
  <c r="L62" i="148"/>
  <c r="N12" i="148"/>
  <c r="L16" i="148"/>
  <c r="O31" i="148"/>
  <c r="N22" i="148"/>
  <c r="I39" i="148"/>
  <c r="J25" i="148"/>
  <c r="J40" i="148"/>
  <c r="I47" i="148"/>
  <c r="N21" i="148"/>
  <c r="M33" i="148"/>
  <c r="K18" i="148"/>
  <c r="L55" i="148"/>
  <c r="H33" i="148"/>
  <c r="K39" i="148"/>
  <c r="H7" i="148"/>
  <c r="K10" i="148"/>
  <c r="H12" i="148"/>
  <c r="P38" i="148"/>
  <c r="K46" i="148"/>
  <c r="I34" i="148"/>
  <c r="N28" i="148"/>
  <c r="O7" i="148"/>
  <c r="K21" i="148"/>
  <c r="M17" i="148"/>
  <c r="L9" i="148"/>
  <c r="I53" i="148"/>
  <c r="N52" i="148"/>
  <c r="H47" i="148"/>
  <c r="M40" i="148"/>
  <c r="L37" i="148"/>
  <c r="M48" i="148"/>
  <c r="J23" i="148"/>
  <c r="M60" i="148"/>
  <c r="I17" i="148"/>
  <c r="O47" i="148"/>
  <c r="L39" i="148"/>
  <c r="M9" i="148"/>
  <c r="H29" i="148"/>
  <c r="K3" i="148"/>
  <c r="H26" i="148"/>
  <c r="L35" i="148"/>
  <c r="N64" i="148"/>
  <c r="L6" i="148"/>
  <c r="H36" i="148"/>
  <c r="K37" i="148"/>
  <c r="P39" i="148"/>
  <c r="K26" i="148"/>
  <c r="N57" i="148"/>
  <c r="O28" i="148"/>
  <c r="P57" i="148"/>
  <c r="M23" i="148"/>
  <c r="O11" i="148"/>
  <c r="P42" i="148"/>
  <c r="P17" i="148"/>
  <c r="H48" i="148"/>
  <c r="O62" i="148"/>
  <c r="H50" i="148"/>
  <c r="O12" i="148"/>
  <c r="M50" i="148"/>
  <c r="L53" i="148"/>
  <c r="N11" i="148"/>
  <c r="P27" i="148"/>
  <c r="N62" i="148"/>
  <c r="K15" i="148"/>
  <c r="H28" i="148"/>
  <c r="K23" i="148"/>
  <c r="M51" i="148"/>
  <c r="H18" i="148"/>
  <c r="M56" i="148"/>
  <c r="K16" i="148"/>
  <c r="K14" i="148"/>
  <c r="O58" i="148"/>
  <c r="K38" i="148"/>
  <c r="P59" i="148"/>
  <c r="I3" i="148"/>
  <c r="O17" i="148"/>
  <c r="L19" i="148"/>
  <c r="N55" i="148"/>
  <c r="O8" i="148"/>
  <c r="N26" i="148"/>
  <c r="P62" i="148"/>
  <c r="J42" i="148"/>
  <c r="O34" i="148"/>
  <c r="L7" i="148"/>
  <c r="P8" i="148"/>
  <c r="J36" i="148"/>
  <c r="O63" i="148"/>
  <c r="M47" i="148"/>
  <c r="J64" i="148"/>
  <c r="L28" i="148"/>
  <c r="I50" i="148"/>
  <c r="M7" i="148"/>
  <c r="O23" i="148"/>
  <c r="N20" i="148"/>
  <c r="N37" i="148"/>
  <c r="I28" i="148"/>
  <c r="P50" i="148"/>
  <c r="H237" i="138" l="1"/>
  <c r="O237" i="138" s="1"/>
  <c r="N74" i="138"/>
  <c r="Q74" i="138" s="1"/>
  <c r="S74" i="138" s="1"/>
  <c r="K82" i="138"/>
  <c r="N82" i="138"/>
  <c r="Q82" i="138" s="1"/>
  <c r="S82" i="138" s="1"/>
  <c r="N112" i="138"/>
  <c r="Q112" i="138" s="1"/>
  <c r="S112" i="138" s="1"/>
  <c r="N119" i="138"/>
  <c r="Q119" i="138" s="1"/>
  <c r="S119" i="138" s="1"/>
  <c r="N164" i="138"/>
  <c r="Q164" i="138" s="1"/>
  <c r="S164" i="138" s="1"/>
  <c r="N93" i="138"/>
  <c r="Q93" i="138" s="1"/>
  <c r="S93" i="138" s="1"/>
  <c r="Q198" i="138"/>
  <c r="S198" i="138" s="1"/>
  <c r="F399" i="138"/>
  <c r="H399" i="138" s="1"/>
  <c r="O399" i="138" s="1"/>
  <c r="H236" i="138"/>
  <c r="O236" i="138" s="1"/>
  <c r="D363" i="138"/>
  <c r="E309" i="138"/>
  <c r="K239" i="138"/>
  <c r="C425" i="138"/>
  <c r="E425" i="138" s="1"/>
  <c r="E371" i="138"/>
  <c r="N239" i="138"/>
  <c r="L217" i="100"/>
  <c r="N169" i="100"/>
  <c r="F407" i="138"/>
  <c r="H407" i="138" s="1"/>
  <c r="H353" i="138"/>
  <c r="I187" i="100"/>
  <c r="I190" i="100" s="1"/>
  <c r="L218" i="100"/>
  <c r="H201" i="138"/>
  <c r="O201" i="138" s="1"/>
  <c r="F253" i="138"/>
  <c r="H312" i="138"/>
  <c r="F366" i="138"/>
  <c r="D381" i="100"/>
  <c r="G381" i="100" s="1"/>
  <c r="L317" i="100"/>
  <c r="G354" i="100"/>
  <c r="L354" i="100" s="1"/>
  <c r="L290" i="100"/>
  <c r="G362" i="100"/>
  <c r="L298" i="100"/>
  <c r="G357" i="100"/>
  <c r="L293" i="100"/>
  <c r="G359" i="100"/>
  <c r="L295" i="100"/>
  <c r="G367" i="100"/>
  <c r="L303" i="100"/>
  <c r="G365" i="100"/>
  <c r="L301" i="100"/>
  <c r="G373" i="100"/>
  <c r="L309" i="100"/>
  <c r="G360" i="100"/>
  <c r="L296" i="100"/>
  <c r="G364" i="100"/>
  <c r="L300" i="100"/>
  <c r="G368" i="100"/>
  <c r="L304" i="100"/>
  <c r="G353" i="100"/>
  <c r="L289" i="100"/>
  <c r="E362" i="138"/>
  <c r="C416" i="138"/>
  <c r="E416" i="138" s="1"/>
  <c r="E311" i="138"/>
  <c r="C365" i="138"/>
  <c r="D368" i="138"/>
  <c r="E314" i="138"/>
  <c r="D377" i="138"/>
  <c r="E323" i="138"/>
  <c r="H317" i="138"/>
  <c r="F371" i="138"/>
  <c r="H333" i="138"/>
  <c r="O333" i="138" s="1"/>
  <c r="H279" i="138"/>
  <c r="O279" i="138" s="1"/>
  <c r="C370" i="138"/>
  <c r="E316" i="138"/>
  <c r="D369" i="138"/>
  <c r="E315" i="138"/>
  <c r="E334" i="138"/>
  <c r="C388" i="138"/>
  <c r="E388" i="138" s="1"/>
  <c r="D360" i="138"/>
  <c r="E306" i="138"/>
  <c r="D411" i="138"/>
  <c r="E411" i="138" s="1"/>
  <c r="E357" i="138"/>
  <c r="C389" i="138"/>
  <c r="E389" i="138" s="1"/>
  <c r="E335" i="138"/>
  <c r="E305" i="138"/>
  <c r="D359" i="138"/>
  <c r="C331" i="138"/>
  <c r="E277" i="138"/>
  <c r="F303" i="138"/>
  <c r="H249" i="138"/>
  <c r="E174" i="138"/>
  <c r="C227" i="138"/>
  <c r="H171" i="138"/>
  <c r="O171" i="138" s="1"/>
  <c r="Q171" i="138" s="1"/>
  <c r="S171" i="138" s="1"/>
  <c r="F224" i="138"/>
  <c r="E165" i="138"/>
  <c r="E189" i="138"/>
  <c r="N189" i="138" s="1"/>
  <c r="H226" i="138"/>
  <c r="F278" i="138"/>
  <c r="H38" i="118"/>
  <c r="C218" i="138"/>
  <c r="G311" i="100"/>
  <c r="L247" i="100"/>
  <c r="F304" i="138"/>
  <c r="H250" i="138"/>
  <c r="O250" i="138" s="1"/>
  <c r="K122" i="138"/>
  <c r="N122" i="138"/>
  <c r="Q122" i="138" s="1"/>
  <c r="S122" i="138" s="1"/>
  <c r="K492" i="100"/>
  <c r="G238" i="100"/>
  <c r="N174" i="100"/>
  <c r="N135" i="138"/>
  <c r="Q135" i="138" s="1"/>
  <c r="S135" i="138" s="1"/>
  <c r="K135" i="138"/>
  <c r="N113" i="138"/>
  <c r="K504" i="100"/>
  <c r="L504" i="100" s="1"/>
  <c r="N440" i="100"/>
  <c r="K132" i="138"/>
  <c r="N132" i="138"/>
  <c r="Q132" i="138" s="1"/>
  <c r="S132" i="138" s="1"/>
  <c r="Q190" i="138"/>
  <c r="S190" i="138" s="1"/>
  <c r="N124" i="100"/>
  <c r="N127" i="100" s="1"/>
  <c r="N130" i="100" s="1"/>
  <c r="E185" i="138"/>
  <c r="D218" i="138"/>
  <c r="K497" i="100"/>
  <c r="L497" i="100" s="1"/>
  <c r="N433" i="100"/>
  <c r="N442" i="100"/>
  <c r="H506" i="100"/>
  <c r="K506" i="100" s="1"/>
  <c r="L506" i="100" s="1"/>
  <c r="F416" i="138"/>
  <c r="H416" i="138" s="1"/>
  <c r="O416" i="138" s="1"/>
  <c r="Q416" i="138" s="1"/>
  <c r="S416" i="138" s="1"/>
  <c r="H362" i="138"/>
  <c r="O362" i="138" s="1"/>
  <c r="Q362" i="138" s="1"/>
  <c r="S362" i="138" s="1"/>
  <c r="K496" i="100"/>
  <c r="Q23" i="138"/>
  <c r="N64" i="138"/>
  <c r="K485" i="100"/>
  <c r="Q216" i="138"/>
  <c r="S216" i="138" s="1"/>
  <c r="G215" i="100"/>
  <c r="N151" i="100"/>
  <c r="C240" i="138"/>
  <c r="E188" i="138"/>
  <c r="F376" i="138"/>
  <c r="H322" i="138"/>
  <c r="L322" i="138" s="1"/>
  <c r="K490" i="100"/>
  <c r="P268" i="138"/>
  <c r="P270" i="138" s="1"/>
  <c r="M267" i="138"/>
  <c r="O268" i="138"/>
  <c r="N434" i="100"/>
  <c r="K498" i="100"/>
  <c r="L498" i="100" s="1"/>
  <c r="H187" i="138"/>
  <c r="O187" i="138" s="1"/>
  <c r="Q187" i="138" s="1"/>
  <c r="S187" i="138" s="1"/>
  <c r="F239" i="138"/>
  <c r="M419" i="100"/>
  <c r="L355" i="100"/>
  <c r="M408" i="100"/>
  <c r="L344" i="100"/>
  <c r="AB23" i="49"/>
  <c r="AB21" i="49"/>
  <c r="AB22" i="49" s="1"/>
  <c r="AB24" i="49" s="1"/>
  <c r="AC25" i="49"/>
  <c r="O165" i="138"/>
  <c r="F305" i="138"/>
  <c r="H251" i="138"/>
  <c r="F256" i="138"/>
  <c r="H204" i="138"/>
  <c r="O204" i="138" s="1"/>
  <c r="Q204" i="138" s="1"/>
  <c r="S204" i="138" s="1"/>
  <c r="H262" i="138"/>
  <c r="F316" i="138"/>
  <c r="H242" i="138"/>
  <c r="O242" i="138" s="1"/>
  <c r="F296" i="138"/>
  <c r="C410" i="138"/>
  <c r="E410" i="138" s="1"/>
  <c r="E356" i="138"/>
  <c r="H315" i="138"/>
  <c r="F369" i="138"/>
  <c r="D386" i="138"/>
  <c r="E386" i="138" s="1"/>
  <c r="E332" i="138"/>
  <c r="G377" i="100"/>
  <c r="L313" i="100"/>
  <c r="F419" i="138"/>
  <c r="H419" i="138" s="1"/>
  <c r="H365" i="138"/>
  <c r="C349" i="138"/>
  <c r="L75" i="150"/>
  <c r="O82" i="150"/>
  <c r="E284" i="138"/>
  <c r="C338" i="138"/>
  <c r="F298" i="138"/>
  <c r="H244" i="138"/>
  <c r="O244" i="138" s="1"/>
  <c r="Q244" i="138" s="1"/>
  <c r="S244" i="138" s="1"/>
  <c r="C290" i="138"/>
  <c r="E236" i="138"/>
  <c r="C313" i="138"/>
  <c r="E259" i="138"/>
  <c r="K308" i="100"/>
  <c r="L244" i="100"/>
  <c r="D364" i="138"/>
  <c r="E310" i="138"/>
  <c r="F346" i="138"/>
  <c r="H292" i="138"/>
  <c r="O292" i="138" s="1"/>
  <c r="K189" i="138"/>
  <c r="C307" i="138"/>
  <c r="E253" i="138"/>
  <c r="F351" i="138"/>
  <c r="H297" i="138"/>
  <c r="O297" i="138" s="1"/>
  <c r="Q297" i="138" s="1"/>
  <c r="S297" i="138" s="1"/>
  <c r="F218" i="138"/>
  <c r="F241" i="138"/>
  <c r="H189" i="138"/>
  <c r="K250" i="138"/>
  <c r="N250" i="138"/>
  <c r="H212" i="138"/>
  <c r="O212" i="138" s="1"/>
  <c r="Q212" i="138" s="1"/>
  <c r="S212" i="138" s="1"/>
  <c r="F264" i="138"/>
  <c r="H281" i="138"/>
  <c r="O281" i="138" s="1"/>
  <c r="Q281" i="138" s="1"/>
  <c r="S281" i="138" s="1"/>
  <c r="H165" i="138"/>
  <c r="K242" i="138"/>
  <c r="N242" i="138"/>
  <c r="K293" i="138"/>
  <c r="N293" i="138"/>
  <c r="N201" i="138"/>
  <c r="K201" i="138"/>
  <c r="K264" i="138"/>
  <c r="N264" i="138"/>
  <c r="E304" i="138"/>
  <c r="C358" i="138"/>
  <c r="F422" i="138"/>
  <c r="H422" i="138" s="1"/>
  <c r="H368" i="138"/>
  <c r="D372" i="138"/>
  <c r="E318" i="138"/>
  <c r="Q159" i="138"/>
  <c r="S159" i="138" s="1"/>
  <c r="H252" i="138"/>
  <c r="F306" i="138"/>
  <c r="G500" i="100"/>
  <c r="H251" i="100"/>
  <c r="H254" i="100" s="1"/>
  <c r="N232" i="138"/>
  <c r="K232" i="138"/>
  <c r="K183" i="138"/>
  <c r="N183" i="138"/>
  <c r="E292" i="138"/>
  <c r="D346" i="138"/>
  <c r="K207" i="138"/>
  <c r="N207" i="138"/>
  <c r="Q207" i="138" s="1"/>
  <c r="S207" i="138" s="1"/>
  <c r="Q130" i="138"/>
  <c r="N256" i="138"/>
  <c r="K256" i="138"/>
  <c r="H156" i="100"/>
  <c r="D187" i="100"/>
  <c r="D190" i="100" s="1"/>
  <c r="D193" i="100" s="1"/>
  <c r="C319" i="138"/>
  <c r="E265" i="138"/>
  <c r="G374" i="100"/>
  <c r="L310" i="100"/>
  <c r="Q136" i="138"/>
  <c r="S136" i="138" s="1"/>
  <c r="C399" i="138"/>
  <c r="D350" i="138"/>
  <c r="E296" i="138"/>
  <c r="H196" i="138"/>
  <c r="O196" i="138" s="1"/>
  <c r="Q196" i="138" s="1"/>
  <c r="S196" i="138" s="1"/>
  <c r="F248" i="138"/>
  <c r="L221" i="100"/>
  <c r="G285" i="100"/>
  <c r="I42" i="118"/>
  <c r="G339" i="100"/>
  <c r="L275" i="100"/>
  <c r="H402" i="100"/>
  <c r="L338" i="100"/>
  <c r="O232" i="138"/>
  <c r="H294" i="138"/>
  <c r="O294" i="138" s="1"/>
  <c r="F348" i="138"/>
  <c r="H331" i="138"/>
  <c r="F385" i="138"/>
  <c r="H385" i="138" s="1"/>
  <c r="F338" i="138"/>
  <c r="H284" i="138"/>
  <c r="H290" i="138"/>
  <c r="O290" i="138" s="1"/>
  <c r="F344" i="138"/>
  <c r="G276" i="100"/>
  <c r="L276" i="100" s="1"/>
  <c r="F367" i="138"/>
  <c r="H313" i="138"/>
  <c r="O313" i="138" s="1"/>
  <c r="K502" i="100"/>
  <c r="K503" i="100"/>
  <c r="K251" i="100"/>
  <c r="K254" i="100" s="1"/>
  <c r="L209" i="100"/>
  <c r="K343" i="100"/>
  <c r="K363" i="100"/>
  <c r="L299" i="100"/>
  <c r="K358" i="100"/>
  <c r="L294" i="100"/>
  <c r="K347" i="100"/>
  <c r="L283" i="100"/>
  <c r="K366" i="100"/>
  <c r="K350" i="100"/>
  <c r="L286" i="100"/>
  <c r="K346" i="100"/>
  <c r="L282" i="100"/>
  <c r="S175" i="138"/>
  <c r="H280" i="138"/>
  <c r="O280" i="138" s="1"/>
  <c r="Q280" i="138" s="1"/>
  <c r="S280" i="138" s="1"/>
  <c r="K345" i="100"/>
  <c r="L281" i="100"/>
  <c r="K356" i="100"/>
  <c r="L292" i="100"/>
  <c r="L287" i="100"/>
  <c r="G351" i="100"/>
  <c r="H435" i="100"/>
  <c r="L371" i="100"/>
  <c r="K297" i="100"/>
  <c r="L233" i="100"/>
  <c r="G491" i="100"/>
  <c r="G337" i="100"/>
  <c r="G486" i="100"/>
  <c r="G478" i="100"/>
  <c r="L342" i="100"/>
  <c r="H406" i="100"/>
  <c r="Q113" i="138" l="1"/>
  <c r="Q250" i="138"/>
  <c r="S250" i="138" s="1"/>
  <c r="S113" i="138"/>
  <c r="K133" i="138"/>
  <c r="N133" i="138"/>
  <c r="Q133" i="138" s="1"/>
  <c r="S133" i="138" s="1"/>
  <c r="Q201" i="138"/>
  <c r="S201" i="138" s="1"/>
  <c r="E363" i="138"/>
  <c r="D417" i="138"/>
  <c r="E417" i="138" s="1"/>
  <c r="F420" i="138"/>
  <c r="H420" i="138" s="1"/>
  <c r="H366" i="138"/>
  <c r="F307" i="138"/>
  <c r="H253" i="138"/>
  <c r="O253" i="138" s="1"/>
  <c r="D445" i="100"/>
  <c r="H445" i="100" s="1"/>
  <c r="L381" i="100"/>
  <c r="H417" i="100"/>
  <c r="L353" i="100"/>
  <c r="H424" i="100"/>
  <c r="L360" i="100"/>
  <c r="H423" i="100"/>
  <c r="L359" i="100"/>
  <c r="H432" i="100"/>
  <c r="L368" i="100"/>
  <c r="H437" i="100"/>
  <c r="L373" i="100"/>
  <c r="H421" i="100"/>
  <c r="L357" i="100"/>
  <c r="H428" i="100"/>
  <c r="L364" i="100"/>
  <c r="H429" i="100"/>
  <c r="L365" i="100"/>
  <c r="H426" i="100"/>
  <c r="L362" i="100"/>
  <c r="H431" i="100"/>
  <c r="L367" i="100"/>
  <c r="I43" i="118"/>
  <c r="D423" i="138"/>
  <c r="E423" i="138" s="1"/>
  <c r="E369" i="138"/>
  <c r="F387" i="138"/>
  <c r="H387" i="138" s="1"/>
  <c r="O387" i="138" s="1"/>
  <c r="C424" i="138"/>
  <c r="E424" i="138" s="1"/>
  <c r="E370" i="138"/>
  <c r="F425" i="138"/>
  <c r="H425" i="138" s="1"/>
  <c r="H371" i="138"/>
  <c r="E365" i="138"/>
  <c r="C419" i="138"/>
  <c r="E419" i="138" s="1"/>
  <c r="Q242" i="138"/>
  <c r="S242" i="138" s="1"/>
  <c r="D431" i="138"/>
  <c r="E431" i="138" s="1"/>
  <c r="E377" i="138"/>
  <c r="C270" i="138"/>
  <c r="D422" i="138"/>
  <c r="E422" i="138" s="1"/>
  <c r="E368" i="138"/>
  <c r="C385" i="138"/>
  <c r="E385" i="138" s="1"/>
  <c r="E331" i="138"/>
  <c r="E360" i="138"/>
  <c r="D414" i="138"/>
  <c r="E414" i="138" s="1"/>
  <c r="D413" i="138"/>
  <c r="E413" i="138" s="1"/>
  <c r="E359" i="138"/>
  <c r="F332" i="138"/>
  <c r="H278" i="138"/>
  <c r="K174" i="138"/>
  <c r="N174" i="138"/>
  <c r="Q174" i="138" s="1"/>
  <c r="S174" i="138" s="1"/>
  <c r="G340" i="100"/>
  <c r="H404" i="100" s="1"/>
  <c r="N165" i="138"/>
  <c r="G375" i="100"/>
  <c r="L311" i="100"/>
  <c r="F276" i="138"/>
  <c r="H224" i="138"/>
  <c r="O224" i="138" s="1"/>
  <c r="Q224" i="138" s="1"/>
  <c r="S224" i="138" s="1"/>
  <c r="F357" i="138"/>
  <c r="H303" i="138"/>
  <c r="H304" i="138"/>
  <c r="O304" i="138" s="1"/>
  <c r="Q304" i="138" s="1"/>
  <c r="S304" i="138" s="1"/>
  <c r="F358" i="138"/>
  <c r="D295" i="138"/>
  <c r="E241" i="138"/>
  <c r="C279" i="138"/>
  <c r="C333" i="138" s="1"/>
  <c r="E227" i="138"/>
  <c r="N227" i="138" s="1"/>
  <c r="F293" i="138"/>
  <c r="H239" i="138"/>
  <c r="O239" i="138" s="1"/>
  <c r="Q239" i="138" s="1"/>
  <c r="S239" i="138" s="1"/>
  <c r="K483" i="100"/>
  <c r="L483" i="100" s="1"/>
  <c r="N419" i="100"/>
  <c r="P322" i="138"/>
  <c r="P324" i="138" s="1"/>
  <c r="O322" i="138"/>
  <c r="M322" i="138"/>
  <c r="L376" i="138"/>
  <c r="F430" i="138"/>
  <c r="H376" i="138"/>
  <c r="N188" i="138"/>
  <c r="Q188" i="138" s="1"/>
  <c r="S188" i="138" s="1"/>
  <c r="K188" i="138"/>
  <c r="S23" i="138"/>
  <c r="S64" i="138" s="1"/>
  <c r="Q64" i="138"/>
  <c r="G302" i="100"/>
  <c r="L238" i="100"/>
  <c r="Q268" i="138"/>
  <c r="S268" i="138" s="1"/>
  <c r="E240" i="138"/>
  <c r="C294" i="138"/>
  <c r="I44" i="118"/>
  <c r="E218" i="138"/>
  <c r="K472" i="100"/>
  <c r="L472" i="100" s="1"/>
  <c r="N408" i="100"/>
  <c r="K185" i="138"/>
  <c r="N185" i="138"/>
  <c r="Q185" i="138" s="1"/>
  <c r="S185" i="138" s="1"/>
  <c r="G279" i="100"/>
  <c r="L215" i="100"/>
  <c r="D291" i="138"/>
  <c r="E237" i="138"/>
  <c r="D270" i="138"/>
  <c r="C403" i="138"/>
  <c r="L377" i="100"/>
  <c r="H441" i="100"/>
  <c r="F370" i="138"/>
  <c r="H316" i="138"/>
  <c r="H305" i="138"/>
  <c r="F359" i="138"/>
  <c r="H369" i="138"/>
  <c r="F423" i="138"/>
  <c r="H423" i="138" s="1"/>
  <c r="F350" i="138"/>
  <c r="H296" i="138"/>
  <c r="O296" i="138" s="1"/>
  <c r="F310" i="138"/>
  <c r="H256" i="138"/>
  <c r="O256" i="138" s="1"/>
  <c r="Q256" i="138" s="1"/>
  <c r="S256" i="138" s="1"/>
  <c r="D404" i="138"/>
  <c r="E404" i="138" s="1"/>
  <c r="E350" i="138"/>
  <c r="S130" i="138"/>
  <c r="S165" i="138" s="1"/>
  <c r="K259" i="138"/>
  <c r="N259" i="138"/>
  <c r="Q259" i="138" s="1"/>
  <c r="S259" i="138" s="1"/>
  <c r="F318" i="138"/>
  <c r="H264" i="138"/>
  <c r="O264" i="138" s="1"/>
  <c r="Q264" i="138" s="1"/>
  <c r="S264" i="138" s="1"/>
  <c r="O189" i="138"/>
  <c r="H218" i="138"/>
  <c r="F405" i="138"/>
  <c r="H405" i="138" s="1"/>
  <c r="O405" i="138" s="1"/>
  <c r="Q405" i="138" s="1"/>
  <c r="S405" i="138" s="1"/>
  <c r="H351" i="138"/>
  <c r="O351" i="138" s="1"/>
  <c r="Q351" i="138" s="1"/>
  <c r="S351" i="138" s="1"/>
  <c r="K310" i="138"/>
  <c r="N310" i="138"/>
  <c r="K372" i="100"/>
  <c r="L308" i="100"/>
  <c r="F352" i="138"/>
  <c r="H298" i="138"/>
  <c r="O298" i="138" s="1"/>
  <c r="Q298" i="138" s="1"/>
  <c r="S298" i="138" s="1"/>
  <c r="F302" i="138"/>
  <c r="H248" i="138"/>
  <c r="O248" i="138" s="1"/>
  <c r="Q248" i="138" s="1"/>
  <c r="S248" i="138" s="1"/>
  <c r="H438" i="100"/>
  <c r="L374" i="100"/>
  <c r="N156" i="100"/>
  <c r="N187" i="100" s="1"/>
  <c r="N190" i="100" s="1"/>
  <c r="N193" i="100" s="1"/>
  <c r="H187" i="100"/>
  <c r="H190" i="100" s="1"/>
  <c r="H193" i="100" s="1"/>
  <c r="D400" i="138"/>
  <c r="E400" i="138" s="1"/>
  <c r="E346" i="138"/>
  <c r="F360" i="138"/>
  <c r="H306" i="138"/>
  <c r="F270" i="138"/>
  <c r="H241" i="138"/>
  <c r="F295" i="138"/>
  <c r="K253" i="138"/>
  <c r="N253" i="138"/>
  <c r="D418" i="138"/>
  <c r="E418" i="138" s="1"/>
  <c r="E364" i="138"/>
  <c r="K236" i="138"/>
  <c r="N236" i="138"/>
  <c r="Q236" i="138" s="1"/>
  <c r="S236" i="138" s="1"/>
  <c r="C392" i="138"/>
  <c r="E392" i="138" s="1"/>
  <c r="E338" i="138"/>
  <c r="D387" i="138"/>
  <c r="N292" i="138"/>
  <c r="Q292" i="138" s="1"/>
  <c r="S292" i="138" s="1"/>
  <c r="K292" i="138"/>
  <c r="N318" i="138"/>
  <c r="K318" i="138"/>
  <c r="E358" i="138"/>
  <c r="C412" i="138"/>
  <c r="E412" i="138" s="1"/>
  <c r="E307" i="138"/>
  <c r="C361" i="138"/>
  <c r="C367" i="138"/>
  <c r="E313" i="138"/>
  <c r="E290" i="138"/>
  <c r="C344" i="138"/>
  <c r="N284" i="138"/>
  <c r="K284" i="138"/>
  <c r="L285" i="100"/>
  <c r="G349" i="100"/>
  <c r="K296" i="138"/>
  <c r="N296" i="138"/>
  <c r="E319" i="138"/>
  <c r="C373" i="138"/>
  <c r="Q183" i="138"/>
  <c r="D426" i="138"/>
  <c r="E426" i="138" s="1"/>
  <c r="E372" i="138"/>
  <c r="N347" i="138"/>
  <c r="K347" i="138"/>
  <c r="F389" i="138"/>
  <c r="H389" i="138" s="1"/>
  <c r="O389" i="138" s="1"/>
  <c r="Q389" i="138" s="1"/>
  <c r="S389" i="138" s="1"/>
  <c r="H335" i="138"/>
  <c r="O335" i="138" s="1"/>
  <c r="Q335" i="138" s="1"/>
  <c r="S335" i="138" s="1"/>
  <c r="F400" i="138"/>
  <c r="H400" i="138" s="1"/>
  <c r="O400" i="138" s="1"/>
  <c r="H346" i="138"/>
  <c r="O346" i="138" s="1"/>
  <c r="H403" i="100"/>
  <c r="L339" i="100"/>
  <c r="N402" i="100"/>
  <c r="G466" i="100"/>
  <c r="L466" i="100" s="1"/>
  <c r="O284" i="138"/>
  <c r="F402" i="138"/>
  <c r="H402" i="138" s="1"/>
  <c r="O402" i="138" s="1"/>
  <c r="H348" i="138"/>
  <c r="O348" i="138" s="1"/>
  <c r="F398" i="138"/>
  <c r="H398" i="138" s="1"/>
  <c r="O398" i="138" s="1"/>
  <c r="H344" i="138"/>
  <c r="O344" i="138" s="1"/>
  <c r="F392" i="138"/>
  <c r="H338" i="138"/>
  <c r="H367" i="138"/>
  <c r="O367" i="138" s="1"/>
  <c r="F421" i="138"/>
  <c r="H421" i="138" s="1"/>
  <c r="O421" i="138" s="1"/>
  <c r="Q232" i="138"/>
  <c r="F388" i="138"/>
  <c r="H388" i="138" s="1"/>
  <c r="O388" i="138" s="1"/>
  <c r="Q388" i="138" s="1"/>
  <c r="S388" i="138" s="1"/>
  <c r="H334" i="138"/>
  <c r="O334" i="138" s="1"/>
  <c r="Q334" i="138" s="1"/>
  <c r="S334" i="138" s="1"/>
  <c r="M420" i="100"/>
  <c r="L356" i="100"/>
  <c r="M430" i="100"/>
  <c r="M407" i="100"/>
  <c r="M409" i="100"/>
  <c r="L345" i="100"/>
  <c r="M414" i="100"/>
  <c r="L350" i="100"/>
  <c r="M411" i="100"/>
  <c r="L347" i="100"/>
  <c r="M427" i="100"/>
  <c r="L363" i="100"/>
  <c r="M422" i="100"/>
  <c r="L358" i="100"/>
  <c r="M410" i="100"/>
  <c r="L346" i="100"/>
  <c r="K273" i="100"/>
  <c r="H315" i="100"/>
  <c r="H318" i="100" s="1"/>
  <c r="L351" i="100"/>
  <c r="H415" i="100"/>
  <c r="K361" i="100"/>
  <c r="L297" i="100"/>
  <c r="N435" i="100"/>
  <c r="G499" i="100"/>
  <c r="L499" i="100" s="1"/>
  <c r="N406" i="100"/>
  <c r="G470" i="100"/>
  <c r="L470" i="100" s="1"/>
  <c r="Q165" i="138" l="1"/>
  <c r="C324" i="138"/>
  <c r="K186" i="138"/>
  <c r="N186" i="138"/>
  <c r="Q186" i="138" s="1"/>
  <c r="S186" i="138" s="1"/>
  <c r="Q253" i="138"/>
  <c r="S253" i="138" s="1"/>
  <c r="L340" i="100"/>
  <c r="F361" i="138"/>
  <c r="H307" i="138"/>
  <c r="O307" i="138" s="1"/>
  <c r="D509" i="100"/>
  <c r="G509" i="100" s="1"/>
  <c r="L509" i="100" s="1"/>
  <c r="N445" i="100"/>
  <c r="G481" i="100"/>
  <c r="L481" i="100" s="1"/>
  <c r="N417" i="100"/>
  <c r="G492" i="100"/>
  <c r="L492" i="100" s="1"/>
  <c r="N428" i="100"/>
  <c r="G496" i="100"/>
  <c r="L496" i="100" s="1"/>
  <c r="N432" i="100"/>
  <c r="G495" i="100"/>
  <c r="L495" i="100" s="1"/>
  <c r="N431" i="100"/>
  <c r="G501" i="100"/>
  <c r="L501" i="100" s="1"/>
  <c r="N437" i="100"/>
  <c r="G487" i="100"/>
  <c r="L487" i="100" s="1"/>
  <c r="N423" i="100"/>
  <c r="G490" i="100"/>
  <c r="L490" i="100" s="1"/>
  <c r="N426" i="100"/>
  <c r="G485" i="100"/>
  <c r="L485" i="100" s="1"/>
  <c r="N421" i="100"/>
  <c r="G488" i="100"/>
  <c r="L488" i="100" s="1"/>
  <c r="N424" i="100"/>
  <c r="G493" i="100"/>
  <c r="L493" i="100" s="1"/>
  <c r="N429" i="100"/>
  <c r="K227" i="138"/>
  <c r="F412" i="138"/>
  <c r="H412" i="138" s="1"/>
  <c r="O412" i="138" s="1"/>
  <c r="Q412" i="138" s="1"/>
  <c r="S412" i="138" s="1"/>
  <c r="H358" i="138"/>
  <c r="O358" i="138" s="1"/>
  <c r="Q358" i="138" s="1"/>
  <c r="S358" i="138" s="1"/>
  <c r="D349" i="138"/>
  <c r="E295" i="138"/>
  <c r="F411" i="138"/>
  <c r="H411" i="138" s="1"/>
  <c r="H357" i="138"/>
  <c r="H439" i="100"/>
  <c r="L375" i="100"/>
  <c r="E279" i="138"/>
  <c r="H276" i="138"/>
  <c r="O276" i="138" s="1"/>
  <c r="Q276" i="138" s="1"/>
  <c r="S276" i="138" s="1"/>
  <c r="F330" i="138"/>
  <c r="Q322" i="138"/>
  <c r="S322" i="138" s="1"/>
  <c r="N241" i="138"/>
  <c r="K241" i="138"/>
  <c r="H332" i="138"/>
  <c r="F386" i="138"/>
  <c r="H386" i="138" s="1"/>
  <c r="D345" i="138"/>
  <c r="E291" i="138"/>
  <c r="D324" i="138"/>
  <c r="G343" i="100"/>
  <c r="L279" i="100"/>
  <c r="C348" i="138"/>
  <c r="C378" i="138" s="1"/>
  <c r="E294" i="138"/>
  <c r="K240" i="138"/>
  <c r="N240" i="138"/>
  <c r="Q240" i="138" s="1"/>
  <c r="S240" i="138" s="1"/>
  <c r="E270" i="138"/>
  <c r="G366" i="100"/>
  <c r="L302" i="100"/>
  <c r="L430" i="138"/>
  <c r="H430" i="138"/>
  <c r="H293" i="138"/>
  <c r="O293" i="138" s="1"/>
  <c r="Q293" i="138" s="1"/>
  <c r="S293" i="138" s="1"/>
  <c r="F347" i="138"/>
  <c r="K237" i="138"/>
  <c r="N237" i="138"/>
  <c r="Q237" i="138" s="1"/>
  <c r="S237" i="138" s="1"/>
  <c r="M376" i="138"/>
  <c r="P376" i="138"/>
  <c r="P378" i="138" s="1"/>
  <c r="O376" i="138"/>
  <c r="F404" i="138"/>
  <c r="H404" i="138" s="1"/>
  <c r="O404" i="138" s="1"/>
  <c r="H350" i="138"/>
  <c r="O350" i="138" s="1"/>
  <c r="H370" i="138"/>
  <c r="F424" i="138"/>
  <c r="H424" i="138" s="1"/>
  <c r="Q296" i="138"/>
  <c r="S296" i="138" s="1"/>
  <c r="H310" i="138"/>
  <c r="O310" i="138" s="1"/>
  <c r="Q310" i="138" s="1"/>
  <c r="S310" i="138" s="1"/>
  <c r="F364" i="138"/>
  <c r="F413" i="138"/>
  <c r="H413" i="138" s="1"/>
  <c r="H359" i="138"/>
  <c r="G505" i="100"/>
  <c r="L505" i="100" s="1"/>
  <c r="N441" i="100"/>
  <c r="S183" i="138"/>
  <c r="K338" i="138"/>
  <c r="N338" i="138"/>
  <c r="E344" i="138"/>
  <c r="C398" i="138"/>
  <c r="E398" i="138" s="1"/>
  <c r="N372" i="138"/>
  <c r="K372" i="138"/>
  <c r="O241" i="138"/>
  <c r="H270" i="138"/>
  <c r="G502" i="100"/>
  <c r="L502" i="100" s="1"/>
  <c r="N438" i="100"/>
  <c r="Q189" i="138"/>
  <c r="S189" i="138" s="1"/>
  <c r="O218" i="138"/>
  <c r="Q227" i="138"/>
  <c r="S227" i="138" s="1"/>
  <c r="C427" i="138"/>
  <c r="E427" i="138" s="1"/>
  <c r="E373" i="138"/>
  <c r="N350" i="138"/>
  <c r="K350" i="138"/>
  <c r="E361" i="138"/>
  <c r="C415" i="138"/>
  <c r="E415" i="138" s="1"/>
  <c r="H360" i="138"/>
  <c r="F414" i="138"/>
  <c r="H414" i="138" s="1"/>
  <c r="M436" i="100"/>
  <c r="L372" i="100"/>
  <c r="H413" i="100"/>
  <c r="L349" i="100"/>
  <c r="K313" i="138"/>
  <c r="N313" i="138"/>
  <c r="Q313" i="138" s="1"/>
  <c r="S313" i="138" s="1"/>
  <c r="N307" i="138"/>
  <c r="K307" i="138"/>
  <c r="G220" i="100"/>
  <c r="D251" i="100"/>
  <c r="D254" i="100" s="1"/>
  <c r="D257" i="100" s="1"/>
  <c r="F356" i="138"/>
  <c r="H302" i="138"/>
  <c r="O302" i="138" s="1"/>
  <c r="Q302" i="138" s="1"/>
  <c r="S302" i="138" s="1"/>
  <c r="K364" i="138"/>
  <c r="N364" i="138"/>
  <c r="F372" i="138"/>
  <c r="H318" i="138"/>
  <c r="O318" i="138" s="1"/>
  <c r="Q318" i="138" s="1"/>
  <c r="S318" i="138" s="1"/>
  <c r="K401" i="138"/>
  <c r="N401" i="138"/>
  <c r="C421" i="138"/>
  <c r="E421" i="138" s="1"/>
  <c r="E367" i="138"/>
  <c r="K346" i="138"/>
  <c r="N346" i="138"/>
  <c r="Q346" i="138" s="1"/>
  <c r="S346" i="138" s="1"/>
  <c r="F349" i="138"/>
  <c r="F324" i="138"/>
  <c r="H295" i="138"/>
  <c r="F406" i="138"/>
  <c r="H406" i="138" s="1"/>
  <c r="O406" i="138" s="1"/>
  <c r="Q406" i="138" s="1"/>
  <c r="S406" i="138" s="1"/>
  <c r="H352" i="138"/>
  <c r="O352" i="138" s="1"/>
  <c r="Q352" i="138" s="1"/>
  <c r="S352" i="138" s="1"/>
  <c r="G467" i="100"/>
  <c r="L467" i="100" s="1"/>
  <c r="N403" i="100"/>
  <c r="S232" i="138"/>
  <c r="Q284" i="138"/>
  <c r="O338" i="138"/>
  <c r="H392" i="138"/>
  <c r="K315" i="100"/>
  <c r="K318" i="100" s="1"/>
  <c r="L273" i="100"/>
  <c r="K471" i="100"/>
  <c r="K491" i="100"/>
  <c r="L491" i="100" s="1"/>
  <c r="N427" i="100"/>
  <c r="K484" i="100"/>
  <c r="L484" i="100" s="1"/>
  <c r="N420" i="100"/>
  <c r="K474" i="100"/>
  <c r="L474" i="100" s="1"/>
  <c r="N410" i="100"/>
  <c r="K475" i="100"/>
  <c r="L475" i="100" s="1"/>
  <c r="N411" i="100"/>
  <c r="K473" i="100"/>
  <c r="L473" i="100" s="1"/>
  <c r="N409" i="100"/>
  <c r="K494" i="100"/>
  <c r="K478" i="100"/>
  <c r="L478" i="100" s="1"/>
  <c r="N414" i="100"/>
  <c r="K486" i="100"/>
  <c r="L486" i="100" s="1"/>
  <c r="N422" i="100"/>
  <c r="H401" i="100"/>
  <c r="G468" i="100"/>
  <c r="L468" i="100" s="1"/>
  <c r="N404" i="100"/>
  <c r="G479" i="100"/>
  <c r="L479" i="100" s="1"/>
  <c r="N415" i="100"/>
  <c r="M425" i="100"/>
  <c r="L361" i="100"/>
  <c r="N218" i="138" l="1"/>
  <c r="K238" i="138"/>
  <c r="N238" i="138"/>
  <c r="Q238" i="138" s="1"/>
  <c r="S238" i="138" s="1"/>
  <c r="Q307" i="138"/>
  <c r="S307" i="138" s="1"/>
  <c r="F415" i="138"/>
  <c r="H415" i="138" s="1"/>
  <c r="O415" i="138" s="1"/>
  <c r="H361" i="138"/>
  <c r="O361" i="138" s="1"/>
  <c r="K295" i="138"/>
  <c r="N295" i="138"/>
  <c r="C387" i="138"/>
  <c r="E387" i="138" s="1"/>
  <c r="E333" i="138"/>
  <c r="N333" i="138" s="1"/>
  <c r="G503" i="100"/>
  <c r="L503" i="100" s="1"/>
  <c r="N439" i="100"/>
  <c r="D403" i="138"/>
  <c r="E403" i="138" s="1"/>
  <c r="E349" i="138"/>
  <c r="N279" i="138"/>
  <c r="Q279" i="138" s="1"/>
  <c r="S279" i="138" s="1"/>
  <c r="K279" i="138"/>
  <c r="N270" i="138"/>
  <c r="H330" i="138"/>
  <c r="O330" i="138" s="1"/>
  <c r="Q330" i="138" s="1"/>
  <c r="S330" i="138" s="1"/>
  <c r="F384" i="138"/>
  <c r="H384" i="138" s="1"/>
  <c r="O384" i="138" s="1"/>
  <c r="Q384" i="138" s="1"/>
  <c r="S384" i="138" s="1"/>
  <c r="Q376" i="138"/>
  <c r="S376" i="138" s="1"/>
  <c r="D399" i="138"/>
  <c r="E345" i="138"/>
  <c r="D378" i="138"/>
  <c r="M430" i="138"/>
  <c r="P430" i="138"/>
  <c r="P432" i="138" s="1"/>
  <c r="O430" i="138"/>
  <c r="N294" i="138"/>
  <c r="Q294" i="138" s="1"/>
  <c r="S294" i="138" s="1"/>
  <c r="K294" i="138"/>
  <c r="Q350" i="138"/>
  <c r="S350" i="138" s="1"/>
  <c r="H430" i="100"/>
  <c r="L366" i="100"/>
  <c r="C402" i="138"/>
  <c r="E402" i="138" s="1"/>
  <c r="E348" i="138"/>
  <c r="K291" i="138"/>
  <c r="N291" i="138"/>
  <c r="Q291" i="138" s="1"/>
  <c r="S291" i="138" s="1"/>
  <c r="H407" i="100"/>
  <c r="L343" i="100"/>
  <c r="F401" i="138"/>
  <c r="H401" i="138" s="1"/>
  <c r="O401" i="138" s="1"/>
  <c r="Q401" i="138" s="1"/>
  <c r="S401" i="138" s="1"/>
  <c r="H347" i="138"/>
  <c r="O347" i="138" s="1"/>
  <c r="Q347" i="138" s="1"/>
  <c r="S347" i="138" s="1"/>
  <c r="E324" i="138"/>
  <c r="Q218" i="138"/>
  <c r="F418" i="138"/>
  <c r="H418" i="138" s="1"/>
  <c r="O418" i="138" s="1"/>
  <c r="H364" i="138"/>
  <c r="O364" i="138" s="1"/>
  <c r="Q364" i="138" s="1"/>
  <c r="S364" i="138" s="1"/>
  <c r="S218" i="138"/>
  <c r="N392" i="138"/>
  <c r="K392" i="138"/>
  <c r="K418" i="138"/>
  <c r="N418" i="138"/>
  <c r="K290" i="138"/>
  <c r="N290" i="138"/>
  <c r="L220" i="100"/>
  <c r="L251" i="100" s="1"/>
  <c r="L254" i="100" s="1"/>
  <c r="L257" i="100" s="1"/>
  <c r="G251" i="100"/>
  <c r="G254" i="100" s="1"/>
  <c r="G257" i="100" s="1"/>
  <c r="N415" i="138"/>
  <c r="K415" i="138"/>
  <c r="O295" i="138"/>
  <c r="H324" i="138"/>
  <c r="N400" i="138"/>
  <c r="Q400" i="138" s="1"/>
  <c r="S400" i="138" s="1"/>
  <c r="K400" i="138"/>
  <c r="H356" i="138"/>
  <c r="O356" i="138" s="1"/>
  <c r="Q356" i="138" s="1"/>
  <c r="S356" i="138" s="1"/>
  <c r="F410" i="138"/>
  <c r="H410" i="138" s="1"/>
  <c r="O410" i="138" s="1"/>
  <c r="Q410" i="138" s="1"/>
  <c r="S410" i="138" s="1"/>
  <c r="K361" i="138"/>
  <c r="N361" i="138"/>
  <c r="K367" i="138"/>
  <c r="N367" i="138"/>
  <c r="Q367" i="138" s="1"/>
  <c r="S367" i="138" s="1"/>
  <c r="K500" i="100"/>
  <c r="L500" i="100" s="1"/>
  <c r="N436" i="100"/>
  <c r="H349" i="138"/>
  <c r="F378" i="138"/>
  <c r="F403" i="138"/>
  <c r="K426" i="138"/>
  <c r="N426" i="138"/>
  <c r="F426" i="138"/>
  <c r="H426" i="138" s="1"/>
  <c r="O426" i="138" s="1"/>
  <c r="H372" i="138"/>
  <c r="O372" i="138" s="1"/>
  <c r="Q372" i="138" s="1"/>
  <c r="S372" i="138" s="1"/>
  <c r="G477" i="100"/>
  <c r="L477" i="100" s="1"/>
  <c r="N413" i="100"/>
  <c r="K404" i="138"/>
  <c r="N404" i="138"/>
  <c r="Q404" i="138" s="1"/>
  <c r="S404" i="138" s="1"/>
  <c r="Q241" i="138"/>
  <c r="O270" i="138"/>
  <c r="O392" i="138"/>
  <c r="S284" i="138"/>
  <c r="Q338" i="138"/>
  <c r="K337" i="100"/>
  <c r="H379" i="100"/>
  <c r="H382" i="100" s="1"/>
  <c r="K489" i="100"/>
  <c r="L489" i="100" s="1"/>
  <c r="N425" i="100"/>
  <c r="Q415" i="138" l="1"/>
  <c r="S415" i="138" s="1"/>
  <c r="Q361" i="138"/>
  <c r="S361" i="138" s="1"/>
  <c r="Q333" i="138"/>
  <c r="S333" i="138" s="1"/>
  <c r="Q418" i="138"/>
  <c r="S418" i="138" s="1"/>
  <c r="K387" i="138"/>
  <c r="K333" i="138"/>
  <c r="C432" i="138"/>
  <c r="E378" i="138"/>
  <c r="Q430" i="138"/>
  <c r="S430" i="138" s="1"/>
  <c r="N349" i="138"/>
  <c r="K349" i="138"/>
  <c r="G471" i="100"/>
  <c r="L471" i="100" s="1"/>
  <c r="N407" i="100"/>
  <c r="G494" i="100"/>
  <c r="L494" i="100" s="1"/>
  <c r="N430" i="100"/>
  <c r="K345" i="138"/>
  <c r="N345" i="138"/>
  <c r="Q345" i="138" s="1"/>
  <c r="S345" i="138" s="1"/>
  <c r="K348" i="138"/>
  <c r="N348" i="138"/>
  <c r="Q348" i="138" s="1"/>
  <c r="S348" i="138" s="1"/>
  <c r="Q426" i="138"/>
  <c r="S426" i="138" s="1"/>
  <c r="E399" i="138"/>
  <c r="E432" i="138" s="1"/>
  <c r="D432" i="138"/>
  <c r="Q295" i="138"/>
  <c r="S295" i="138" s="1"/>
  <c r="O324" i="138"/>
  <c r="O349" i="138"/>
  <c r="H378" i="138"/>
  <c r="G284" i="100"/>
  <c r="D315" i="100"/>
  <c r="D318" i="100" s="1"/>
  <c r="D321" i="100" s="1"/>
  <c r="H403" i="138"/>
  <c r="F432" i="138"/>
  <c r="Q290" i="138"/>
  <c r="N324" i="138"/>
  <c r="S241" i="138"/>
  <c r="S270" i="138" s="1"/>
  <c r="Q270" i="138"/>
  <c r="K344" i="138"/>
  <c r="N344" i="138"/>
  <c r="K421" i="138"/>
  <c r="N421" i="138"/>
  <c r="Q421" i="138" s="1"/>
  <c r="S421" i="138" s="1"/>
  <c r="S338" i="138"/>
  <c r="Q392" i="138"/>
  <c r="K379" i="100"/>
  <c r="K382" i="100" s="1"/>
  <c r="L337" i="100"/>
  <c r="G465" i="100"/>
  <c r="K403" i="138" l="1"/>
  <c r="N403" i="138"/>
  <c r="N387" i="138"/>
  <c r="Q387" i="138" s="1"/>
  <c r="S387" i="138" s="1"/>
  <c r="N399" i="138"/>
  <c r="Q399" i="138" s="1"/>
  <c r="S399" i="138" s="1"/>
  <c r="K399" i="138"/>
  <c r="K402" i="138"/>
  <c r="N402" i="138"/>
  <c r="Q402" i="138" s="1"/>
  <c r="S402" i="138" s="1"/>
  <c r="K398" i="138"/>
  <c r="N398" i="138"/>
  <c r="Q344" i="138"/>
  <c r="N378" i="138"/>
  <c r="Q349" i="138"/>
  <c r="S349" i="138" s="1"/>
  <c r="O378" i="138"/>
  <c r="O403" i="138"/>
  <c r="H432" i="138"/>
  <c r="S290" i="138"/>
  <c r="S324" i="138" s="1"/>
  <c r="Q324" i="138"/>
  <c r="L284" i="100"/>
  <c r="L315" i="100" s="1"/>
  <c r="L318" i="100" s="1"/>
  <c r="L321" i="100" s="1"/>
  <c r="G315" i="100"/>
  <c r="G318" i="100" s="1"/>
  <c r="G321" i="100" s="1"/>
  <c r="S392" i="138"/>
  <c r="M401" i="100"/>
  <c r="I443" i="100"/>
  <c r="I446" i="100" s="1"/>
  <c r="Q403" i="138" l="1"/>
  <c r="S403" i="138" s="1"/>
  <c r="O432" i="138"/>
  <c r="S344" i="138"/>
  <c r="S378" i="138" s="1"/>
  <c r="Q378" i="138"/>
  <c r="Q398" i="138"/>
  <c r="N432" i="138"/>
  <c r="G348" i="100"/>
  <c r="D379" i="100"/>
  <c r="D382" i="100" s="1"/>
  <c r="D385" i="100" s="1"/>
  <c r="M443" i="100"/>
  <c r="M446" i="100" s="1"/>
  <c r="N401" i="100"/>
  <c r="L348" i="100" l="1"/>
  <c r="L379" i="100" s="1"/>
  <c r="L382" i="100" s="1"/>
  <c r="L385" i="100" s="1"/>
  <c r="G379" i="100"/>
  <c r="G382" i="100" s="1"/>
  <c r="G385" i="100" s="1"/>
  <c r="S398" i="138"/>
  <c r="S432" i="138" s="1"/>
  <c r="Q432" i="138"/>
  <c r="K465" i="100"/>
  <c r="H507" i="100"/>
  <c r="H510" i="100" s="1"/>
  <c r="H412" i="100" l="1"/>
  <c r="D443" i="100"/>
  <c r="D446" i="100" s="1"/>
  <c r="D449" i="100" s="1"/>
  <c r="K507" i="100"/>
  <c r="K510" i="100" s="1"/>
  <c r="L465" i="100"/>
  <c r="N412" i="100" l="1"/>
  <c r="N443" i="100" s="1"/>
  <c r="N446" i="100" s="1"/>
  <c r="N449" i="100" s="1"/>
  <c r="D18" i="81" s="1"/>
  <c r="E18" i="81" s="1"/>
  <c r="F18" i="81" s="1"/>
  <c r="H443" i="100"/>
  <c r="H446" i="100" s="1"/>
  <c r="H449" i="100" s="1"/>
  <c r="G476" i="100" l="1"/>
  <c r="D507" i="100"/>
  <c r="D510" i="100" s="1"/>
  <c r="D513" i="100" l="1"/>
  <c r="L476" i="100"/>
  <c r="L507" i="100" s="1"/>
  <c r="L510" i="100" s="1"/>
  <c r="G507" i="100"/>
  <c r="G510" i="100" s="1"/>
  <c r="G513" i="100" l="1"/>
  <c r="L513" i="100"/>
  <c r="D19" i="81" s="1"/>
  <c r="E19" i="81" s="1"/>
  <c r="E20" i="81" s="1"/>
  <c r="F19" i="81" l="1"/>
  <c r="D20" i="81"/>
  <c r="F20" i="81" l="1"/>
  <c r="I37" i="71" l="1"/>
  <c r="I48" i="71" s="1"/>
  <c r="I28" i="71"/>
  <c r="I50" i="71" l="1"/>
  <c r="F29" i="81" l="1"/>
  <c r="F28" i="81" l="1"/>
  <c r="F26" i="81" l="1"/>
  <c r="F30" i="81" l="1"/>
  <c r="F27" i="81"/>
  <c r="E21" i="81" l="1"/>
  <c r="E22" i="81" s="1"/>
  <c r="E24" i="81" s="1"/>
  <c r="E35" i="81" s="1"/>
  <c r="D22" i="81"/>
  <c r="F21" i="81" l="1"/>
  <c r="D24" i="81"/>
  <c r="F22" i="81"/>
  <c r="D35" i="81" l="1"/>
  <c r="F24" i="81"/>
  <c r="F35" i="8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B20" authorId="0" shapeId="0" xr:uid="{00000000-0006-0000-0400-000001000000}">
      <text>
        <r>
          <rPr>
            <b/>
            <sz val="9"/>
            <color indexed="81"/>
            <rFont val="Tahoma"/>
            <family val="2"/>
          </rPr>
          <t>OEB staff:</t>
        </r>
        <r>
          <rPr>
            <sz val="9"/>
            <color indexed="81"/>
            <rFont val="Tahoma"/>
            <family val="2"/>
          </rPr>
          <t xml:space="preserve">
The distributor should number the requested approvals beginning with 1.</t>
        </r>
      </text>
    </comment>
    <comment ref="D20" authorId="0" shapeId="0" xr:uid="{00000000-0006-0000-0400-000002000000}">
      <text>
        <r>
          <rPr>
            <b/>
            <sz val="9"/>
            <color indexed="81"/>
            <rFont val="Tahoma"/>
            <family val="2"/>
          </rPr>
          <t>OEB staff:</t>
        </r>
        <r>
          <rPr>
            <sz val="9"/>
            <color indexed="81"/>
            <rFont val="Tahoma"/>
            <family val="2"/>
          </rPr>
          <t xml:space="preserve">
If sub-bullets are needed, the distributor can use the entries in this column to create appropriate sub-bulleting, as needed.</t>
        </r>
      </text>
    </comment>
    <comment ref="F20" authorId="0" shapeId="0" xr:uid="{00000000-0006-0000-0400-000003000000}">
      <text>
        <r>
          <rPr>
            <b/>
            <sz val="9"/>
            <color indexed="81"/>
            <rFont val="Tahoma"/>
            <family val="2"/>
          </rPr>
          <t>OEB staff:</t>
        </r>
        <r>
          <rPr>
            <sz val="9"/>
            <color indexed="81"/>
            <rFont val="Tahoma"/>
            <family val="2"/>
          </rPr>
          <t xml:space="preserve">
This distributor should enter the requested approval in full text mode (i.e., same as in the Word document used for the test of the application evidence. Text boxes can be lengthened to show all text entered.</t>
        </r>
      </text>
    </comment>
    <comment ref="B42" authorId="0" shapeId="0" xr:uid="{00000000-0006-0000-0400-000004000000}">
      <text>
        <r>
          <rPr>
            <b/>
            <sz val="9"/>
            <color indexed="81"/>
            <rFont val="Tahoma"/>
            <family val="2"/>
          </rPr>
          <t>OEB staff:</t>
        </r>
        <r>
          <rPr>
            <sz val="9"/>
            <color indexed="81"/>
            <rFont val="Tahoma"/>
            <family val="2"/>
          </rPr>
          <t xml:space="preserve">
As needed, additional approvals may be added to this sheet be copying row 42 and pasting every other row down, beginning with row 44. The print range will have to be altered with the addition of rows.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Fortier, Jamie-Lee</author>
  </authors>
  <commentList>
    <comment ref="F184" authorId="0" shapeId="0" xr:uid="{00000000-0006-0000-0A00-000001000000}">
      <text>
        <r>
          <rPr>
            <b/>
            <sz val="9"/>
            <color indexed="81"/>
            <rFont val="Tahoma"/>
            <family val="2"/>
          </rPr>
          <t>Fortier, Jamie-Lee:</t>
        </r>
        <r>
          <rPr>
            <sz val="9"/>
            <color indexed="81"/>
            <rFont val="Tahoma"/>
            <family val="2"/>
          </rPr>
          <t xml:space="preserve">
Change in account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Fortier, Jamie-Lee</author>
  </authors>
  <commentList>
    <comment ref="S276" authorId="0" shapeId="0" xr:uid="{00000000-0006-0000-0C00-000001000000}">
      <text>
        <r>
          <rPr>
            <b/>
            <sz val="9"/>
            <color indexed="81"/>
            <rFont val="Tahoma"/>
            <family val="2"/>
          </rPr>
          <t>Fortier, Jamie-Lee:</t>
        </r>
        <r>
          <rPr>
            <sz val="9"/>
            <color indexed="81"/>
            <rFont val="Tahoma"/>
            <family val="2"/>
          </rPr>
          <t xml:space="preserve">
half year rule</t>
        </r>
      </text>
    </comment>
    <comment ref="S304" authorId="0" shapeId="0" xr:uid="{00000000-0006-0000-0C00-000002000000}">
      <text>
        <r>
          <rPr>
            <b/>
            <sz val="9"/>
            <color indexed="81"/>
            <rFont val="Tahoma"/>
            <family val="2"/>
          </rPr>
          <t>Fortier, Jamie-Lee:</t>
        </r>
        <r>
          <rPr>
            <sz val="9"/>
            <color indexed="81"/>
            <rFont val="Tahoma"/>
            <family val="2"/>
          </rPr>
          <t xml:space="preserve">
half year rule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Jerry Wang</author>
  </authors>
  <commentList>
    <comment ref="G96" authorId="0" shapeId="0" xr:uid="{00000000-0006-0000-1A00-000001000000}">
      <text>
        <r>
          <rPr>
            <b/>
            <sz val="9"/>
            <color indexed="81"/>
            <rFont val="Tahoma"/>
            <family val="2"/>
          </rPr>
          <t>OEB staff:</t>
        </r>
        <r>
          <rPr>
            <sz val="9"/>
            <color indexed="81"/>
            <rFont val="Tahoma"/>
            <family val="2"/>
          </rPr>
          <t xml:space="preserve">
Input any estimated savings from an LDC-specific CDM program that may be done such as to defer infrastructure investment. Such programs are outside of the IESO CDM programs and do not count towards the achievement of the 2015-20 CDM targets.
The utility should explain and support its estimate in its application in Exhibit 3.</t>
        </r>
      </text>
    </comment>
    <comment ref="B100" authorId="1" shapeId="0" xr:uid="{00000000-0006-0000-1A00-000002000000}">
      <text>
        <r>
          <rPr>
            <b/>
            <sz val="9"/>
            <color indexed="81"/>
            <rFont val="Tahoma"/>
            <family val="2"/>
          </rPr>
          <t xml:space="preserve">OEB staff:
</t>
        </r>
        <r>
          <rPr>
            <sz val="9"/>
            <color indexed="81"/>
            <rFont val="Tahoma"/>
            <family val="2"/>
          </rPr>
          <t>Enter proposed Total Loss Factor if manual adjustment is applied to base load forecast on system purchased basis, rather than as on a billed (delivered)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Sibtain Janmohamed</author>
  </authors>
  <commentList>
    <comment ref="G58" authorId="0" shapeId="0" xr:uid="{00000000-0006-0000-3200-000001000000}">
      <text>
        <r>
          <rPr>
            <b/>
            <sz val="9"/>
            <color indexed="81"/>
            <rFont val="Tahoma"/>
            <family val="2"/>
          </rPr>
          <t>Input value for forecast weighted average commodity price for the bridge year must be calculated independently outside of Appendix Z. It must be calculated based on the same methodology that is used to calculate the test year forecasted weighted average commodity prices, except that actual and forecasted 2018 RPP and GA forecasts are to be used.</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3">
    <s v="ThisWorkbookDataModel"/>
    <s v="[Measures].[Total Transaction Amount]"/>
    <s v="\$#,0;(\$#,0);\$#,0"/>
    <s v="[dProjectMaster_GM180AP].[GroupingDesc].&amp;[Substations]"/>
    <s v="[dProjectMaster_GM180AP].[FullProjDesc].&amp;[MSXX - Emergency Repairs to Substations]"/>
    <s v="[dMapping].[Statement Type No Regulatory].&amp;[Income Statement]"/>
    <s v="[dOEBAccountDescriptions].[Description 1].&amp;[Distribution expenses - operation]"/>
    <s v="[dOEBAccountDescriptions].[Description 1].&amp;[Billing and collecting]"/>
    <s v="[dOEBAccountDescriptions].[OEB Account No &amp; Description].&amp;[5010 - Load Dispatching]"/>
    <s v="[dOEBAccountDescriptions].[OEB Account No &amp; Description].&amp;[5335 - Bad Debt Expense]"/>
    <s v="[Measures].[Total Transaction Amount Historical]"/>
    <s v="[dCalendar].[Year].&amp;[2017]"/>
    <s v="\$#,0.00;(\$#,0.00);\$#,0.00"/>
    <s v="[dOEBAccountDescriptions].[Description 1].&amp;[Distribution expenses - maintenance]"/>
    <s v="[dOEBAccountDescriptions].[OEB Account No &amp; Description].&amp;[5175 - Maintenance of Meters]"/>
    <s v="[dOEBAccountDescriptions].[Description 1].&amp;[Administration and general expenses]"/>
    <s v="[dOEBAccountDescriptions].[OEB Account No &amp; Description].&amp;[5635 - Property Insurance]"/>
    <s v="[dOEBAccountDescriptions].[OEB Account No &amp; Description].&amp;[5135 - Overhead Distribution Lines and Feeders - Right of Way]"/>
    <s v="[Measures].[Total Budget]"/>
    <s v="[dCalendar].[Year].&amp;[2020]"/>
    <s v="[dOEBAccountDescriptions].[Description 1].&amp;[Community relations]"/>
    <s v="[dOEBAccountDescriptions].[OEB Account No &amp; Description].&amp;[5415 - Energy Conservation]"/>
    <s v="[dCalendar].[Year].&amp;[2016]"/>
    <s v="[Measures].[Total Transaction Amount Current]"/>
    <s v="[dCalendar].[Year].&amp;[2019]"/>
    <s v="[dCalendar].[Year].&amp;[2018]"/>
    <s v="[dOEBAccountDescriptions].[OEB Account No &amp; Description].&amp;[5675 - Maintenance of General Plant]"/>
    <s v="[dOEBAccountDescriptions].[OEB Account No &amp; Description].&amp;[5005 - Operation Supervision and Engineering]"/>
    <s v="[dCalendar].[Year].&amp;[2014]"/>
    <s v="[dOEBAccountDescriptions].[OEB Account No &amp; Description].&amp;[5065 - Meter Expense]"/>
    <s v="[dCalendar].[Year].&amp;[2015]"/>
    <s v="[dCalendar].[Year].&amp;[2013]"/>
    <s v="[Measures].[Total f2013Budget Budget Column]"/>
  </metadataStrings>
  <mdxMetadata count="76">
    <mdx n="0" f="v">
      <t c="3" si="2">
        <n x="3"/>
        <n x="4"/>
        <n x="1"/>
      </t>
    </mdx>
    <mdx n="0" f="v">
      <t c="5" si="12">
        <n x="5"/>
        <n x="7"/>
        <n x="9"/>
        <n x="10"/>
        <n x="11"/>
      </t>
    </mdx>
    <mdx n="0" f="v">
      <t c="5" si="12">
        <n x="5"/>
        <n x="15"/>
        <n x="16"/>
        <n x="10"/>
        <n x="11"/>
      </t>
    </mdx>
    <mdx n="0" f="v">
      <t c="5" si="12">
        <n x="5"/>
        <n x="13"/>
        <n x="17"/>
        <n x="10"/>
        <n x="11"/>
      </t>
    </mdx>
    <mdx n="0" f="v">
      <t c="5" si="12">
        <n x="5"/>
        <n x="20"/>
        <n x="21"/>
        <n x="10"/>
        <n x="11"/>
      </t>
    </mdx>
    <mdx n="0" f="v">
      <t c="5" si="12">
        <n x="5"/>
        <n x="20"/>
        <n x="21"/>
        <n x="10"/>
        <n x="22"/>
      </t>
    </mdx>
    <mdx n="0" f="v">
      <t c="5" si="12">
        <n x="5"/>
        <n x="13"/>
        <n x="17"/>
        <n x="23"/>
        <n x="24"/>
      </t>
    </mdx>
    <mdx n="0" f="v">
      <t c="5" si="12">
        <n x="5"/>
        <n x="20"/>
        <n x="21"/>
        <n x="10"/>
        <n x="25"/>
      </t>
    </mdx>
    <mdx n="0" f="v">
      <t c="5" si="12">
        <n x="5"/>
        <n x="15"/>
        <n x="26"/>
        <n x="10"/>
        <n x="25"/>
      </t>
    </mdx>
    <mdx n="0" f="v">
      <t c="5" si="12">
        <n x="5"/>
        <n x="6"/>
        <n x="27"/>
        <n x="10"/>
        <n x="25"/>
      </t>
    </mdx>
    <mdx n="0" f="v">
      <t c="5" si="12">
        <n x="5"/>
        <n x="7"/>
        <n x="9"/>
        <n x="10"/>
        <n x="28"/>
      </t>
    </mdx>
    <mdx n="0" f="v">
      <t c="5" si="12">
        <n x="5"/>
        <n x="13"/>
        <n x="14"/>
        <n x="10"/>
        <n x="25"/>
      </t>
    </mdx>
    <mdx n="0" f="v">
      <t c="5" si="12">
        <n x="5"/>
        <n x="13"/>
        <n x="14"/>
        <n x="10"/>
        <n x="28"/>
      </t>
    </mdx>
    <mdx n="0" f="v">
      <t c="5" si="12">
        <n x="5"/>
        <n x="6"/>
        <n x="8"/>
        <n x="10"/>
        <n x="28"/>
      </t>
    </mdx>
    <mdx n="0" f="v">
      <t c="5" si="12">
        <n x="5"/>
        <n x="6"/>
        <n x="8"/>
        <n x="10"/>
        <n x="22"/>
      </t>
    </mdx>
    <mdx n="0" f="v">
      <t c="5" si="12">
        <n x="5"/>
        <n x="15"/>
        <n x="26"/>
        <n x="10"/>
        <n x="22"/>
      </t>
    </mdx>
    <mdx n="0" f="v">
      <t c="5" si="12">
        <n x="5"/>
        <n x="13"/>
        <n x="17"/>
        <n x="10"/>
        <n x="22"/>
      </t>
    </mdx>
    <mdx n="0" f="v">
      <t c="5" si="12">
        <n x="5"/>
        <n x="13"/>
        <n x="17"/>
        <n x="10"/>
        <n x="31"/>
      </t>
    </mdx>
    <mdx n="0" f="v">
      <t c="5" si="12">
        <n x="5"/>
        <n x="15"/>
        <n x="26"/>
        <n x="32"/>
        <n x="31"/>
      </t>
    </mdx>
    <mdx n="0" f="v">
      <t c="5" si="12">
        <n x="5"/>
        <n x="6"/>
        <n x="29"/>
        <n x="23"/>
        <n x="24"/>
      </t>
    </mdx>
    <mdx n="0" f="v">
      <t c="5" si="12">
        <n x="5"/>
        <n x="6"/>
        <n x="8"/>
        <n x="32"/>
        <n x="31"/>
      </t>
    </mdx>
    <mdx n="0" f="v">
      <t c="5" si="12">
        <n x="5"/>
        <n x="7"/>
        <n x="9"/>
        <n x="10"/>
        <n x="31"/>
      </t>
    </mdx>
    <mdx n="0" f="v">
      <t c="5" si="12">
        <n x="5"/>
        <n x="15"/>
        <n x="16"/>
        <n x="10"/>
        <n x="28"/>
      </t>
    </mdx>
    <mdx n="0" f="v">
      <t c="5" si="12">
        <n x="5"/>
        <n x="7"/>
        <n x="9"/>
        <n x="10"/>
        <n x="22"/>
      </t>
    </mdx>
    <mdx n="0" f="v">
      <t c="5" si="12">
        <n x="5"/>
        <n x="13"/>
        <n x="14"/>
        <n x="10"/>
        <n x="30"/>
      </t>
    </mdx>
    <mdx n="0" f="v">
      <t c="5" si="12">
        <n x="5"/>
        <n x="15"/>
        <n x="16"/>
        <n x="10"/>
        <n x="22"/>
      </t>
    </mdx>
    <mdx n="0" f="v">
      <t c="5" si="12">
        <n x="5"/>
        <n x="6"/>
        <n x="8"/>
        <n x="10"/>
        <n x="30"/>
      </t>
    </mdx>
    <mdx n="0" f="v">
      <t c="5" si="12">
        <n x="5"/>
        <n x="6"/>
        <n x="8"/>
        <n x="23"/>
        <n x="24"/>
      </t>
    </mdx>
    <mdx n="0" f="v">
      <t c="5" si="12">
        <n x="5"/>
        <n x="15"/>
        <n x="16"/>
        <n x="10"/>
        <n x="30"/>
      </t>
    </mdx>
    <mdx n="0" f="v">
      <t c="5" si="12">
        <n x="5"/>
        <n x="20"/>
        <n x="21"/>
        <n x="10"/>
        <n x="30"/>
      </t>
    </mdx>
    <mdx n="0" f="v">
      <t c="5" si="12">
        <n x="5"/>
        <n x="15"/>
        <n x="16"/>
        <n x="18"/>
        <n x="19"/>
      </t>
    </mdx>
    <mdx n="0" f="v">
      <t c="5" si="12">
        <n x="5"/>
        <n x="6"/>
        <n x="29"/>
        <n x="32"/>
        <n x="31"/>
      </t>
    </mdx>
    <mdx n="0" f="v">
      <t c="5" si="12">
        <n x="5"/>
        <n x="15"/>
        <n x="26"/>
        <n x="10"/>
        <n x="30"/>
      </t>
    </mdx>
    <mdx n="0" f="v">
      <t c="5" si="12">
        <n x="5"/>
        <n x="15"/>
        <n x="16"/>
        <n x="10"/>
        <n x="31"/>
      </t>
    </mdx>
    <mdx n="0" f="v">
      <t c="5" si="12">
        <n x="5"/>
        <n x="13"/>
        <n x="14"/>
        <n x="10"/>
        <n x="31"/>
      </t>
    </mdx>
    <mdx n="0" f="v">
      <t c="5" si="12">
        <n x="5"/>
        <n x="6"/>
        <n x="29"/>
        <n x="10"/>
        <n x="30"/>
      </t>
    </mdx>
    <mdx n="0" f="v">
      <t c="5" si="12">
        <n x="5"/>
        <n x="15"/>
        <n x="16"/>
        <n x="32"/>
        <n x="31"/>
      </t>
    </mdx>
    <mdx n="0" f="v">
      <t c="5" si="12">
        <n x="5"/>
        <n x="15"/>
        <n x="26"/>
        <n x="10"/>
        <n x="11"/>
      </t>
    </mdx>
    <mdx n="0" f="v">
      <t c="5" si="12">
        <n x="5"/>
        <n x="7"/>
        <n x="9"/>
        <n x="10"/>
        <n x="30"/>
      </t>
    </mdx>
    <mdx n="0" f="v">
      <t c="5" si="12">
        <n x="5"/>
        <n x="15"/>
        <n x="26"/>
        <n x="10"/>
        <n x="28"/>
      </t>
    </mdx>
    <mdx n="0" f="v">
      <t c="5" si="12">
        <n x="5"/>
        <n x="6"/>
        <n x="27"/>
        <n x="10"/>
        <n x="28"/>
      </t>
    </mdx>
    <mdx n="0" f="v">
      <t c="5" si="12">
        <n x="5"/>
        <n x="13"/>
        <n x="17"/>
        <n x="10"/>
        <n x="28"/>
      </t>
    </mdx>
    <mdx n="0" f="v">
      <t c="5" si="12">
        <n x="5"/>
        <n x="6"/>
        <n x="29"/>
        <n x="10"/>
        <n x="22"/>
      </t>
    </mdx>
    <mdx n="0" f="v">
      <t c="5" si="12">
        <n x="5"/>
        <n x="15"/>
        <n x="26"/>
        <n x="10"/>
        <n x="31"/>
      </t>
    </mdx>
    <mdx n="0" f="v">
      <t c="5" si="12">
        <n x="5"/>
        <n x="7"/>
        <n x="9"/>
        <n x="23"/>
        <n x="24"/>
      </t>
    </mdx>
    <mdx n="0" f="v">
      <t c="5" si="12">
        <n x="5"/>
        <n x="13"/>
        <n x="14"/>
        <n x="23"/>
        <n x="24"/>
      </t>
    </mdx>
    <mdx n="0" f="v">
      <t c="5" si="12">
        <n x="5"/>
        <n x="13"/>
        <n x="17"/>
        <n x="32"/>
        <n x="31"/>
      </t>
    </mdx>
    <mdx n="0" f="v">
      <t c="5" si="12">
        <n x="5"/>
        <n x="6"/>
        <n x="29"/>
        <n x="10"/>
        <n x="25"/>
      </t>
    </mdx>
    <mdx n="0" f="v">
      <t c="5" si="12">
        <n x="5"/>
        <n x="15"/>
        <n x="16"/>
        <n x="10"/>
        <n x="25"/>
      </t>
    </mdx>
    <mdx n="0" f="v">
      <t c="5" si="12">
        <n x="5"/>
        <n x="6"/>
        <n x="27"/>
        <n x="32"/>
        <n x="31"/>
      </t>
    </mdx>
    <mdx n="0" f="v">
      <t c="5" si="12">
        <n x="5"/>
        <n x="15"/>
        <n x="16"/>
        <n x="23"/>
        <n x="24"/>
      </t>
    </mdx>
    <mdx n="0" f="v">
      <t c="5" si="12">
        <n x="5"/>
        <n x="15"/>
        <n x="26"/>
        <n x="23"/>
        <n x="24"/>
      </t>
    </mdx>
    <mdx n="0" f="v">
      <t c="5" si="12">
        <n x="5"/>
        <n x="7"/>
        <n x="9"/>
        <n x="32"/>
        <n x="31"/>
      </t>
    </mdx>
    <mdx n="0" f="v">
      <t c="5" si="12">
        <n x="5"/>
        <n x="7"/>
        <n x="9"/>
        <n x="10"/>
        <n x="25"/>
      </t>
    </mdx>
    <mdx n="0" f="v">
      <t c="5" si="12">
        <n x="5"/>
        <n x="20"/>
        <n x="21"/>
        <n x="10"/>
        <n x="31"/>
      </t>
    </mdx>
    <mdx n="0" f="v">
      <t c="5" si="12">
        <n x="5"/>
        <n x="20"/>
        <n x="21"/>
        <n x="10"/>
        <n x="28"/>
      </t>
    </mdx>
    <mdx n="0" f="v">
      <t c="5" si="12">
        <n x="5"/>
        <n x="20"/>
        <n x="21"/>
        <n x="23"/>
        <n x="24"/>
      </t>
    </mdx>
    <mdx n="0" f="v">
      <t c="5" si="12">
        <n x="5"/>
        <n x="13"/>
        <n x="17"/>
        <n x="10"/>
        <n x="30"/>
      </t>
    </mdx>
    <mdx n="0" f="v">
      <t c="5" si="12">
        <n x="5"/>
        <n x="13"/>
        <n x="17"/>
        <n x="10"/>
        <n x="25"/>
      </t>
    </mdx>
    <mdx n="0" f="v">
      <t c="5" si="12">
        <n x="5"/>
        <n x="13"/>
        <n x="14"/>
        <n x="10"/>
        <n x="22"/>
      </t>
    </mdx>
    <mdx n="0" f="v">
      <t c="5" si="12">
        <n x="5"/>
        <n x="13"/>
        <n x="14"/>
        <n x="10"/>
        <n x="11"/>
      </t>
    </mdx>
    <mdx n="0" f="v">
      <t c="5" si="12">
        <n x="5"/>
        <n x="6"/>
        <n x="27"/>
        <n x="10"/>
        <n x="31"/>
      </t>
    </mdx>
    <mdx n="0" f="v">
      <t c="5" si="12">
        <n x="5"/>
        <n x="6"/>
        <n x="27"/>
        <n x="10"/>
        <n x="30"/>
      </t>
    </mdx>
    <mdx n="0" f="v">
      <t c="5" si="12">
        <n x="5"/>
        <n x="6"/>
        <n x="27"/>
        <n x="10"/>
        <n x="22"/>
      </t>
    </mdx>
    <mdx n="0" f="v">
      <t c="5" si="12">
        <n x="5"/>
        <n x="6"/>
        <n x="27"/>
        <n x="10"/>
        <n x="11"/>
      </t>
    </mdx>
    <mdx n="0" f="v">
      <t c="5" si="12">
        <n x="5"/>
        <n x="6"/>
        <n x="27"/>
        <n x="23"/>
        <n x="24"/>
      </t>
    </mdx>
    <mdx n="0" f="v">
      <t c="5" si="12">
        <n x="5"/>
        <n x="6"/>
        <n x="8"/>
        <n x="10"/>
        <n x="31"/>
      </t>
    </mdx>
    <mdx n="0" f="v">
      <t c="5" si="12">
        <n x="5"/>
        <n x="6"/>
        <n x="8"/>
        <n x="10"/>
        <n x="11"/>
      </t>
    </mdx>
    <mdx n="0" f="v">
      <t c="5" si="12">
        <n x="5"/>
        <n x="6"/>
        <n x="8"/>
        <n x="10"/>
        <n x="25"/>
      </t>
    </mdx>
    <mdx n="0" f="v">
      <t c="5" si="12">
        <n x="5"/>
        <n x="6"/>
        <n x="29"/>
        <n x="10"/>
        <n x="31"/>
      </t>
    </mdx>
    <mdx n="0" f="v">
      <t c="5" si="12">
        <n x="5"/>
        <n x="6"/>
        <n x="29"/>
        <n x="10"/>
        <n x="28"/>
      </t>
    </mdx>
    <mdx n="0" f="v">
      <t c="5" si="12">
        <n x="5"/>
        <n x="6"/>
        <n x="29"/>
        <n x="10"/>
        <n x="11"/>
      </t>
    </mdx>
    <mdx n="0" f="v">
      <t c="5" si="12">
        <n x="5"/>
        <n x="6"/>
        <n x="26"/>
        <n x="18"/>
        <n x="19"/>
      </t>
    </mdx>
    <mdx n="0" f="v">
      <t c="5" si="12">
        <n x="5"/>
        <n x="6"/>
        <n x="26"/>
        <n x="18"/>
        <n x="19"/>
      </t>
    </mdx>
    <mdx n="0" f="v">
      <t c="5" si="12">
        <n x="5"/>
        <n x="15"/>
        <n x="17"/>
        <n x="18"/>
        <n x="19"/>
      </t>
    </mdx>
    <mdx n="0" f="v">
      <t c="5" si="12">
        <n x="5"/>
        <n x="15"/>
        <n x="16"/>
        <n x="18"/>
        <n x="19"/>
      </t>
    </mdx>
  </mdxMetadata>
  <valueMetadata count="7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valueMetadata>
</metadata>
</file>

<file path=xl/sharedStrings.xml><?xml version="1.0" encoding="utf-8"?>
<sst xmlns="http://schemas.openxmlformats.org/spreadsheetml/2006/main" count="6806" uniqueCount="1798">
  <si>
    <t>Total Compensation (Salary, Wages, &amp; Benefits)</t>
  </si>
  <si>
    <t>Employee Costs</t>
  </si>
  <si>
    <t>Depreciation and Amortization Expense</t>
  </si>
  <si>
    <t>Account</t>
  </si>
  <si>
    <t>Years</t>
  </si>
  <si>
    <t>(2)</t>
  </si>
  <si>
    <t>Notes:</t>
  </si>
  <si>
    <t>Proposed</t>
  </si>
  <si>
    <t>Rate</t>
  </si>
  <si>
    <t>Customer Class:</t>
  </si>
  <si>
    <t>Year</t>
  </si>
  <si>
    <t>Gross Asset Value</t>
  </si>
  <si>
    <t>Accumulated Amortization</t>
  </si>
  <si>
    <t>Net Asset</t>
  </si>
  <si>
    <t>Proceeds on Disposition</t>
  </si>
  <si>
    <t>Residual Net Book Value</t>
  </si>
  <si>
    <t>(A)</t>
  </si>
  <si>
    <t>(B)</t>
  </si>
  <si>
    <t>(D)</t>
  </si>
  <si>
    <t>(E)</t>
  </si>
  <si>
    <t>Capital Projects Table</t>
  </si>
  <si>
    <t>Year:</t>
  </si>
  <si>
    <t>USoA #</t>
  </si>
  <si>
    <t>Other Operating Revenue</t>
  </si>
  <si>
    <t>Specific Service Charges</t>
  </si>
  <si>
    <t>Late Payment Charges</t>
  </si>
  <si>
    <t>Retail Services Revenues</t>
  </si>
  <si>
    <t>Appendix 2-M</t>
  </si>
  <si>
    <t>Appendix 2-N</t>
  </si>
  <si>
    <t>Appendix 2-Q</t>
  </si>
  <si>
    <t>(3)</t>
  </si>
  <si>
    <t>(4)</t>
  </si>
  <si>
    <t>(5)</t>
  </si>
  <si>
    <t>(6) = '(3) + (4)</t>
  </si>
  <si>
    <t>Asset Class</t>
  </si>
  <si>
    <t>Distribution Stations</t>
  </si>
  <si>
    <t>(7)</t>
  </si>
  <si>
    <t>(8)</t>
  </si>
  <si>
    <t>(9)</t>
  </si>
  <si>
    <t>(10)</t>
  </si>
  <si>
    <t>(11)</t>
  </si>
  <si>
    <t>Total line length or station capacity in asset class</t>
  </si>
  <si>
    <t>kW or kVa; km</t>
  </si>
  <si>
    <t>kW or kVA; km</t>
  </si>
  <si>
    <t>kW or kVA</t>
  </si>
  <si>
    <t>percent</t>
  </si>
  <si>
    <t>(12)</t>
  </si>
  <si>
    <t>(12a)</t>
  </si>
  <si>
    <t>(13)</t>
  </si>
  <si>
    <t>(14)</t>
  </si>
  <si>
    <t>(15)</t>
  </si>
  <si>
    <t>Return on Assets used to Provide LV services</t>
  </si>
  <si>
    <t>Taxes/PILs</t>
  </si>
  <si>
    <t>Annual amortization on assets used to provide LV services</t>
  </si>
  <si>
    <t>OM&amp;A costs with burden associated with assets used to provide LV services</t>
  </si>
  <si>
    <t>Total annual cost associated with assets used to provide LV services</t>
  </si>
  <si>
    <t>$/kW or $/kVA</t>
  </si>
  <si>
    <t>(17)</t>
  </si>
  <si>
    <t>(18)</t>
  </si>
  <si>
    <t>(19)</t>
  </si>
  <si>
    <t>(21)</t>
  </si>
  <si>
    <t>Capital Structure</t>
  </si>
  <si>
    <t>Long-Term Debt</t>
  </si>
  <si>
    <t>Weighted Average Cost of Capital</t>
  </si>
  <si>
    <t>Short-term Debt</t>
  </si>
  <si>
    <t>Common Equity</t>
  </si>
  <si>
    <t>Tax/PILs Rate</t>
  </si>
  <si>
    <t>Preferred Shares</t>
  </si>
  <si>
    <t>Working Capital Allowance Factor</t>
  </si>
  <si>
    <t>Difference</t>
  </si>
  <si>
    <t>kWh</t>
  </si>
  <si>
    <t>Residential</t>
  </si>
  <si>
    <r>
      <t xml:space="preserve">Summary of </t>
    </r>
    <r>
      <rPr>
        <b/>
        <u/>
        <sz val="14"/>
        <color indexed="10"/>
        <rFont val="Arial"/>
        <family val="2"/>
      </rPr>
      <t>Recoverable</t>
    </r>
    <r>
      <rPr>
        <b/>
        <sz val="14"/>
        <rFont val="Arial"/>
        <family val="2"/>
      </rPr>
      <t xml:space="preserve"> OM&amp;A Expenses</t>
    </r>
  </si>
  <si>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</si>
  <si>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</si>
  <si>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</si>
  <si>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</si>
  <si>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Forecast</t>
  </si>
  <si>
    <t>USoA Description</t>
  </si>
  <si>
    <r>
      <t>etc.</t>
    </r>
    <r>
      <rPr>
        <vertAlign val="superscript"/>
        <sz val="10"/>
        <rFont val="Arial"/>
        <family val="2"/>
      </rPr>
      <t>1</t>
    </r>
  </si>
  <si>
    <t>1</t>
  </si>
  <si>
    <r>
      <t xml:space="preserve">Operating expenses associated with other resources allocated to regulatory matters </t>
    </r>
    <r>
      <rPr>
        <vertAlign val="superscript"/>
        <sz val="10"/>
        <rFont val="Arial"/>
        <family val="2"/>
      </rPr>
      <t>1</t>
    </r>
  </si>
  <si>
    <t>2</t>
  </si>
  <si>
    <t>3</t>
  </si>
  <si>
    <r>
      <t>Number of Employees (FTEs including Part-Time)</t>
    </r>
    <r>
      <rPr>
        <b/>
        <vertAlign val="superscript"/>
        <sz val="10"/>
        <rFont val="Arial"/>
        <family val="2"/>
      </rPr>
      <t>1</t>
    </r>
  </si>
  <si>
    <t xml:space="preserve">Note: </t>
  </si>
  <si>
    <t>(D ) = (A) - (B) - (C)</t>
  </si>
  <si>
    <t>Billing and Collecting</t>
  </si>
  <si>
    <t>Regulatory Cost Schedule</t>
  </si>
  <si>
    <t xml:space="preserve">Year </t>
  </si>
  <si>
    <t>Reporting Basis</t>
  </si>
  <si>
    <t>CGAAP</t>
  </si>
  <si>
    <t>MIFRS</t>
  </si>
  <si>
    <t>Loss Factors</t>
  </si>
  <si>
    <t>Cost of Service Rate Application Schematic</t>
  </si>
  <si>
    <t>Short-term Investment Interest</t>
  </si>
  <si>
    <t>Bank Deposit Interest</t>
  </si>
  <si>
    <t>Miscellaneous Interest Revenue</t>
  </si>
  <si>
    <t>Operations</t>
  </si>
  <si>
    <t>Maintenance</t>
  </si>
  <si>
    <t>Community Relations</t>
  </si>
  <si>
    <t>Note:</t>
  </si>
  <si>
    <t>Appendix 2-G</t>
  </si>
  <si>
    <t>OM&amp;A</t>
  </si>
  <si>
    <t>Regulatory Cost Category</t>
  </si>
  <si>
    <t>USoA Account</t>
  </si>
  <si>
    <t>Annual % Change</t>
  </si>
  <si>
    <t>(C )</t>
  </si>
  <si>
    <t>USoA Account Balance</t>
  </si>
  <si>
    <t>(F)</t>
  </si>
  <si>
    <t>(G)</t>
  </si>
  <si>
    <t>OEB Annual Assessment</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</si>
  <si>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</si>
  <si>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</si>
  <si>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</si>
  <si>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</si>
  <si>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</si>
  <si>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Other regulatory agency fees or assessments</t>
  </si>
  <si>
    <t>Any other costs for regulatory matters (please define)</t>
  </si>
  <si>
    <t>Intervenor costs</t>
  </si>
  <si>
    <t>Please identify the resources involved.</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</si>
  <si>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</si>
  <si>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</si>
  <si>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</si>
  <si>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</si>
  <si>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</si>
  <si>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</si>
  <si>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</si>
  <si>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</si>
  <si>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</si>
  <si>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</si>
  <si>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</si>
  <si>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</si>
  <si>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</si>
  <si>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</si>
  <si>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</si>
  <si>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</si>
  <si>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</si>
  <si>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</si>
  <si>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</si>
  <si>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</si>
  <si>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</si>
  <si>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</si>
  <si>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</si>
  <si>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</si>
  <si>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</si>
  <si>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Administrative and General</t>
  </si>
  <si>
    <t>Simple average of % variance for all years</t>
  </si>
  <si>
    <t>$</t>
  </si>
  <si>
    <t>%</t>
  </si>
  <si>
    <t>Appendix 2-I</t>
  </si>
  <si>
    <t>OM&amp;A cost per customer</t>
  </si>
  <si>
    <t>Appendix 2-L</t>
  </si>
  <si>
    <t>Name of Company</t>
  </si>
  <si>
    <t>From</t>
  </si>
  <si>
    <t>To</t>
  </si>
  <si>
    <t>Service Offered</t>
  </si>
  <si>
    <t>Price for the Service</t>
  </si>
  <si>
    <t>Stranded Meter Treatment</t>
  </si>
  <si>
    <t>Insert description of additional item(s) and new rows if needed.</t>
  </si>
  <si>
    <t>a)</t>
  </si>
  <si>
    <t>b)</t>
  </si>
  <si>
    <t>c)</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</si>
  <si>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</si>
  <si>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</si>
  <si>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</si>
  <si>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</si>
  <si>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</si>
  <si>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</si>
  <si>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(16)</t>
  </si>
  <si>
    <t>(20)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</si>
  <si>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</si>
  <si>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</si>
  <si>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Projects</t>
  </si>
  <si>
    <t>Miscellaneous</t>
  </si>
  <si>
    <t>Sub-Total</t>
  </si>
  <si>
    <t>Appendix 2-S</t>
  </si>
  <si>
    <t>Pale green cells represent input cells.</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</si>
  <si>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</si>
  <si>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</si>
  <si>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</si>
  <si>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</si>
  <si>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</si>
  <si>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</si>
  <si>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</si>
  <si>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</si>
  <si>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</si>
  <si>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</si>
  <si>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</si>
  <si>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</si>
  <si>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</si>
  <si>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</si>
  <si>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Operating Revenues</t>
  </si>
  <si>
    <t>Other Income or Deductions</t>
  </si>
  <si>
    <t>Note: Add all applicable accounts listed above to the table and include all relevant information.</t>
  </si>
  <si>
    <t>Account Breakdown Details</t>
  </si>
  <si>
    <t>General:</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</si>
  <si>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</si>
  <si>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</si>
  <si>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</si>
  <si>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</si>
  <si>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</si>
  <si>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</si>
  <si>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If partially embedded, kWh pertains to the sum of the above.</t>
  </si>
  <si>
    <t>These loss factors pertain to secondary-metered customers with demand less than 5,000 kW.</t>
  </si>
  <si>
    <t>Description</t>
  </si>
  <si>
    <t>Opening Balance</t>
  </si>
  <si>
    <t>Additions</t>
  </si>
  <si>
    <t>Appendix 2-K</t>
  </si>
  <si>
    <t>% of Corporate Costs Allocated</t>
  </si>
  <si>
    <t>Corporate Cost Allocation</t>
  </si>
  <si>
    <t>Shared Services</t>
  </si>
  <si>
    <t>Amount Allocated</t>
  </si>
  <si>
    <t xml:space="preserve">Cost of Serving Embedded Distributor(s) </t>
  </si>
  <si>
    <t>Proposed Rate Class for Billing Embedded Distributor(s)</t>
  </si>
  <si>
    <t>Host's Distribution Facilities used by Embedded Distributor(s)</t>
  </si>
  <si>
    <t xml:space="preserve">Total OM&amp;A costs asociated with asset class </t>
  </si>
  <si>
    <t xml:space="preserve">Original cost of asset class </t>
  </si>
  <si>
    <t>Accumulated amortization of asset class</t>
  </si>
  <si>
    <t>Annual amortization of asset class</t>
  </si>
  <si>
    <t>Net Book Value of asset class</t>
  </si>
  <si>
    <t>Totals for Host Distributor:</t>
  </si>
  <si>
    <t>Low Voltage Line</t>
  </si>
  <si>
    <t>TS (owned by host)</t>
  </si>
  <si>
    <t xml:space="preserve">add rows if necessary... </t>
  </si>
  <si>
    <t>Line length or capacity required to provide LV service to Embedded Distributor(s)</t>
  </si>
  <si>
    <t>Annual total demand on station/line providing LV services (sum of 12 monthly peaks)</t>
  </si>
  <si>
    <t>Annual billed Embedded Distributor demand on station/line providing LV services</t>
  </si>
  <si>
    <t>Embedded Distributor's share:</t>
  </si>
  <si>
    <t xml:space="preserve">LV Line # 2 (if applicable) </t>
  </si>
  <si>
    <t xml:space="preserve">add rows if necessary </t>
  </si>
  <si>
    <t>Monthly cost associated with the delivery of LV services</t>
  </si>
  <si>
    <t>Closing Balance</t>
  </si>
  <si>
    <t>Cost</t>
  </si>
  <si>
    <t>Accumulated Depreciation</t>
  </si>
  <si>
    <t>N/A</t>
  </si>
  <si>
    <t>Land</t>
  </si>
  <si>
    <t>Buildings</t>
  </si>
  <si>
    <t>Transformer Station Equipment &gt;50 kV</t>
  </si>
  <si>
    <t>Storage Battery Equipment</t>
  </si>
  <si>
    <t>Poles, Towers &amp; Fixtures</t>
  </si>
  <si>
    <t>Line Transformers</t>
  </si>
  <si>
    <t>Meters</t>
  </si>
  <si>
    <t>CEC</t>
  </si>
  <si>
    <t>Buildings &amp; Fixtures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</si>
  <si>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</si>
  <si>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</si>
  <si>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</si>
  <si>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</si>
  <si>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G</t>
    </r>
    <r>
      <rPr>
        <sz val="10"/>
        <rFont val="Arial"/>
        <family val="2"/>
      </rPr>
      <t xml:space="preserve"> and </t>
    </r>
    <r>
      <rPr>
        <b/>
        <sz val="10"/>
        <rFont val="Arial"/>
        <family val="2"/>
      </rPr>
      <t>I</t>
    </r>
  </si>
  <si>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</si>
  <si>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</si>
  <si>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</si>
  <si>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</si>
  <si>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</si>
  <si>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</si>
  <si>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</si>
  <si>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</si>
  <si>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</si>
  <si>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</si>
  <si>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Transportation</t>
  </si>
  <si>
    <t>Net Depreciation</t>
  </si>
  <si>
    <t>Leasehold Improvements</t>
  </si>
  <si>
    <t>Net Book Value</t>
  </si>
  <si>
    <t>File Number:</t>
  </si>
  <si>
    <t>Exhibit:</t>
  </si>
  <si>
    <t>Tab:</t>
  </si>
  <si>
    <t>Schedule:</t>
  </si>
  <si>
    <t>Page:</t>
  </si>
  <si>
    <t>Date:</t>
  </si>
  <si>
    <t>Cost Rate</t>
  </si>
  <si>
    <t>(%)</t>
  </si>
  <si>
    <t>($)</t>
  </si>
  <si>
    <t>(1)</t>
  </si>
  <si>
    <t>Notes</t>
  </si>
  <si>
    <t>Last Rebasing Year</t>
  </si>
  <si>
    <t>Bridge Year</t>
  </si>
  <si>
    <t>Test Year</t>
  </si>
  <si>
    <t xml:space="preserve">Utility Name   </t>
  </si>
  <si>
    <t>Assigned EB Number</t>
  </si>
  <si>
    <t xml:space="preserve">Phone Number   </t>
  </si>
  <si>
    <t xml:space="preserve">Email Address   </t>
  </si>
  <si>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</si>
  <si>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</si>
  <si>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</si>
  <si>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</si>
  <si>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</si>
  <si>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</si>
  <si>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</si>
  <si>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</si>
  <si>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</si>
  <si>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Espanola Regional Hydro Distribution Corporation</t>
  </si>
  <si>
    <t>Essex Powerlines Corporation</t>
  </si>
  <si>
    <t>Festival Hydro Inc.</t>
  </si>
  <si>
    <t>Fort Frances Power Corporation</t>
  </si>
  <si>
    <t>Greater Sudbury Hydro Inc.</t>
  </si>
  <si>
    <t>Halton Hills Hydro Inc.</t>
  </si>
  <si>
    <t>Hydro 2000 Inc.</t>
  </si>
  <si>
    <t>Hydro Hawkesbury Inc.</t>
  </si>
  <si>
    <t>Hydro One Networks Inc.</t>
  </si>
  <si>
    <t>Hydro Ottawa Limited</t>
  </si>
  <si>
    <t>Kingston Hydro Corporation</t>
  </si>
  <si>
    <t>Kitchener-Wilmot Hydro Inc.</t>
  </si>
  <si>
    <t>Lakefront Utilities Inc.</t>
  </si>
  <si>
    <t>Lakeland Power Distribution Ltd.</t>
  </si>
  <si>
    <t>London Hydro Inc.</t>
  </si>
  <si>
    <t>Milton Hydro Distribution Inc.</t>
  </si>
  <si>
    <t>Niagara Peninsula Energy Inc.</t>
  </si>
  <si>
    <t>Niagara-on-the-Lake Hydro Inc.</t>
  </si>
  <si>
    <t>North Bay Hydro Distribution Limited</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</si>
  <si>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</si>
  <si>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</si>
  <si>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</si>
  <si>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</si>
  <si>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</si>
  <si>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</si>
  <si>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</si>
  <si>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</si>
  <si>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Tillsonburg Hydro Inc.</t>
  </si>
  <si>
    <t>Toronto Hydro-Electric System Limited</t>
  </si>
  <si>
    <t>Wasaga Distribution Inc.</t>
  </si>
  <si>
    <t>Waterloo North Hydro Inc.</t>
  </si>
  <si>
    <t>Wellington North Power Inc.</t>
  </si>
  <si>
    <t>Westario Power Inc.</t>
  </si>
  <si>
    <t>Pale blue cells represent drop-down lists.  The applicant should select the appropriate item from the drop-down list.</t>
  </si>
  <si>
    <t>Computer Software (Formally known as Account 1925)</t>
  </si>
  <si>
    <t>Depreciation Rate on New Additions</t>
  </si>
  <si>
    <t>Directly</t>
  </si>
  <si>
    <t>Attributable?</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</si>
  <si>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</si>
  <si>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</si>
  <si>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</si>
  <si>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Reasons why the costs recorded meet the criteria of one-time IFRS administrative incremental costs</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</si>
  <si>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</si>
  <si>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Actual</t>
  </si>
  <si>
    <t>PP&amp;E Values under CGAAP</t>
  </si>
  <si>
    <t xml:space="preserve">            Opening net PP&amp;E - Note 1</t>
  </si>
  <si>
    <t xml:space="preserve">            Closing net PP&amp;E (1)</t>
  </si>
  <si>
    <t xml:space="preserve">            Opening net PP&amp;E  - Note 1</t>
  </si>
  <si>
    <t xml:space="preserve">            Closing net PP&amp;E (2)</t>
  </si>
  <si>
    <t>Account 1575 - IFRS-CGAAP Transitional PP&amp;E Amounts</t>
  </si>
  <si>
    <t>WACC</t>
  </si>
  <si>
    <t xml:space="preserve">     * Please note that the calculation should be adjusted once WACC is updated and finalized in the rate application.</t>
  </si>
  <si>
    <r>
      <rPr>
        <b/>
        <sz val="10"/>
        <rFont val="Arial"/>
        <family val="2"/>
      </rPr>
      <t>Less:</t>
    </r>
    <r>
      <rPr>
        <sz val="10"/>
        <rFont val="Arial"/>
        <family val="2"/>
      </rPr>
      <t xml:space="preserve"> </t>
    </r>
    <r>
      <rPr>
        <i/>
        <sz val="10"/>
        <rFont val="Arial"/>
        <family val="2"/>
      </rPr>
      <t>Fully Allocated Depreciation</t>
    </r>
  </si>
  <si>
    <t>Overhead Expense</t>
  </si>
  <si>
    <t>Appendix 2-EB</t>
  </si>
  <si>
    <t>Appendix 2-EA</t>
  </si>
  <si>
    <t>Appendix 2-H</t>
  </si>
  <si>
    <t>SubTotal</t>
  </si>
  <si>
    <t>%Change (year over year)</t>
  </si>
  <si>
    <t>%Change (Test Year vs 
Last Rebasing Year - Actual)</t>
  </si>
  <si>
    <t xml:space="preserve">Maintenance </t>
  </si>
  <si>
    <t xml:space="preserve">Billing and Collecting </t>
  </si>
  <si>
    <t xml:space="preserve">Community Relations </t>
  </si>
  <si>
    <t xml:space="preserve">Administrative and General </t>
  </si>
  <si>
    <t xml:space="preserve">Variance from previous year </t>
  </si>
  <si>
    <t xml:space="preserve">Percent change (year over year) </t>
  </si>
  <si>
    <t xml:space="preserve">Percent Change:                                                    Test year vs. Most Current Actual </t>
  </si>
  <si>
    <t>Appendix 2-R</t>
  </si>
  <si>
    <t>LV Line category # 2 (if applcable)</t>
  </si>
  <si>
    <t>Land Rights (Formally known as Account 1906)</t>
  </si>
  <si>
    <t>Index</t>
  </si>
  <si>
    <t>LDC Information Sheet</t>
  </si>
  <si>
    <t>Lender</t>
  </si>
  <si>
    <t>Affiliated or Third-Party Debt?</t>
  </si>
  <si>
    <t>Fixed or Variable-Rate?</t>
  </si>
  <si>
    <t>Start Date</t>
  </si>
  <si>
    <t>Add more lines above row 12 if necessary.</t>
  </si>
  <si>
    <t>Debt Instruments</t>
  </si>
  <si>
    <t>Row</t>
  </si>
  <si>
    <t>Principal                         ($)</t>
  </si>
  <si>
    <t>Term              (years)</t>
  </si>
  <si>
    <t>kWh corresponding to D should equal metered or estimated kWh at the customer’s delivery point.</t>
  </si>
  <si>
    <t>Compound Annual Growth Rate for all years</t>
  </si>
  <si>
    <t xml:space="preserve">Embedded Distributor(s)' Responsibility Share </t>
  </si>
  <si>
    <t>Capital Structure and Cost of Capital</t>
  </si>
  <si>
    <t>Line No.</t>
  </si>
  <si>
    <t>Particulars</t>
  </si>
  <si>
    <t>Capitalization Ratio</t>
  </si>
  <si>
    <t>Return</t>
  </si>
  <si>
    <t>Debt</t>
  </si>
  <si>
    <t xml:space="preserve">  Long-term Debt</t>
  </si>
  <si>
    <t xml:space="preserve">  Short-term Debt</t>
  </si>
  <si>
    <t>Total Debt</t>
  </si>
  <si>
    <t>Equity</t>
  </si>
  <si>
    <t xml:space="preserve">  Common Equity</t>
  </si>
  <si>
    <t xml:space="preserve">  Preferred Shares</t>
  </si>
  <si>
    <t>Total Equity</t>
  </si>
  <si>
    <t>4.0% unless an applicant has proposed or been approved for a different amount.</t>
  </si>
  <si>
    <t>Appendix 2-OB</t>
  </si>
  <si>
    <t>Appendix 2-OA</t>
  </si>
  <si>
    <t>Name of Contact and Title</t>
  </si>
  <si>
    <t xml:space="preserve">White cells contain fixed values, automatically generated values or formulae. </t>
  </si>
  <si>
    <t>1   Please provide a breakdown of the major components of each capital project undertaken in each year.  Please ensure that all projects below the materiality threshold are included in the miscellaneous line.  Add more projects as required.</t>
  </si>
  <si>
    <t>Total in Year</t>
  </si>
  <si>
    <t>Net-to-Gross Conversion</t>
  </si>
  <si>
    <t xml:space="preserve">Default Value selection rationale.  </t>
  </si>
  <si>
    <t>Identify the accounting standard used for the test year</t>
  </si>
  <si>
    <t>Appendix 2-BA</t>
  </si>
  <si>
    <t>TUL</t>
  </si>
  <si>
    <t>Current</t>
  </si>
  <si>
    <t>"Gross"</t>
  </si>
  <si>
    <t>"Net"</t>
  </si>
  <si>
    <t>"Net-to-Gross" Conversion Factor</t>
  </si>
  <si>
    <t>('g')</t>
  </si>
  <si>
    <t>2006-2010 CDM programs</t>
  </si>
  <si>
    <t>2011 CDM program</t>
  </si>
  <si>
    <t>2012 CDM program</t>
  </si>
  <si>
    <t>Proposed Loss Factor (TLF)</t>
  </si>
  <si>
    <t xml:space="preserve"> Format: X.XX%</t>
  </si>
  <si>
    <t>Load Management Controls Customer Premises</t>
  </si>
  <si>
    <t>Other Tangible Property</t>
  </si>
  <si>
    <t>Total PP&amp;E</t>
  </si>
  <si>
    <t>Appendix 2-BB</t>
  </si>
  <si>
    <t>Service Life Comparison</t>
  </si>
  <si>
    <t xml:space="preserve">SAIDI </t>
  </si>
  <si>
    <t>SAIFI</t>
  </si>
  <si>
    <t>SAIDI = System Average Interruption Duration Index</t>
  </si>
  <si>
    <t xml:space="preserve">SAIFI = System Average Interruption Frequency Index </t>
  </si>
  <si>
    <t>Appendix 2-EC</t>
  </si>
  <si>
    <t>Appendix 2-FA</t>
  </si>
  <si>
    <t>Account 1576 - Accounting Changes under CGAAP</t>
  </si>
  <si>
    <t>2012 Changes in Accounting Policies under CGAAP</t>
  </si>
  <si>
    <t>PP&amp;E Values under former CGAAP</t>
  </si>
  <si>
    <t>PP&amp;E Values under revised CGAAP (Starts from 2012)</t>
  </si>
  <si>
    <t xml:space="preserve">1  For an applicant that made the capitalization and depreciation expense accounting policy changes on January 1, 2012, the PP&amp;E values as of January 1, 2012 under both former CGAAP and revised CGAAP should be the same. </t>
  </si>
  <si>
    <t>2013 Changes in Accounting Policies under CGAAP</t>
  </si>
  <si>
    <t xml:space="preserve">1  For an applicant that made the capitalization and depreciation expense accounting policy changes on January 1, 2013, the PP&amp;E values as of January 1, 2013 under both former CGAAP and revised CGAAP should be the same. </t>
  </si>
  <si>
    <t>General Instructions to MIFRS Appendices</t>
  </si>
  <si>
    <t>Types of Schedules to File</t>
  </si>
  <si>
    <t>If there were any amounts approved in previous Board approved rates, please state the EB #:</t>
  </si>
  <si>
    <t>Summary of Impacts to Revenue Requirement</t>
  </si>
  <si>
    <t>from Transition to MIFRS</t>
  </si>
  <si>
    <t>Revenue Requirement Component</t>
  </si>
  <si>
    <t xml:space="preserve">Reasons why the revenue requirement </t>
  </si>
  <si>
    <t>Average NBV</t>
  </si>
  <si>
    <t>Working Capital</t>
  </si>
  <si>
    <t>Rate Base</t>
  </si>
  <si>
    <t>Return on Rate Base</t>
  </si>
  <si>
    <t>Depreciation</t>
  </si>
  <si>
    <t>PILs or Income Taxes</t>
  </si>
  <si>
    <t>Less: Revenue Offsets</t>
  </si>
  <si>
    <t>Total Base Revenue Requirement</t>
  </si>
  <si>
    <t>LDC Info</t>
  </si>
  <si>
    <t>Appendix 2-BB Service Life Comp</t>
  </si>
  <si>
    <t>Instruction for App. 2-C MIFRS</t>
  </si>
  <si>
    <t>App.2-CA_CGAAP_DepExp_2011</t>
  </si>
  <si>
    <t>App.2-CB_MIFRS_DepExp_2011</t>
  </si>
  <si>
    <t>App.2-CC_MIFRS_DepExp_2012</t>
  </si>
  <si>
    <t>App.2-CD_MIFRS_DepExp_2013</t>
  </si>
  <si>
    <t>App.2-CE_MIFRS_DepExp_2014</t>
  </si>
  <si>
    <t>App.2-CF_CGAAP_DepExp_2012</t>
  </si>
  <si>
    <t>App.2-CG_MIFRS_DepExp_2012</t>
  </si>
  <si>
    <t>App.2-CH_MIFRS_DepExp_2013</t>
  </si>
  <si>
    <t>App.2-CI_MIFRS_DepExp_2014</t>
  </si>
  <si>
    <t>App.2-CJ_CGAAP_DepExp_2012</t>
  </si>
  <si>
    <t>App.2-CK_CGAAP_DepExp_2013</t>
  </si>
  <si>
    <t>App.2-CL_MIFRS_DepExp_2013</t>
  </si>
  <si>
    <t>App.2-CM_MIFRS_DepExp_2014</t>
  </si>
  <si>
    <t>Instruction for App. 2-C CGAAP</t>
  </si>
  <si>
    <t>App.2-CN_OldCGAAP_DepExp_2012</t>
  </si>
  <si>
    <t>App.2-CO_NewCGAAP_DepExp_2012</t>
  </si>
  <si>
    <t>App.2-CP_NewCGAAP_DepExp_2013</t>
  </si>
  <si>
    <t>App.2-CQ NewCGAAP_DepExp_2014</t>
  </si>
  <si>
    <t>App.2-CR_OldCGAAP_DepExp_2012</t>
  </si>
  <si>
    <t>App.2-CS_OldCGAAP_DepExp_2013</t>
  </si>
  <si>
    <t>App.2-CT_NewCGAAP_DepExp_2013</t>
  </si>
  <si>
    <t>App.2-CU_NewCGAAP_DepExp_2014</t>
  </si>
  <si>
    <t>App.2-DA_Overhead</t>
  </si>
  <si>
    <t>App.2-DB_Overhead</t>
  </si>
  <si>
    <t>App.2-EA_PP&amp;E Deferral Account</t>
  </si>
  <si>
    <t>App.2-EB_PP&amp;E Deferral Account</t>
  </si>
  <si>
    <t>App.2-EC_PP&amp;E Deferral Account</t>
  </si>
  <si>
    <t>App.2-ED_Account 1576 (2012)</t>
  </si>
  <si>
    <t>App.2-EE_Account 1576 (2013)</t>
  </si>
  <si>
    <t>App.2-FA Proposed REG Invest.</t>
  </si>
  <si>
    <t>App.2-G SQI</t>
  </si>
  <si>
    <t>App.2-H_Other_Oper_Rev</t>
  </si>
  <si>
    <t>App.2-I LF_CDM_WF</t>
  </si>
  <si>
    <t>App.2-K_Employee Costs</t>
  </si>
  <si>
    <t>App.2-L_OM&amp;A_per_Cust_FTEE</t>
  </si>
  <si>
    <t>App.2-M_Regulatory_Costs</t>
  </si>
  <si>
    <t>App.2-N_Corp_Cost_Allocation</t>
  </si>
  <si>
    <t>App.2-OA Capital Structure</t>
  </si>
  <si>
    <t>App.2-OB_Debt Instruments</t>
  </si>
  <si>
    <t>App.2-P_Cost_Allocation</t>
  </si>
  <si>
    <t>App.2-Q_Cost of Serv. Emb. Dx</t>
  </si>
  <si>
    <t>App.2-R_Loss Factors</t>
  </si>
  <si>
    <t>App.2-S_Stranded Meters</t>
  </si>
  <si>
    <t>App.2-TA_1592_Tax_Variance</t>
  </si>
  <si>
    <t>App.2-TB_1592_HST-OVAT</t>
  </si>
  <si>
    <t>App.2-U_IFRS Transition Costs</t>
  </si>
  <si>
    <t>App.2-V_Rev_Reconciliation</t>
  </si>
  <si>
    <t>App.2-W_Bill Impacts</t>
  </si>
  <si>
    <t>App.2-YA_MIFRS Summary Impacts</t>
  </si>
  <si>
    <t>App. 2-YB_CGAAP Summary Impacts</t>
  </si>
  <si>
    <t>Sheet19</t>
  </si>
  <si>
    <t>x</t>
  </si>
  <si>
    <t>o</t>
  </si>
  <si>
    <t>n</t>
  </si>
  <si>
    <t>USGAAP</t>
  </si>
  <si>
    <t>App.2-CV_USGAAP_DepExp</t>
  </si>
  <si>
    <r>
      <t xml:space="preserve">Less Other Non Rate-Regulated Utility Assets </t>
    </r>
    <r>
      <rPr>
        <b/>
        <i/>
        <sz val="9"/>
        <rFont val="Arial"/>
        <family val="2"/>
      </rPr>
      <t>(input as negative)</t>
    </r>
  </si>
  <si>
    <r>
      <t xml:space="preserve">Less Socialized Renewable Energy Generation Investments </t>
    </r>
    <r>
      <rPr>
        <b/>
        <sz val="9"/>
        <rFont val="Arial"/>
        <family val="2"/>
      </rPr>
      <t>(input as negative)</t>
    </r>
  </si>
  <si>
    <t xml:space="preserve">Total Recoverable OM&amp;A Expenses </t>
  </si>
  <si>
    <t>Customers/FTEs</t>
  </si>
  <si>
    <t>The method of calculating the number of FTEs must be identified.  See also Appendix 2-K</t>
  </si>
  <si>
    <t>The number of customers and the number of FTEs should correspond to mid-year or average of January 1 and December 31 figures.</t>
  </si>
  <si>
    <t>Incremental operating expenses associated with staff resources allocated to this application.</t>
  </si>
  <si>
    <r>
      <t xml:space="preserve">Incremental operating expenses associated with other resources allocated to this application. </t>
    </r>
    <r>
      <rPr>
        <vertAlign val="superscript"/>
        <sz val="10"/>
        <rFont val="Arial"/>
        <family val="2"/>
      </rPr>
      <t>1</t>
    </r>
  </si>
  <si>
    <t>Consultants' costs</t>
  </si>
  <si>
    <t>Expert Witness costs</t>
  </si>
  <si>
    <t>Legal costs</t>
  </si>
  <si>
    <t>Pricing Methodology</t>
  </si>
  <si>
    <t>Services such as billing, accounting, payroll, etc.  The applicant must identify any costs related to the Board of Directors of the parent company that are allocated to the applicant.</t>
  </si>
  <si>
    <t>Pricing Methodology includes approaches such as cost-base, market-base, tendering, etc.  The applicant must provide evidence demonstrating the pricing methodology used.  The applicant must also provide a description of why that pricing methodology was chosen, whether or not it is in conformity with ARC, and why it is appropriate.</t>
  </si>
  <si>
    <t>The applicant must provide the percentage of the costs allocated to the entity for the service being offered.  The Applicant must also provide a description of the allocator and why it is an appropriate allocator.</t>
  </si>
  <si>
    <t>Additional Comments, if any</t>
  </si>
  <si>
    <t>This table must be completed for all required historical years, the bridge year and the test year.</t>
  </si>
  <si>
    <r>
      <t>Scenario B:</t>
    </r>
    <r>
      <rPr>
        <i/>
        <sz val="10"/>
        <rFont val="Arial"/>
        <family val="2"/>
      </rPr>
      <t xml:space="preserve">  If the stranded meter costs remained recorded in Account 1860, the above table should be completed and the following information should be provided in Exhibit 9:</t>
    </r>
  </si>
  <si>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</si>
  <si>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COS Flowchart</t>
  </si>
  <si>
    <t>List of Key References</t>
  </si>
  <si>
    <t>App. 2-Z_Tariff</t>
  </si>
  <si>
    <t>Is CDM adjustment being done on a "net" or "gross" basis?</t>
  </si>
  <si>
    <t>net</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</si>
  <si>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</si>
  <si>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         </t>
    </r>
    <r>
      <rPr>
        <b/>
        <i/>
        <sz val="10"/>
        <rFont val="Arial"/>
        <family val="2"/>
      </rPr>
      <t>Type of Service:</t>
    </r>
  </si>
  <si>
    <r>
      <t xml:space="preserve">·         </t>
    </r>
    <r>
      <rPr>
        <b/>
        <i/>
        <sz val="10"/>
        <rFont val="Arial"/>
        <family val="2"/>
      </rPr>
      <t>Pricing Methodology:</t>
    </r>
  </si>
  <si>
    <r>
      <t xml:space="preserve">·         </t>
    </r>
    <r>
      <rPr>
        <b/>
        <i/>
        <sz val="10"/>
        <rFont val="Arial"/>
        <family val="2"/>
      </rPr>
      <t>% Allocation:</t>
    </r>
  </si>
  <si>
    <t>This appendix must be completed in relation to each service provided or received for the Historical (actuals), Bridge and Test years. The required information includes:</t>
  </si>
  <si>
    <t>Appendix 2-JC</t>
  </si>
  <si>
    <t>Cost of Service Application Flowchart</t>
  </si>
  <si>
    <t>Appendix 2-BB: Service Life Comparison</t>
  </si>
  <si>
    <t>Adjustments for Total non-recoverable items (from Appendices 2-JA and 2-JB)</t>
  </si>
  <si>
    <t xml:space="preserve">Total OM&amp;A Expenses </t>
  </si>
  <si>
    <t>All costs entered on this page will be transferred to the appropriate cells in the appendices that follow.</t>
  </si>
  <si>
    <t>Part A</t>
  </si>
  <si>
    <t>REI Investments (Direct Benefit at 6%)</t>
  </si>
  <si>
    <t>Project 1</t>
  </si>
  <si>
    <t>Capital Costs</t>
  </si>
  <si>
    <t>OM&amp;A (Start-Up)</t>
  </si>
  <si>
    <t>OM&amp;A (Ongoing)</t>
  </si>
  <si>
    <t>Project 2</t>
  </si>
  <si>
    <t>Project 3</t>
  </si>
  <si>
    <t>Project 4</t>
  </si>
  <si>
    <t>Project 5</t>
  </si>
  <si>
    <t>Part B</t>
  </si>
  <si>
    <t>Expansion Investments (Direct Benefit at 17%)</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</si>
  <si>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</si>
  <si>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</si>
  <si>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</si>
  <si>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</si>
  <si>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</si>
  <si>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</si>
  <si>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Direct Benefit</t>
  </si>
  <si>
    <t>Provincial</t>
  </si>
  <si>
    <t>Net Fixed Assets (average)</t>
  </si>
  <si>
    <t>Incremental OM&amp;A (start-up, applicable for Provincial Recovery)</t>
  </si>
  <si>
    <t>WCA</t>
  </si>
  <si>
    <t>Deemed ST Debt</t>
  </si>
  <si>
    <t>Deemed LT Debt</t>
  </si>
  <si>
    <t>Deemed Equity</t>
  </si>
  <si>
    <t>ST Interest</t>
  </si>
  <si>
    <t>LT Interest</t>
  </si>
  <si>
    <t>ROE</t>
  </si>
  <si>
    <t>Cost of Capital Total</t>
  </si>
  <si>
    <t>Amortization</t>
  </si>
  <si>
    <t>Grossed-up PILs</t>
  </si>
  <si>
    <t>Revenue Requirement</t>
  </si>
  <si>
    <t>Provincial Rate Protection</t>
  </si>
  <si>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</si>
  <si>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</si>
  <si>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</si>
  <si>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</si>
  <si>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</si>
  <si>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</si>
  <si>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</si>
  <si>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</si>
  <si>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</si>
  <si>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</si>
  <si>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</si>
  <si>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</si>
  <si>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</si>
  <si>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Gross Capital Additions</t>
  </si>
  <si>
    <t>Closing Gross Fixed Assets</t>
  </si>
  <si>
    <t>Opening Accumulated Amortization</t>
  </si>
  <si>
    <t>Current Year Amortization (before additions)</t>
  </si>
  <si>
    <t>Additions (half year)</t>
  </si>
  <si>
    <t>Closing Accumulated Amortization</t>
  </si>
  <si>
    <t>Opening Net Fixed Assets</t>
  </si>
  <si>
    <t>Closing Net Fixed Assets</t>
  </si>
  <si>
    <t>Average Net Fixed Assets</t>
  </si>
  <si>
    <t>UCC for PILs Calculation</t>
  </si>
  <si>
    <t>Opening UCC</t>
  </si>
  <si>
    <t>Capital Additions (from Appendix 2-FA)</t>
  </si>
  <si>
    <t>UCC Before Half Year Rule</t>
  </si>
  <si>
    <t>Half Year Rule (1/2 Additions - Disposals)</t>
  </si>
  <si>
    <t>Reduced UCC</t>
  </si>
  <si>
    <t>CCA Rate Class (to be entered)</t>
  </si>
  <si>
    <t>CCA Rate  (to be entered)</t>
  </si>
  <si>
    <t>CCA</t>
  </si>
  <si>
    <t>Closing UCC</t>
  </si>
  <si>
    <t>Incremental OM&amp;A (on-going, N/A for Provincial Recovery)</t>
  </si>
  <si>
    <t>Appendix 2-FC</t>
  </si>
  <si>
    <t>Calculation of Renewable Generation Connection Direct Benefits/Provincial Amount: Renewable Expansion Investments</t>
  </si>
  <si>
    <t>This table will calculate the distributor/provincial shares of the investments entered in Part B of Appendix 2-FA.</t>
  </si>
  <si>
    <t>Appendix 2-AA</t>
  </si>
  <si>
    <t>First year of Forecast Period:</t>
  </si>
  <si>
    <t>CATEGORY</t>
  </si>
  <si>
    <t>Plan</t>
  </si>
  <si>
    <t>Var</t>
  </si>
  <si>
    <t>$ '000</t>
  </si>
  <si>
    <t>System Access</t>
  </si>
  <si>
    <t>System Renewal</t>
  </si>
  <si>
    <t>System Service</t>
  </si>
  <si>
    <t>General Plant</t>
  </si>
  <si>
    <t>TOTAL EXPENDITURE</t>
  </si>
  <si>
    <t>System O&amp;M</t>
  </si>
  <si>
    <t>Notes to the Table:</t>
  </si>
  <si>
    <t>Explanatory Notes on Variances (complete only if applicable)</t>
  </si>
  <si>
    <t>Notes on year over year Plan vs. Actual variances for Total Expenditures</t>
  </si>
  <si>
    <t>Notes on Plan vs. Actual variance trends for individual expenditure categories</t>
  </si>
  <si>
    <t>Appendix 2-AB</t>
  </si>
  <si>
    <t>Table 2 - Capital Expenditure Summary from Chapter 5 Consolidated
Distribution System Plan Filing Requirements</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</si>
  <si>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</si>
  <si>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</si>
  <si>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r>
      <t>Actual</t>
    </r>
    <r>
      <rPr>
        <b/>
        <vertAlign val="superscript"/>
        <sz val="10"/>
        <rFont val="Arial"/>
        <family val="2"/>
      </rPr>
      <t>2</t>
    </r>
  </si>
  <si>
    <t>Table of Contents</t>
  </si>
  <si>
    <t>App.2-AA_Capital Projects</t>
  </si>
  <si>
    <t>App.2-AB_Capital Expenditures</t>
  </si>
  <si>
    <t xml:space="preserve">            Net Additions - Note 4</t>
  </si>
  <si>
    <r>
      <t xml:space="preserve">            Net Depreciation</t>
    </r>
    <r>
      <rPr>
        <sz val="9"/>
        <color indexed="8"/>
        <rFont val="Arial"/>
        <family val="2"/>
      </rPr>
      <t xml:space="preserve"> (amounts should be negative) - Note 4</t>
    </r>
  </si>
  <si>
    <t>Effect on Deferral and Variance Account Rate Riders</t>
  </si>
  <si>
    <t># of years of rate rider disposition period</t>
  </si>
  <si>
    <t xml:space="preserve">     Amount included in Deferral and Variance Account Rate Rider Calculation</t>
  </si>
  <si>
    <t>2 Return on rate base associated with deferred balance is calculated as:</t>
  </si>
  <si>
    <r>
      <t xml:space="preserve">3  </t>
    </r>
    <r>
      <rPr>
        <sz val="10"/>
        <rFont val="Arial"/>
        <family val="2"/>
      </rPr>
      <t>T</t>
    </r>
    <r>
      <rPr>
        <sz val="10"/>
        <color indexed="8"/>
        <rFont val="Arial"/>
        <family val="2"/>
      </rPr>
      <t>he  PP&amp;E deferral account is cleared by including the total balance in the deferral and variance account rate rider calculation.</t>
    </r>
  </si>
  <si>
    <t xml:space="preserve">Difference in Closing net PP&amp;E, former CGAAP vs. revised CGAAP </t>
  </si>
  <si>
    <t>Closing balance in Account 1576</t>
  </si>
  <si>
    <t>Return on Rate Base Associated with Account 1576 balance at WACC  - Note 2</t>
  </si>
  <si>
    <t>2 Return on rate base associated with Account 1576 balance is calculated as:</t>
  </si>
  <si>
    <t>3  Account 1576 is cleared by including the total balance in the deferral and variance account rate rider calculation.</t>
  </si>
  <si>
    <t>App.2-BA1_Fix Asset Cont.CGAAP</t>
  </si>
  <si>
    <t>App.2-BA2_Fix Asset Cont.MIFRS</t>
  </si>
  <si>
    <t>Management (including executive)</t>
  </si>
  <si>
    <t>Non-Management (union and non-union)</t>
  </si>
  <si>
    <t>Total Salary and Wages including ovetime and incentive pay</t>
  </si>
  <si>
    <t>ASPE</t>
  </si>
  <si>
    <t>App.2-FC Calc of REG Expansion</t>
  </si>
  <si>
    <t>App.2-FB Calc of REG Improvemnt</t>
  </si>
  <si>
    <t>OM&amp;A Programs Table</t>
  </si>
  <si>
    <t>Programs</t>
  </si>
  <si>
    <t>Bluewater Power Distribution Corporation</t>
  </si>
  <si>
    <t>Oakville Hydro Electricity Distribution Inc.</t>
  </si>
  <si>
    <t>Orillia Power Distribution Corporation</t>
  </si>
  <si>
    <t>Welland Hydro-Electric System Corp.</t>
  </si>
  <si>
    <t>lists</t>
  </si>
  <si>
    <t>App.2-JA_OM&amp;A_Summary_Analys</t>
  </si>
  <si>
    <t>App.2-JB_OM&amp;A_Cost _Drivers</t>
  </si>
  <si>
    <t>App.2-JC_OMA Programs</t>
  </si>
  <si>
    <t>lists2</t>
  </si>
  <si>
    <t>e</t>
  </si>
  <si>
    <t>1   Please provide a breakdown of the major components of each OM&amp;A Program undertaken in each year.  Please ensure that all Programs below the materiality threshold are included in the miscellaneous line.  Add more Programs as required.</t>
  </si>
  <si>
    <t>OH</t>
  </si>
  <si>
    <t>Cross Arm</t>
  </si>
  <si>
    <t>TS &amp; MS</t>
  </si>
  <si>
    <t>Fully Dressed Steel Poles</t>
  </si>
  <si>
    <t>Overall</t>
  </si>
  <si>
    <t>Wood</t>
  </si>
  <si>
    <t>Steel</t>
  </si>
  <si>
    <t>Station Service Transformer</t>
  </si>
  <si>
    <t>Station DC System</t>
  </si>
  <si>
    <t>Charger</t>
  </si>
  <si>
    <t>Fully Dressed Wood Poles</t>
  </si>
  <si>
    <t>#</t>
  </si>
  <si>
    <t>Category| Component | Type</t>
  </si>
  <si>
    <t>Fully Dressed Concrete Poles</t>
  </si>
  <si>
    <t>MIN UL</t>
  </si>
  <si>
    <t>MAX UL</t>
  </si>
  <si>
    <t>OH Line Switch</t>
  </si>
  <si>
    <t>OH Line Switch Motor</t>
  </si>
  <si>
    <t>OH Line Switch RTU</t>
  </si>
  <si>
    <t>OH Integral Switches</t>
  </si>
  <si>
    <t>OH Conductors</t>
  </si>
  <si>
    <t>OH Transformers &amp; Voltage Regulators</t>
  </si>
  <si>
    <t>OH Shunt Capacitor Banks</t>
  </si>
  <si>
    <t>Reclosers</t>
  </si>
  <si>
    <t>Power Transformers</t>
  </si>
  <si>
    <t>Bushing</t>
  </si>
  <si>
    <t>Tap Changer</t>
  </si>
  <si>
    <t>Station Grounding Transformer</t>
  </si>
  <si>
    <t>Battery Bank</t>
  </si>
  <si>
    <t>Station Metal Clad Switchgear</t>
  </si>
  <si>
    <t>Removable Breaker</t>
  </si>
  <si>
    <t>Station Independent Breakers</t>
  </si>
  <si>
    <t>Station Switch</t>
  </si>
  <si>
    <t>Asset Details</t>
  </si>
  <si>
    <t>Useful Life</t>
  </si>
  <si>
    <t>USoA Account Number</t>
  </si>
  <si>
    <t>USoA Account Description</t>
  </si>
  <si>
    <t>Note 1:</t>
  </si>
  <si>
    <t>Parent*</t>
  </si>
  <si>
    <t>Electromechanical Relays</t>
  </si>
  <si>
    <t>Solid State Relays</t>
  </si>
  <si>
    <t>Digital &amp; Numeric Relays</t>
  </si>
  <si>
    <t>Rigid Busbars</t>
  </si>
  <si>
    <t>Steel Structure</t>
  </si>
  <si>
    <t>Primary Paper Insulated Lead Covered (PILC) Cables</t>
  </si>
  <si>
    <t>Primary Ethylene-Propylene Rubber (EPR) Cables</t>
  </si>
  <si>
    <t>Primary Non-TR XLPE Cables in Duct</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</si>
  <si>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</si>
  <si>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</si>
  <si>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</si>
  <si>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</si>
  <si>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</si>
  <si>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</si>
  <si>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</si>
  <si>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</si>
  <si>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</si>
  <si>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</si>
  <si>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Pad-Mounted Switchgear</t>
  </si>
  <si>
    <t>Ducts</t>
  </si>
  <si>
    <t>Concrete Encased Duct Banks</t>
  </si>
  <si>
    <t>Cable Chambers</t>
  </si>
  <si>
    <t>Remote SCADA</t>
  </si>
  <si>
    <t>UG Vault Switches</t>
  </si>
  <si>
    <t>Primary Non-Tree Retardant (TR) Cross Linked 
Polyethylene (XLPE) Cables Direct Buried</t>
  </si>
  <si>
    <t>UG</t>
  </si>
  <si>
    <t>S</t>
  </si>
  <si>
    <t>* TS &amp; MS = Transformer and Municipal Stations UG = Underground Systems S = Monitoring and Control Systems</t>
  </si>
  <si>
    <t>Office Equipment</t>
  </si>
  <si>
    <t>Useful Life Range</t>
  </si>
  <si>
    <t>Vehicles</t>
  </si>
  <si>
    <t>Trucks &amp; Buckets</t>
  </si>
  <si>
    <t>Trailers</t>
  </si>
  <si>
    <t>Vans</t>
  </si>
  <si>
    <t>Administrative Buildings</t>
  </si>
  <si>
    <t>Station Buildings</t>
  </si>
  <si>
    <t>Parking</t>
  </si>
  <si>
    <t>Fence</t>
  </si>
  <si>
    <t>Hardware</t>
  </si>
  <si>
    <t>Software</t>
  </si>
  <si>
    <t>Computer Equipment</t>
  </si>
  <si>
    <t>Power Operated</t>
  </si>
  <si>
    <t>Stores</t>
  </si>
  <si>
    <t>Tools, Shop, Garage Equipment</t>
  </si>
  <si>
    <t>Towers</t>
  </si>
  <si>
    <t>Wireless</t>
  </si>
  <si>
    <t>Communication</t>
  </si>
  <si>
    <t>Equipment</t>
  </si>
  <si>
    <t>Residential Energy Meters</t>
  </si>
  <si>
    <t>Industrial/Commercial Energy Meters</t>
  </si>
  <si>
    <t>Wholesale Energy Meters</t>
  </si>
  <si>
    <t>Current &amp; Potential Transformer (CT &amp; PT)</t>
  </si>
  <si>
    <t>Smart Meters</t>
  </si>
  <si>
    <t>Repeaters - Smart Metering</t>
  </si>
  <si>
    <t>Data Collectors - Smart Metering</t>
  </si>
  <si>
    <t>Lease dependent</t>
  </si>
  <si>
    <r>
      <t>Table F-1 from Kinetrics Report</t>
    </r>
    <r>
      <rPr>
        <b/>
        <vertAlign val="superscript"/>
        <sz val="14"/>
        <rFont val="Arial"/>
        <family val="2"/>
      </rPr>
      <t>1</t>
    </r>
  </si>
  <si>
    <r>
      <t>Table F-2 from Kinetrics Report</t>
    </r>
    <r>
      <rPr>
        <b/>
        <vertAlign val="superscript"/>
        <sz val="14"/>
        <rFont val="Arial"/>
        <family val="2"/>
      </rPr>
      <t>1</t>
    </r>
  </si>
  <si>
    <t>See pages 17-19 of Kinetrics Report</t>
  </si>
  <si>
    <t>Tables F-1 and F-2 above are to be used as a reference in order to complete columns J, K, L and N.</t>
  </si>
  <si>
    <t>The applicant must provide an explanation of material variances in evidence.</t>
  </si>
  <si>
    <t>4  Net additions are additions net of disposals; Net depreciation is additions to depreciation net of disposals.</t>
  </si>
  <si>
    <t>List and specify any other interest revenue.</t>
  </si>
  <si>
    <t>2   The applicant should group projects appropriately and avoid presentations that result in classification of significant components of the OM&amp;A budget in the miscellaneous category</t>
  </si>
  <si>
    <t>Monthly Amount Paid by IESO</t>
  </si>
  <si>
    <t>Appendix 2-JA</t>
  </si>
  <si>
    <t>Appendix 2-JB</t>
  </si>
  <si>
    <t>Total Capital Costs</t>
  </si>
  <si>
    <t>Total OM&amp;A (Start-Up)</t>
  </si>
  <si>
    <t>Total OM&amp;A (Ongoing)</t>
  </si>
  <si>
    <t>Name: Expansion Connection Project</t>
  </si>
  <si>
    <t>Name: REI Connection Project</t>
  </si>
  <si>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</si>
  <si>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r>
      <t>Amortization</t>
    </r>
    <r>
      <rPr>
        <i/>
        <sz val="10"/>
        <rFont val="Arial"/>
        <family val="2"/>
      </rPr>
      <t xml:space="preserve"> </t>
    </r>
    <r>
      <rPr>
        <sz val="10"/>
        <rFont val="Arial"/>
        <family val="2"/>
      </rPr>
      <t>(17% DB and 83% P)</t>
    </r>
  </si>
  <si>
    <t>CCA (17% DB and 83% P)</t>
  </si>
  <si>
    <t>Accounting Standard</t>
  </si>
  <si>
    <t>Outside Range of Min, Max TUL?</t>
  </si>
  <si>
    <t>Below Min TUL</t>
  </si>
  <si>
    <t>Above Max TUL</t>
  </si>
  <si>
    <t>Below Min Range</t>
  </si>
  <si>
    <t>Above Max Range</t>
  </si>
  <si>
    <t>Test</t>
  </si>
  <si>
    <t>Bridge</t>
  </si>
  <si>
    <t>Historical</t>
  </si>
  <si>
    <t>Revised CGAAP</t>
  </si>
  <si>
    <t>Appendix 2-Y</t>
  </si>
  <si>
    <t>2015 Adopters of IFRS for Financial Reporting Purposes</t>
  </si>
  <si>
    <t xml:space="preserve">Appendix 2-BA - Fixed Asset Schedule </t>
  </si>
  <si>
    <t>Appendix 2-D</t>
  </si>
  <si>
    <t>Capitalized OM&amp;A</t>
  </si>
  <si>
    <t xml:space="preserve"> OM&amp;A Before Capitalization</t>
  </si>
  <si>
    <t>Explanation for Change in Overhead Capitalized</t>
  </si>
  <si>
    <t>Total Capitalized OM&amp;A (A)</t>
  </si>
  <si>
    <t>Total OM&amp;A Before Capitalization (B)</t>
  </si>
  <si>
    <t>% of Capitalized OM&amp;A (=A/B)</t>
  </si>
  <si>
    <t>Applicants are to provide a breakdown of OM&amp;A before capitalization in the below table.  OM&amp;A before capitalization may be broken down by cost center, program, drivers or another format best suited to focus on capitalized vs. uncapitalized OM&amp;A.</t>
  </si>
  <si>
    <t>2   The applicant should group projects appropriately and avoid presentations that result in classification of significant components of the capital budget in the miscellaneous category.</t>
  </si>
  <si>
    <t>Notes on shifts in forecast vs. historical budgets by category</t>
  </si>
  <si>
    <r>
      <t>Depreciation Expense adj. from gain or loss on the retirement of assets (pool of like assets), if applicable</t>
    </r>
    <r>
      <rPr>
        <b/>
        <vertAlign val="superscript"/>
        <sz val="10"/>
        <rFont val="Arial"/>
        <family val="2"/>
      </rPr>
      <t>6</t>
    </r>
  </si>
  <si>
    <t>OEB Minimum Standard</t>
  </si>
  <si>
    <t>Indicator</t>
  </si>
  <si>
    <t>Low Voltage Connections</t>
  </si>
  <si>
    <t>High Voltage Connections</t>
  </si>
  <si>
    <t>Telephone Accessibility</t>
  </si>
  <si>
    <t>Appointments Met</t>
  </si>
  <si>
    <t>Written Response to Enquires</t>
  </si>
  <si>
    <t>Emergency Urban Response</t>
  </si>
  <si>
    <t>Emergency Rural Response</t>
  </si>
  <si>
    <t>Telephone Call Abandon Rate</t>
  </si>
  <si>
    <t>Appointment Scheduling</t>
  </si>
  <si>
    <t>Rescheduling a Missed Appointment</t>
  </si>
  <si>
    <t>Reconnection Performance Standard</t>
  </si>
  <si>
    <t>Provide a list of customer engagement activities</t>
  </si>
  <si>
    <t>Actions taken to respond to identified needs and preferences.  If no action was taken, explain why.</t>
  </si>
  <si>
    <t>Appendix 2-AC</t>
  </si>
  <si>
    <t>Customer Engagement Activities Summary</t>
  </si>
  <si>
    <t>Provide a list of customer needs and preferences identified through each engagement activity</t>
  </si>
  <si>
    <t>PP&amp;E Values under MIFRS (Starts from 2014, the transition year)</t>
  </si>
  <si>
    <t>Applicants are to provide Appendix 2-BA in accordance with the years and corresponding accounting standards noted in the above table to provide a year over year continuity in fixed assets.</t>
  </si>
  <si>
    <t>Customers / Connections</t>
  </si>
  <si>
    <t xml:space="preserve">Effective on the date of IFRS adoption, customer contributions will no longer be recorded in Account 1995 Contributions &amp; Grants, but will be recorded in Account 2440, Deferred Revenues.  </t>
  </si>
  <si>
    <t>Historical Year</t>
  </si>
  <si>
    <t>2015 CDM Programs</t>
  </si>
  <si>
    <t>2016 CDM Programs</t>
  </si>
  <si>
    <t>2017 CDM Programs</t>
  </si>
  <si>
    <t>2018 CDM Programs</t>
  </si>
  <si>
    <t>2019 CDM Programs</t>
  </si>
  <si>
    <t>2020 CDM Programs</t>
  </si>
  <si>
    <t>2013 CDM program</t>
  </si>
  <si>
    <t>Distributor can select "0", "0.5", or "1" from drop-down list</t>
  </si>
  <si>
    <t xml:space="preserve">Forecasted Costs </t>
  </si>
  <si>
    <t>Total Costs and Carrying Charges</t>
  </si>
  <si>
    <r>
      <t>Deferred Revenue</t>
    </r>
    <r>
      <rPr>
        <vertAlign val="superscript"/>
        <sz val="10"/>
        <rFont val="Arial"/>
        <family val="2"/>
      </rPr>
      <t>5</t>
    </r>
  </si>
  <si>
    <t>For each year, a detailed explanation for each cost driver and associated amount is requied in Exhibit 4.</t>
  </si>
  <si>
    <t>Variance Analysis</t>
  </si>
  <si>
    <t>Note:  Use "ALT-ENTER" to go to the next line within a cell</t>
  </si>
  <si>
    <t>Appendix 2-IA</t>
  </si>
  <si>
    <t>App.2-S: Stranded Meter Treatment</t>
  </si>
  <si>
    <t>App.2-R: Loss Factors</t>
  </si>
  <si>
    <t>App.2-Q: Cost of Serving Embedded Distributor(s)</t>
  </si>
  <si>
    <t>App.2-OB: Debt Instruments</t>
  </si>
  <si>
    <t>App.2-OA: Capital Structure and Cost of Capital</t>
  </si>
  <si>
    <t>App.2-AA: Capital Projects Table</t>
  </si>
  <si>
    <t>App. 2-AC: Customer Engagement Worksheet</t>
  </si>
  <si>
    <t>App.2-B: General Accounting Instructions</t>
  </si>
  <si>
    <t>App.2-BA: Fixed Asset Continuity Schedule</t>
  </si>
  <si>
    <t>App.2-D: Overhead Expenses</t>
  </si>
  <si>
    <t>App.2-G: Service Reliability Indicators</t>
  </si>
  <si>
    <t>App.2-I: Load Forecast CDM Adjustment Workform</t>
  </si>
  <si>
    <t>App.2-JB: Recoverable OM&amp;A Cost Driver Table</t>
  </si>
  <si>
    <t>App.2-L: Recoverable OM&amp;A Cost per Customer and per FTE</t>
  </si>
  <si>
    <t>Renewable Generation Connection Investment Summary (past investments or over the future rate setting period)</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</si>
  <si>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</si>
  <si>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There are two scenarios described below.  Separate sets of spreadsheets (2-FA, 2-FB, 2-FC) should be submited for each scenario as required.</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</si>
  <si>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</si>
  <si>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</si>
  <si>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</si>
  <si>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</si>
  <si>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 xml:space="preserve">The WCA percentage, debt percentages, interest rates, kWh, tax rates, amortization period, CCA Class and percentage should correspond to the distributor's current application. </t>
  </si>
  <si>
    <t>The additions in column (E) must not include construction work in progress (CWIP).</t>
  </si>
  <si>
    <t>Accounting Policy Changes in 2012 and Adopted IFRS in 2015</t>
  </si>
  <si>
    <t>Accounting Policy Changes in 2013 and Adopted IFRS in 2015</t>
  </si>
  <si>
    <r>
      <t xml:space="preserve">Less Renewable Generation Facility Assets and Other Non-Rate-Regulated Utility Assets </t>
    </r>
    <r>
      <rPr>
        <b/>
        <i/>
        <sz val="10"/>
        <color rgb="FFFF0000"/>
        <rFont val="Arial"/>
        <family val="2"/>
      </rPr>
      <t>(input as negative)</t>
    </r>
  </si>
  <si>
    <r>
      <t xml:space="preserve">Fixed Asset Continuity Schedule </t>
    </r>
    <r>
      <rPr>
        <b/>
        <vertAlign val="superscript"/>
        <sz val="14"/>
        <rFont val="Arial"/>
        <family val="2"/>
      </rPr>
      <t>1</t>
    </r>
    <r>
      <rPr>
        <b/>
        <sz val="14"/>
        <rFont val="Arial"/>
        <family val="2"/>
      </rPr>
      <t xml:space="preserve"> </t>
    </r>
  </si>
  <si>
    <r>
      <t xml:space="preserve">CCA Class </t>
    </r>
    <r>
      <rPr>
        <b/>
        <vertAlign val="superscript"/>
        <sz val="10"/>
        <rFont val="Arial"/>
        <family val="2"/>
      </rPr>
      <t>2</t>
    </r>
  </si>
  <si>
    <r>
      <t xml:space="preserve">Additions </t>
    </r>
    <r>
      <rPr>
        <b/>
        <vertAlign val="superscript"/>
        <sz val="10"/>
        <rFont val="Arial"/>
        <family val="2"/>
      </rPr>
      <t>4</t>
    </r>
  </si>
  <si>
    <r>
      <t xml:space="preserve">OEB Account </t>
    </r>
    <r>
      <rPr>
        <b/>
        <vertAlign val="superscript"/>
        <sz val="10"/>
        <rFont val="Arial"/>
        <family val="2"/>
      </rPr>
      <t>3</t>
    </r>
  </si>
  <si>
    <r>
      <t xml:space="preserve">Description </t>
    </r>
    <r>
      <rPr>
        <b/>
        <vertAlign val="superscript"/>
        <sz val="10"/>
        <rFont val="Arial"/>
        <family val="2"/>
      </rPr>
      <t>3</t>
    </r>
  </si>
  <si>
    <t>Including outages caused by loss of supply</t>
  </si>
  <si>
    <t>Excluding outages caused by loss of supply</t>
  </si>
  <si>
    <r>
      <t xml:space="preserve">Number of Customers </t>
    </r>
    <r>
      <rPr>
        <b/>
        <vertAlign val="superscript"/>
        <sz val="10"/>
        <rFont val="Arial"/>
        <family val="2"/>
      </rPr>
      <t>2,4</t>
    </r>
  </si>
  <si>
    <r>
      <t xml:space="preserve">Number of FTEs </t>
    </r>
    <r>
      <rPr>
        <b/>
        <vertAlign val="superscript"/>
        <sz val="10"/>
        <rFont val="Arial"/>
        <family val="2"/>
      </rPr>
      <t>3,4</t>
    </r>
  </si>
  <si>
    <r>
      <t xml:space="preserve">Recoverable OM&amp;A Cost per Customer and per FTE </t>
    </r>
    <r>
      <rPr>
        <b/>
        <vertAlign val="superscript"/>
        <sz val="14"/>
        <rFont val="Arial"/>
        <family val="2"/>
      </rPr>
      <t>1</t>
    </r>
  </si>
  <si>
    <r>
      <t xml:space="preserve">Shared Services and Corporate Cost Allocation </t>
    </r>
    <r>
      <rPr>
        <b/>
        <vertAlign val="superscript"/>
        <sz val="14"/>
        <rFont val="Arial"/>
        <family val="2"/>
      </rPr>
      <t>1</t>
    </r>
  </si>
  <si>
    <r>
      <t xml:space="preserve">Rate (%) </t>
    </r>
    <r>
      <rPr>
        <vertAlign val="superscript"/>
        <sz val="10"/>
        <rFont val="Arial"/>
        <family val="2"/>
      </rPr>
      <t>2</t>
    </r>
  </si>
  <si>
    <r>
      <t xml:space="preserve">Interest ($) </t>
    </r>
    <r>
      <rPr>
        <vertAlign val="superscript"/>
        <sz val="10"/>
        <rFont val="Arial"/>
        <family val="2"/>
      </rPr>
      <t>1</t>
    </r>
  </si>
  <si>
    <t>If financing is in place only part of the year, separately calculate the pro-rated interest in the year and input in the cell.</t>
  </si>
  <si>
    <t>To be completed by Host Distributors ONLY</t>
  </si>
  <si>
    <r>
      <t xml:space="preserve">For applicants that adopted IFRS on </t>
    </r>
    <r>
      <rPr>
        <b/>
        <sz val="10"/>
        <color rgb="FFFF0000"/>
        <rFont val="Arial"/>
        <family val="2"/>
      </rPr>
      <t>January 1, 2015</t>
    </r>
    <r>
      <rPr>
        <b/>
        <sz val="10"/>
        <color indexed="8"/>
        <rFont val="Arial"/>
        <family val="2"/>
      </rPr>
      <t xml:space="preserve"> for financial reporting purposes</t>
    </r>
  </si>
  <si>
    <t xml:space="preserve">1  For an applicant that adopted IFRS on January 1, 2015, the PP&amp;E values as of January 1, 2014 under both CGAAP and MIFRS should be the same. </t>
  </si>
  <si>
    <t>Any forecasted One-time costs past 2015 should be fully explained in the application, since distributors were required to adopt IFRS or an alternative accounting standard by January 1, 2015.</t>
  </si>
  <si>
    <t>Consumption (kWh)</t>
  </si>
  <si>
    <t>2014 CDM program</t>
  </si>
  <si>
    <t>Based on the current methodology and allocation, amounts allocated represent 6% for REI Connection Investments and 17% for Expansion Investments. (EB-2009-0349, 6-10-2010, p. 15, note 9)</t>
  </si>
  <si>
    <t>App.2-JC: OM&amp;A Programs Table</t>
  </si>
  <si>
    <t>Customers</t>
  </si>
  <si>
    <t>A list of key references for understanding the Filing Requirements has been embedded in the document below. To access the list of references and associated hyperlinks double-click the icon below.</t>
  </si>
  <si>
    <t>Service Reliability and Quality Indicators</t>
  </si>
  <si>
    <t>Service Reliability</t>
  </si>
  <si>
    <t>Service Quality</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</si>
  <si>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</si>
  <si>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Year Reflected in Schedule Below</t>
  </si>
  <si>
    <t>Reflecting Accounting Policy Changes in Current Application</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</si>
  <si>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</si>
  <si>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</si>
  <si>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r>
      <t>·</t>
    </r>
    <r>
      <rPr>
        <sz val="10"/>
        <rFont val="Times New Roman"/>
        <family val="1"/>
      </rPr>
      <t>       </t>
    </r>
  </si>
  <si>
    <r>
      <t xml:space="preserve">MIFRS </t>
    </r>
    <r>
      <rPr>
        <sz val="10"/>
        <color indexed="8"/>
        <rFont val="Arial"/>
        <family val="2"/>
      </rPr>
      <t>- Note 5</t>
    </r>
  </si>
  <si>
    <r>
      <t xml:space="preserve">MIFRS - </t>
    </r>
    <r>
      <rPr>
        <sz val="10"/>
        <color indexed="8"/>
        <rFont val="Arial"/>
        <family val="2"/>
      </rPr>
      <t>Note 5</t>
    </r>
  </si>
  <si>
    <t>5 Differences due to the adoption of MIFRS are to be shown separately in Account 1575 in Appendix 2-EA as Accounts 1575 and 1576 cannot be used interchangably.</t>
  </si>
  <si>
    <t>Audited Actual Costs Incurred</t>
  </si>
  <si>
    <t xml:space="preserve">Audited Carrying Charges </t>
  </si>
  <si>
    <r>
      <t xml:space="preserve">Amounts, if any, included in previous Board approved rates (amounts should be negative) </t>
    </r>
    <r>
      <rPr>
        <vertAlign val="superscript"/>
        <sz val="10"/>
        <rFont val="Arial"/>
        <family val="2"/>
      </rPr>
      <t>2</t>
    </r>
  </si>
  <si>
    <r>
      <t>Reflected Accounting Policy Changes in Prior Application</t>
    </r>
    <r>
      <rPr>
        <b/>
        <vertAlign val="superscript"/>
        <sz val="10"/>
        <rFont val="Arial"/>
        <family val="2"/>
      </rPr>
      <t>3</t>
    </r>
  </si>
  <si>
    <t>1) For an applicant that has a balance in Account 1576 to dispose:</t>
  </si>
  <si>
    <t>5-year Distribution System Plan Period</t>
  </si>
  <si>
    <r>
      <t>Total Recoverable OM&amp;A from Appendix 2-JB</t>
    </r>
    <r>
      <rPr>
        <b/>
        <vertAlign val="superscript"/>
        <sz val="10"/>
        <rFont val="Arial"/>
        <family val="2"/>
      </rPr>
      <t xml:space="preserve"> 5</t>
    </r>
  </si>
  <si>
    <t>Persistence of Historical CDM programs to 2015</t>
  </si>
  <si>
    <t>2015 CDM program</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</si>
  <si>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</si>
  <si>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(Not required if Host Distributor has an Embedded Distributor rate class, i.e. a separate row on Sheet 11 of the RRWF.)</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</si>
  <si>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</si>
  <si>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</si>
  <si>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</si>
  <si>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</si>
  <si>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</si>
  <si>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</si>
  <si>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</si>
  <si>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 xml:space="preserve">     O&amp;M</t>
  </si>
  <si>
    <t xml:space="preserve">     Admin Expenses</t>
  </si>
  <si>
    <t>OM&amp;A Costs</t>
  </si>
  <si>
    <t>The method of calculating the number of customers must be identified. Should be linked back to Appendix 2-IA</t>
  </si>
  <si>
    <t>For the test year and in the subsequent four years of the DSP period, the applicant should take into account the system O&amp;M (line X of Appendix 2-AB) in developing its forecasted OM&amp;A. Admin expenses beyond the test year also need to be forecasted (separately).</t>
  </si>
  <si>
    <t>Rate Riders are not calculated for the Test Year as these assets and costs are already in the distributor's rate base.</t>
  </si>
  <si>
    <t>Rate Riders are not calculated for the Test Year as these assets and costs are already in the distributor's rate base/revenue requirement.</t>
  </si>
  <si>
    <r>
      <t xml:space="preserve">CGAAP </t>
    </r>
    <r>
      <rPr>
        <b/>
        <vertAlign val="superscript"/>
        <sz val="10"/>
        <rFont val="Arial"/>
        <family val="2"/>
      </rPr>
      <t>1</t>
    </r>
  </si>
  <si>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</si>
  <si>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r>
      <t xml:space="preserve">Disposals </t>
    </r>
    <r>
      <rPr>
        <b/>
        <vertAlign val="superscript"/>
        <sz val="10"/>
        <rFont val="Arial"/>
        <family val="2"/>
      </rPr>
      <t>6</t>
    </r>
  </si>
  <si>
    <t>Instructions on Customer, Connections, Load Forecast and Revenues Data and Analysis</t>
  </si>
  <si>
    <t>This sheet requires no inputs, but serves as a summary of the hiostorical and forecasted data to be provided with respect to:</t>
  </si>
  <si>
    <t>1)</t>
  </si>
  <si>
    <t>Customers and connections</t>
  </si>
  <si>
    <t>2)</t>
  </si>
  <si>
    <t>3)</t>
  </si>
  <si>
    <t>Demand (kW or kCA) for applicable demand-billed customer classes</t>
  </si>
  <si>
    <t>4)</t>
  </si>
  <si>
    <t>Revenues</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</si>
  <si>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</si>
  <si>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</si>
  <si>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</si>
  <si>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</si>
  <si>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Bridge Year (Forecast)</t>
  </si>
  <si>
    <t>Test Year (Forecast)</t>
  </si>
  <si>
    <t>Calendar Year</t>
  </si>
  <si>
    <t>The spreadsheet summarizes the data provided and the analyses (variance or year-over-year) that are required. Data are required to be provided on a customer class level. Consumption (kWh) must also be provided on a total distribution system level.</t>
  </si>
  <si>
    <t>Weather-actual</t>
  </si>
  <si>
    <t>Weather-normalized</t>
  </si>
  <si>
    <r>
      <t xml:space="preserve">Actual </t>
    </r>
    <r>
      <rPr>
        <vertAlign val="superscript"/>
        <sz val="10"/>
        <rFont val="Arial"/>
        <family val="2"/>
      </rPr>
      <t>(1)</t>
    </r>
  </si>
  <si>
    <t>Demand (kW or kVA)</t>
  </si>
  <si>
    <r>
      <t xml:space="preserve">Consumption (kWh) </t>
    </r>
    <r>
      <rPr>
        <b/>
        <vertAlign val="superscript"/>
        <sz val="10"/>
        <rFont val="Arial"/>
        <family val="2"/>
      </rPr>
      <t>(3)</t>
    </r>
  </si>
  <si>
    <t>Appendix 2-IB</t>
  </si>
  <si>
    <t>App.2-IA: Load Forecast Data Instructions</t>
  </si>
  <si>
    <t>App.2-IB:  Actual and Forecast Load and Customer Data</t>
  </si>
  <si>
    <t>“Weather-normalized actuals” are estimated by replacing the actual weather-related values (typically Heating Degree Days (HDD) and Cooling Degree Days (CDD)) by the “typical” or “weather-normalized” values. These “weather-normalized HDD and CDD values would be the same as used to estimate the Bridge Year and Test Year forecasts.</t>
  </si>
  <si>
    <t>Consumption must be provided on a total distribution system basis as well as at a customer class level.</t>
  </si>
  <si>
    <t>Revenues exclude commodity charges.</t>
  </si>
  <si>
    <t>Geometric Mean</t>
  </si>
  <si>
    <t>Year-over-year</t>
  </si>
  <si>
    <t>Is the customer class billed on consumption (kWh) or demand (kW or kVA)?</t>
  </si>
  <si>
    <t>Customer, Connections, Load Forecast and Revenues Data and Analysis</t>
  </si>
  <si>
    <t>Actual (Weather actual)</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</si>
  <si>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</si>
  <si>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</si>
  <si>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</si>
  <si>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</si>
  <si>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</si>
  <si>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</si>
  <si>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</si>
  <si>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Customer Class Analysis (one for each Customer Class, excluding MicroFIT and Standby)</t>
  </si>
  <si>
    <t>App.2-N: Shared Services and Corporate Cost Allocation</t>
  </si>
  <si>
    <t>Adopted IFRS in 2015</t>
  </si>
  <si>
    <t xml:space="preserve">Appendix 2-Cx - Depreciation and Amortization </t>
  </si>
  <si>
    <t>Appendix 2-YA</t>
  </si>
  <si>
    <t>component is different under MIFRS</t>
  </si>
  <si>
    <t>App.2-A: List of Requested Approvals</t>
  </si>
  <si>
    <t>List of Requested Approvals</t>
  </si>
  <si>
    <t>Additional requests may be added by copying and pasting blank input rows, as needed.</t>
  </si>
  <si>
    <t>If additional requests arise, or requested approvals are removed, during the processing of the application, the distributor should update this list.</t>
  </si>
  <si>
    <t>Appendix 2-A</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</si>
  <si>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</si>
  <si>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</si>
  <si>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</si>
  <si>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</si>
  <si>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</si>
  <si>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t>Appendices for the Tariff of Rates and Charges at Current and Proposed Rates, and for the Bill Impacts are now in a separate spreadsheet model. These appendices were formerly 2-Z and 2-W.</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</si>
  <si>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</si>
  <si>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If an applicant changed capitalization and depreciation policies effective January 1, 2013, the applicant must complete Appendix 2-EC</t>
  </si>
  <si>
    <t>2) For an applicant that has a balance in Account 1575 to dispose:</t>
  </si>
  <si>
    <t>The applicant must complete 2-EA</t>
  </si>
  <si>
    <t xml:space="preserve">If an applicant changed capitalization and depreciation policies effective January 1, 2012, the applicant must complete Appendix 2-EB </t>
  </si>
  <si>
    <t xml:space="preserve">1.  Applicants must provide a summary of the dollar impacts of MIFRS to each component of the revenue requirement (e.g. rate base, operating costs, etc.), including the overall impact on the proposed revenue requirement.  Accordingly, the applicants must identify financial differences and resulting revenue requirement impacts arising from the adoption of  MIFRS as compared to CGAAP.  If the applicant is reflecting the changes in capitalization and depreciation policies for the first time in a rebasing application, then the comparison in the above table should be between MIFRS and CGAAP before the change in accounting policies. If the applicant changed capitalization and depreciation policies and reflected these changes in a previous rebasing application, the comparison in the above table should be between MIFRS and CGAAP after the change in accounting policies.  </t>
  </si>
  <si>
    <t>Identify the year the applicant adopted IFRS for financial reporting purposes</t>
  </si>
  <si>
    <t>The Cost of Service Rate Application Schematic is a flowchart that is included as a guide for the components of an application. The schematic demonstrates how demand and costs interrelate to derive the revenue requirement and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t>
  </si>
  <si>
    <t>2. Indicate the number of months of 'actual' data included in the last year of the Historical Period (normally a 'bridge' year):</t>
  </si>
  <si>
    <t>For the test year, the applicant should take into account the system O&amp;M (line 22 of Appendix 2-AB) in developing its forecasted OM&amp;A.</t>
  </si>
  <si>
    <t>2011 CDM Programs</t>
  </si>
  <si>
    <t>2012 CDM Programs</t>
  </si>
  <si>
    <t>2013 CDM Programs</t>
  </si>
  <si>
    <t>2014 CDM Programs</t>
  </si>
  <si>
    <t>Excluding Major Event Days</t>
  </si>
  <si>
    <t>The default values below represent the factor used for how each year's CDM program is factored into the manual CDM adjustment.  Distributors can choose alternative weights of "0", "0.5" or "1" from the drop-down menu for each cell, but must support its alternatives.</t>
  </si>
  <si>
    <t>(Yes/No)</t>
  </si>
  <si>
    <r>
      <t>1</t>
    </r>
    <r>
      <rPr>
        <b/>
        <sz val="10"/>
        <rFont val="Arial"/>
        <family val="2"/>
      </rPr>
      <t xml:space="preserve"> </t>
    </r>
    <r>
      <rPr>
        <sz val="10"/>
        <rFont val="Arial"/>
        <family val="2"/>
      </rPr>
      <t>If an applicant wishes to use headcount, it must also file the same schedule on an FTE basis.</t>
    </r>
  </si>
  <si>
    <t>The distributor must fill out the following sheet with the complete list of specific approvals requested and relevant section(s) of the legislation must be provided. All approvals, including accounting orders (deferral and variance accounts) new rate classes, revised specific service charges or retail service charges which the applicant is seeking, must be separately identified, as well being clearly documented in the appropriate sections of the application.</t>
  </si>
  <si>
    <t>Unmetered Scattered Load</t>
  </si>
  <si>
    <r>
      <rPr>
        <b/>
        <sz val="10"/>
        <rFont val="Arial"/>
        <family val="2"/>
      </rPr>
      <t>Note:</t>
    </r>
    <r>
      <rPr>
        <sz val="10"/>
        <rFont val="Arial"/>
        <family val="2"/>
      </rPr>
      <t xml:space="preserve"> If there are more than ten (10) customer classes, please contact OEB Staff to add tables for additional customer classes.</t>
    </r>
  </si>
  <si>
    <t>2     Recoverable OM&amp;A that is included on these tables should be identical to the recoverable OM&amp;A that is shown for the corresponding periods on Appendix 2-JB.</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</si>
  <si>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</si>
  <si>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FTEs must be identified. See also Appendix 2-K.</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</si>
  <si>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</si>
  <si>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The method of calculating the number of customers must be identified. Should correspond with data provided in Appendix 2-IB.</t>
  </si>
  <si>
    <t>2016 CDM program</t>
  </si>
  <si>
    <t>If used to determine the manual CDM adjustment for the system purchased kWh, the proposed loss factor should correspond with the proposed total loss factor calculated in Appendix 2-R .</t>
  </si>
  <si>
    <t>Total Manual Forecast to Load Forecast</t>
  </si>
  <si>
    <t>Closing balance in Account 1575</t>
  </si>
  <si>
    <t>Return on Rate Base Associated with Account 1575 balance at WACC  - Note 2</t>
  </si>
  <si>
    <t xml:space="preserve">     the deferral account closing balance as of 2017 x WACC X # of years of rate rider disposition period</t>
  </si>
  <si>
    <t>3) Applicants should provide CGAAP and Revised CGAAP schedules (i.e. as indicated in the first two columns of the above table) to support balances in Account 1576 if the account has yet to be disposed of.</t>
  </si>
  <si>
    <t>Appendix 2-C</t>
  </si>
  <si>
    <t>This appendix is to be completed in conjunction with the accounting instructions in Appendix 2-B</t>
  </si>
  <si>
    <t>Scenario that applies</t>
  </si>
  <si>
    <t>Applicable Years and Accounting Standard</t>
  </si>
  <si>
    <t>Accounting Standard Reflected in Schedule Below</t>
  </si>
  <si>
    <t>Rebasing for the first time with depreciation policy changes made in 2012.</t>
  </si>
  <si>
    <t>Rebasing for the first time with depreciation policy changes made in 2013.</t>
  </si>
  <si>
    <t>Book Values</t>
  </si>
  <si>
    <t>Service Lives</t>
  </si>
  <si>
    <t>Depreciation Expense</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</si>
  <si>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</si>
  <si>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</si>
  <si>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</si>
  <si>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</si>
  <si>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</si>
  <si>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</si>
  <si>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</si>
  <si>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</si>
  <si>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</si>
  <si>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</si>
  <si>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</si>
  <si>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</si>
  <si>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</si>
  <si>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</si>
  <si>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</si>
  <si>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</si>
  <si>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</si>
  <si>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</si>
  <si>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</si>
  <si>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</si>
  <si>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f = d- e</t>
  </si>
  <si>
    <t>g</t>
  </si>
  <si>
    <t>h</t>
  </si>
  <si>
    <t>i = 1/h</t>
  </si>
  <si>
    <t>j</t>
  </si>
  <si>
    <t>k = 1/j</t>
  </si>
  <si>
    <t>l = c/h</t>
  </si>
  <si>
    <t>m = f/j</t>
  </si>
  <si>
    <t>n = g*0.5/j</t>
  </si>
  <si>
    <t>o = l+m+n</t>
  </si>
  <si>
    <t>p</t>
  </si>
  <si>
    <t>q = p-o</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</si>
  <si>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</si>
  <si>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</si>
  <si>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</si>
  <si>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</si>
  <si>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r>
      <t xml:space="preserve">For applicants with a balance in Account 1576 and made capitalization and depreciation expense accounting policy changes under CGAAP effective January 1, </t>
    </r>
    <r>
      <rPr>
        <b/>
        <sz val="10"/>
        <color indexed="10"/>
        <rFont val="Arial"/>
        <family val="2"/>
      </rPr>
      <t xml:space="preserve">2012. </t>
    </r>
    <r>
      <rPr>
        <b/>
        <sz val="10"/>
        <rFont val="Arial"/>
        <family val="2"/>
      </rPr>
      <t xml:space="preserve"> This is the first time the applicant is rebasing with changes in these accounting policies.</t>
    </r>
  </si>
  <si>
    <t>Prior Years Rebasing</t>
  </si>
  <si>
    <t>2018 Rebasing Year</t>
  </si>
  <si>
    <t xml:space="preserve">     the variance account ending balance as of 2017 x WACC X # of years of rate rider disposition period</t>
  </si>
  <si>
    <r>
      <t xml:space="preserve">For applicants with a balance in Account 1576 and made capitalization and depreciation expense accounting policy changes under CGAAP effective January 1, </t>
    </r>
    <r>
      <rPr>
        <b/>
        <sz val="10"/>
        <color indexed="10"/>
        <rFont val="Arial"/>
        <family val="2"/>
      </rPr>
      <t xml:space="preserve">2013.  </t>
    </r>
    <r>
      <rPr>
        <b/>
        <sz val="10"/>
        <rFont val="Arial"/>
        <family val="2"/>
      </rPr>
      <t>This is the first time the applicant is rebasing with changes in these accounting policies.</t>
    </r>
  </si>
  <si>
    <t>App.2-C_DepExp: Depreciation and Amortization Expense</t>
  </si>
  <si>
    <t xml:space="preserve"> </t>
  </si>
  <si>
    <t>Capital Contributions Paid</t>
  </si>
  <si>
    <t>Total Benefits (Current + Accrued)</t>
  </si>
  <si>
    <t>Information to be filed in 2019 CoS Application</t>
  </si>
  <si>
    <t>Capital Contributions</t>
  </si>
  <si>
    <t>Net Capital Expenditures</t>
  </si>
  <si>
    <t>Category</t>
  </si>
  <si>
    <t>Total Expenditure</t>
  </si>
  <si>
    <t xml:space="preserve">Net Capital Expenditures </t>
  </si>
  <si>
    <t>Utility Name</t>
  </si>
  <si>
    <t>EB Number</t>
  </si>
  <si>
    <t>Renewable Generation Connection Investment Summary</t>
  </si>
  <si>
    <t>Amount</t>
  </si>
  <si>
    <t>REI Investments_A_Total Capital Costs</t>
  </si>
  <si>
    <t>REI Investments_A_Total OM&amp;A Ongoing</t>
  </si>
  <si>
    <t>REI Investments_A_Total OM&amp;A Start-Up</t>
  </si>
  <si>
    <t>Expansion Investments_B_Total Capital Costs</t>
  </si>
  <si>
    <t>Expansion Investments_B_Total OM&amp;A Start-Up</t>
  </si>
  <si>
    <t>Expansion Investments_B_Total OM&amp;A Ongoing</t>
  </si>
  <si>
    <t>Renewable Generation Connection Direct Benefits/Provincial Amount Renewable Enabling Improvement Investments</t>
  </si>
  <si>
    <t>Calculation of Renewable Generation Connection Direct Benefits/Provincial Amount Renewable Expansion Investments</t>
  </si>
  <si>
    <t>Last Rebasing Year (2010 Actuals)</t>
  </si>
  <si>
    <t>2012 Actuals</t>
  </si>
  <si>
    <t>2013 Actuals</t>
  </si>
  <si>
    <t>2014 Actuals</t>
  </si>
  <si>
    <t>2015 Actuals</t>
  </si>
  <si>
    <t>1     Historical actuals going back to the last cost of service application are required to be entered by the applicant.</t>
  </si>
  <si>
    <t>Heading</t>
  </si>
  <si>
    <t>Employee Cost Info</t>
  </si>
  <si>
    <t>Number of Employees (FTEs including Part-Time)</t>
  </si>
  <si>
    <t>USoA</t>
  </si>
  <si>
    <t>In the transition year to IFRS, the applicant is to present information in both MIFRS and CGAAP. In column N, present CGAAP transition year information. For the typical applicant that adopted IFRS on January 1, 2015, 2014 must be presented in both a CGAAP and MIFRS basis.</t>
  </si>
  <si>
    <t xml:space="preserve">Heading </t>
  </si>
  <si>
    <t xml:space="preserve">Amount </t>
  </si>
  <si>
    <t>Regulatory Costs (Ongoing)</t>
  </si>
  <si>
    <t>Regulatory Costs (One-Time)</t>
  </si>
  <si>
    <t>(H)=[(G)-(F)]/(F)</t>
  </si>
  <si>
    <t>(I)</t>
  </si>
  <si>
    <t>(J) = [(I)-(G)]/(G)</t>
  </si>
  <si>
    <t>Sum of all ongoing costs.</t>
  </si>
  <si>
    <r>
      <t xml:space="preserve">Sub-total - Ongoing Costs </t>
    </r>
    <r>
      <rPr>
        <vertAlign val="superscript"/>
        <sz val="10"/>
        <rFont val="Arial"/>
        <family val="2"/>
      </rPr>
      <t>2</t>
    </r>
  </si>
  <si>
    <r>
      <t xml:space="preserve">Sub-total - One-time Costs </t>
    </r>
    <r>
      <rPr>
        <vertAlign val="superscript"/>
        <sz val="10"/>
        <rFont val="Arial"/>
        <family val="2"/>
      </rPr>
      <t>3</t>
    </r>
  </si>
  <si>
    <t>OEB Section 30 Costs (application-related)</t>
  </si>
  <si>
    <t>Type of Cost</t>
  </si>
  <si>
    <t>Ongoing</t>
  </si>
  <si>
    <t>One-Time</t>
  </si>
  <si>
    <t>Total One-Time Costs Related to Application to be Amortized over IRM Period</t>
  </si>
  <si>
    <t>1/5 of Total One-Time Costs</t>
  </si>
  <si>
    <t>Application-Related One-Time Costs</t>
  </si>
  <si>
    <t>One-Time COS Costs</t>
  </si>
  <si>
    <t>Amortized Amount</t>
  </si>
  <si>
    <t>Column</t>
  </si>
  <si>
    <t>M</t>
  </si>
  <si>
    <t>J</t>
  </si>
  <si>
    <t>P</t>
  </si>
  <si>
    <t>V</t>
  </si>
  <si>
    <t>ae</t>
  </si>
  <si>
    <t>ah</t>
  </si>
  <si>
    <t>ak</t>
  </si>
  <si>
    <t>an</t>
  </si>
  <si>
    <t>aq</t>
  </si>
  <si>
    <t>at</t>
  </si>
  <si>
    <t>aw</t>
  </si>
  <si>
    <t>az</t>
  </si>
  <si>
    <r>
      <t xml:space="preserve">App.2-M: Regulatory Costs Schedule </t>
    </r>
    <r>
      <rPr>
        <u/>
        <sz val="10"/>
        <color rgb="FFFF0000"/>
        <rFont val="Arial"/>
        <family val="2"/>
      </rPr>
      <t>(TO BE UPDATED AT THE DRAFT RATE ORDER STAGE)</t>
    </r>
  </si>
  <si>
    <r>
      <t xml:space="preserve">App.2-K: Employee Costs </t>
    </r>
    <r>
      <rPr>
        <u/>
        <sz val="10"/>
        <color rgb="FFFF0000"/>
        <rFont val="Arial"/>
        <family val="2"/>
      </rPr>
      <t>(TO BE UPDATED AT THE DRAFT RATE ORDER STAGE)</t>
    </r>
  </si>
  <si>
    <r>
      <t>App.2-JA: OM&amp;A Summary Analysis</t>
    </r>
    <r>
      <rPr>
        <u/>
        <sz val="10"/>
        <color rgb="FFFF0000"/>
        <rFont val="Arial"/>
        <family val="2"/>
      </rPr>
      <t xml:space="preserve"> (TO BE UPDATED AT THE DRAFT RATE ORDER STAGE) </t>
    </r>
  </si>
  <si>
    <r>
      <t xml:space="preserve">App.2-H: Other Operating Revenue </t>
    </r>
    <r>
      <rPr>
        <u/>
        <sz val="10"/>
        <color rgb="FFFF0000"/>
        <rFont val="Arial"/>
        <family val="2"/>
      </rPr>
      <t>(TO BE UPDATED AT THE DRAFT RATE ORDER STAGE)</t>
    </r>
  </si>
  <si>
    <r>
      <t xml:space="preserve">App.2-FC: Calculation of Renewable Generation Connection Direct Benefits/Provincial Amount: Renewable Expansion Investments </t>
    </r>
    <r>
      <rPr>
        <u/>
        <sz val="10"/>
        <color rgb="FFFF0000"/>
        <rFont val="Arial"/>
        <family val="2"/>
      </rPr>
      <t>(TO BE UPDATED AT THE DRAFT RATE ORDER STAGE)</t>
    </r>
  </si>
  <si>
    <r>
      <t>App.2-FB: Calculation of Renewable Generation Connection Direct Benefits/Provincial Amount: Renewable Enabling Improvement Investments</t>
    </r>
    <r>
      <rPr>
        <u/>
        <sz val="10"/>
        <color rgb="FFFF0000"/>
        <rFont val="Arial"/>
        <family val="2"/>
      </rPr>
      <t xml:space="preserve"> (TO BE UPDATED AT THE DRAFT RATE ORDER STAGE)</t>
    </r>
  </si>
  <si>
    <r>
      <t xml:space="preserve">App.2-FA: Renewable Generation Connection Investment Summary </t>
    </r>
    <r>
      <rPr>
        <u/>
        <sz val="10"/>
        <color rgb="FFFF0000"/>
        <rFont val="Arial"/>
        <family val="2"/>
      </rPr>
      <t>(TO BE UPDATED AT THE DRAFT RATE ORDER STAGE)</t>
    </r>
  </si>
  <si>
    <t>TO BE UPDATED AT THE DRAFT RATE ORDER STAGE</t>
  </si>
  <si>
    <t>TO BE UPDATED AT DRAFT RATE ORDER STAGE</t>
  </si>
  <si>
    <t>Other Income and Expenses:  4305, 4310, 4315, 4320, 4325, 4330, 4335, 4340, 4345, 4350, 4355, 4357, 4360, 4362, 4365, 4370, 4375, 4380, 4385, 4390, 4395, 4398, 4405, 4410, 4415, 4420</t>
  </si>
  <si>
    <t>Other Distribution Revenues:   4082, 4084, 4090, 4205, 4210, 4215, 4220, 4230, 4240, 4245</t>
  </si>
  <si>
    <t>Late Payment Charges:          4225</t>
  </si>
  <si>
    <t>Specific Service Charges:       4235</t>
  </si>
  <si>
    <r>
      <t>Description</t>
    </r>
    <r>
      <rPr>
        <b/>
        <sz val="10"/>
        <rFont val="Arial"/>
        <family val="2"/>
      </rPr>
      <t xml:space="preserve">                          </t>
    </r>
    <r>
      <rPr>
        <b/>
        <u/>
        <sz val="10"/>
        <rFont val="Arial"/>
        <family val="2"/>
      </rPr>
      <t>Account(s)</t>
    </r>
  </si>
  <si>
    <t> </t>
  </si>
  <si>
    <t>non GA mod</t>
  </si>
  <si>
    <t>GA mod</t>
  </si>
  <si>
    <t xml:space="preserve">Total </t>
  </si>
  <si>
    <t>RPP</t>
  </si>
  <si>
    <t>non-RPP</t>
  </si>
  <si>
    <t>Customer Class Name</t>
  </si>
  <si>
    <t>Last Actual kWh's</t>
  </si>
  <si>
    <t>Class A kWh</t>
  </si>
  <si>
    <t>Class B kWh</t>
  </si>
  <si>
    <t>General Service &lt; 50 kW</t>
  </si>
  <si>
    <t>General Service 50 to 2999 kW</t>
  </si>
  <si>
    <t>General Service 3000-4999 kW</t>
  </si>
  <si>
    <t>Sentinel Lighting</t>
  </si>
  <si>
    <t xml:space="preserve">Street Lighting </t>
  </si>
  <si>
    <t>other</t>
  </si>
  <si>
    <t>TOTAL</t>
  </si>
  <si>
    <t>HOEP ($/MWh)</t>
  </si>
  <si>
    <t>Global Adjustment ($/MWh)</t>
  </si>
  <si>
    <t>TOTAL ($/MWh)</t>
  </si>
  <si>
    <t>$/kWh</t>
  </si>
  <si>
    <t>(volumes for the bridge and test year are loss adjusted)</t>
  </si>
  <si>
    <t>Class A</t>
  </si>
  <si>
    <t>Customer</t>
  </si>
  <si>
    <t>Revenue</t>
  </si>
  <si>
    <t>Expense</t>
  </si>
  <si>
    <t>kWh Volume</t>
  </si>
  <si>
    <t>kW Volume</t>
  </si>
  <si>
    <t>HOEP Rate/kWh</t>
  </si>
  <si>
    <t>Avg GA/kW</t>
  </si>
  <si>
    <t>Class B</t>
  </si>
  <si>
    <t>Class Name</t>
  </si>
  <si>
    <t>UoM</t>
  </si>
  <si>
    <t>USA #</t>
  </si>
  <si>
    <t>Volume</t>
  </si>
  <si>
    <t>rate ($/kWh):</t>
  </si>
  <si>
    <t>avg rate ($/kWh):</t>
  </si>
  <si>
    <t xml:space="preserve">Commodity Expense </t>
  </si>
  <si>
    <t>Step 1:</t>
  </si>
  <si>
    <t>Allocation of Commodity</t>
  </si>
  <si>
    <t>Proportions (by Class)</t>
  </si>
  <si>
    <t>Step 2:</t>
  </si>
  <si>
    <t>Forecasted Commodity Prices</t>
  </si>
  <si>
    <t>Step 2a:</t>
  </si>
  <si>
    <t>GA Modifier</t>
  </si>
  <si>
    <t>($/MWh)</t>
  </si>
  <si>
    <t>Source:</t>
  </si>
  <si>
    <t>Step 2b:</t>
  </si>
  <si>
    <t xml:space="preserve"> Table 1: Average RPP Supply Cost Summary**</t>
  </si>
  <si>
    <t>Load-Weighted Price for RPP Consumers</t>
  </si>
  <si>
    <t>Impact of the Global Adjustment</t>
  </si>
  <si>
    <t>Adjustments ($/MWh)</t>
  </si>
  <si>
    <t>Average Supply Cost for RPP Consumers</t>
  </si>
  <si>
    <t>Percentage shares (%)</t>
  </si>
  <si>
    <t>non-RPP (GA mod/non-GA mod), RPP</t>
  </si>
  <si>
    <t>WEIGHTED AVERAGE PRICE ($/kWh)</t>
  </si>
  <si>
    <t>(Sum of I43, J43 and L43)</t>
  </si>
  <si>
    <t>Step 3:</t>
  </si>
  <si>
    <t>Commodity Expense</t>
  </si>
  <si>
    <t>App.2-Z: Commodity Expense</t>
  </si>
  <si>
    <r>
      <t xml:space="preserve">App.2-EA: Account 1575 PP&amp;E Deferral Account (2015 IFRS Adopters) - </t>
    </r>
    <r>
      <rPr>
        <u/>
        <sz val="10"/>
        <color rgb="FFFF0000"/>
        <rFont val="Arial"/>
        <family val="2"/>
      </rPr>
      <t>CONTACT OEB STAFF IF TAB REQUIRED</t>
    </r>
  </si>
  <si>
    <r>
      <t>App.2-AB: Capital Expenditures</t>
    </r>
    <r>
      <rPr>
        <u/>
        <sz val="10"/>
        <color theme="3" tint="-0.499984740745262"/>
        <rFont val="Arial"/>
        <family val="2"/>
      </rPr>
      <t xml:space="preserve"> </t>
    </r>
    <r>
      <rPr>
        <u/>
        <sz val="10"/>
        <color rgb="FFFF0000"/>
        <rFont val="Arial"/>
        <family val="2"/>
      </rPr>
      <t>(TO BE UPDATED AT THE DRAFT RATE ORDER STAGE)</t>
    </r>
  </si>
  <si>
    <r>
      <t xml:space="preserve">App.2-EB: Account 1576 - Accounting Changes Under CGAAP (2012 Changes) - </t>
    </r>
    <r>
      <rPr>
        <u/>
        <sz val="10"/>
        <color rgb="FFFF0000"/>
        <rFont val="Arial"/>
        <family val="2"/>
      </rPr>
      <t>CONTACT OEB STAFF IF TAB REQUIRED</t>
    </r>
  </si>
  <si>
    <r>
      <t xml:space="preserve">App.2-EC: Account 1576 - Accounting Changes Under CGAAP (2013 Changes) - </t>
    </r>
    <r>
      <rPr>
        <u/>
        <sz val="10"/>
        <color rgb="FFFF0000"/>
        <rFont val="Arial"/>
        <family val="2"/>
      </rPr>
      <t>CONTACT OEB STAFF IF TAB REQUIRED</t>
    </r>
  </si>
  <si>
    <r>
      <t xml:space="preserve">App.2-Y: Transition to MIFRS Summary Impact - </t>
    </r>
    <r>
      <rPr>
        <u/>
        <sz val="10"/>
        <color rgb="FFFF0000"/>
        <rFont val="Arial"/>
        <family val="2"/>
      </rPr>
      <t>CONTACT OEB STAFF IF TAB REQUIRED</t>
    </r>
  </si>
  <si>
    <r>
      <t xml:space="preserve">App.2-YA: One-Time Incremental IFRS Transition Costs - </t>
    </r>
    <r>
      <rPr>
        <u/>
        <sz val="10"/>
        <color rgb="FFFF0000"/>
        <rFont val="Arial"/>
        <family val="2"/>
      </rPr>
      <t>CONTACT OEB STAFF IF TAB REQUIRED</t>
    </r>
  </si>
  <si>
    <t>In the green shaded cell (row 18-26) enter the most recent 12-month actual data. If there is a material difference between actual and forecasted consumption data, use forecasted data and provide an explanation</t>
  </si>
  <si>
    <r>
      <t xml:space="preserve">Appendix 2-E - Account 1575, IFRS-CGAAP Transitional PP&amp;E Amounts (2-EA), Account 1576, Accounting Changes Under CGAAP (2-EB, 2-EC) </t>
    </r>
    <r>
      <rPr>
        <b/>
        <sz val="10"/>
        <color rgb="FFFF0000"/>
        <rFont val="Arial"/>
        <family val="2"/>
      </rPr>
      <t>CONTACT OEB STAFF IF TAB REQUIRED</t>
    </r>
  </si>
  <si>
    <r>
      <t>Appendix 2-Y - Summary of Impacts to Revenue Requirement from Transition to MIFRS</t>
    </r>
    <r>
      <rPr>
        <b/>
        <sz val="10"/>
        <color rgb="FFFF0000"/>
        <rFont val="Arial"/>
        <family val="2"/>
      </rPr>
      <t xml:space="preserve"> CONTACT OEB STAFF IF TAB REQUIRED</t>
    </r>
  </si>
  <si>
    <t>The purpose of this tab is to provide general instructions. The specific instructions to each appendix are listed in footnotes of each appendix.</t>
  </si>
  <si>
    <t>1) For the transition year (2014), the applicant may file two appendices, one under Revised CGAAP and one under MIFRS, depending on the materiality of impacts. See the specific instructions under each appendix below for further details.</t>
  </si>
  <si>
    <t xml:space="preserve">Applicants are to provide Appendix 2-C in accordance with the years and corresponding accounting standards listed in the above table. </t>
  </si>
  <si>
    <t>IFRS Since 2015</t>
  </si>
  <si>
    <r>
      <t>Rebased under MIFRS in Prior Application</t>
    </r>
    <r>
      <rPr>
        <b/>
        <vertAlign val="superscript"/>
        <sz val="10"/>
        <rFont val="Arial"/>
        <family val="2"/>
      </rPr>
      <t>3</t>
    </r>
  </si>
  <si>
    <t>The applicant must establish the continuity of historical cost for gross assets and accumulated depreciation by asset class by ensuring that the opening balance in the year agrees to the closing balance in the prior year.</t>
  </si>
  <si>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</si>
  <si>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Metered consumption of Large Use customers.</t>
  </si>
  <si>
    <t>Actual Supply Facility Loss Factor as calculated by dividing A(1) by A(2).</t>
  </si>
  <si>
    <t>Sum of all one-time costs related to this application.</t>
  </si>
  <si>
    <t>Example: Account 4405 - Interest and Dividend Income</t>
  </si>
  <si>
    <t>Enter the number of "Other Operating Revenue" and "Other Income or Deductions" Accounts that require a detailed breakdown of the account components.</t>
  </si>
  <si>
    <t>For each "Other Operating Revenue" and "Other Income or Deductions" Account, a detailed breakdown of the account components is required.  See the example below for Account 4405, Interest and Dividend Income.  Tables for the detailed breakdowns will be generated after cell B89 is filled in.</t>
  </si>
  <si>
    <t>If this is the first application where the applicant is rebasing under MIFRS, the applicant should file two appendices, one under Revised CGAAP and one under MIFRS for the transition year (2014),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</si>
  <si>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Appendix 2-C is to be used under all of the scenarios presented in the table above. In the appendix, the applicant will need to indicate which scenario applies. The appendix is to be duplicated for each year and for each accounting standard required as per the above table.</t>
  </si>
  <si>
    <t xml:space="preserve">Applicants must complete Appendix 2-Y if this is the first rebasing application under MIFRS. 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as well,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</si>
  <si>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Already rebased with depreciation policy changes in a prior rate application and rebasing MIFRS for the first time.</t>
  </si>
  <si>
    <t>Already rebased under MIFRS in a prior rate application</t>
  </si>
  <si>
    <t>This is the opening gross book value of assets that have been acquired after the date of the utility's change in depreciation policies (i.e. additions starting in 2012/2013 for those who changed policies Jan. 1, 2012/2013). These assets are to be depreciated at the revised service life. The amount is expected to be equal to the opening gross book value of the prior year plus the prior year's additions.</t>
  </si>
  <si>
    <t>This should include assets in column D (excel column F) that have become fully depreciated.  The amount input in e (excel column G) should equal the gross book value of the asset</t>
  </si>
  <si>
    <t>This should include assets in column A (excel column C) that become fully depreciated since the date of the policy change.  The amount input in b (excel column D) should equal the net book value of the asset as at the date of depreciation policy change</t>
  </si>
  <si>
    <t>Applicants are to provide a breakdown of capitalized OM&amp;A in the below table. Capitalized OM&amp;A may be broken down using the categories listed in the table below if possible. Otherwise, applicants are to provide its own break down of capitalized OM&amp;A.</t>
  </si>
  <si>
    <t>COMPETITIVE SECTOR MULTI-UNIT RESIDENTIAL SERVICE CLASSIFICATION</t>
  </si>
  <si>
    <t>DISTRIBUTED GENERATION [DGEN] SERVICE CLASSIFICATION</t>
  </si>
  <si>
    <t>DISTRIBUTED GENERATION SERVICE CLASSIFICATION</t>
  </si>
  <si>
    <t>EMBEDDED DISTRIBUTOR SERVICE CLASSIFICATION</t>
  </si>
  <si>
    <t>EMBEDDED DISTRIBUTOR SERVICE CLASSIFICATION FOR HYDRO ONE NETWORKS INC.</t>
  </si>
  <si>
    <t>ENERGY FROM WASTE SERVICE CLASSIFICATION</t>
  </si>
  <si>
    <t>GENERAL SERVICE 1,000 KW AND GREATER SERVICE CLASSIFICATION</t>
  </si>
  <si>
    <t>GENERAL SERVICE 1,000 KW OR GREATER SERVICE CLASSIFICATION</t>
  </si>
  <si>
    <t>GENERAL SERVICE 1,000 TO 4,999 KW (CO-GENERATION) SERVICE CLASSIFICATION</t>
  </si>
  <si>
    <t>GENERAL SERVICE 1,000 TO 4,999 KW SERVICE CLASSIFICATION</t>
  </si>
  <si>
    <t>GENERAL SERVICE 1,500 TO 4,999 KW SERVICE CLASSIFICATION</t>
  </si>
  <si>
    <t>GENERAL SERVICE 3,000 TO 4,999 KW - INTERMEDIATE USE SERVICE CLASSIFICATION</t>
  </si>
  <si>
    <t>GENERAL SERVICE 3,000 TO 4,999 KW SERVICE CLASSIFICATION</t>
  </si>
  <si>
    <t>GENERAL SERVICE 50 TO 1,499 KW SERVICE CLASSIFICATION</t>
  </si>
  <si>
    <t>GENERAL SERVICE 50 TO 2,999 KW SERVICE CLASSIFICATION</t>
  </si>
  <si>
    <t>GENERAL SERVICE 50 to 4,999 kW SERVICE CLASSIFICATION</t>
  </si>
  <si>
    <t>GENERAL SERVICE 50 TO 499 KW SERVICE CLASSIFICATION</t>
  </si>
  <si>
    <t>GENERAL SERVICE 50 TO 699 KW SERVICE CLASSIFICATION</t>
  </si>
  <si>
    <t>GENERAL SERVICE 50 TO 999 KW SERVICE CLASSIFICATION</t>
  </si>
  <si>
    <t>GENERAL SERVICE 500 TO 1,499 KW SERVICE CLASSIFICATION</t>
  </si>
  <si>
    <t>GENERAL SERVICE 500 TO 4,999 KW SERVICE CLASSIFICATION</t>
  </si>
  <si>
    <t>GENERAL SERVICE 700 TO 4,999 KW SERVICE CLASSIFICATION</t>
  </si>
  <si>
    <t>GENERAL SERVICE DEMAND BILLED SERVICE CLASSIFICATION</t>
  </si>
  <si>
    <t>GENERAL SERVICE ENERGY BILLED SERVICE CLASSIFICATION</t>
  </si>
  <si>
    <t>GENERAL SERVICE EQUAL TO OR GREATER THAN 1,500 KW SERVICE CLASSIFICATION</t>
  </si>
  <si>
    <t>GENERAL SERVICE GREATER THAN 1,000 KW SERVICE CLASSIFICATION</t>
  </si>
  <si>
    <t>GENERAL SERVICE LESS THAN 50 KW SERVICE CLASSIFICATION</t>
  </si>
  <si>
    <t>HCI, RESOP, OTHER ENERGY RESOURCE SERVICE CLASSIFICATION</t>
  </si>
  <si>
    <t>INTERMEDIATE USER SERVICE CLASSIFICATION</t>
  </si>
  <si>
    <t>LARGE USE - 3TS SERVICE CLASSIFICATION</t>
  </si>
  <si>
    <t>LARGE USE - FORD ANNEX SERVICE CLASSIFICATION</t>
  </si>
  <si>
    <t>LARGE USE - REGULAR SERVICE CLASSIFICATION</t>
  </si>
  <si>
    <t>LARGE USE SERVICE CLASSIFICATION</t>
  </si>
  <si>
    <t>LARGE USE WITH DEDICATED ASSETS SERVICE CLASSIFICATION</t>
  </si>
  <si>
    <t>ONTARIO ELECTRICITY SUPPORT PROGRAM RECIPIENTS</t>
  </si>
  <si>
    <t>R1  RESIDENTIAL SERVICE CLASSIFICATION</t>
  </si>
  <si>
    <t>R2  RESIDENTIAL SERVICE CLASSIFICATION</t>
  </si>
  <si>
    <t>RESIDENTIAL R1 SERVICE CLASSIFICATION</t>
  </si>
  <si>
    <t>RESIDENTIAL R2 SERVICE CLASSIFICATION</t>
  </si>
  <si>
    <t>RESIDENTIAL SERVICE CLASSIFICATION</t>
  </si>
  <si>
    <t>SEASONAL CUSTOMERS SERVICE CLASSIFICATION</t>
  </si>
  <si>
    <t>SEASONAL RESIDENTIAL SERVICE CLASSIFICATION</t>
  </si>
  <si>
    <t>SEASONAL SERVICE CLASSIFICATION</t>
  </si>
  <si>
    <t>SENTINEL LIGHTING SERVICE CLASSIFICATION</t>
  </si>
  <si>
    <t xml:space="preserve">STANDBY POWER SERVICE CLASSIFICATION </t>
  </si>
  <si>
    <t>SUB TRANSMISSION SERVICE CLASSIFICATION</t>
  </si>
  <si>
    <t>UNMETERED SCATTERED LOAD SERVICE CLASSIFICATION</t>
  </si>
  <si>
    <t>UR RESIDENTIAL SERVICE CLASSIFICATION</t>
  </si>
  <si>
    <t>URBAN GENERAL SERVICE DEMAND BILLED SERVICE CLASSIFICATION</t>
  </si>
  <si>
    <t>URBAN GENERAL SERVICE ENERGY BILLED SERVICE CLASSIFICATION</t>
  </si>
  <si>
    <t>For 2018, please indicate whether the amounts provided are on a forecast or actual basis.</t>
  </si>
  <si>
    <t>Opening Balance²</t>
  </si>
  <si>
    <t>Canadian Niagara Power Inc.</t>
  </si>
  <si>
    <t>EPCOR Electricity Distribution Ontario Inc.</t>
  </si>
  <si>
    <t>Grimsby Power Incorporated</t>
  </si>
  <si>
    <t>Hearst Power Distribution Co. Ltd.</t>
  </si>
  <si>
    <t>InnPower Corporation</t>
  </si>
  <si>
    <t>Peterborough Distribution Incorporated</t>
  </si>
  <si>
    <t>If "yes" to cell E34, were the changes in policies reflected in a prior rebasing application?</t>
  </si>
  <si>
    <t>Past Investments with No Recovery.  The distributor has made investments in the past (during the IRM Years), but has not received approval for these projects and therefore did not receive</t>
  </si>
  <si>
    <t xml:space="preserve">Scenario 1:  </t>
  </si>
  <si>
    <t>Scenario 2:</t>
  </si>
  <si>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</si>
  <si>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Load Forecast CDM Adjustment Work Form</t>
  </si>
  <si>
    <t>Test Year:</t>
  </si>
  <si>
    <t>Determination of 2020 Load Forecast Adjustment</t>
  </si>
  <si>
    <t>Weight Factor for each year's CDM program impact on 2020 load forecast</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</si>
  <si>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2020 test year.</t>
  </si>
  <si>
    <t>Weight Factor for Inclusion in CDM Adjustment to 2020 Load Forecast</t>
  </si>
  <si>
    <t>2015-2020 LRAMVA and 2020 CDM adjustment to Load Forecast</t>
  </si>
  <si>
    <t>One manual adjustment for CDM impacts to the 2020 load forecast is made.  There is a different but related threshold amount that is used for the 2020 LRAMVA amount for Account 1568.</t>
  </si>
  <si>
    <t>The Manual Adjustment for the 2020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</si>
  <si>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Amount used for CDM threshold for LRAMVA (2020)</t>
  </si>
  <si>
    <t>Total for 2020</t>
  </si>
  <si>
    <t>Manual Adjustment for 2020 Load Forecast (billed basis)</t>
  </si>
  <si>
    <t>Manual Adjustment for 2020 LDC-only CDM programs (billed basis)</t>
  </si>
  <si>
    <t>Manual Adjustment for 2020 Load Forecast (system purchased basis)</t>
  </si>
  <si>
    <t>Manual adjustment uses "gross" versus "net" (i.e. numbers multiplied by (1 + g).  The Weight factor is also used to calculate the impact of each year's program on the CDM adjustment to the 2020 load forecast.</t>
  </si>
  <si>
    <t>Only 50% of 2019 CDM programs are assumed to impact the 2020 load forecast based on the "half-year" rule.</t>
  </si>
  <si>
    <t xml:space="preserve">The typical applicant is expected to have made capitalization and depreciation policy changes under CGAAP as permitted by the OEB on January 1, 2012 or mandated by the OEB by January 1, 2013, and adopted IFRS for reporting purposes on January 1, 2015 (transition date January 1, 2014).  Most distributors filing for 2020 rates have rebased with these accounting changes reflected in a prior rebasing application.  If that is the case, information relating to pre-accounting policy changes is not generally required.  Some distributors may have rebased under MIFRS. If that is the case, information related to the accounting standard used prior to IFRS is not generally required. The information to be provided by applicants will depend on when the accounting policy changes were made and when they last rebased.  In general, applicants should provide the following information in the appendices: </t>
  </si>
  <si>
    <t xml:space="preserve"> If the applicant did not make any further PP&amp;E accounting policy changes beyond the capitalization and depreciation policy changes as mandated by the OEB by January 1, 2013 (i.e. no further changes made on transition to IFRS), the applicant must indicate this and does not need to complete Appendix 2-EA.</t>
  </si>
  <si>
    <t>The table may need to be customized for a utility's asset categories or for any new asset accounts announced or authorized by the OEB.</t>
  </si>
  <si>
    <t>OEB policy of the "half-year" rule - the applicant must ensure that additions in the year attract a half-year depreciation expense in the first year.  Deviations from this standard practice must be supported in the application.</t>
  </si>
  <si>
    <t>The OEB determined that the "net" number should be used in its Decision and Order with respect to Centre Wellington Hydro Ltd.'s 2013 Cost of Service rates (EB-2012-0113).  This approach has also been used in Settlement Agreements accepted by the OEB in other 2013 and 2014 applications.  The distributor should select whether the adjustment is done on a "net" or "gross" basis, but must support a proposal for the adjustment being done on a "gross" basis.  Sheet 2-I defaults to the adjustment being done on a "net" basis consistent with OEB policy and practice.</t>
  </si>
  <si>
    <t>OEB-approved (2)</t>
  </si>
  <si>
    <t>Versus OEB-approved</t>
  </si>
  <si>
    <t>Test Year Versus OEB-approved</t>
  </si>
  <si>
    <t>Opening Balance for "Last Rebasing Year" (cell B15) should be equal to the OEB-Approved amount. For purposes of assessing incremental cost drivers, the closing balance for each year becomes the opening balance for the next year.</t>
  </si>
  <si>
    <t>Last Rebasing Year (2010 OEB Approved)</t>
  </si>
  <si>
    <t>This table must be completed for the last OEB-approved year and the test year.</t>
  </si>
  <si>
    <t>Last OEB-approved year:</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</si>
  <si>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OEB.</t>
    </r>
  </si>
  <si>
    <r>
      <t xml:space="preserve">Distributors should also provide the Net Book Value per class of meter as of December 31, 2010 as well as the number of meters that were removed / stranded.  In preparing this information, distributors should review the OEB's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</si>
  <si>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</si>
  <si>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r>
      <t>*</t>
    </r>
    <r>
      <rPr>
        <i/>
        <sz val="10"/>
        <rFont val="Arial"/>
        <family val="2"/>
      </rPr>
      <t>Regulated Price Plan Prices and the Global Adjustment Modifier for the Period May 1, 2019 – April 30, 2020</t>
    </r>
  </si>
  <si>
    <r>
      <t>**</t>
    </r>
    <r>
      <rPr>
        <i/>
        <sz val="10"/>
        <rFont val="Arial"/>
        <family val="2"/>
      </rPr>
      <t xml:space="preserve"> Regulated Price Plan Cost Suppy Report May 1, 2019 - April 30, 2020</t>
    </r>
  </si>
  <si>
    <t>Full year impact of 2017 CDM is assumed to be reflected in the base forecast, as the full year persistence of 2017 CDM programs is in the 2018 historical actual data. No further impact is necessary for the manual adjustment to the load forecast.</t>
  </si>
  <si>
    <t>Default is 0.5, but one option is for full year impact of persistence of 2018 CDM programs on 2020 load forecast, but 50% impact in base forecast (first year impact of 2018 CDM programs on 2018 actuals, which is part of the data underlying the base load forecast).</t>
  </si>
  <si>
    <t>Depreciation accounting policy changes were mandated by the OEB by January 1, 2013. In general, no further changes to an applicant's depreciation policy (i.e.  assets' service lives) are expected after the OEB mandated changes by January 1, 2013, unless a change is determined to be necessary in accordance with the depreciation review required under IFRS. If the applicant has made any changes to its depreciation policy subsequent to the OEB mandated changes, for the year of the change, applicants must quantify the change in depreciation. If there are significant changes to multiple asset classes, the applicant must complete Appendix 2-C before and after the change. Applicants must also  explain the nature of the change, the reason for the change, quantify the impact of the change.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</si>
  <si>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</si>
  <si>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r>
      <t xml:space="preserve">Note 2: </t>
    </r>
    <r>
      <rPr>
        <sz val="10"/>
        <rFont val="Arial"/>
        <family val="2"/>
      </rPr>
      <t>For the Test Year, Costs and Revenues of the Direct Benefit are to be included in the test year applicant Rate Base and Revenues.</t>
    </r>
  </si>
  <si>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</si>
  <si>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</si>
  <si>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t>Alectra Utilities Corporation-Brampton Rate Zone</t>
  </si>
  <si>
    <t>Alectra Utilities Corporation-Enersource Rate Zone</t>
  </si>
  <si>
    <t>Alectra Utilities Corporation-Horizon Utilities Rate Zone</t>
  </si>
  <si>
    <t>Alectra Utilities Corporation-PowerStream Rate Zone</t>
  </si>
  <si>
    <t>Energy+ Inc.-For Former Brant County Power Service Area</t>
  </si>
  <si>
    <t>Energy+ Inc.-For Former Cambridge and North Dumfries Hydro Service Area</t>
  </si>
  <si>
    <t>Entegrus Powerlines Inc.-For Entegrus-Main Rate Zone</t>
  </si>
  <si>
    <t>Entegrus Powerlines Inc.-For Former St. Thomas Energy Rate Zone</t>
  </si>
  <si>
    <t>Hydro One Networks Inc.-Former Haldimand County Hydro Inc. Service Area</t>
  </si>
  <si>
    <t>Hydro One Networks Inc.-Former Norfolk Power Distribution Inc. Service Area</t>
  </si>
  <si>
    <t>Hydro One Networks Inc.-Former Woodstock Hydro Services Inc. Service Area</t>
  </si>
  <si>
    <t>Lakeland Power Distribution Ltd.-Parry Sound Service Area</t>
  </si>
  <si>
    <t>Newmarket-Tay Power Distribution Ltd.-For Former Midland Power Utility Rate Zone</t>
  </si>
  <si>
    <t>Newmarket-Tay Power Distribution Ltd.-For Newmarket-Tay Power Main Rate Zone</t>
  </si>
  <si>
    <t>Synergy North Corporation-Kenora Rate Zone</t>
  </si>
  <si>
    <t>2019-2020 CDM Activities</t>
  </si>
  <si>
    <t xml:space="preserve">For the first year of the new 2015-2020 CDM plan, for simplicity it was assumed that each year's program will achieve an equal amount of new CDM savings. This resulted in each year's program being about 1/6 (or 16.67%) of the cumulative 2015-2020 CDM target for kWh savings.  A distributor could have proposed an alternative approach but would have been expected to document in its application why it believes that its proposal is more reasonable.  
For 2020 rate applications, distributors should ensure that the sum of the results for the 2015 to 2018 program years is consistent with the results provided by the IESO. For 2019 and 2020 program years, the projected CDM savings should not match the distributor's CDM Plan or its 2015-2020 CDM targets. Rather, for 2019 and 2020 CDM activity, distributors should only include the projected CDM savings from projects that are subject to contractual agreements between the distributor and customer made on or before April 30, 2019 under the former CFF. </t>
  </si>
  <si>
    <t>Former CFF 6 Year (2015-2020) kWh Target*</t>
  </si>
  <si>
    <t>*This total will not equal the distributor's former CFF CDM target. Rather, for 2019 and 2020, the distributor should only include the projected savings from projects that are subject to contractual agreements made between the LDC and a customer on or before April 30, 2019 under the former CFF.</t>
  </si>
  <si>
    <t xml:space="preserve">Note: The default formulae in the above table assume that the 2015-2020 kWh CDM target is achieved through persistence of CDM savings to the end of 2020. The distributor should enter measured CDM savings for 2015, 2016, 2017 and 2018, and the persistence of 2015, 2016, 2017 and 2018 programs for 2018-2020 in rows 34, 35, 36 and 37. Distributors should rely on the Participant and Cost monthly reports provided by the IESO for 2018 CDM savings which can be entered into row 37. The distributor should include only those projected CDM savings in 2019 and 2020 from projects that it has contractual obligations with a customer on or before April 30, 2019 under the former CFF. </t>
  </si>
  <si>
    <t>From each of the 2006-2010 CDM Final Report,  and the 2011 to 2017 CDM Final Reports, issued by the OPA/IESO for the distributor, the distributor should input the "gross" and "net" results of the cumulative CDM savings for 2018 into cells C57 to C63 and D57 to D63.  The model will calculate the cumulative savings for all programs from 2006 to 2016 and determine the "net" to "gross" factor "g".</t>
  </si>
  <si>
    <t>2017 CDM program</t>
  </si>
  <si>
    <t>2018 CDM program*</t>
  </si>
  <si>
    <t>2006 to 2017 OPA CDM programs:  Persistence to 2020.</t>
  </si>
  <si>
    <t>*For 2018 CDM programs distributors should rely on the results made available by the IESO in the Participant and Cost monthly reports</t>
  </si>
  <si>
    <t>Full year impact of 2015 CDM is assumed to be reflected in the base forecast, as the full year persistence of 2015 CDM programs is in the 2018 historical actual data. No further impact is necessary for the manual adjustment to the load forecast.</t>
  </si>
  <si>
    <t>Full year impact of 2016 CDM is assumed to be reflected in the base forecast, as the full year persistence of 2016 CDM programs is in the 2018 historical actual data. No further impact is necessary for the manual adjustment to the load forecast.</t>
  </si>
  <si>
    <t>Full year impact of persistence of 2019 programs on 2020 load forecast.  2019 CDM program impacts are not in the base forecast.</t>
  </si>
  <si>
    <t>2018*</t>
  </si>
  <si>
    <t>2019**</t>
  </si>
  <si>
    <t>2020**</t>
  </si>
  <si>
    <t>* For 2018 CDM programs distributors should rely on the results made available by the IESO in the Participant and Cost monthly reports</t>
  </si>
  <si>
    <t xml:space="preserve">** For 2019 and 2020 CDM program activity, the distributor should include only those projected CDM savings from projects that it has contractual obligations with a customer under the former CFF. </t>
  </si>
  <si>
    <t>The amount used for the CDM threshold of the LRAMVA is the kWh that will be used to determine the base amount for the LRAMVA balance for 2020. This allows for a comparison between projected CDM savings and actual CDM savings.</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</si>
  <si>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in the 2015 year, it was adjusted because the persistence of 2011-2014 CDM programs will be an adjustment to the load forecast in addition to the estimated savings for the first year (2015) for the new 2015-2020 CDM plan. This appendix has been updated for 2020 rate applications to acknowledge that in accordance with the Minister of Energy's March 20, 2019 Directive to the IESO, the Conservation First Framework (CFF) is no longer in effect. As distributors are no longer working towards the former 2015-2020 CDM targets, for 2019 and 2020 activity only CDM projects that are subject to a contractual agreement entered into between the distributor and a customer by April 30, 2019 under a former CFF program should be included in the proposed CDM manual adjustment to the load forecast. Distributors should provide relevant documentation to support the manual adjustments for 2019 and 2020 CDM projects, including the corresponding CFF program, project timelines and projected savings. For any savings from new projects that begin on or after May 1, 2019 that are under the IESO's interim framework (May 1, 2019 to December 31, 2020), distributors should not include these savings as part of the 2020 CDM manual adjustment.</t>
  </si>
  <si>
    <t>Alectra Utilities Corporation-Guelph Rate Zone</t>
  </si>
  <si>
    <t>Elexicon Energy Inc.-Whitby Rate Zone</t>
  </si>
  <si>
    <t>Elexicon Energy Inc.-Veridian Rate Zone</t>
  </si>
  <si>
    <t>ERTH Power Corporation - ERTH Power Main Rate Zone</t>
  </si>
  <si>
    <t>ERTH POWER CORPORATION – GODERICH RATE ZONE</t>
  </si>
  <si>
    <t>Hydro One Remote Communites Inc.</t>
  </si>
  <si>
    <t xml:space="preserve">Synergy North Corporation-Thunder Bay Rate Zone </t>
  </si>
  <si>
    <t xml:space="preserve">   Table 1: RPP Prices and GA Modifier: May 1, 2019 to October 31, 2019*</t>
  </si>
  <si>
    <t>EB-2019-0037</t>
  </si>
  <si>
    <t>tiija.luttrell@gsuinc.ca</t>
  </si>
  <si>
    <t>Yes</t>
  </si>
  <si>
    <t>Meter Installations</t>
  </si>
  <si>
    <t>Overhead Services</t>
  </si>
  <si>
    <t>System Betterment</t>
  </si>
  <si>
    <t>Underground Services</t>
  </si>
  <si>
    <t>City Roadwork</t>
  </si>
  <si>
    <t>Failed Transformers</t>
  </si>
  <si>
    <t>Chapman/Stafford Rebuild</t>
  </si>
  <si>
    <t>Beverly Drive Rebuild</t>
  </si>
  <si>
    <t>Griffith St.</t>
  </si>
  <si>
    <t>Crescent Park/ Gordon Ac Rebuild</t>
  </si>
  <si>
    <t>Brebeuf Front Lot</t>
  </si>
  <si>
    <t>Mcdonell/Rix Falconbridge</t>
  </si>
  <si>
    <t>Voltage Conversion/Tear Down in West Nip</t>
  </si>
  <si>
    <t>West Nipissing (MS37)</t>
  </si>
  <si>
    <t>Fourth Ave Minnow Lake</t>
  </si>
  <si>
    <t>Bloor St</t>
  </si>
  <si>
    <t>Ester (Long Lake Rd to Treeview)</t>
  </si>
  <si>
    <t>Lavoie St.</t>
  </si>
  <si>
    <t>Mountview Cres</t>
  </si>
  <si>
    <t>Struthers St.</t>
  </si>
  <si>
    <t>Hay St. (Cache Bay)</t>
  </si>
  <si>
    <t>Rear Line Marymount to St. Anne's Rd</t>
  </si>
  <si>
    <t>Mildred St.</t>
  </si>
  <si>
    <t>Madeleine St</t>
  </si>
  <si>
    <t xml:space="preserve">Somers St. </t>
  </si>
  <si>
    <t>Cressey Station Voltage Conversion</t>
  </si>
  <si>
    <t>Coniston Edward Station</t>
  </si>
  <si>
    <t>Tedman Voltage Conversion</t>
  </si>
  <si>
    <t>Kathleen Voltage Conversion</t>
  </si>
  <si>
    <t>Hudson St. 11F5</t>
  </si>
  <si>
    <t>Lansing Ave.</t>
  </si>
  <si>
    <t>Croatia Road 20F5</t>
  </si>
  <si>
    <t>Jarvi/Lammi's/Hannah Lake Rd 20F3</t>
  </si>
  <si>
    <t>West Nipissing Voltage Conversion</t>
  </si>
  <si>
    <t>9M4 Transfer Conductors (Martindale Pioneer Rd.)</t>
  </si>
  <si>
    <t>Lasalle Park Manor Underground</t>
  </si>
  <si>
    <t>Holland Road - 2017</t>
  </si>
  <si>
    <t>Lincoln Road Rebuild</t>
  </si>
  <si>
    <t>Clearwater Lake Road</t>
  </si>
  <si>
    <t>Copper Cliff 25F4</t>
  </si>
  <si>
    <t>Ferguson Avenue</t>
  </si>
  <si>
    <t>Fourth Avenue Coniston 31F1</t>
  </si>
  <si>
    <t>Kathleen Station MS2</t>
  </si>
  <si>
    <t>Bancroft 44kv Extension</t>
  </si>
  <si>
    <t>Lasalle MS7 Relay Upgrades</t>
  </si>
  <si>
    <t>11F7 - Falconbridge Rd to Moonlight Ave; New Ckt</t>
  </si>
  <si>
    <t>Lorne @ Martindale Ave; Complete 12kV and 44kV Feeder Ties</t>
  </si>
  <si>
    <t>Melvin to Kathleen MS; New 44kV Ckt/Rebuild</t>
  </si>
  <si>
    <t>2017 44KV To Coniston (Allan/Edward)</t>
  </si>
  <si>
    <t>Sunnyside Rebuild</t>
  </si>
  <si>
    <t>Tools and Equipment</t>
  </si>
  <si>
    <t>WIP - Capital Inventory</t>
  </si>
  <si>
    <t>Work in Process</t>
  </si>
  <si>
    <t>Adjustment through RE</t>
  </si>
  <si>
    <t>6 Year Historical Average</t>
  </si>
  <si>
    <t>n/a</t>
  </si>
  <si>
    <t>Standard Supply Service - Administrative Charge</t>
  </si>
  <si>
    <t>Service Transactions Requests</t>
  </si>
  <si>
    <t>Rent from Electric Property</t>
  </si>
  <si>
    <t>Revenues from Non-Utility Operations</t>
  </si>
  <si>
    <t>Expenses of Non-Utility Operations</t>
  </si>
  <si>
    <r>
      <t>Miscellaneous Non-Operating Income</t>
    </r>
    <r>
      <rPr>
        <vertAlign val="superscript"/>
        <sz val="10"/>
        <rFont val="Arial"/>
        <family val="2"/>
      </rPr>
      <t>5</t>
    </r>
  </si>
  <si>
    <r>
      <t>Interest and Dividend Income</t>
    </r>
    <r>
      <rPr>
        <vertAlign val="superscript"/>
        <sz val="10"/>
        <rFont val="Arial"/>
        <family val="2"/>
      </rPr>
      <t>2</t>
    </r>
  </si>
  <si>
    <t>Non Rate-Regulated Utility Rental Income</t>
  </si>
  <si>
    <t>Other Electric Revenues</t>
  </si>
  <si>
    <t>Regulatory Credits</t>
  </si>
  <si>
    <t>IESO Prudential Costs, Advertisements</t>
  </si>
  <si>
    <t>Affiliate</t>
  </si>
  <si>
    <t>Greater Sudbury Hydro</t>
  </si>
  <si>
    <t>Garage/Fleet Services</t>
  </si>
  <si>
    <t>Board Approved</t>
  </si>
  <si>
    <t>Days O/S</t>
  </si>
  <si>
    <t>Multiple draw term loan (SWAP)</t>
  </si>
  <si>
    <t>Toronto-Dominion Bank</t>
  </si>
  <si>
    <t>Third-Party</t>
  </si>
  <si>
    <t>Promissory Note</t>
  </si>
  <si>
    <t>Greater Sudbury Utilities</t>
  </si>
  <si>
    <t>Affiliated</t>
  </si>
  <si>
    <t>Fixed Rate</t>
  </si>
  <si>
    <t>demand</t>
  </si>
  <si>
    <t>Term Loan</t>
  </si>
  <si>
    <t>Financing Agreement</t>
  </si>
  <si>
    <t>705-675-0514 ext. 2357</t>
  </si>
  <si>
    <t>Overhead Conductors &amp; Devices (40 yr)</t>
  </si>
  <si>
    <t>Overhead Conductors &amp; Devices (50 yr)</t>
  </si>
  <si>
    <t>Account 4405 - Interest and Dividend Income</t>
  </si>
  <si>
    <t>Intercompany interest</t>
  </si>
  <si>
    <t>Account 4082 - Retail Services Revenue</t>
  </si>
  <si>
    <t>DCBR Bill Charges</t>
  </si>
  <si>
    <t>Account 4084 - Standard Supply Service- Admin Charge</t>
  </si>
  <si>
    <t>Account 4210 - Rent from Electric Property</t>
  </si>
  <si>
    <t>Account 4375 - Revenues from Non Utility Operations</t>
  </si>
  <si>
    <t>Account 4380 - Expenses of Non Utility Operations</t>
  </si>
  <si>
    <t>Account 4390 - Expenses of Non Utility Operations</t>
  </si>
  <si>
    <t>Account 4385 - Non Rate-Regulated Utility Rental Income</t>
  </si>
  <si>
    <t>Account 4220 - Other Electric Revenues</t>
  </si>
  <si>
    <t>Account 4310 - Regulatory Credits</t>
  </si>
  <si>
    <t>Transportation Equipment (12 year)</t>
  </si>
  <si>
    <t>Transportation Equipment (8 year)</t>
  </si>
  <si>
    <t>Buildings Renos</t>
  </si>
  <si>
    <t xml:space="preserve">Meters </t>
  </si>
  <si>
    <t>Transportation Equipment (12 yr)</t>
  </si>
  <si>
    <t>Transportation Equipment (8 yr)</t>
  </si>
  <si>
    <t>`</t>
  </si>
  <si>
    <t>Regent Voltage Conversion</t>
  </si>
  <si>
    <t>MS30/MS31 Grounding Improvements/ Switching</t>
  </si>
  <si>
    <t>Hawthorne (Vine to Beatrice)</t>
  </si>
  <si>
    <t>Dash MS19 T1/T2 Relay Upgrades;Purchase Equipment</t>
  </si>
  <si>
    <t>Continue 44kV build down Government Rd to Hwy 17 - Coniston 31F2</t>
  </si>
  <si>
    <t>Enterprise Bus</t>
  </si>
  <si>
    <t>Battery Bank Replacements</t>
  </si>
  <si>
    <t>West Nipissing4-12kvconver</t>
  </si>
  <si>
    <t>Martin Ave</t>
  </si>
  <si>
    <t>To December 31, 2018</t>
  </si>
  <si>
    <t>Customer Focus</t>
  </si>
  <si>
    <t>Operational Effectiveness</t>
  </si>
  <si>
    <t>Public Policy Responsiveness</t>
  </si>
  <si>
    <t>CGAAP w/ MIFRS Dep'n &amp; Capitalization</t>
  </si>
  <si>
    <t>Board of Directors</t>
  </si>
  <si>
    <t>Loss on Disposition of Utility and Other Property</t>
  </si>
  <si>
    <t>Account 4086 - Standard Supply Service</t>
  </si>
  <si>
    <t xml:space="preserve">Residential Customers </t>
  </si>
  <si>
    <t xml:space="preserve">GS &lt; 50 kW Customers </t>
  </si>
  <si>
    <t xml:space="preserve"> GS &gt; 50 kW Customers</t>
  </si>
  <si>
    <t>Non-metered Customers</t>
  </si>
  <si>
    <t>Streetlight Customers</t>
  </si>
  <si>
    <t xml:space="preserve">Sentinel Light Customers </t>
  </si>
  <si>
    <t>Rental Income</t>
  </si>
  <si>
    <t>Affordability Fund Trust</t>
  </si>
  <si>
    <t>OPA programs</t>
  </si>
  <si>
    <t>OPA programs - Expenditure Offset</t>
  </si>
  <si>
    <t>Sale of materials/service</t>
  </si>
  <si>
    <t>Sale of Scrap Material</t>
  </si>
  <si>
    <t>Miscellaneous Revenue</t>
  </si>
  <si>
    <t>Fit Fees Revenue</t>
  </si>
  <si>
    <t>Misc revenue</t>
  </si>
  <si>
    <t>IFRS Adjustments</t>
  </si>
  <si>
    <t>Miscellaneous Intangible Plant</t>
  </si>
  <si>
    <t>Cable Testing/Rejuvenation</t>
  </si>
  <si>
    <t>4360- Loss on Disposition of Utility and Other Property</t>
  </si>
  <si>
    <t>Net of WIP and Cap Inv 1330 and 2055</t>
  </si>
  <si>
    <t>Pole Rental Income</t>
  </si>
  <si>
    <t>Deferred Revenue</t>
  </si>
  <si>
    <t>Other Non Rate Regulated Assets</t>
  </si>
  <si>
    <t>Capreol Rebuild</t>
  </si>
  <si>
    <t xml:space="preserve">Tedman  </t>
  </si>
  <si>
    <t>Bad Debt Expense</t>
  </si>
  <si>
    <t>Energy Conservation</t>
  </si>
  <si>
    <t>Operation Supervision and Engineering</t>
  </si>
  <si>
    <t>Load Dispatching</t>
  </si>
  <si>
    <t>Meter Expense</t>
  </si>
  <si>
    <t>Miscellaneous Distribution Expense</t>
  </si>
  <si>
    <t>Property Insurance</t>
  </si>
  <si>
    <t>Maintenance of General Plant</t>
  </si>
  <si>
    <t>Deferred revenue</t>
  </si>
  <si>
    <t>4245- Government and Other Assistance Directly Credited to Income</t>
  </si>
  <si>
    <t>Customer Premises</t>
  </si>
  <si>
    <t>Administration</t>
  </si>
  <si>
    <t>Meter Maintenance</t>
  </si>
  <si>
    <t>Overhead Distribution System Maintenance</t>
  </si>
  <si>
    <t>Overhead Distribution System Operations</t>
  </si>
  <si>
    <t>Station Maintenance</t>
  </si>
  <si>
    <t>Station Operations</t>
  </si>
  <si>
    <t>Tree Trimming</t>
  </si>
  <si>
    <t>Underground Distribution System Maintenance</t>
  </si>
  <si>
    <t>Underground Distribution System Operations</t>
  </si>
  <si>
    <t>Regulatory Expense</t>
  </si>
  <si>
    <t>Third party lender</t>
  </si>
  <si>
    <t>Long-term debt</t>
  </si>
  <si>
    <t>Travel Costs</t>
  </si>
  <si>
    <t>Innovation</t>
  </si>
  <si>
    <t>Governance</t>
  </si>
  <si>
    <t>Business Excellence</t>
  </si>
  <si>
    <t>2013 Board Approved</t>
  </si>
  <si>
    <t>Hourly charge out rate based on full cost recovery</t>
  </si>
  <si>
    <t>Streetlight Maintenance</t>
  </si>
  <si>
    <t>Time of staff as recorded in the work order system</t>
  </si>
  <si>
    <t>Building Services and Occupancy Costs</t>
  </si>
  <si>
    <t>2013 Actual</t>
  </si>
  <si>
    <t>2014 Actual</t>
  </si>
  <si>
    <t>2015 Actual</t>
  </si>
  <si>
    <t>2016 Actual</t>
  </si>
  <si>
    <t>2017 Actual</t>
  </si>
  <si>
    <t>2018 Actual</t>
  </si>
  <si>
    <t>2019 Bridge</t>
  </si>
  <si>
    <t>2020 Test</t>
  </si>
  <si>
    <t>2013 Board Approved (BA)</t>
  </si>
  <si>
    <t>2020 Test Year</t>
  </si>
  <si>
    <t>Variance</t>
  </si>
  <si>
    <t>2020/2013 BA</t>
  </si>
  <si>
    <t>2018/2020 Test</t>
  </si>
  <si>
    <t>Less Deferred Revenue included in 4245 Other Revenue</t>
  </si>
  <si>
    <t>Monthly Billing</t>
  </si>
  <si>
    <t>OEB Assessments</t>
  </si>
  <si>
    <t>Deemed rate</t>
  </si>
  <si>
    <t>Actual rate</t>
  </si>
  <si>
    <t>Gain on Disposition of Utility and Other Property</t>
  </si>
  <si>
    <t>4355 Gain on Disposition of Utility and Other Property</t>
  </si>
  <si>
    <t>Gain on Disposal</t>
  </si>
  <si>
    <t>OEB Approved</t>
  </si>
  <si>
    <t>GS &lt; 50 kW</t>
  </si>
  <si>
    <t>GS &gt; 50 kW</t>
  </si>
  <si>
    <t>Street Lighting</t>
  </si>
  <si>
    <t>USL</t>
  </si>
  <si>
    <t>kW</t>
  </si>
  <si>
    <t>50% cost of two boards, (GSHi and GSU), plus direct assignment of two independent directors</t>
  </si>
  <si>
    <t>Carrying charges</t>
  </si>
  <si>
    <t>Professional fees for third party consultants and accounting firms to assist specifically with IFRS transition.</t>
  </si>
  <si>
    <t>Materially consists of the time of incremental staff - backfilled a full-time employee while they were working on IFRS transition matters.</t>
  </si>
  <si>
    <t>Invoices from 3rd party pertaining to support for general ledger software, pertaining to IFRS.</t>
  </si>
  <si>
    <t>Incremental staff training and development costs pertaining to IFRS.</t>
  </si>
  <si>
    <t>Carrying Charges January 1, 2019 to December 31, 2019 or April 30, 2020 (As appropriate)</t>
  </si>
  <si>
    <t xml:space="preserve">            Opening other adjustments</t>
  </si>
  <si>
    <t xml:space="preserve">            Closing other adjustments</t>
  </si>
  <si>
    <t>Other adjustments  (items affecting net PP&amp;E, but not deferred)</t>
  </si>
  <si>
    <t xml:space="preserve">            Other adjustments - Note 5</t>
  </si>
  <si>
    <t>5  See Exhibit 9, Tab 2, Schedule 1 for discussion pertaining other adjustments in this appendix.</t>
  </si>
  <si>
    <t>various accounts</t>
  </si>
  <si>
    <t>Vanier Lane Road</t>
  </si>
  <si>
    <t>Algonquin Rebuild</t>
  </si>
  <si>
    <t>Sunnyside</t>
  </si>
  <si>
    <t>West Nip 4 to 12 Conversion</t>
  </si>
  <si>
    <t>Pole Replacements</t>
  </si>
  <si>
    <t>Pine St- 4kV Rebuild</t>
  </si>
  <si>
    <t>Beatty</t>
  </si>
  <si>
    <t>Copper Cliff Rebuild/ Evans Road Rebuild</t>
  </si>
  <si>
    <t>Southlane Road</t>
  </si>
  <si>
    <t>44KV Motorized Switches</t>
  </si>
  <si>
    <t>Coppercliff Gardens Rebuild</t>
  </si>
  <si>
    <t>Control Room Electronic Mapping</t>
  </si>
  <si>
    <t>3F7</t>
  </si>
  <si>
    <t>3F10</t>
  </si>
  <si>
    <t>Lo-Ellen Park Rebuild</t>
  </si>
  <si>
    <t>Vanier Lane Rebuild - Phase 2</t>
  </si>
  <si>
    <t>Woodbine / Agincourt</t>
  </si>
  <si>
    <t>Harju/ Pennala</t>
  </si>
  <si>
    <t>Raft LK</t>
  </si>
  <si>
    <t>Cambrian Heights Dr-UG Extension to College Boreal</t>
  </si>
  <si>
    <t>44KV Motorized Switches/VBM</t>
  </si>
  <si>
    <t>approved</t>
  </si>
  <si>
    <t>Administration and general expenses</t>
  </si>
  <si>
    <t xml:space="preserve">Community </t>
  </si>
  <si>
    <t>Labour burden</t>
  </si>
  <si>
    <t>Vehicle Burden</t>
  </si>
  <si>
    <t>Materials burden</t>
  </si>
  <si>
    <t>Operations Supervision</t>
  </si>
  <si>
    <t>Refer to Exhibit 2, Tab 2, Schedule 2 for variance analysis.</t>
  </si>
  <si>
    <t>Distribution Maintenance</t>
  </si>
  <si>
    <t xml:space="preserve">Distribution operations </t>
  </si>
  <si>
    <t>Labour burden (Capitalized)</t>
  </si>
  <si>
    <t>Vehicle Burden (Capitalized)</t>
  </si>
  <si>
    <t>Materials burden (Capitalized)</t>
  </si>
  <si>
    <t>Operations Supervision (Capitalized)</t>
  </si>
  <si>
    <t>Engineering Burden (Capitalized)</t>
  </si>
  <si>
    <t>Engineering Burden</t>
  </si>
  <si>
    <t>Time now tracked directly to capital jobs, not charged through burden</t>
  </si>
  <si>
    <t>Meters (includes Smart Meters)</t>
  </si>
  <si>
    <t>Meters (Stranded Meter Adjustment)</t>
  </si>
  <si>
    <t>Smart Meter Adjustment to Opening Balance</t>
  </si>
  <si>
    <t>Smart Meter Acc Amort Adj to Opening Balance</t>
  </si>
  <si>
    <t>9M2 Extension</t>
  </si>
  <si>
    <t>Gemmell MS11 (T1)</t>
  </si>
  <si>
    <t>Sunnyside 12 kV Feeder Relocation</t>
  </si>
  <si>
    <t>Major Substation Repairs</t>
  </si>
  <si>
    <t>Emergency Plant Maintenance</t>
  </si>
  <si>
    <t>Building</t>
  </si>
  <si>
    <t>Outage Management System (OMS)</t>
  </si>
  <si>
    <t>Pole Rebuilds</t>
  </si>
  <si>
    <t>Gemmell MS 11</t>
  </si>
  <si>
    <t>Cressey MS3 Rebuild/Voltage Conversion</t>
  </si>
  <si>
    <t>Approval of the Distribution System Plan included in Exhibit 2.</t>
  </si>
  <si>
    <t>Approval of the proposed loss factor included in Exhibit 8.</t>
  </si>
  <si>
    <t>Approval to charge Retail Service Charges as detailed in Exhibit 8.</t>
  </si>
  <si>
    <t>Approval to charge the Specific Service Charges as detailed in Exhibit 8.</t>
  </si>
  <si>
    <t xml:space="preserve">Approval of the rate rider for a one-year disposition of the Lost Revenue Adjustment Mechanism Variance Account ("LRAMVA") for lost revenue as presented in Exhibits 4 and 9. </t>
  </si>
  <si>
    <t xml:space="preserve">Conservation Program Customer Engagement Activities
</t>
  </si>
  <si>
    <t>E-blast Analytics indicate customers deem sending information via an e-blast was an acceptable method of communication for this purpose, and that there is a desire for e-blast-style communication. 
Open rates are consistently between 55%-60%, Click-thru rate: 9%-12%, Bounce Rate: &lt;10%, Unsubscribers: 0.2%-1%
One of the most successful tools we employed was Instant Voice Recording which has now been adopted by several LDCs in the province as well as Hydro One.  
GSHi's (e-blast and letter) recipient list was customized and targeted in scope, allowing us to speak to customers who may be most interested in receiving the correspondence, such as high consumption customers who would benefit most from the message. GSHi  believes the benefits of the content in the email message, combined with the ease and flexibility with which the customer can decide to open and read the message, results in a satisfactory way to communicate with our customer base regarding energy-saving incentive programs. 
GSHi social media accounts have also been a successful channel to flow information, with much interaction and engagement (comments, shares, likes). 
GSHi created a door hanger to be left on the neighbouring doors of homes to participants in the program</t>
  </si>
  <si>
    <t xml:space="preserve">At the start of the clothesline giveaway program, there was a large effort required by GSHi customers to sign up and participate. GSHi decided to change the methods to see if improved accessibility increased the uptake. Our wide variety of Engagement Activities are listed to the left, and the result was very positive. 
GSHi has been invited twice to speak with the Board of Trustees of the Affordability Fund Trust (AFT) Program, due to our successful engagement with our customers.  Our campaigns resulted in GSHi being ranked in the top five in all of Ontario for the total number of customers who signed up for the program.  
One of the most successful tools GSHi employed was Instant Voice Recording which, as a result, has since been adopted by several LDCs in the province, including Hydro One.  
GSHi will continue to use our social media accounts to flow information because it is an easy way to interact and engage (comments, shares, likes) with out customers in their own time, when its conveneint for them to do so. 
The door hanger GSHi created and had printed generated conversation between neighbours and worked well to create trust in the program and reach any customers who don't use the internet.
Going to where our customers live, work, and play, made it easier for customers to engage with us and participate in the varities of programs offered. Our Conservation team began to reach out to various locations and employers where large numbers of our customers would congregate, and organized booths during high traffic periods.  </t>
  </si>
  <si>
    <t xml:space="preserve">Contractors rely on the expertise of the Conservation team to flow the information out to the contractors. The contractors could then use the program information as a sales vehicle to boost their business as well. Working with the local contractors is another channel for customers to receive information, and make energy-saving upgrades. </t>
  </si>
  <si>
    <t xml:space="preserve">We found contractors appreciated the opportunity to learn about program upgrades, so they could in turn educate their customers (also our customers) and have an opportunity to offer the work with a incentive attached.  
The IESO offered to hold sales training for contractors featuring Steven Dixon and Mark Jewel, who combined their approaches to selling energy efficiency to come up with a one day workshop.  Contractors learned how to engage their customers with energy efficient options and how to think outside the box with their sales pitches.  In the past, this type of training was only offered in major centers such as Toronto and Ottawa, therefore GSHI jumped at the chance to bring this type of training to Sudbury.  We engaged our trade allies with emails and then followed up with a personal phone call and were able to have over 40 people attend the workshop. The IESO did this in four locations, including Toronto, London, Niagara and Sudbury and the contractor had to cover the cost themselves.  GSHI’s workshop had over 40 in attendance, second only to Toronto.  </t>
  </si>
  <si>
    <t xml:space="preserve">Information collected in the research assisted in the development of the program’s marketing and communication messaging and overall strategy. We were able to hone in on the preferences of participants regarding name, offering, and appearance of materials. </t>
  </si>
  <si>
    <t xml:space="preserve">The H.E.A.R. Pilot Program was named as a result of the focus group inputs, and the offerings were fine tuned, also with the consultation results in mind. </t>
  </si>
  <si>
    <t>Though elements of the artwork and messaging were prescribed by the various program providers, GSHi consulted front line and customer service staff to help determine the best channels of distribution and format where options were available to us.</t>
  </si>
  <si>
    <t xml:space="preserve">GSHi found that communicating with our customers in ways convenient to them facilitated program adoption and knowledge. This meant using a wide variety of channels and methods to capture our target audience. </t>
  </si>
  <si>
    <t xml:space="preserve">The results of the focus groups indicated more education and assistance was needed in implementing energy-saving equipment and practices due to the amount of knowledge required. Customers said they would like to see more real-world comparisons and examples in advertising, as well as information communicated in a compact and digestible format, such as bulleted liists. </t>
  </si>
  <si>
    <t xml:space="preserve">Based on the findings from the focus group, GSHi adjusted for and incorporated these preferences when designing outbound marketing materials for each participating demographic. Examples included are a Small Business Lighting Brochure, and promotional photography was arranged to be taken at a Sudbury family  residential home. </t>
  </si>
  <si>
    <t>Greater Sudbury Hydro Inc Ongoing Customer Engagement Activities</t>
  </si>
  <si>
    <t>Residential and Business Transactional Customer Surveys . Conducted on a weekly basis, facilitated by Oraclepoll Research.</t>
  </si>
  <si>
    <t xml:space="preserve">These surveys are an ongoing effort for customers to give feedback on their most recent interaction with GSHi. Surveys are reviewed and results </t>
  </si>
  <si>
    <t xml:space="preserve"> Survey results are reviewed by respective departments, and those scores neutral or unsatisfactory are investigated more closely and acted upon if necessary. These results are posted on a corporate level as a part of our ISO QMS system, and in GSHi's quarterly management meetings. </t>
  </si>
  <si>
    <t xml:space="preserve">Research-based Customer DSP Consultation (2016). GSHi hired research group Decision Partners to conduct in-depth telephone interviews with 28 total customers from all of GSHi's rate classes to secure feedback on initial draft of its DSP in 2016. Interviews were structured so as to gain insight on customer perceptions of GSHi as a service provider, issues of highest priority for customers over the coming years, and their thoughts on the appropriateness of investments as presented in the DSP draft.                                          </t>
  </si>
  <si>
    <t>When asked to cite their top priorities for the utility, customers consistently suggested:
•	maintaining the distribution infrastructure;
•	maintaining reliability; and 
•	controlling cost. 
Investments in the renewal of aging assets, a primary driver of investment increases in the DSP, were seen as somewhat or very critical by most of the customers surveyed. Customers also expressed high confidence in GSHi’s ability to provide safe, reliable and cost-effective electricity by implementing its proposed DSP.
Although Decision Partners recommended that GSHi stay the course with its proposed DSP, the group also noted that additional feedback provided by interviewees indicated a need to further enhance consultation by filling knowledge gaps and better communicating the context around proposed investments.
Specifically, Decision Partners recommended that GSHi communicate with customers about: 
•	Their bill – and specifically the portion that comes from distribution.
•	The importance of ongoing maintenance and upgrading of the system – explain     not just what needs to be done, but why – and how this work benefits customers (e.g., to prevent and reduce the duration of disruptions).
•	What capital investments have been completed recently, what are planned, and how the work has been prioritized.
•	What is being done to keep costs reasonable and affordable, and what costs incurred by customers are beyond GSHi’s control.</t>
  </si>
  <si>
    <t xml:space="preserve">GSHi further refined its DSP to ensure appropriate investments were made in system renewal activities to ensure reliable service to customers, while also reducing costs in other areas in an effort to keep cost increases within reasonable limits. GSHi also considered customer feedback regarding the need for further education on the distribution system—how it functions, how it is maintained, and how rates are set—and created additional communications material to fill knowledge gaps in advance of and during the 2nd phase of DSP consultation.   
</t>
  </si>
  <si>
    <t>DSP Quantitative Survey. GSHi worked with Decision Partners  on Phase 2 of the DSP Consultation to create and conduct a customer web survey between May 3 and June 14, 2019. The web survey was designed to better explain GSHi’s priorities with respect to managing the distribution system, gather feedback on the investments proposed in the DSP (which had been revised based on feedback received in Phase I consultation), and to reach out to a greater number of customers.</t>
  </si>
  <si>
    <t xml:space="preserve">The web survey received 1854 responses. The overwhelming majority of respondents (just shy of 99%) were residential customers.
Survey results: 
•	Reliable service and controlled costs were once again shown to be two of the highest priorities for customers.
•	When asked about the criticality of investments in each area of the DSP, nearly all survey respondents rated investments as “Very” or “Somewhat” critical.
•	When asked about the appropriateness of the level of investments proposed in the DSP, nearly all survey respondents rated investments in each of the areas as “Very” or “Somewhat” appropriate.
•	When asked to provide their assessment of the expenditures and resulting bill impacts as described, nearly all customers (90%) rated the overall level of investment as “Very” (55%) or “Somewhat” (35%) Appropriate.
•	When asked to rate their confidence that GSHi will continue to provide safe, reliable, cost effective electricity by implementing the investments associated with the DSP, nearly all customers (91%) said they have a “High Degree of Confidence” (60%) or “Medium Degree of Confidence” (31%).
</t>
  </si>
  <si>
    <t xml:space="preserve">After carefully considering the outcomes of the enhanced customer consultation process and the candid feedback provided, GSHi is confident in saying that its 2019-2024 DSP has received a strong endorsement from its customers. 
Moving forward, GSHi will continue to listen to, learn from and educate its customers to ensure their needs are met. </t>
  </si>
  <si>
    <t xml:space="preserve">Annual Customer Satisfaction Survey conducted by Oraclepoll Research. </t>
  </si>
  <si>
    <t>These surveys, and the interpretation of results provided in each of Oraclepoll’s summary reports, has allowed GSHi to see its operations through the eyes of its customers to better understand what services and organizational qualities they value, as well as where they experience pain points in their relationship with the utility. Key findings have included customers reinforcing that they want a balance between reliability and cost, more conservation initiatives and increased digital and automated communications.</t>
  </si>
  <si>
    <t xml:space="preserve">Project planning reflects the insights and identified priorities expressed in the annual survey. 
2020-2024 DSP has taken this feedback into consideration and reflects the input received from our customers. </t>
  </si>
  <si>
    <t xml:space="preserve">Observations: Attendance at Open House events is generally low, but GSHi believes that result is due to the positive tone of the project, and the combination of direct mail literature on the project (including FAQs), the website page with feedback form, and media interviews, all of which contribute to the understanding of the project. 
</t>
  </si>
  <si>
    <t xml:space="preserve">GSHi continuously improves, evaluates and adjusts communication practices to engage with its customers. GSHi works closely with City Councillors in the affected wards to help spread the information and increase understanding and will continue to consider the demographics of the area to determine the appropriate engagement efforts.  </t>
  </si>
  <si>
    <t xml:space="preserve">GSHi continues to hear from our stakeholders that safety is a priority. Our corporate culture focuses on safety for our staff, our customers and our community.
</t>
  </si>
  <si>
    <t xml:space="preserve">OEB/ESA Safety Survey results: 
74% 2015/2016
80% 2017/2018
No public incidents of serious electrical accidents in the past 5 years. </t>
  </si>
  <si>
    <t xml:space="preserve">Collaboration with Local Community Partners on Emergency Preparedness Planning
</t>
  </si>
  <si>
    <t xml:space="preserve">Through several significant weather events, as well as other events that impact the public on a wide scale, such as vehicle collisions with utility poles, we have identified the need to make communications more seamless and cohesive with all emergency management agencies  in the communities we serve. </t>
  </si>
  <si>
    <t>GSHi initiated and hosted meetings with police, fire, senior city officials, to strengthen partnerships and streamline the execution of necessary activities in emergency situations.
Commitment from all levels of the organization to plan, practice, and execute.</t>
  </si>
  <si>
    <t>Unplanned Outage Communication in development</t>
  </si>
  <si>
    <t xml:space="preserve">GSHi recognizes that social media is a way we can communicate with customers who are being effected by an unplanned outage, and reduce the number of calls coming in to Customer Service, Control Room and to our Answering Service.
Over the last year, 5 out of our top 10 search queries include search terms with the word "Sudbury" and "outage" in it.  
</t>
  </si>
  <si>
    <t xml:space="preserve">Automated ARC GIS live outage map currently in development. Project led by Innovation Office and incorporates collaboration between Engineering, Operations, Control Room, Communications, and GIS. </t>
  </si>
  <si>
    <t>Tracking main online platform metrics to gauge interaction with GSHi's online presence has helped GSHi to recognize that customers access information in a variety of ways. Our customer base is varied and wide spread. This makes it important to use a broad approach to GSHi's online presence so that we are reaching the most customers possible by communicating in ways relevant to them.  
Our Google listing receives approximately 12,000 views per month, 25.5% of customer base.  
Our website receives approximately 7,500 visits per month, 15.9% of customer base. 
Facebook page: 2,349 followers, 4.9% of customer base (active 2013)
Twitter account has 3,923 followers, 8.3% of customer base (active since 2013).
Instagram followers: 683, 1.4% (active since 2016).</t>
  </si>
  <si>
    <t xml:space="preserve">GSHi continually works to improve its online presence, building relationships with customers online through photos, videos, posts, and other interactions. </t>
  </si>
  <si>
    <t>With an average of 2,100 sessions and 7,500 page views per month, GSHi understands that our website is an important resource and point of contact for many customers. GSHi pays close attention to data measured from our website, such as how customers are using the site,  to ensure relevant information is available and to provide customers with the most seamless experience possible. 
Metrics which are closely tracked  include number of visitors, number of new visitors, frequently visited pages, behavior of visitors, landing pages, exit pages and search terms. 
The Annual Customer Satisfaction Survey indicates customers satisfaction with GSHi online communications steadily increases.
Online Web Forms
In an effort to continue to expand on opportunities for GSHi's customers to choose how they would best like to communicate with GSHi, there are forms that are always available on the website for general contact and to report a streetlight in need of repair. GSHi has also used forms as a way to request feedback on particular projects that were high profile and capital intensive, such as substation renewal projects. 
GSHi receives an average of 35 general contact forms per month, and 10 streetlight maintenance request forms per month. 
MyAccount Online Portal is used as a way to communicate consumption and billing information. Customers who have registered for paperless billing will not receive bill inserts or paper notices, the messages are sent via online web portal.</t>
  </si>
  <si>
    <t>These analytics help to guide our revisions to the site, such as making informed decisions based on which pages are visited most, least and search engine optimization.
We use our social media channels for two-way communication with our customers regarding safety, events and initiatives of public interest, conservation, outages/ restoration, seasonal preparation, Time of Use periods, electricity rate changes, pilot programs and promotional content and contests. We measure and track our results to continuously make an effort to communicate with our customers and community in the places, channels and at the times that they desire.  
GSHi continuously monitors and evaluates customer feedback provided on the forms and social media, and makes adjustments accordingly.</t>
  </si>
  <si>
    <t xml:space="preserve">GSHi is a critical partner in the community and understands its role and responsibility to all of its stakeholders. </t>
  </si>
  <si>
    <t>GSHi responds to requests from community organizations and partners who are looking for support.</t>
  </si>
  <si>
    <t xml:space="preserve">Engagement with Municipal and Provincial candidate interviews
Since 2014 GSHi leadership has extended invitations to municipal and provincial election candidates to meet and learn about the electrical industry and  GSHi operations.  </t>
  </si>
  <si>
    <t xml:space="preserve">Recognized opportunity to educate our community leaders about our operations and the distribution system, provide an opportunity to ask any questions. GSHi understands that by educating them, they in turn can help to educate the wider public through their conversations. </t>
  </si>
  <si>
    <t xml:space="preserve">GSHi has found that these initiatives  open the channels the communication and facilitate healthy political relationships. </t>
  </si>
  <si>
    <t xml:space="preserve">Conservation department staff attended and sponsored/supported many public events, both residential and small business focused, to increase awareness and recruit participants. Attended public events and business conferences, most often with  a booth set up, such as Sudbury's Home Show, Sudbury's Earth Festival, Chamber of Commerce small business breakfast, Downtown Business Improvement Association's Annual General Meeting, partnered with EarthCare Sudbury and  presented at Bridges to Better Business Conference. Staffed a booth on a Saturday for our clothesline giveaway at popular shopping centers, staffed a booth at Health Sciences North, and Tom Davies Square, two of our major employers in Sudbury.
E-blast to customers, in several cases lists were focused on high consumption customers, with the intention to reach electrically heated homes. In Northern Ontario our climate is winter peaking for electricity so leading up to and through the winter several promotional emails were sent using e-blast software to promote Conservation programs to residential, small business and commercial customers such as AffordAbility Fund, GreenON Fund, Small Business Lighting, Clothesline Giveaway, and more.  Other marketing tactics used were Automated Voice Recorder which left a prerecorded voicemail, an eblast promotion and written letter sent to a select recipient list, a printed letter, printed posters with rip-off phone number tags.  
(See Exhibits 1, Tab 6, Schedule 1, Attachment 2)
</t>
  </si>
  <si>
    <t>GHSi organized and hosted multiple lunches and breakfasts with local  contractors to educate and provide information as to how Save on Energy incentive programs can increase their sales.  
(See Exhibits 1, Tab 6, Schedule 1, Attachment 2)</t>
  </si>
  <si>
    <t>Focus group conducted with residential electricity customers in advance of the HEAR Pilot Program, moderated by OraclePoll Research. The groups were randomly selected pre-pilot among residential customers with electrically heated homes. This was part of the pilot program developed under the Customer First collaboration. (Jan, 2015).
(See Exhibits 1, Tab 6, Schedule 1, Attachment 2)</t>
  </si>
  <si>
    <t>Promotional materials. graphics, and and FAQ sheet were devloped to promote and educate customers regarding Customer Service, Billing, and Conservation Programs/Initiatives. For those customers who receive a bill in the mail, we used brochures, direct mail, radio ads, print, online newspapers, and social media. For those customers not recieving a paper bill, GSHi communicated using our developed graphics on the GSU MyAccount web portal. GSHi also revised the information on our websites.
(See Exhibits 1, Tab 6, Schedule 1, Attachment 2)</t>
  </si>
  <si>
    <t>Residential and Small Business Focus Groups. Focus groups were divided into residential and small business customers, moderated by Oraclepoll Research. The purpose of the A/B style content presented in the focus groups was to listen and assess genuine customer reactions to stated preferences and priorities. Insights were also gathered as to the actions already being taken to reduce consumption by residential and business customers. GSHi gauged customer reactions to the programs available, assed the range of views held by GSHi customers on Conservation programs, and gathered information to help determine the most effective way to reach customers with information about incentive programs. 
(See Exhibits 1, Tab 6, Schedule 1, Attachment 2)</t>
  </si>
  <si>
    <t xml:space="preserve">Customer Consultation and Communication for significant Capital Projects. Robust consultation is undertaken to ensure customers understand the rationale behind the proposed renewal projects and multiple opportunities to offer feedback and share concerns are available. This consultation process includes:
- distribution of brochures via various methods in the area served by the substation, which includes an overview of the project, timeline, budget and FAQs
- a page on GSHi's website focused specifically on the project with photos, including a form for feedback or questions
- media interviews to discuss the details and plans for the project
- Open House Information Sessions in effected neighbourhood where public would have the opportunity to meet with GSHi staff and discuss the project in greater detail 
(See Exhibits 1, Tab 6, Schedule 1, Attachment 2)
</t>
  </si>
  <si>
    <t>Safety Awareness Initiatives. Examples include:  
OEB/ ESA Safety Survey, conducted every second year in our community by Oracle Poll Research mandated by the OEB in collaboration with the ESA. This survey provides insight and direction as to the understanding in our community surrounding electrical safety issues.
Other initiatives: 
GSHi S.A.F.E. Team Committee, volunteer committee of interested and engaged staff who promote safety in home and workplace through various staff-led initiatives
Electricity Safety and Conservation - each year visits 2 or 3 elementary schools in our community to teach about electricity and electrical safety. 
Master of Disaster Summer Camp, 2018
Social Media posts, website info, and media releases
Spring Locates awareness media campaign
Fall streetlight media campaign 
(See Exhibits 1, Tab 6, Schedule 1, Attachment 2)</t>
  </si>
  <si>
    <t>Online Presence, ease of access to information. Google search listings, Google profile, website, Facebook page, Twitter account, Instagram account
(See Exhibits 1, Tab 6, Schedule 1, Attachment 2)</t>
  </si>
  <si>
    <t>Digital Marketing Communications
(See Exhibits 1, Tab 6, Schedule 1, Attachment 2)</t>
  </si>
  <si>
    <t>Employee Volunteerism and Corporate Goodwill/ Donations
Festival of Lights at Science North
Canadian Cancer Society Relay for Life
Hanging of flags on light posts for Coniston, Capreol
Assistance provided with bucket truck to Up Here Festival, 2017
Rainbow Routes/ Junction Creek Stewardship, support for neighbourhood initiatives 
Blue Door Cafe, Elgin Street Mission
Threads for Life
(See Exhibits 1, Tab 6, Schedule 1, Attachment 2)</t>
  </si>
  <si>
    <t>Approval to charge distribution rates effective May 1, 2020 to recover a base revenue requirement of $27,396,127 which includes a revenue deficiency of $3,860,553 as detailed in Exhibit 6. The schedule of proposed rates is detailed in Exhibit 8.</t>
  </si>
  <si>
    <t>Approval of the Advanced Capital Module ("ACM") treatment for the 2021-2024 station rebuilds (Cressey, Moonlight, Marttila, Paris)</t>
  </si>
  <si>
    <t>Approval of the request for new Group 2 Account - 1508 - Other Regulatory Assets, Sub-Account OPEB Actuarial Gains &amp; Losses as detailed in Exhibit 9.</t>
  </si>
  <si>
    <t>Approval of the rate riders for disposition of the Group 1 &amp; Group 2 Deferral and Variance Accounts as detailed in Exhibit 9.</t>
  </si>
  <si>
    <t>Approval to adjust the Retail Transmission Rates - Network and Connection, and the Low Voltage charges as calculated in Exhibit 8.</t>
  </si>
  <si>
    <t>Approval to charge the Board's updated Pole Attachment Charge, effective May 1, 2020.</t>
  </si>
  <si>
    <t>Tiija Luttrell CPA, CA Supervisor - Regulatory</t>
  </si>
  <si>
    <t>No</t>
  </si>
  <si>
    <t>Closing NBV 2019</t>
  </si>
  <si>
    <t>Closing NBV 2020</t>
  </si>
  <si>
    <t>Cumulative NBV of loss on disposals is difference</t>
  </si>
  <si>
    <t>Deferred revenue (ie: capital contributions) under MIFRS is revenue, nets depreciation under CGAAP</t>
  </si>
  <si>
    <t>Regulatory Debits</t>
  </si>
  <si>
    <t>Loss on PP&amp;E Disposal - transfer to deferral</t>
  </si>
  <si>
    <t>4305 - Regulatory Debits</t>
  </si>
  <si>
    <t>Incremental Pole Rental Revenue - trf to deferral</t>
  </si>
  <si>
    <t>Monthly Fixed Fees Retailers</t>
  </si>
  <si>
    <t>Monthly Variable Charges</t>
  </si>
  <si>
    <t>Service Transaction Request Fees</t>
  </si>
  <si>
    <t>Bank Interest</t>
  </si>
  <si>
    <t>Deferral &amp; Variance Account Interest</t>
  </si>
  <si>
    <t>Loss on PP&amp;E Disposal</t>
  </si>
  <si>
    <t xml:space="preserve"> Equipment Buyout/Sentinel</t>
  </si>
  <si>
    <t>Cyber Security</t>
  </si>
  <si>
    <t>Pole Rental Increase</t>
  </si>
  <si>
    <t>IT</t>
  </si>
  <si>
    <t>Customer Billing and related services</t>
  </si>
  <si>
    <t>Time Records</t>
  </si>
  <si>
    <t>Any costs of the
Plus Company not
otherwise allocated</t>
  </si>
  <si>
    <t>Telephone systems, PCs and ERP, by unweighted number of users; telephone sets by weighted number of users reflecting complexity of the units; systems for customer information and billing by factors related to that function; costs directly assigned where specifically identified with an affiliate or function.</t>
  </si>
  <si>
    <t>Detailed analysis of each costcomponent, with different allocation methods, including number of bills, call volumes, number of meters, and space occupied on the shared bill. Direct assignment where applicable.</t>
  </si>
  <si>
    <t>For redistribution of costs which were allocated by other methodologies to the Plus Company. In proportion to the allocation of other costs.</t>
  </si>
  <si>
    <t>% Cost Allocation</t>
  </si>
  <si>
    <t>AP - Time tracking for activities identifiable with one affiliate; number of invoices for other costs Payroll - Time tracking for activities identifiable with one affiliate; number of employees for other costs
Accounting - A time estimate for forecast; time records for actual</t>
  </si>
  <si>
    <t>Deferral Account Write-Offs</t>
  </si>
  <si>
    <t>Contract Labour</t>
  </si>
  <si>
    <t>Notre Dame Composite Pole Replacements</t>
  </si>
  <si>
    <t>Copper Cliff Feeder Rebuild</t>
  </si>
  <si>
    <t>Capital Site Restoration</t>
  </si>
  <si>
    <t>Stores/Procurement</t>
  </si>
  <si>
    <t>Materials Issued/Time record of staff</t>
  </si>
  <si>
    <t>Cost for the Service</t>
  </si>
  <si>
    <t>Market Rate applied to square footage</t>
  </si>
  <si>
    <t>Cost recovery based on square footage</t>
  </si>
  <si>
    <t xml:space="preserve">% Cost Allocation </t>
  </si>
  <si>
    <t>Smart Grid Adj</t>
  </si>
  <si>
    <t>Science North</t>
  </si>
  <si>
    <t>Quality Management</t>
  </si>
  <si>
    <t>Insurance</t>
  </si>
  <si>
    <t>Risk Management</t>
  </si>
  <si>
    <t>HR</t>
  </si>
  <si>
    <t xml:space="preserve">HR - Directly assigned where possible, number of employees for other costs; 2nd tier allocation to reallocate portionassociated with shared services/
</t>
  </si>
  <si>
    <t>QMS - Costs of the Plus Company directly assigned to Greater Sudbury, as the other affiliates pay for their own programs directly</t>
  </si>
  <si>
    <t>97% of costs allocated to Greater Sudbury, based on time records</t>
  </si>
  <si>
    <t>Accounts Payable/Payroll/Accounting</t>
  </si>
  <si>
    <t>Executive/Finance/Communications/Innovation</t>
  </si>
  <si>
    <t>Regulatory</t>
  </si>
  <si>
    <t>No current activities identifiable with affiliates; therefore 100% assigned to Greater Sudbury</t>
  </si>
  <si>
    <t>General Vacancy Provision/Expense Reduction</t>
  </si>
  <si>
    <t>@ 5.28% WACC</t>
  </si>
  <si>
    <t>Property Taxes</t>
  </si>
  <si>
    <t>$531,690 loss on disposal of assets, net of deferred revenue $207,802</t>
  </si>
  <si>
    <t/>
  </si>
  <si>
    <t>Labour Complement &amp; Burdens</t>
  </si>
  <si>
    <t>Other Post Employment Benefit Costs</t>
  </si>
  <si>
    <t>Costs Allocated from Affiliates</t>
  </si>
  <si>
    <t>Succession Planning/Training</t>
  </si>
  <si>
    <t>Productivity and Business Planning</t>
  </si>
  <si>
    <t>Vehicles &amp; Material Costs</t>
  </si>
  <si>
    <t>Conservation &amp; Demand Management</t>
  </si>
  <si>
    <t>Construction Write Offs</t>
  </si>
  <si>
    <t>Monthly Billing Deferral Account</t>
  </si>
  <si>
    <t>Smart Meter Disposition</t>
  </si>
  <si>
    <t>Locates Contract</t>
  </si>
  <si>
    <t>Cost of Service Amortization</t>
  </si>
  <si>
    <t>OEB Quarterly Assessment</t>
  </si>
  <si>
    <t>Pole Attachment Costs</t>
  </si>
  <si>
    <t>Cybersecurity Costs</t>
  </si>
  <si>
    <t>Monthly Billing Costs</t>
  </si>
  <si>
    <t>Other 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</si>
</sst>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0.0%"/>
    <numFmt numFmtId="171" formatCode="_-&quot;$&quot;* #,##0_-;\-&quot;$&quot;* #,##0_-;_-&quot;$&quot;* &quot;-&quot;??_-;_-@_-"/>
    <numFmt numFmtId="172" formatCode="_-* #,##0_-;\-* #,##0_-;_-* &quot;-&quot;??_-;_-@_-"/>
    <numFmt numFmtId="173" formatCode="_-&quot;$&quot;* #,##0.0000_-;\-&quot;$&quot;* #,##0.0000_-;_-&quot;$&quot;* &quot;-&quot;??_-;_-@_-"/>
    <numFmt numFmtId="174" formatCode="[$-1009]mmmm\ d\,\ yyyy;@"/>
    <numFmt numFmtId="175" formatCode="[$-1009]d\-mmm\-yy;@"/>
    <numFmt numFmtId="176" formatCode="\(#\)"/>
    <numFmt numFmtId="177" formatCode="&quot;$&quot;#,##0_);[Red]\(&quot;$&quot;#,##0\);&quot;$&quot;\ \-"/>
    <numFmt numFmtId="178" formatCode="#,##0_ ;\-#,##0\ "/>
    <numFmt numFmtId="179" formatCode="0.000"/>
    <numFmt numFmtId="180" formatCode="&quot;$&quot;#,##0"/>
    <numFmt numFmtId="181" formatCode="&quot;$&quot;#,##0.0000_);[Red]\(&quot;$&quot;#,##0.0000\)"/>
    <numFmt numFmtId="182" formatCode="0.0000"/>
    <numFmt numFmtId="183" formatCode="_(* #,##0.0_);_(* \(#,##0.0\);_(* &quot;-&quot;??_);_(@_)"/>
    <numFmt numFmtId="184" formatCode="#,##0.0"/>
    <numFmt numFmtId="185" formatCode="mm/dd/yyyy"/>
    <numFmt numFmtId="186" formatCode="0\-0"/>
    <numFmt numFmtId="187" formatCode="##\-#"/>
    <numFmt numFmtId="188" formatCode="_(* #,##0_);_(* \(#,##0\);_(* &quot;-&quot;??_);_(@_)"/>
    <numFmt numFmtId="189" formatCode="&quot;£ &quot;#,##0.00;[Red]\-&quot;£ &quot;#,##0.00"/>
    <numFmt numFmtId="190" formatCode="mmmm\ d"/>
    <numFmt numFmtId="191" formatCode="_-&quot;$&quot;* #,##0.0_-;\-&quot;$&quot;* #,##0.0_-;_-&quot;$&quot;* &quot;-&quot;??_-;_-@_-"/>
    <numFmt numFmtId="192" formatCode="#,##0.00_ ;[Red]\-#,##0.00\ "/>
    <numFmt numFmtId="193" formatCode="0.00_ ;[Red]\-0.00\ "/>
    <numFmt numFmtId="194" formatCode="_-* #,##0.00_-;\-* #,##0.00_-;_-* \-??_-;_-@_-"/>
    <numFmt numFmtId="195" formatCode="\$#,##0.0000_);&quot;($&quot;#,##0.0000\)"/>
    <numFmt numFmtId="196" formatCode="_-* #,##0_-;\-* #,##0_-;_-* \-??_-;_-@_-"/>
    <numFmt numFmtId="197" formatCode="\$#,##0.00_);&quot;($&quot;#,##0.00\)"/>
    <numFmt numFmtId="198" formatCode="\$#,##0.00000_);&quot;($&quot;#,##0.00000\)"/>
    <numFmt numFmtId="199" formatCode="_-* #,##0.00000_-;\-* #,##0.00000_-;_-* \-??_-;_-@_-"/>
    <numFmt numFmtId="200" formatCode="\$#,##0"/>
    <numFmt numFmtId="201" formatCode="_(&quot;$&quot;* #,##0.0000_);_(&quot;$&quot;* \(#,##0.0000\);_(&quot;$&quot;* &quot;-&quot;??_);_(@_)"/>
    <numFmt numFmtId="202" formatCode="#,##0_ ;[Red]\-#,##0\ "/>
    <numFmt numFmtId="203" formatCode="0.000%"/>
  </numFmts>
  <fonts count="1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i/>
      <sz val="10"/>
      <name val="Arial"/>
      <family val="2"/>
    </font>
    <font>
      <b/>
      <u/>
      <sz val="10"/>
      <color indexed="12"/>
      <name val="Arial"/>
      <family val="2"/>
    </font>
    <font>
      <u/>
      <sz val="10"/>
      <name val="Arial"/>
      <family val="2"/>
    </font>
    <font>
      <b/>
      <sz val="10"/>
      <name val="Arial"/>
      <family val="2"/>
    </font>
    <font>
      <sz val="10"/>
      <name val="Arial"/>
      <family val="2"/>
    </font>
    <font>
      <b/>
      <sz val="11"/>
      <name val="Arial"/>
      <family val="2"/>
    </font>
    <font>
      <vertAlign val="superscript"/>
      <sz val="10"/>
      <name val="Arial"/>
      <family val="2"/>
    </font>
    <font>
      <b/>
      <sz val="10"/>
      <color indexed="10"/>
      <name val="Arial"/>
      <family val="2"/>
    </font>
    <font>
      <b/>
      <u/>
      <sz val="14"/>
      <name val="Arial"/>
      <family val="2"/>
    </font>
    <font>
      <b/>
      <u/>
      <sz val="14"/>
      <color indexed="10"/>
      <name val="Arial"/>
      <family val="2"/>
    </font>
    <font>
      <strike/>
      <sz val="10"/>
      <name val="Arial"/>
      <family val="2"/>
    </font>
    <font>
      <sz val="10"/>
      <color indexed="8"/>
      <name val="Arial"/>
      <family val="2"/>
    </font>
    <font>
      <b/>
      <sz val="11"/>
      <color theme="1"/>
      <name val="Arial"/>
      <family val="2"/>
    </font>
    <font>
      <sz val="20"/>
      <name val="Arial"/>
      <family val="2"/>
    </font>
    <font>
      <b/>
      <sz val="10"/>
      <color indexed="8"/>
      <name val="Arial"/>
      <family val="2"/>
    </font>
    <font>
      <sz val="10"/>
      <color indexed="8"/>
      <name val="Calibri"/>
      <family val="2"/>
    </font>
    <font>
      <sz val="10"/>
      <color indexed="55"/>
      <name val="Arial"/>
      <family val="2"/>
    </font>
    <font>
      <sz val="9"/>
      <name val="Arial"/>
      <family val="2"/>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0"/>
      <name val="Arial"/>
      <family val="2"/>
    </font>
    <font>
      <sz val="9"/>
      <color theme="1"/>
      <name val="Arial"/>
      <family val="2"/>
    </font>
    <font>
      <b/>
      <sz val="9"/>
      <color theme="1"/>
      <name val="Arial"/>
      <family val="2"/>
    </font>
    <font>
      <b/>
      <sz val="14"/>
      <color rgb="FFFF0000"/>
      <name val="Arial"/>
      <family val="2"/>
    </font>
    <font>
      <b/>
      <sz val="10"/>
      <color rgb="FFFF0000"/>
      <name val="Arial"/>
      <family val="2"/>
    </font>
    <font>
      <b/>
      <i/>
      <sz val="9"/>
      <color rgb="FFFF0000"/>
      <name val="Arial"/>
      <family val="2"/>
    </font>
    <font>
      <sz val="10"/>
      <color rgb="FFFF0000"/>
      <name val="Arial"/>
      <family val="2"/>
    </font>
    <font>
      <sz val="14"/>
      <color indexed="10"/>
      <name val="Arial"/>
      <family val="2"/>
    </font>
    <font>
      <sz val="11"/>
      <color indexed="8"/>
      <name val="Arial"/>
      <family val="2"/>
    </font>
    <font>
      <b/>
      <sz val="11"/>
      <color indexed="8"/>
      <name val="Calibri"/>
      <family val="1"/>
      <charset val="204"/>
    </font>
    <font>
      <sz val="11"/>
      <name val="Calibri"/>
      <family val="2"/>
      <scheme val="minor"/>
    </font>
    <font>
      <b/>
      <i/>
      <sz val="9"/>
      <name val="Arial"/>
      <family val="2"/>
    </font>
    <font>
      <sz val="11"/>
      <color theme="1"/>
      <name val="Arial"/>
      <family val="2"/>
    </font>
    <font>
      <sz val="9"/>
      <color indexed="8"/>
      <name val="Arial"/>
      <family val="2"/>
    </font>
    <font>
      <sz val="10"/>
      <name val="Symbol"/>
      <family val="1"/>
      <charset val="2"/>
    </font>
    <font>
      <sz val="10"/>
      <name val="Times New Roman"/>
      <family val="1"/>
    </font>
    <font>
      <sz val="12"/>
      <name val="Arial"/>
      <family val="2"/>
    </font>
    <font>
      <b/>
      <u/>
      <sz val="12"/>
      <name val="Arial"/>
      <family val="2"/>
    </font>
    <font>
      <sz val="10"/>
      <name val="Calibri"/>
      <family val="2"/>
    </font>
    <font>
      <i/>
      <sz val="9"/>
      <name val="Arial"/>
      <family val="2"/>
    </font>
    <font>
      <sz val="10"/>
      <color indexed="12"/>
      <name val="Arial"/>
      <family val="2"/>
    </font>
    <font>
      <b/>
      <sz val="14"/>
      <color theme="1"/>
      <name val="Calibri"/>
      <family val="2"/>
      <scheme val="minor"/>
    </font>
    <font>
      <sz val="10"/>
      <color theme="3" tint="0.39997558519241921"/>
      <name val="Arial"/>
      <family val="2"/>
    </font>
    <font>
      <b/>
      <vertAlign val="superscript"/>
      <sz val="14"/>
      <name val="Arial"/>
      <family val="2"/>
    </font>
    <font>
      <sz val="10"/>
      <color rgb="FF00B050"/>
      <name val="Arial"/>
      <family val="2"/>
    </font>
    <font>
      <sz val="11"/>
      <name val="Arial"/>
      <family val="2"/>
    </font>
    <font>
      <b/>
      <i/>
      <sz val="10"/>
      <color rgb="FFFF0000"/>
      <name val="Arial"/>
      <family val="2"/>
    </font>
    <font>
      <sz val="9"/>
      <color indexed="81"/>
      <name val="Tahoma"/>
      <family val="2"/>
    </font>
    <font>
      <b/>
      <sz val="9"/>
      <color indexed="81"/>
      <name val="Tahoma"/>
      <family val="2"/>
    </font>
    <font>
      <b/>
      <i/>
      <sz val="14"/>
      <name val="Arial"/>
      <family val="2"/>
    </font>
    <font>
      <sz val="10"/>
      <color theme="0"/>
      <name val="Arial"/>
      <family val="2"/>
    </font>
    <font>
      <vertAlign val="superscript"/>
      <sz val="11"/>
      <color indexed="17"/>
      <name val="Calibri"/>
      <family val="2"/>
    </font>
    <font>
      <sz val="11"/>
      <name val="Calibri"/>
      <family val="2"/>
    </font>
    <font>
      <sz val="10"/>
      <color theme="0" tint="-0.34998626667073579"/>
      <name val="Arial"/>
      <family val="2"/>
    </font>
    <font>
      <b/>
      <i/>
      <sz val="14"/>
      <name val="Calibri"/>
      <family val="2"/>
    </font>
    <font>
      <i/>
      <sz val="10"/>
      <color theme="0"/>
      <name val="Arial"/>
      <family val="2"/>
    </font>
    <font>
      <sz val="11"/>
      <color rgb="FF000000"/>
      <name val="Calibri"/>
      <family val="2"/>
    </font>
    <font>
      <b/>
      <sz val="14"/>
      <color rgb="FF000000"/>
      <name val="Calibri"/>
      <family val="2"/>
    </font>
    <font>
      <b/>
      <sz val="11"/>
      <color rgb="FF000000"/>
      <name val="Calibri"/>
      <family val="2"/>
    </font>
    <font>
      <sz val="11"/>
      <color theme="0"/>
      <name val="Calibri"/>
      <family val="2"/>
    </font>
    <font>
      <b/>
      <sz val="11"/>
      <color theme="0"/>
      <name val="Calibri"/>
      <family val="2"/>
    </font>
    <font>
      <b/>
      <sz val="11"/>
      <name val="Calibri"/>
      <family val="2"/>
    </font>
    <font>
      <sz val="11"/>
      <color theme="0" tint="-0.499984740745262"/>
      <name val="Calibri"/>
      <family val="2"/>
    </font>
    <font>
      <b/>
      <sz val="11"/>
      <color theme="0" tint="-0.499984740745262"/>
      <name val="Calibri"/>
      <family val="2"/>
    </font>
    <font>
      <b/>
      <sz val="11"/>
      <color rgb="FFFF0000"/>
      <name val="Calibri"/>
      <family val="2"/>
    </font>
    <font>
      <b/>
      <i/>
      <sz val="14"/>
      <color rgb="FF00000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1"/>
      <color rgb="FFFF0000"/>
      <name val="Calibri"/>
      <family val="2"/>
    </font>
    <font>
      <sz val="10"/>
      <color theme="1"/>
      <name val="Arial"/>
      <family val="2"/>
    </font>
    <font>
      <u/>
      <sz val="10"/>
      <color rgb="FFFF0000"/>
      <name val="Arial"/>
      <family val="2"/>
    </font>
    <font>
      <b/>
      <sz val="11"/>
      <color rgb="FFFF0000"/>
      <name val="Arial"/>
      <family val="2"/>
    </font>
    <font>
      <b/>
      <sz val="12"/>
      <color rgb="FFFF0000"/>
      <name val="Arial"/>
      <family val="2"/>
    </font>
    <font>
      <b/>
      <i/>
      <sz val="12"/>
      <color rgb="FF0070C0"/>
      <name val="Calibri"/>
      <family val="2"/>
      <scheme val="minor"/>
    </font>
    <font>
      <i/>
      <sz val="8"/>
      <color indexed="22"/>
      <name val="Arial"/>
      <family val="2"/>
    </font>
    <font>
      <b/>
      <sz val="10"/>
      <name val="Arial"/>
      <family val="2"/>
      <charset val="1"/>
    </font>
    <font>
      <b/>
      <sz val="14"/>
      <name val="Arial"/>
      <family val="2"/>
      <charset val="1"/>
    </font>
    <font>
      <b/>
      <u/>
      <sz val="10"/>
      <name val="Arial"/>
      <family val="2"/>
      <charset val="1"/>
    </font>
    <font>
      <sz val="10"/>
      <name val="Mangal"/>
      <family val="2"/>
      <charset val="1"/>
    </font>
    <font>
      <sz val="11"/>
      <name val="Arial"/>
      <family val="2"/>
      <charset val="1"/>
    </font>
    <font>
      <sz val="10"/>
      <name val="Arial"/>
      <family val="2"/>
      <charset val="1"/>
    </font>
    <font>
      <i/>
      <sz val="10"/>
      <name val="Arial"/>
      <family val="2"/>
      <charset val="1"/>
    </font>
    <font>
      <b/>
      <sz val="11"/>
      <name val="Arial"/>
      <family val="2"/>
      <charset val="1"/>
    </font>
    <font>
      <b/>
      <i/>
      <sz val="10"/>
      <name val="Arial"/>
      <family val="2"/>
      <charset val="1"/>
    </font>
    <font>
      <i/>
      <sz val="10"/>
      <color rgb="FFFF0000"/>
      <name val="Arial"/>
      <family val="2"/>
      <charset val="1"/>
    </font>
    <font>
      <sz val="8"/>
      <name val="Arial"/>
      <family val="2"/>
      <charset val="1"/>
    </font>
    <font>
      <b/>
      <u/>
      <sz val="12"/>
      <name val="Arial"/>
      <family val="2"/>
      <charset val="1"/>
    </font>
    <font>
      <i/>
      <sz val="11"/>
      <name val="Arial"/>
      <family val="2"/>
    </font>
    <font>
      <b/>
      <i/>
      <sz val="11"/>
      <name val="Arial"/>
      <family val="2"/>
    </font>
    <font>
      <b/>
      <u/>
      <sz val="11"/>
      <name val="Arial"/>
      <family val="2"/>
      <charset val="1"/>
    </font>
    <font>
      <u/>
      <sz val="10"/>
      <color theme="3" tint="-0.499984740745262"/>
      <name val="Arial"/>
      <family val="2"/>
    </font>
    <font>
      <b/>
      <sz val="11"/>
      <color rgb="FF00B0F0"/>
      <name val="Calibri"/>
      <family val="2"/>
      <scheme val="minor"/>
    </font>
    <font>
      <sz val="8"/>
      <name val="Calibri"/>
      <family val="2"/>
    </font>
    <font>
      <b/>
      <sz val="14"/>
      <name val="Calibri"/>
      <family val="2"/>
    </font>
    <font>
      <b/>
      <sz val="10"/>
      <color rgb="FF000000"/>
      <name val="Calibri"/>
      <family val="2"/>
    </font>
    <font>
      <sz val="10"/>
      <color rgb="FF000000"/>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theme="0" tint="-0.24997711111789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1"/>
        <bgColor indexed="64"/>
      </patternFill>
    </fill>
    <fill>
      <patternFill patternType="lightUp">
        <bgColor auto="1"/>
      </patternFill>
    </fill>
    <fill>
      <patternFill patternType="solid">
        <fgColor rgb="FFEBF1DE"/>
        <bgColor rgb="FF000000"/>
      </patternFill>
    </fill>
    <fill>
      <patternFill patternType="solid">
        <fgColor rgb="FFBFBFBF"/>
        <bgColor rgb="FF000000"/>
      </patternFill>
    </fill>
    <fill>
      <patternFill patternType="solid">
        <fgColor rgb="FFF2F2F2"/>
        <bgColor rgb="FF000000"/>
      </patternFill>
    </fill>
    <fill>
      <patternFill patternType="solid">
        <fgColor rgb="FF000000"/>
        <bgColor rgb="FF000000"/>
      </patternFill>
    </fill>
    <fill>
      <patternFill patternType="solid">
        <fgColor rgb="FFFFFF00"/>
        <bgColor rgb="FF000000"/>
      </patternFill>
    </fill>
    <fill>
      <patternFill patternType="solid">
        <fgColor rgb="FFDCE6F1"/>
        <bgColor rgb="FF000000"/>
      </patternFill>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theme="0"/>
      </patternFill>
    </fill>
    <fill>
      <patternFill patternType="solid">
        <fgColor indexed="65"/>
        <bgColor indexed="64"/>
      </patternFill>
    </fill>
    <fill>
      <patternFill patternType="solid">
        <fgColor indexed="9"/>
        <bgColor indexed="32"/>
      </patternFill>
    </fill>
    <fill>
      <patternFill patternType="solid">
        <fgColor theme="0"/>
        <bgColor indexed="58"/>
      </patternFill>
    </fill>
    <fill>
      <patternFill patternType="solid">
        <fgColor theme="8" tint="0.59999389629810485"/>
        <bgColor indexed="64"/>
      </patternFill>
    </fill>
    <fill>
      <patternFill patternType="solid">
        <fgColor theme="6" tint="0.79998168889431442"/>
        <bgColor indexed="58"/>
      </patternFill>
    </fill>
    <fill>
      <patternFill patternType="solid">
        <fgColor theme="5"/>
        <bgColor indexed="64"/>
      </patternFill>
    </fill>
    <fill>
      <patternFill patternType="solid">
        <fgColor theme="6" tint="0.79998168889431442"/>
        <bgColor rgb="FF000000"/>
      </patternFill>
    </fill>
  </fills>
  <borders count="1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top/>
      <bottom style="thin">
        <color theme="0"/>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top style="thin">
        <color theme="0"/>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right style="thick">
        <color theme="0" tint="-0.34998626667073579"/>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ck">
        <color theme="0" tint="-0.34998626667073579"/>
      </left>
      <right style="medium">
        <color theme="0" tint="-4.9989318521683403E-2"/>
      </right>
      <top style="thick">
        <color theme="0" tint="-0.34998626667073579"/>
      </top>
      <bottom style="medium">
        <color theme="0" tint="-4.9989318521683403E-2"/>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thick">
        <color theme="0" tint="-0.34998626667073579"/>
      </top>
      <bottom/>
      <diagonal/>
    </border>
    <border>
      <left/>
      <right/>
      <top/>
      <bottom style="thick">
        <color theme="0" tint="-0.34998626667073579"/>
      </bottom>
      <diagonal/>
    </border>
    <border>
      <left/>
      <right/>
      <top/>
      <bottom style="thin">
        <color rgb="FFFFFFFF"/>
      </bottom>
      <diagonal/>
    </border>
    <border>
      <left/>
      <right/>
      <top style="thin">
        <color rgb="FFFFFFFF"/>
      </top>
      <bottom/>
      <diagonal/>
    </border>
    <border>
      <left/>
      <right/>
      <top style="thin">
        <color rgb="FFFFFFFF"/>
      </top>
      <bottom style="thin">
        <color rgb="FFFFFFFF"/>
      </bottom>
      <diagonal/>
    </border>
    <border>
      <left style="thin">
        <color indexed="64"/>
      </left>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ck">
        <color indexed="64"/>
      </right>
      <top style="medium">
        <color indexed="64"/>
      </top>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medium">
        <color indexed="64"/>
      </top>
      <bottom/>
      <diagonal/>
    </border>
    <border>
      <left/>
      <right style="thick">
        <color indexed="64"/>
      </right>
      <top/>
      <bottom style="thin">
        <color indexed="64"/>
      </bottom>
      <diagonal/>
    </border>
    <border>
      <left style="thin">
        <color indexed="64"/>
      </left>
      <right/>
      <top/>
      <bottom style="double">
        <color indexed="64"/>
      </bottom>
      <diagonal/>
    </border>
  </borders>
  <cellStyleXfs count="14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169" fontId="11" fillId="0" borderId="0" applyFont="0" applyFill="0" applyBorder="0" applyAlignment="0" applyProtection="0"/>
    <xf numFmtId="168" fontId="11" fillId="0" borderId="0" applyFon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2" fillId="0" borderId="0" applyNumberFormat="0" applyFill="0" applyBorder="0" applyAlignment="0" applyProtection="0">
      <alignment vertical="top"/>
      <protection locked="0"/>
    </xf>
    <xf numFmtId="0" fontId="30" fillId="7" borderId="1" applyNumberFormat="0" applyAlignment="0" applyProtection="0"/>
    <xf numFmtId="0" fontId="31" fillId="0" borderId="6" applyNumberFormat="0" applyFill="0" applyAlignment="0" applyProtection="0"/>
    <xf numFmtId="0" fontId="32" fillId="22" borderId="0" applyNumberFormat="0" applyBorder="0" applyAlignment="0" applyProtection="0"/>
    <xf numFmtId="0" fontId="33" fillId="23" borderId="7" applyNumberFormat="0" applyFont="0" applyAlignment="0" applyProtection="0"/>
    <xf numFmtId="0" fontId="34" fillId="20" borderId="8" applyNumberFormat="0" applyAlignment="0" applyProtection="0"/>
    <xf numFmtId="9" fontId="11"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1" fillId="0" borderId="0"/>
    <xf numFmtId="0" fontId="20" fillId="0" borderId="0"/>
    <xf numFmtId="0" fontId="58" fillId="0" borderId="0" applyNumberFormat="0" applyFill="0" applyBorder="0" applyAlignment="0" applyProtection="0"/>
    <xf numFmtId="0" fontId="60" fillId="0" borderId="111" applyNumberFormat="0" applyFill="0" applyAlignment="0" applyProtection="0"/>
    <xf numFmtId="0" fontId="59" fillId="0" borderId="110" applyNumberFormat="0" applyFill="0" applyAlignment="0" applyProtection="0"/>
    <xf numFmtId="0" fontId="10" fillId="0" borderId="0"/>
    <xf numFmtId="0" fontId="61" fillId="0" borderId="112" applyNumberFormat="0" applyFill="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2" borderId="0" applyNumberFormat="0" applyBorder="0" applyAlignment="0" applyProtection="0"/>
    <xf numFmtId="0" fontId="64" fillId="33" borderId="0" applyNumberFormat="0" applyBorder="0" applyAlignment="0" applyProtection="0"/>
    <xf numFmtId="0" fontId="65" fillId="34" borderId="113" applyNumberFormat="0" applyAlignment="0" applyProtection="0"/>
    <xf numFmtId="0" fontId="66" fillId="35" borderId="114" applyNumberFormat="0" applyAlignment="0" applyProtection="0"/>
    <xf numFmtId="0" fontId="67" fillId="35" borderId="113" applyNumberFormat="0" applyAlignment="0" applyProtection="0"/>
    <xf numFmtId="0" fontId="68" fillId="0" borderId="115" applyNumberFormat="0" applyFill="0" applyAlignment="0" applyProtection="0"/>
    <xf numFmtId="0" fontId="69" fillId="36" borderId="116" applyNumberFormat="0" applyAlignment="0" applyProtection="0"/>
    <xf numFmtId="0" fontId="70" fillId="0" borderId="0" applyNumberFormat="0" applyFill="0" applyBorder="0" applyAlignment="0" applyProtection="0"/>
    <xf numFmtId="0" fontId="10" fillId="37" borderId="117" applyNumberFormat="0" applyFont="0" applyAlignment="0" applyProtection="0"/>
    <xf numFmtId="0" fontId="71" fillId="0" borderId="0" applyNumberFormat="0" applyFill="0" applyBorder="0" applyAlignment="0" applyProtection="0"/>
    <xf numFmtId="0" fontId="72" fillId="0" borderId="118" applyNumberFormat="0" applyFill="0" applyAlignment="0" applyProtection="0"/>
    <xf numFmtId="0" fontId="73"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73" fillId="49" borderId="0" applyNumberFormat="0" applyBorder="0" applyAlignment="0" applyProtection="0"/>
    <xf numFmtId="0" fontId="73"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73" fillId="53" borderId="0" applyNumberFormat="0" applyBorder="0" applyAlignment="0" applyProtection="0"/>
    <xf numFmtId="0" fontId="73"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73" fillId="57" borderId="0" applyNumberFormat="0" applyBorder="0" applyAlignment="0" applyProtection="0"/>
    <xf numFmtId="0" fontId="73" fillId="58"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73" fillId="61" borderId="0" applyNumberFormat="0" applyBorder="0" applyAlignment="0" applyProtection="0"/>
    <xf numFmtId="0" fontId="9" fillId="0" borderId="0"/>
    <xf numFmtId="169" fontId="9" fillId="0" borderId="0" applyFont="0" applyFill="0" applyBorder="0" applyAlignment="0" applyProtection="0"/>
    <xf numFmtId="9" fontId="9" fillId="0" borderId="0" applyFont="0" applyFill="0" applyBorder="0" applyAlignment="0" applyProtection="0"/>
    <xf numFmtId="0" fontId="8" fillId="0" borderId="0"/>
    <xf numFmtId="169" fontId="8" fillId="0" borderId="0" applyFont="0" applyFill="0" applyBorder="0" applyAlignment="0" applyProtection="0"/>
    <xf numFmtId="9" fontId="8" fillId="0" borderId="0" applyFont="0" applyFill="0" applyBorder="0" applyAlignment="0" applyProtection="0"/>
    <xf numFmtId="0" fontId="11" fillId="0" borderId="0"/>
    <xf numFmtId="0" fontId="11" fillId="0" borderId="0"/>
    <xf numFmtId="0" fontId="11" fillId="0" borderId="0"/>
    <xf numFmtId="0" fontId="7" fillId="0" borderId="0"/>
    <xf numFmtId="9"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83" fontId="11" fillId="0" borderId="0"/>
    <xf numFmtId="184" fontId="11" fillId="0" borderId="0"/>
    <xf numFmtId="183" fontId="11" fillId="0" borderId="0"/>
    <xf numFmtId="183" fontId="11" fillId="0" borderId="0"/>
    <xf numFmtId="183" fontId="11" fillId="0" borderId="0"/>
    <xf numFmtId="183" fontId="11" fillId="0" borderId="0"/>
    <xf numFmtId="185" fontId="11" fillId="0" borderId="0"/>
    <xf numFmtId="186" fontId="11" fillId="0" borderId="0"/>
    <xf numFmtId="185"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13" fillId="27" borderId="0" applyNumberFormat="0" applyBorder="0" applyAlignment="0" applyProtection="0"/>
    <xf numFmtId="10" fontId="13" fillId="68" borderId="10" applyNumberFormat="0" applyBorder="0" applyAlignment="0" applyProtection="0"/>
    <xf numFmtId="187" fontId="11" fillId="0" borderId="0"/>
    <xf numFmtId="188" fontId="11" fillId="0" borderId="0"/>
    <xf numFmtId="187" fontId="11" fillId="0" borderId="0"/>
    <xf numFmtId="187" fontId="11" fillId="0" borderId="0"/>
    <xf numFmtId="187" fontId="11" fillId="0" borderId="0"/>
    <xf numFmtId="187" fontId="11" fillId="0" borderId="0"/>
    <xf numFmtId="189" fontId="11" fillId="0" borderId="0"/>
    <xf numFmtId="10" fontId="11" fillId="0" borderId="0" applyFont="0" applyFill="0" applyBorder="0" applyAlignment="0" applyProtection="0"/>
    <xf numFmtId="0" fontId="6" fillId="0" borderId="0"/>
    <xf numFmtId="169" fontId="6" fillId="0" borderId="0" applyFont="0" applyFill="0" applyBorder="0" applyAlignment="0" applyProtection="0"/>
    <xf numFmtId="9" fontId="6" fillId="0" borderId="0" applyFont="0" applyFill="0" applyBorder="0" applyAlignment="0" applyProtection="0"/>
    <xf numFmtId="168" fontId="11" fillId="0" borderId="0" applyFont="0" applyFill="0" applyBorder="0" applyAlignment="0" applyProtection="0"/>
    <xf numFmtId="0" fontId="3" fillId="0" borderId="0"/>
    <xf numFmtId="169" fontId="3" fillId="0" borderId="0" applyFont="0" applyFill="0" applyBorder="0" applyAlignment="0" applyProtection="0"/>
    <xf numFmtId="9" fontId="3" fillId="0" borderId="0" applyFont="0" applyFill="0" applyBorder="0" applyAlignment="0" applyProtection="0"/>
    <xf numFmtId="0" fontId="2" fillId="0" borderId="0"/>
    <xf numFmtId="168"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8" fontId="11" fillId="0" borderId="0" applyFont="0" applyFill="0" applyBorder="0" applyAlignment="0" applyProtection="0"/>
    <xf numFmtId="194" fontId="134" fillId="0" borderId="0" applyFill="0" applyBorder="0" applyAlignment="0" applyProtection="0"/>
    <xf numFmtId="9" fontId="134" fillId="0" borderId="0" applyFill="0" applyBorder="0" applyAlignment="0" applyProtection="0"/>
  </cellStyleXfs>
  <cellXfs count="2497">
    <xf numFmtId="0" fontId="0" fillId="0" borderId="0" xfId="0"/>
    <xf numFmtId="0" fontId="0" fillId="0" borderId="0" xfId="0" applyProtection="1"/>
    <xf numFmtId="0" fontId="0" fillId="0" borderId="0" xfId="0" applyFill="1" applyBorder="1"/>
    <xf numFmtId="0" fontId="14" fillId="0" borderId="0" xfId="0" applyFont="1"/>
    <xf numFmtId="0" fontId="0" fillId="0" borderId="0" xfId="0" applyAlignment="1" applyProtection="1">
      <alignment vertical="center"/>
    </xf>
    <xf numFmtId="0" fontId="0" fillId="0" borderId="0" xfId="0" applyFill="1" applyAlignment="1" applyProtection="1">
      <alignment vertical="center"/>
    </xf>
    <xf numFmtId="0" fontId="14" fillId="0" borderId="0" xfId="0" applyFont="1" applyAlignment="1">
      <alignment vertical="top"/>
    </xf>
    <xf numFmtId="0" fontId="14" fillId="0" borderId="0" xfId="0" applyFont="1" applyAlignment="1">
      <alignment horizontal="center"/>
    </xf>
    <xf numFmtId="0" fontId="40" fillId="0" borderId="0" xfId="36" quotePrefix="1" applyFont="1" applyAlignment="1" applyProtection="1">
      <alignment horizontal="center"/>
    </xf>
    <xf numFmtId="0" fontId="11" fillId="0" borderId="0" xfId="0" applyFont="1"/>
    <xf numFmtId="0" fontId="33" fillId="0" borderId="0" xfId="0" applyFont="1" applyProtection="1"/>
    <xf numFmtId="0" fontId="47" fillId="0" borderId="0" xfId="0" applyFont="1"/>
    <xf numFmtId="0" fontId="0" fillId="0" borderId="0" xfId="0" applyFill="1" applyBorder="1" applyAlignment="1">
      <alignment wrapText="1"/>
    </xf>
    <xf numFmtId="0" fontId="51" fillId="0" borderId="0" xfId="0" applyFont="1" applyAlignment="1" applyProtection="1">
      <alignment horizontal="right" vertical="center"/>
    </xf>
    <xf numFmtId="0" fontId="33" fillId="0" borderId="0" xfId="0" applyFont="1" applyAlignment="1" applyProtection="1">
      <alignment horizontal="right" vertical="center"/>
    </xf>
    <xf numFmtId="0" fontId="51" fillId="0" borderId="0" xfId="0" applyFont="1" applyAlignment="1" applyProtection="1">
      <alignment horizontal="right" vertical="center" indent="1"/>
    </xf>
    <xf numFmtId="0" fontId="52" fillId="0" borderId="0" xfId="0" applyFont="1" applyAlignment="1">
      <alignment horizontal="left" vertical="top" indent="1"/>
    </xf>
    <xf numFmtId="0" fontId="49" fillId="0" borderId="0" xfId="0" applyFont="1"/>
    <xf numFmtId="0" fontId="74" fillId="0" borderId="0" xfId="0" applyFont="1"/>
    <xf numFmtId="0" fontId="14" fillId="0" borderId="0" xfId="0" applyFont="1" applyAlignment="1"/>
    <xf numFmtId="0" fontId="12" fillId="0" borderId="0" xfId="36" applyAlignment="1" applyProtection="1"/>
    <xf numFmtId="0" fontId="11" fillId="0" borderId="0" xfId="36" applyFont="1" applyAlignment="1" applyProtection="1"/>
    <xf numFmtId="176" fontId="11" fillId="0" borderId="0" xfId="46" applyNumberFormat="1" applyFill="1" applyBorder="1" applyProtection="1">
      <protection locked="0"/>
    </xf>
    <xf numFmtId="176" fontId="11" fillId="0" borderId="0" xfId="46" quotePrefix="1" applyNumberFormat="1" applyFill="1" applyBorder="1" applyProtection="1">
      <protection locked="0"/>
    </xf>
    <xf numFmtId="176" fontId="11" fillId="29" borderId="0" xfId="46" applyNumberFormat="1" applyFill="1" applyBorder="1" applyProtection="1">
      <protection locked="0"/>
    </xf>
    <xf numFmtId="176" fontId="11" fillId="29" borderId="0" xfId="46" applyNumberFormat="1" applyFill="1" applyAlignment="1" applyProtection="1">
      <alignment horizontal="center" vertical="center"/>
      <protection locked="0"/>
    </xf>
    <xf numFmtId="0" fontId="51" fillId="0" borderId="0" xfId="0" applyFont="1" applyAlignment="1" applyProtection="1">
      <alignment horizontal="center" vertical="center" wrapText="1"/>
    </xf>
    <xf numFmtId="0" fontId="0" fillId="0" borderId="0" xfId="0" applyProtection="1">
      <protection locked="0"/>
    </xf>
    <xf numFmtId="0" fontId="0" fillId="64" borderId="0" xfId="0" applyFill="1"/>
    <xf numFmtId="0" fontId="44" fillId="28" borderId="153" xfId="0" applyNumberFormat="1" applyFont="1" applyFill="1" applyBorder="1" applyAlignment="1" applyProtection="1">
      <alignment horizontal="center" vertical="center"/>
      <protection locked="0"/>
    </xf>
    <xf numFmtId="0" fontId="0" fillId="28" borderId="0" xfId="0" applyNumberFormat="1" applyFill="1" applyBorder="1" applyAlignment="1" applyProtection="1">
      <alignment horizontal="center" vertical="center"/>
      <protection locked="0"/>
    </xf>
    <xf numFmtId="0" fontId="11" fillId="0" borderId="0" xfId="0" applyFont="1" applyAlignment="1">
      <alignment vertical="center"/>
    </xf>
    <xf numFmtId="0" fontId="0" fillId="0" borderId="0" xfId="0" applyAlignment="1">
      <alignment vertical="center"/>
    </xf>
    <xf numFmtId="0" fontId="13" fillId="29" borderId="99" xfId="46" applyFont="1" applyFill="1" applyBorder="1" applyAlignment="1" applyProtection="1">
      <alignment horizontal="right" vertical="top"/>
      <protection locked="0"/>
    </xf>
    <xf numFmtId="0" fontId="11" fillId="0" borderId="0" xfId="46" applyProtection="1">
      <protection locked="0"/>
    </xf>
    <xf numFmtId="0" fontId="11" fillId="29" borderId="10" xfId="46" applyFill="1" applyBorder="1" applyAlignment="1" applyProtection="1">
      <alignment horizontal="center" vertical="center"/>
      <protection locked="0"/>
    </xf>
    <xf numFmtId="0" fontId="12" fillId="0" borderId="0" xfId="36" applyAlignment="1" applyProtection="1">
      <alignment horizontal="left" vertical="top"/>
    </xf>
    <xf numFmtId="0" fontId="12" fillId="64" borderId="0" xfId="36" applyFill="1" applyAlignment="1" applyProtection="1">
      <alignment horizontal="left" vertical="top"/>
    </xf>
    <xf numFmtId="0" fontId="11" fillId="0" borderId="0" xfId="46" applyFont="1" applyProtection="1">
      <protection locked="0"/>
    </xf>
    <xf numFmtId="0" fontId="14" fillId="0" borderId="0" xfId="0" applyFont="1" applyProtection="1">
      <protection locked="0"/>
    </xf>
    <xf numFmtId="0" fontId="13" fillId="0" borderId="0" xfId="0" applyFont="1" applyAlignment="1" applyProtection="1">
      <alignment horizontal="right" vertical="top"/>
      <protection locked="0"/>
    </xf>
    <xf numFmtId="0" fontId="13" fillId="29" borderId="99" xfId="0" applyFont="1" applyFill="1" applyBorder="1" applyAlignment="1" applyProtection="1">
      <alignment horizontal="right" vertical="top"/>
      <protection locked="0"/>
    </xf>
    <xf numFmtId="0" fontId="13" fillId="29" borderId="0" xfId="0" applyFont="1" applyFill="1" applyAlignment="1" applyProtection="1">
      <alignment horizontal="right" vertical="top"/>
      <protection locked="0"/>
    </xf>
    <xf numFmtId="0" fontId="18" fillId="0" borderId="0" xfId="0" applyFont="1" applyAlignment="1" applyProtection="1">
      <protection locked="0"/>
    </xf>
    <xf numFmtId="0" fontId="14" fillId="0" borderId="49" xfId="0" applyFont="1" applyFill="1" applyBorder="1" applyProtection="1">
      <protection locked="0"/>
    </xf>
    <xf numFmtId="0" fontId="14" fillId="0" borderId="24" xfId="0" applyFont="1" applyFill="1" applyBorder="1" applyAlignment="1" applyProtection="1">
      <alignment horizontal="center" vertical="center" wrapText="1"/>
      <protection locked="0"/>
    </xf>
    <xf numFmtId="0" fontId="14" fillId="0" borderId="16" xfId="0" applyFont="1" applyFill="1" applyBorder="1" applyProtection="1">
      <protection locked="0"/>
    </xf>
    <xf numFmtId="0" fontId="14" fillId="28" borderId="19" xfId="0" applyFont="1" applyFill="1" applyBorder="1" applyAlignment="1" applyProtection="1">
      <alignment horizontal="center"/>
      <protection locked="0"/>
    </xf>
    <xf numFmtId="0" fontId="14" fillId="29" borderId="33" xfId="0" applyFont="1" applyFill="1" applyBorder="1" applyProtection="1">
      <protection locked="0"/>
    </xf>
    <xf numFmtId="3" fontId="0" fillId="0" borderId="10" xfId="29" applyNumberFormat="1" applyFont="1" applyFill="1" applyBorder="1" applyProtection="1">
      <protection locked="0"/>
    </xf>
    <xf numFmtId="3" fontId="0" fillId="29" borderId="11" xfId="29" applyNumberFormat="1" applyFont="1" applyFill="1" applyBorder="1" applyProtection="1">
      <protection locked="0"/>
    </xf>
    <xf numFmtId="3" fontId="0" fillId="29" borderId="10" xfId="29" applyNumberFormat="1" applyFont="1" applyFill="1" applyBorder="1" applyProtection="1">
      <protection locked="0"/>
    </xf>
    <xf numFmtId="3" fontId="0" fillId="29" borderId="17" xfId="29" applyNumberFormat="1" applyFont="1" applyFill="1" applyBorder="1" applyProtection="1">
      <protection locked="0"/>
    </xf>
    <xf numFmtId="0" fontId="14" fillId="0" borderId="33" xfId="0" applyFont="1" applyFill="1" applyBorder="1" applyProtection="1">
      <protection locked="0"/>
    </xf>
    <xf numFmtId="3" fontId="0" fillId="0" borderId="10" xfId="0" applyNumberFormat="1" applyFill="1" applyBorder="1" applyProtection="1">
      <protection locked="0"/>
    </xf>
    <xf numFmtId="0" fontId="14" fillId="29" borderId="33" xfId="0" applyFont="1" applyFill="1" applyBorder="1" applyAlignment="1" applyProtection="1">
      <alignment wrapText="1"/>
      <protection locked="0"/>
    </xf>
    <xf numFmtId="3" fontId="0" fillId="0" borderId="19" xfId="29" applyNumberFormat="1" applyFont="1" applyFill="1" applyBorder="1" applyProtection="1">
      <protection locked="0"/>
    </xf>
    <xf numFmtId="0" fontId="14" fillId="0" borderId="130" xfId="0" applyFont="1" applyFill="1" applyBorder="1" applyProtection="1">
      <protection locked="0"/>
    </xf>
    <xf numFmtId="3" fontId="14" fillId="0" borderId="56" xfId="0" applyNumberFormat="1" applyFont="1" applyFill="1" applyBorder="1" applyProtection="1">
      <protection locked="0"/>
    </xf>
    <xf numFmtId="0" fontId="14" fillId="0" borderId="10" xfId="0" applyFont="1" applyBorder="1" applyAlignment="1" applyProtection="1">
      <alignment vertical="top" wrapText="1"/>
      <protection locked="0"/>
    </xf>
    <xf numFmtId="0" fontId="14" fillId="0" borderId="56" xfId="0" applyFont="1" applyFill="1" applyBorder="1" applyProtection="1">
      <protection locked="0"/>
    </xf>
    <xf numFmtId="0" fontId="39" fillId="0" borderId="0" xfId="0" applyFont="1" applyAlignment="1" applyProtection="1">
      <alignment horizontal="left" vertical="top"/>
      <protection locked="0"/>
    </xf>
    <xf numFmtId="0" fontId="11" fillId="0" borderId="0" xfId="0" applyFont="1" applyProtection="1">
      <protection locked="0"/>
    </xf>
    <xf numFmtId="0" fontId="90" fillId="0" borderId="0" xfId="0" applyFont="1" applyAlignment="1" applyProtection="1">
      <alignment vertical="center"/>
      <protection locked="0"/>
    </xf>
    <xf numFmtId="0" fontId="11" fillId="0" borderId="0" xfId="0" applyFont="1" applyFill="1" applyProtection="1">
      <protection locked="0"/>
    </xf>
    <xf numFmtId="167" fontId="11" fillId="29" borderId="31" xfId="0" applyNumberFormat="1" applyFont="1" applyFill="1" applyBorder="1" applyAlignment="1" applyProtection="1">
      <alignment horizontal="center" vertical="center" wrapText="1"/>
      <protection locked="0"/>
    </xf>
    <xf numFmtId="167" fontId="11" fillId="29" borderId="44" xfId="0" applyNumberFormat="1" applyFont="1" applyFill="1" applyBorder="1" applyAlignment="1" applyProtection="1">
      <alignment horizontal="center" vertical="center" wrapText="1"/>
      <protection locked="0"/>
    </xf>
    <xf numFmtId="167" fontId="11" fillId="29" borderId="142" xfId="0" applyNumberFormat="1" applyFont="1" applyFill="1" applyBorder="1" applyAlignment="1" applyProtection="1">
      <alignment horizontal="center" vertical="center" wrapText="1"/>
      <protection locked="0"/>
    </xf>
    <xf numFmtId="167" fontId="11" fillId="29" borderId="41" xfId="0" applyNumberFormat="1" applyFont="1" applyFill="1" applyBorder="1" applyAlignment="1" applyProtection="1">
      <alignment horizontal="center" vertical="center" wrapText="1"/>
      <protection locked="0"/>
    </xf>
    <xf numFmtId="0" fontId="0" fillId="0" borderId="0" xfId="0" applyBorder="1" applyProtection="1">
      <protection locked="0"/>
    </xf>
    <xf numFmtId="0" fontId="14" fillId="0" borderId="0" xfId="46" applyFont="1" applyAlignment="1" applyProtection="1">
      <alignment horizontal="right"/>
      <protection locked="0"/>
    </xf>
    <xf numFmtId="0" fontId="13" fillId="0" borderId="0" xfId="46" applyFont="1" applyAlignment="1" applyProtection="1">
      <alignment vertical="top"/>
      <protection locked="0"/>
    </xf>
    <xf numFmtId="0" fontId="13" fillId="29" borderId="0" xfId="46" applyFont="1" applyFill="1" applyBorder="1" applyAlignment="1" applyProtection="1">
      <alignment vertical="top"/>
      <protection locked="0"/>
    </xf>
    <xf numFmtId="0" fontId="13" fillId="29" borderId="0" xfId="46" applyFont="1" applyFill="1" applyAlignment="1" applyProtection="1">
      <alignment vertical="top"/>
      <protection locked="0"/>
    </xf>
    <xf numFmtId="0" fontId="14" fillId="0" borderId="10" xfId="0" applyFont="1" applyBorder="1" applyAlignment="1" applyProtection="1">
      <alignment horizontal="left" vertical="center" wrapText="1"/>
      <protection locked="0"/>
    </xf>
    <xf numFmtId="0" fontId="14" fillId="0" borderId="10" xfId="0" applyFont="1" applyBorder="1" applyAlignment="1" applyProtection="1">
      <alignment horizontal="center" vertical="center" wrapText="1"/>
      <protection locked="0"/>
    </xf>
    <xf numFmtId="0" fontId="0" fillId="29" borderId="10" xfId="0" applyFill="1" applyBorder="1" applyAlignment="1" applyProtection="1">
      <alignment horizontal="left" vertical="top" wrapText="1"/>
      <protection locked="0"/>
    </xf>
    <xf numFmtId="0" fontId="11" fillId="29" borderId="10" xfId="0" applyFont="1" applyFill="1" applyBorder="1" applyAlignment="1" applyProtection="1">
      <alignment horizontal="left" vertical="top" wrapText="1"/>
      <protection locked="0"/>
    </xf>
    <xf numFmtId="0" fontId="11" fillId="0" borderId="0" xfId="46" applyFont="1" applyAlignment="1" applyProtection="1">
      <alignment horizontal="left"/>
      <protection locked="0"/>
    </xf>
    <xf numFmtId="0" fontId="14" fillId="0" borderId="0" xfId="46" applyFont="1" applyProtection="1">
      <protection locked="0"/>
    </xf>
    <xf numFmtId="0" fontId="14" fillId="0" borderId="0" xfId="46" applyFont="1" applyFill="1" applyProtection="1">
      <protection locked="0"/>
    </xf>
    <xf numFmtId="0" fontId="11" fillId="0" borderId="0" xfId="46" applyFill="1" applyProtection="1">
      <protection locked="0"/>
    </xf>
    <xf numFmtId="0" fontId="11" fillId="0" borderId="0" xfId="46" applyFont="1" applyFill="1" applyProtection="1">
      <protection locked="0"/>
    </xf>
    <xf numFmtId="0" fontId="11" fillId="0" borderId="0" xfId="46" applyBorder="1" applyProtection="1">
      <protection locked="0"/>
    </xf>
    <xf numFmtId="0" fontId="44" fillId="29" borderId="0" xfId="46" applyFont="1" applyFill="1" applyAlignment="1" applyProtection="1">
      <protection locked="0"/>
    </xf>
    <xf numFmtId="0" fontId="15" fillId="0" borderId="0" xfId="46" applyFont="1" applyAlignment="1" applyProtection="1">
      <alignment horizontal="center"/>
      <protection locked="0"/>
    </xf>
    <xf numFmtId="0" fontId="11" fillId="25" borderId="74" xfId="46" applyFill="1" applyBorder="1" applyProtection="1">
      <protection locked="0"/>
    </xf>
    <xf numFmtId="0" fontId="14" fillId="25" borderId="13" xfId="46" applyFont="1" applyFill="1" applyBorder="1" applyAlignment="1" applyProtection="1">
      <protection locked="0"/>
    </xf>
    <xf numFmtId="0" fontId="14" fillId="25" borderId="33" xfId="46" applyFont="1" applyFill="1" applyBorder="1" applyAlignment="1" applyProtection="1">
      <protection locked="0"/>
    </xf>
    <xf numFmtId="0" fontId="14" fillId="25" borderId="10" xfId="46" applyFont="1" applyFill="1" applyBorder="1" applyAlignment="1" applyProtection="1">
      <alignment horizontal="center" wrapText="1"/>
      <protection locked="0"/>
    </xf>
    <xf numFmtId="0" fontId="14" fillId="25" borderId="10" xfId="46" applyFont="1" applyFill="1" applyBorder="1" applyProtection="1">
      <protection locked="0"/>
    </xf>
    <xf numFmtId="0" fontId="14" fillId="25" borderId="10" xfId="46" applyFont="1" applyFill="1" applyBorder="1" applyAlignment="1" applyProtection="1">
      <alignment horizontal="center"/>
      <protection locked="0"/>
    </xf>
    <xf numFmtId="0" fontId="14" fillId="25" borderId="16" xfId="46" applyFont="1" applyFill="1" applyBorder="1" applyAlignment="1" applyProtection="1">
      <alignment horizontal="center" wrapText="1"/>
      <protection locked="0"/>
    </xf>
    <xf numFmtId="0" fontId="14" fillId="25" borderId="19" xfId="46" applyFont="1" applyFill="1" applyBorder="1" applyAlignment="1" applyProtection="1">
      <alignment horizontal="center"/>
      <protection locked="0"/>
    </xf>
    <xf numFmtId="0" fontId="14" fillId="25" borderId="19" xfId="46" applyFont="1" applyFill="1" applyBorder="1" applyAlignment="1" applyProtection="1">
      <alignment horizontal="center" wrapText="1"/>
      <protection locked="0"/>
    </xf>
    <xf numFmtId="0" fontId="11" fillId="0" borderId="10" xfId="46" applyFont="1" applyBorder="1" applyAlignment="1" applyProtection="1">
      <alignment vertical="center" wrapText="1"/>
      <protection locked="0"/>
    </xf>
    <xf numFmtId="171" fontId="0" fillId="29" borderId="10" xfId="29" applyNumberFormat="1" applyFont="1" applyFill="1" applyBorder="1" applyProtection="1">
      <protection locked="0"/>
    </xf>
    <xf numFmtId="171" fontId="0" fillId="0" borderId="10" xfId="29" applyNumberFormat="1" applyFont="1" applyBorder="1" applyProtection="1">
      <protection locked="0"/>
    </xf>
    <xf numFmtId="171" fontId="0" fillId="29" borderId="33" xfId="29" applyNumberFormat="1" applyFont="1" applyFill="1" applyBorder="1" applyProtection="1">
      <protection locked="0"/>
    </xf>
    <xf numFmtId="0" fontId="11" fillId="0" borderId="10" xfId="46" applyFill="1" applyBorder="1" applyAlignment="1" applyProtection="1">
      <alignment horizontal="center" vertical="center"/>
      <protection locked="0"/>
    </xf>
    <xf numFmtId="0" fontId="11" fillId="0" borderId="10" xfId="46" applyFill="1" applyBorder="1" applyAlignment="1" applyProtection="1">
      <alignment vertical="center" wrapText="1"/>
      <protection locked="0"/>
    </xf>
    <xf numFmtId="0" fontId="11" fillId="0" borderId="10" xfId="46" applyBorder="1" applyAlignment="1" applyProtection="1">
      <alignment vertical="center" wrapText="1"/>
      <protection locked="0"/>
    </xf>
    <xf numFmtId="0" fontId="11" fillId="0" borderId="10" xfId="46" applyFont="1" applyFill="1" applyBorder="1" applyAlignment="1" applyProtection="1">
      <alignment horizontal="center" vertical="center"/>
      <protection locked="0"/>
    </xf>
    <xf numFmtId="171" fontId="0" fillId="29" borderId="0" xfId="29" applyNumberFormat="1" applyFont="1" applyFill="1" applyProtection="1">
      <protection locked="0"/>
    </xf>
    <xf numFmtId="0" fontId="11" fillId="0" borderId="10" xfId="46" applyFont="1" applyFill="1" applyBorder="1" applyAlignment="1" applyProtection="1">
      <alignment vertical="center" wrapText="1"/>
      <protection locked="0"/>
    </xf>
    <xf numFmtId="0" fontId="11" fillId="0" borderId="10" xfId="46" applyFont="1" applyBorder="1" applyAlignment="1" applyProtection="1">
      <alignment horizontal="center" vertical="center"/>
      <protection locked="0"/>
    </xf>
    <xf numFmtId="0" fontId="11" fillId="0" borderId="10" xfId="46" applyBorder="1" applyAlignment="1" applyProtection="1">
      <alignment horizontal="center"/>
      <protection locked="0"/>
    </xf>
    <xf numFmtId="0" fontId="11" fillId="0" borderId="10" xfId="46" applyBorder="1" applyProtection="1">
      <protection locked="0"/>
    </xf>
    <xf numFmtId="0" fontId="11" fillId="29" borderId="10" xfId="46" applyFill="1" applyBorder="1" applyProtection="1">
      <protection locked="0"/>
    </xf>
    <xf numFmtId="0" fontId="14" fillId="0" borderId="10" xfId="46" applyFont="1" applyBorder="1" applyProtection="1">
      <protection locked="0"/>
    </xf>
    <xf numFmtId="171" fontId="14" fillId="0" borderId="10" xfId="46" applyNumberFormat="1" applyFont="1" applyBorder="1" applyProtection="1">
      <protection locked="0"/>
    </xf>
    <xf numFmtId="0" fontId="14" fillId="0" borderId="10" xfId="46" applyFont="1" applyBorder="1" applyAlignment="1" applyProtection="1">
      <alignment vertical="center" wrapText="1"/>
      <protection locked="0"/>
    </xf>
    <xf numFmtId="0" fontId="39" fillId="0" borderId="10" xfId="46" applyFont="1" applyBorder="1" applyAlignment="1" applyProtection="1">
      <alignment vertical="top" wrapText="1"/>
      <protection locked="0"/>
    </xf>
    <xf numFmtId="0" fontId="11" fillId="0" borderId="0" xfId="46" applyFill="1" applyBorder="1" applyProtection="1">
      <protection locked="0"/>
    </xf>
    <xf numFmtId="171" fontId="0" fillId="0" borderId="0" xfId="29" applyNumberFormat="1" applyFont="1" applyFill="1" applyBorder="1" applyProtection="1">
      <protection locked="0"/>
    </xf>
    <xf numFmtId="171" fontId="11" fillId="0" borderId="0" xfId="46" applyNumberFormat="1" applyFill="1" applyBorder="1" applyProtection="1">
      <protection locked="0"/>
    </xf>
    <xf numFmtId="0" fontId="11" fillId="0" borderId="0" xfId="46" applyFont="1" applyAlignment="1" applyProtection="1">
      <protection locked="0"/>
    </xf>
    <xf numFmtId="0" fontId="14" fillId="0" borderId="0" xfId="46" applyFont="1" applyFill="1" applyBorder="1" applyAlignment="1" applyProtection="1">
      <protection locked="0"/>
    </xf>
    <xf numFmtId="15" fontId="11" fillId="0" borderId="0" xfId="46" applyNumberFormat="1" applyProtection="1">
      <protection locked="0"/>
    </xf>
    <xf numFmtId="0" fontId="39" fillId="0" borderId="0" xfId="46" applyFont="1" applyAlignment="1" applyProtection="1">
      <alignment horizontal="center"/>
      <protection locked="0"/>
    </xf>
    <xf numFmtId="0" fontId="11" fillId="0" borderId="0" xfId="46" applyAlignment="1" applyProtection="1">
      <alignment horizontal="left"/>
      <protection locked="0"/>
    </xf>
    <xf numFmtId="1" fontId="11" fillId="29" borderId="10" xfId="46" applyNumberFormat="1" applyFill="1" applyBorder="1" applyAlignment="1" applyProtection="1">
      <alignment horizontal="center" vertical="center"/>
      <protection locked="0"/>
    </xf>
    <xf numFmtId="0" fontId="11" fillId="29" borderId="10" xfId="46" applyFill="1" applyBorder="1" applyAlignment="1" applyProtection="1">
      <alignment horizontal="left" vertical="center"/>
      <protection locked="0"/>
    </xf>
    <xf numFmtId="171" fontId="0" fillId="29" borderId="36" xfId="29" applyNumberFormat="1" applyFont="1" applyFill="1" applyBorder="1" applyProtection="1">
      <protection locked="0"/>
    </xf>
    <xf numFmtId="0" fontId="11" fillId="0" borderId="38" xfId="46" applyFont="1" applyBorder="1" applyAlignment="1" applyProtection="1">
      <alignment horizontal="center"/>
      <protection locked="0"/>
    </xf>
    <xf numFmtId="0" fontId="14" fillId="0" borderId="0" xfId="46" applyFont="1" applyAlignment="1" applyProtection="1">
      <alignment vertical="top" wrapText="1"/>
      <protection locked="0"/>
    </xf>
    <xf numFmtId="0" fontId="14" fillId="25" borderId="34" xfId="46" quotePrefix="1" applyFont="1" applyFill="1" applyBorder="1" applyAlignment="1" applyProtection="1">
      <alignment horizontal="center"/>
      <protection locked="0"/>
    </xf>
    <xf numFmtId="0" fontId="14" fillId="25" borderId="35" xfId="46" quotePrefix="1" applyFont="1" applyFill="1" applyBorder="1" applyAlignment="1" applyProtection="1">
      <alignment horizontal="center"/>
      <protection locked="0"/>
    </xf>
    <xf numFmtId="0" fontId="11" fillId="0" borderId="0" xfId="46" applyFont="1" applyBorder="1" applyAlignment="1" applyProtection="1">
      <alignment horizontal="center"/>
      <protection locked="0"/>
    </xf>
    <xf numFmtId="0" fontId="14" fillId="0" borderId="0" xfId="46" applyFont="1" applyBorder="1" applyProtection="1">
      <protection locked="0"/>
    </xf>
    <xf numFmtId="171" fontId="14" fillId="0" borderId="0" xfId="46" applyNumberFormat="1" applyFont="1" applyBorder="1" applyProtection="1">
      <protection locked="0"/>
    </xf>
    <xf numFmtId="171" fontId="11" fillId="29" borderId="10" xfId="29" applyNumberFormat="1" applyFill="1" applyBorder="1" applyProtection="1">
      <protection locked="0"/>
    </xf>
    <xf numFmtId="171" fontId="0" fillId="29" borderId="19" xfId="29" applyNumberFormat="1" applyFont="1" applyFill="1" applyBorder="1" applyProtection="1">
      <protection locked="0"/>
    </xf>
    <xf numFmtId="0" fontId="14" fillId="0" borderId="0" xfId="46" applyFont="1" applyAlignment="1" applyProtection="1">
      <alignment vertical="center"/>
      <protection locked="0"/>
    </xf>
    <xf numFmtId="0" fontId="14" fillId="0" borderId="0" xfId="46" applyFont="1" applyAlignment="1" applyProtection="1">
      <alignment horizontal="center"/>
      <protection locked="0"/>
    </xf>
    <xf numFmtId="171" fontId="11" fillId="29" borderId="25" xfId="29" applyNumberFormat="1" applyFill="1" applyBorder="1" applyProtection="1">
      <protection locked="0"/>
    </xf>
    <xf numFmtId="171" fontId="11" fillId="29" borderId="67" xfId="29" applyNumberFormat="1" applyFill="1" applyBorder="1" applyProtection="1">
      <protection locked="0"/>
    </xf>
    <xf numFmtId="171" fontId="11" fillId="0" borderId="59" xfId="29" applyNumberFormat="1" applyBorder="1" applyProtection="1">
      <protection locked="0"/>
    </xf>
    <xf numFmtId="0" fontId="14" fillId="0" borderId="43" xfId="46" applyFont="1" applyFill="1" applyBorder="1" applyAlignment="1" applyProtection="1">
      <alignment horizontal="center"/>
      <protection locked="0"/>
    </xf>
    <xf numFmtId="0" fontId="14" fillId="0" borderId="40" xfId="46" applyFont="1" applyFill="1" applyBorder="1" applyAlignment="1" applyProtection="1">
      <alignment horizontal="center"/>
      <protection locked="0"/>
    </xf>
    <xf numFmtId="171" fontId="11" fillId="29" borderId="52" xfId="29" applyNumberFormat="1" applyFont="1" applyFill="1" applyBorder="1" applyAlignment="1" applyProtection="1">
      <alignment horizontal="center"/>
      <protection locked="0"/>
    </xf>
    <xf numFmtId="171" fontId="11" fillId="28" borderId="126" xfId="29" applyNumberFormat="1" applyFill="1" applyBorder="1" applyProtection="1">
      <protection locked="0"/>
    </xf>
    <xf numFmtId="171" fontId="11" fillId="29" borderId="126" xfId="29" applyNumberFormat="1" applyFill="1" applyBorder="1" applyAlignment="1" applyProtection="1">
      <alignment horizontal="left" vertical="top" wrapText="1"/>
      <protection locked="0"/>
    </xf>
    <xf numFmtId="171" fontId="11" fillId="29" borderId="53" xfId="29" applyNumberFormat="1" applyFont="1" applyFill="1" applyBorder="1" applyProtection="1">
      <protection locked="0"/>
    </xf>
    <xf numFmtId="171" fontId="11" fillId="28" borderId="103" xfId="29" applyNumberFormat="1" applyFill="1" applyBorder="1" applyProtection="1">
      <protection locked="0"/>
    </xf>
    <xf numFmtId="0" fontId="11" fillId="29" borderId="103" xfId="46" applyFill="1" applyBorder="1" applyAlignment="1" applyProtection="1">
      <alignment horizontal="left" wrapText="1"/>
      <protection locked="0"/>
    </xf>
    <xf numFmtId="0" fontId="11" fillId="29" borderId="152" xfId="46" applyFill="1" applyBorder="1" applyAlignment="1" applyProtection="1">
      <alignment horizontal="left" wrapText="1"/>
      <protection locked="0"/>
    </xf>
    <xf numFmtId="171" fontId="11" fillId="29" borderId="88" xfId="29" applyNumberFormat="1" applyFont="1" applyFill="1" applyBorder="1" applyProtection="1">
      <protection locked="0"/>
    </xf>
    <xf numFmtId="171" fontId="11" fillId="29" borderId="152" xfId="29" applyNumberFormat="1" applyFill="1" applyBorder="1" applyAlignment="1" applyProtection="1">
      <alignment horizontal="left" vertical="top" wrapText="1"/>
      <protection locked="0"/>
    </xf>
    <xf numFmtId="171" fontId="11" fillId="29" borderId="44" xfId="29" applyNumberFormat="1" applyFill="1" applyBorder="1" applyAlignment="1" applyProtection="1">
      <alignment horizontal="left" vertical="top" wrapText="1"/>
      <protection locked="0"/>
    </xf>
    <xf numFmtId="0" fontId="20" fillId="0" borderId="0" xfId="47" applyProtection="1">
      <protection locked="0"/>
    </xf>
    <xf numFmtId="0" fontId="36" fillId="0" borderId="0" xfId="47" applyFont="1" applyProtection="1">
      <protection locked="0"/>
    </xf>
    <xf numFmtId="0" fontId="50" fillId="0" borderId="0" xfId="47" applyFont="1" applyProtection="1">
      <protection locked="0"/>
    </xf>
    <xf numFmtId="0" fontId="54" fillId="0" borderId="0" xfId="47" applyFont="1" applyProtection="1">
      <protection locked="0"/>
    </xf>
    <xf numFmtId="0" fontId="53" fillId="0" borderId="10" xfId="47" applyFont="1" applyBorder="1" applyAlignment="1" applyProtection="1">
      <alignment horizontal="center" wrapText="1"/>
      <protection locked="0"/>
    </xf>
    <xf numFmtId="0" fontId="53" fillId="0" borderId="0" xfId="47" applyFont="1" applyProtection="1">
      <protection locked="0"/>
    </xf>
    <xf numFmtId="0" fontId="53" fillId="0" borderId="10" xfId="47" applyFont="1" applyBorder="1" applyAlignment="1" applyProtection="1">
      <alignment horizontal="center" vertical="center"/>
      <protection locked="0"/>
    </xf>
    <xf numFmtId="0" fontId="53" fillId="0" borderId="10" xfId="47" applyFont="1" applyBorder="1" applyAlignment="1" applyProtection="1">
      <alignment horizontal="center" vertical="center" wrapText="1"/>
      <protection locked="0"/>
    </xf>
    <xf numFmtId="0" fontId="50" fillId="0" borderId="10" xfId="47" applyFont="1" applyBorder="1" applyProtection="1">
      <protection locked="0"/>
    </xf>
    <xf numFmtId="0" fontId="50" fillId="0" borderId="10" xfId="47" applyFont="1" applyBorder="1" applyAlignment="1" applyProtection="1">
      <alignment horizontal="center"/>
      <protection locked="0"/>
    </xf>
    <xf numFmtId="0" fontId="50" fillId="30" borderId="10" xfId="47" applyFont="1" applyFill="1" applyBorder="1" applyProtection="1">
      <protection locked="0"/>
    </xf>
    <xf numFmtId="3" fontId="50" fillId="29" borderId="10" xfId="47" applyNumberFormat="1" applyFont="1" applyFill="1" applyBorder="1" applyAlignment="1" applyProtection="1">
      <protection locked="0"/>
    </xf>
    <xf numFmtId="0" fontId="53" fillId="0" borderId="10" xfId="47" applyFont="1" applyBorder="1" applyProtection="1">
      <protection locked="0"/>
    </xf>
    <xf numFmtId="3" fontId="50" fillId="0" borderId="10" xfId="47" applyNumberFormat="1" applyFont="1" applyBorder="1" applyAlignment="1" applyProtection="1">
      <protection locked="0"/>
    </xf>
    <xf numFmtId="0" fontId="53" fillId="0" borderId="0" xfId="47" applyFont="1" applyAlignment="1" applyProtection="1">
      <alignment wrapText="1"/>
      <protection locked="0"/>
    </xf>
    <xf numFmtId="3" fontId="11" fillId="29" borderId="10" xfId="47" applyNumberFormat="1" applyFont="1" applyFill="1" applyBorder="1" applyAlignment="1" applyProtection="1">
      <protection locked="0"/>
    </xf>
    <xf numFmtId="0" fontId="53" fillId="0" borderId="10" xfId="47" applyFont="1" applyBorder="1" applyAlignment="1" applyProtection="1">
      <alignment wrapText="1"/>
      <protection locked="0"/>
    </xf>
    <xf numFmtId="3" fontId="50" fillId="0" borderId="10" xfId="47" applyNumberFormat="1" applyFont="1" applyBorder="1" applyProtection="1">
      <protection locked="0"/>
    </xf>
    <xf numFmtId="3" fontId="50" fillId="0" borderId="0" xfId="47" applyNumberFormat="1" applyFont="1" applyProtection="1">
      <protection locked="0"/>
    </xf>
    <xf numFmtId="0" fontId="50" fillId="0" borderId="12" xfId="47" applyFont="1" applyBorder="1" applyAlignment="1" applyProtection="1">
      <alignment horizontal="left" wrapText="1" indent="4"/>
      <protection locked="0"/>
    </xf>
    <xf numFmtId="0" fontId="50" fillId="0" borderId="12" xfId="47" applyFont="1" applyBorder="1" applyProtection="1">
      <protection locked="0"/>
    </xf>
    <xf numFmtId="172" fontId="50" fillId="0" borderId="12" xfId="28" applyNumberFormat="1" applyFont="1" applyBorder="1" applyProtection="1">
      <protection locked="0"/>
    </xf>
    <xf numFmtId="0" fontId="53" fillId="0" borderId="0" xfId="47" applyFont="1" applyAlignment="1" applyProtection="1">
      <alignment horizontal="right"/>
      <protection locked="0"/>
    </xf>
    <xf numFmtId="10" fontId="50" fillId="29" borderId="99" xfId="47" applyNumberFormat="1" applyFont="1" applyFill="1" applyBorder="1" applyProtection="1">
      <protection locked="0"/>
    </xf>
    <xf numFmtId="0" fontId="20" fillId="0" borderId="0" xfId="47" applyFont="1" applyProtection="1">
      <protection locked="0"/>
    </xf>
    <xf numFmtId="0" fontId="54" fillId="0" borderId="0" xfId="47" applyFont="1" applyAlignment="1" applyProtection="1">
      <alignment vertical="center"/>
      <protection locked="0"/>
    </xf>
    <xf numFmtId="0" fontId="53" fillId="0" borderId="13" xfId="47" applyFont="1" applyBorder="1" applyProtection="1">
      <protection locked="0"/>
    </xf>
    <xf numFmtId="0" fontId="50" fillId="0" borderId="13" xfId="47" applyFont="1" applyBorder="1" applyProtection="1">
      <protection locked="0"/>
    </xf>
    <xf numFmtId="172" fontId="50" fillId="0" borderId="13" xfId="28" applyNumberFormat="1" applyFont="1" applyBorder="1" applyProtection="1">
      <protection locked="0"/>
    </xf>
    <xf numFmtId="0" fontId="50" fillId="0" borderId="10" xfId="47" applyFont="1" applyBorder="1" applyAlignment="1" applyProtection="1">
      <protection locked="0"/>
    </xf>
    <xf numFmtId="0" fontId="55" fillId="30" borderId="10" xfId="47" applyFont="1" applyFill="1" applyBorder="1" applyProtection="1">
      <protection locked="0"/>
    </xf>
    <xf numFmtId="172" fontId="50" fillId="0" borderId="0" xfId="28" applyNumberFormat="1" applyFont="1" applyProtection="1">
      <protection locked="0"/>
    </xf>
    <xf numFmtId="0" fontId="82" fillId="0" borderId="0" xfId="47" applyFont="1" applyProtection="1">
      <protection locked="0"/>
    </xf>
    <xf numFmtId="0" fontId="9" fillId="0" borderId="0" xfId="90" applyProtection="1">
      <protection locked="0"/>
    </xf>
    <xf numFmtId="0" fontId="14" fillId="0" borderId="0" xfId="0" applyFont="1" applyAlignment="1" applyProtection="1">
      <alignment horizontal="center"/>
      <protection locked="0"/>
    </xf>
    <xf numFmtId="180" fontId="11" fillId="29" borderId="0" xfId="28" applyNumberFormat="1" applyFont="1" applyFill="1" applyBorder="1" applyAlignment="1" applyProtection="1">
      <alignment horizontal="center"/>
      <protection locked="0"/>
    </xf>
    <xf numFmtId="0" fontId="14" fillId="0" borderId="0" xfId="0" applyFont="1" applyFill="1" applyBorder="1" applyProtection="1">
      <protection locked="0"/>
    </xf>
    <xf numFmtId="0" fontId="86" fillId="0" borderId="0" xfId="90" applyFont="1" applyProtection="1">
      <protection locked="0"/>
    </xf>
    <xf numFmtId="0" fontId="11" fillId="0" borderId="0" xfId="0" applyFont="1" applyBorder="1" applyProtection="1">
      <protection locked="0"/>
    </xf>
    <xf numFmtId="0" fontId="14" fillId="0" borderId="0" xfId="0" applyFont="1" applyAlignment="1" applyProtection="1">
      <alignment horizontal="right"/>
      <protection locked="0"/>
    </xf>
    <xf numFmtId="0" fontId="11" fillId="0" borderId="0" xfId="0" applyFont="1" applyAlignment="1" applyProtection="1">
      <alignment horizontal="center"/>
      <protection locked="0"/>
    </xf>
    <xf numFmtId="10" fontId="11" fillId="29" borderId="0" xfId="42" applyNumberFormat="1" applyFont="1" applyFill="1" applyAlignment="1" applyProtection="1">
      <alignment horizontal="center"/>
      <protection locked="0"/>
    </xf>
    <xf numFmtId="168" fontId="11" fillId="0" borderId="0" xfId="29" applyFont="1" applyFill="1" applyBorder="1" applyProtection="1">
      <protection locked="0"/>
    </xf>
    <xf numFmtId="0" fontId="0" fillId="0" borderId="0" xfId="0" applyFill="1" applyProtection="1">
      <protection locked="0"/>
    </xf>
    <xf numFmtId="0" fontId="11" fillId="29" borderId="0" xfId="42" applyNumberFormat="1" applyFont="1" applyFill="1" applyAlignment="1" applyProtection="1">
      <alignment horizontal="center"/>
      <protection locked="0"/>
    </xf>
    <xf numFmtId="0" fontId="11" fillId="29" borderId="0" xfId="29" applyNumberFormat="1" applyFont="1" applyFill="1" applyAlignment="1" applyProtection="1">
      <alignment horizontal="center"/>
      <protection locked="0"/>
    </xf>
    <xf numFmtId="9" fontId="11" fillId="29" borderId="0" xfId="42" applyFont="1" applyFill="1" applyAlignment="1" applyProtection="1">
      <alignment horizontal="center"/>
      <protection locked="0"/>
    </xf>
    <xf numFmtId="10" fontId="11" fillId="29" borderId="0" xfId="28" applyNumberFormat="1" applyFont="1" applyFill="1" applyBorder="1" applyAlignment="1" applyProtection="1">
      <alignment horizontal="center"/>
      <protection locked="0"/>
    </xf>
    <xf numFmtId="0" fontId="44" fillId="0" borderId="126" xfId="93" applyFont="1" applyBorder="1" applyProtection="1">
      <protection locked="0"/>
    </xf>
    <xf numFmtId="179" fontId="11" fillId="29" borderId="53" xfId="93" applyNumberFormat="1" applyFont="1" applyFill="1" applyBorder="1" applyProtection="1">
      <protection locked="0"/>
    </xf>
    <xf numFmtId="179" fontId="11" fillId="29" borderId="126" xfId="93" applyNumberFormat="1" applyFont="1" applyFill="1" applyBorder="1" applyAlignment="1" applyProtection="1">
      <alignment horizontal="center"/>
      <protection locked="0"/>
    </xf>
    <xf numFmtId="179" fontId="11" fillId="29" borderId="132" xfId="93" applyNumberFormat="1" applyFont="1" applyFill="1" applyBorder="1" applyAlignment="1" applyProtection="1">
      <alignment horizontal="center"/>
      <protection locked="0"/>
    </xf>
    <xf numFmtId="0" fontId="44" fillId="0" borderId="101" xfId="93" applyFont="1" applyBorder="1" applyProtection="1">
      <protection locked="0"/>
    </xf>
    <xf numFmtId="179" fontId="11" fillId="29" borderId="90" xfId="93" applyNumberFormat="1" applyFont="1" applyFill="1" applyBorder="1" applyProtection="1">
      <protection locked="0"/>
    </xf>
    <xf numFmtId="179" fontId="11" fillId="29" borderId="101" xfId="93" applyNumberFormat="1" applyFont="1" applyFill="1" applyBorder="1" applyAlignment="1" applyProtection="1">
      <alignment horizontal="center"/>
      <protection locked="0"/>
    </xf>
    <xf numFmtId="179" fontId="11" fillId="29" borderId="133" xfId="93" applyNumberFormat="1" applyFont="1" applyFill="1" applyBorder="1" applyAlignment="1" applyProtection="1">
      <alignment horizontal="center"/>
      <protection locked="0"/>
    </xf>
    <xf numFmtId="0" fontId="44" fillId="0" borderId="31" xfId="93" applyFont="1" applyBorder="1" applyProtection="1">
      <protection locked="0"/>
    </xf>
    <xf numFmtId="0" fontId="44" fillId="0" borderId="22" xfId="93" applyFont="1" applyBorder="1" applyProtection="1">
      <protection locked="0"/>
    </xf>
    <xf numFmtId="0" fontId="14" fillId="0" borderId="0" xfId="0" applyFont="1" applyAlignment="1" applyProtection="1">
      <alignment horizontal="left"/>
      <protection locked="0"/>
    </xf>
    <xf numFmtId="0" fontId="14" fillId="28" borderId="76" xfId="0" applyFont="1" applyFill="1" applyBorder="1" applyAlignment="1" applyProtection="1">
      <alignment horizontal="center"/>
      <protection locked="0"/>
    </xf>
    <xf numFmtId="0" fontId="14" fillId="28" borderId="63" xfId="0" applyFont="1" applyFill="1" applyBorder="1" applyAlignment="1" applyProtection="1">
      <alignment horizontal="center"/>
      <protection locked="0"/>
    </xf>
    <xf numFmtId="171" fontId="0" fillId="29" borderId="74" xfId="29" applyNumberFormat="1" applyFont="1" applyFill="1" applyBorder="1" applyProtection="1">
      <protection locked="0"/>
    </xf>
    <xf numFmtId="171" fontId="0" fillId="29" borderId="25" xfId="29" applyNumberFormat="1" applyFont="1" applyFill="1" applyBorder="1" applyProtection="1">
      <protection locked="0"/>
    </xf>
    <xf numFmtId="0" fontId="33" fillId="29" borderId="27" xfId="0" applyFont="1" applyFill="1" applyBorder="1" applyAlignment="1" applyProtection="1">
      <alignment horizontal="center"/>
      <protection locked="0"/>
    </xf>
    <xf numFmtId="0" fontId="33" fillId="29" borderId="10" xfId="0" applyFont="1" applyFill="1" applyBorder="1" applyProtection="1">
      <protection locked="0"/>
    </xf>
    <xf numFmtId="0" fontId="0" fillId="29" borderId="10" xfId="0" applyFill="1" applyBorder="1" applyProtection="1">
      <protection locked="0"/>
    </xf>
    <xf numFmtId="0" fontId="14" fillId="0" borderId="10" xfId="0" applyFont="1" applyFill="1" applyBorder="1" applyAlignment="1" applyProtection="1">
      <alignment horizontal="center"/>
      <protection locked="0"/>
    </xf>
    <xf numFmtId="171" fontId="0" fillId="29" borderId="13" xfId="29" applyNumberFormat="1" applyFont="1" applyFill="1" applyBorder="1" applyProtection="1">
      <protection locked="0"/>
    </xf>
    <xf numFmtId="171" fontId="0" fillId="29" borderId="14" xfId="29" applyNumberFormat="1" applyFont="1" applyFill="1" applyBorder="1" applyProtection="1">
      <protection locked="0"/>
    </xf>
    <xf numFmtId="171" fontId="0" fillId="29" borderId="37" xfId="29" applyNumberFormat="1" applyFont="1" applyFill="1" applyBorder="1" applyProtection="1">
      <protection locked="0"/>
    </xf>
    <xf numFmtId="0" fontId="0" fillId="0" borderId="0" xfId="0" applyAlignment="1" applyProtection="1">
      <alignment horizontal="center" vertical="center"/>
      <protection locked="0"/>
    </xf>
    <xf numFmtId="0" fontId="0" fillId="0" borderId="10" xfId="0" applyBorder="1" applyProtection="1">
      <protection locked="0"/>
    </xf>
    <xf numFmtId="0" fontId="14" fillId="0" borderId="10" xfId="0" applyFont="1" applyFill="1" applyBorder="1" applyProtection="1">
      <protection locked="0"/>
    </xf>
    <xf numFmtId="0" fontId="14" fillId="0" borderId="21" xfId="0" applyFont="1" applyFill="1" applyBorder="1" applyAlignment="1" applyProtection="1">
      <alignment horizontal="center" vertical="center" wrapText="1"/>
      <protection locked="0"/>
    </xf>
    <xf numFmtId="0" fontId="14" fillId="0" borderId="65" xfId="0" applyFont="1" applyFill="1" applyBorder="1" applyAlignment="1" applyProtection="1">
      <alignment horizontal="center" vertical="center" wrapText="1"/>
      <protection locked="0"/>
    </xf>
    <xf numFmtId="0" fontId="79" fillId="0" borderId="20" xfId="46" applyFont="1" applyFill="1" applyBorder="1" applyAlignment="1" applyProtection="1">
      <alignment vertical="center" wrapText="1"/>
      <protection locked="0"/>
    </xf>
    <xf numFmtId="0" fontId="14" fillId="28" borderId="21" xfId="0" applyFont="1" applyFill="1" applyBorder="1" applyAlignment="1" applyProtection="1">
      <alignment horizontal="center" vertical="top" wrapText="1"/>
      <protection locked="0"/>
    </xf>
    <xf numFmtId="0" fontId="14" fillId="28" borderId="65" xfId="0" applyFont="1" applyFill="1" applyBorder="1" applyAlignment="1" applyProtection="1">
      <alignment horizontal="center" vertical="top" wrapText="1"/>
      <protection locked="0"/>
    </xf>
    <xf numFmtId="171" fontId="56" fillId="29" borderId="24" xfId="29" applyNumberFormat="1" applyFont="1" applyFill="1" applyBorder="1" applyAlignment="1" applyProtection="1">
      <alignment vertical="center" wrapText="1"/>
      <protection locked="0"/>
    </xf>
    <xf numFmtId="171" fontId="56" fillId="29" borderId="61" xfId="29" applyNumberFormat="1" applyFont="1" applyFill="1" applyBorder="1" applyAlignment="1" applyProtection="1">
      <alignment vertical="center" wrapText="1"/>
      <protection locked="0"/>
    </xf>
    <xf numFmtId="171" fontId="56" fillId="29" borderId="10" xfId="29" applyNumberFormat="1" applyFont="1" applyFill="1" applyBorder="1" applyAlignment="1" applyProtection="1">
      <alignment vertical="center" wrapText="1"/>
      <protection locked="0"/>
    </xf>
    <xf numFmtId="171" fontId="56" fillId="29" borderId="25" xfId="29" applyNumberFormat="1" applyFont="1" applyFill="1" applyBorder="1" applyAlignment="1" applyProtection="1">
      <alignment vertical="center" wrapText="1"/>
      <protection locked="0"/>
    </xf>
    <xf numFmtId="0" fontId="14" fillId="0" borderId="32" xfId="0" applyFont="1" applyBorder="1" applyAlignment="1" applyProtection="1">
      <alignment vertical="center"/>
      <protection locked="0"/>
    </xf>
    <xf numFmtId="0" fontId="79" fillId="0" borderId="0" xfId="46" applyFont="1" applyFill="1" applyBorder="1" applyAlignment="1" applyProtection="1">
      <alignment vertical="center" wrapText="1"/>
      <protection locked="0"/>
    </xf>
    <xf numFmtId="0" fontId="0" fillId="29" borderId="27" xfId="0" applyFill="1" applyBorder="1" applyProtection="1">
      <protection locked="0"/>
    </xf>
    <xf numFmtId="0" fontId="11" fillId="29" borderId="27" xfId="0" applyFont="1" applyFill="1" applyBorder="1" applyProtection="1">
      <protection locked="0"/>
    </xf>
    <xf numFmtId="0" fontId="0" fillId="29" borderId="71" xfId="0" applyFill="1" applyBorder="1" applyProtection="1">
      <protection locked="0"/>
    </xf>
    <xf numFmtId="171" fontId="0" fillId="29" borderId="17" xfId="29" applyNumberFormat="1" applyFont="1" applyFill="1" applyBorder="1" applyProtection="1">
      <protection locked="0"/>
    </xf>
    <xf numFmtId="171" fontId="0" fillId="0" borderId="56" xfId="29" applyNumberFormat="1" applyFont="1" applyBorder="1" applyProtection="1">
      <protection locked="0"/>
    </xf>
    <xf numFmtId="172" fontId="11" fillId="29" borderId="10" xfId="28" applyNumberFormat="1" applyFill="1" applyBorder="1" applyProtection="1">
      <protection locked="0"/>
    </xf>
    <xf numFmtId="0" fontId="14" fillId="0" borderId="69" xfId="0" applyFont="1" applyBorder="1" applyAlignment="1" applyProtection="1">
      <protection locked="0"/>
    </xf>
    <xf numFmtId="0" fontId="0" fillId="0" borderId="68" xfId="0" applyBorder="1" applyAlignment="1" applyProtection="1">
      <protection locked="0"/>
    </xf>
    <xf numFmtId="0" fontId="14" fillId="64" borderId="10" xfId="0" applyFont="1" applyFill="1" applyBorder="1" applyAlignment="1" applyProtection="1">
      <alignment horizontal="center" vertical="center" wrapText="1"/>
      <protection locked="0"/>
    </xf>
    <xf numFmtId="172" fontId="14" fillId="29" borderId="19" xfId="28" applyNumberFormat="1" applyFont="1" applyFill="1" applyBorder="1" applyProtection="1">
      <protection locked="0"/>
    </xf>
    <xf numFmtId="172" fontId="14" fillId="29" borderId="63" xfId="28" applyNumberFormat="1" applyFont="1" applyFill="1" applyBorder="1" applyProtection="1">
      <protection locked="0"/>
    </xf>
    <xf numFmtId="171" fontId="14" fillId="29" borderId="10" xfId="29" applyNumberFormat="1" applyFont="1" applyFill="1" applyBorder="1" applyProtection="1">
      <protection locked="0"/>
    </xf>
    <xf numFmtId="171" fontId="14" fillId="29" borderId="25" xfId="29" applyNumberFormat="1" applyFont="1" applyFill="1" applyBorder="1" applyProtection="1">
      <protection locked="0"/>
    </xf>
    <xf numFmtId="168" fontId="14" fillId="0" borderId="10" xfId="29" applyFont="1" applyBorder="1" applyProtection="1">
      <protection locked="0"/>
    </xf>
    <xf numFmtId="168" fontId="14" fillId="0" borderId="25" xfId="29" applyFont="1" applyBorder="1" applyProtection="1">
      <protection locked="0"/>
    </xf>
    <xf numFmtId="0" fontId="14" fillId="29" borderId="10" xfId="0" applyFont="1" applyFill="1" applyBorder="1" applyProtection="1">
      <protection locked="0"/>
    </xf>
    <xf numFmtId="0" fontId="14" fillId="29" borderId="25" xfId="0" applyFont="1" applyFill="1" applyBorder="1" applyProtection="1">
      <protection locked="0"/>
    </xf>
    <xf numFmtId="169" fontId="14" fillId="0" borderId="10" xfId="28" applyFont="1" applyBorder="1" applyProtection="1">
      <protection locked="0"/>
    </xf>
    <xf numFmtId="169" fontId="14" fillId="0" borderId="25" xfId="28" applyFont="1" applyBorder="1" applyProtection="1">
      <protection locked="0"/>
    </xf>
    <xf numFmtId="0" fontId="11" fillId="0" borderId="0" xfId="0" quotePrefix="1" applyFont="1" applyAlignment="1" applyProtection="1">
      <alignment horizontal="center"/>
      <protection locked="0"/>
    </xf>
    <xf numFmtId="0" fontId="0" fillId="29" borderId="26" xfId="0" applyFill="1" applyBorder="1" applyAlignment="1" applyProtection="1">
      <alignment vertical="top"/>
      <protection locked="0"/>
    </xf>
    <xf numFmtId="0" fontId="41" fillId="25" borderId="0" xfId="0" applyFont="1" applyFill="1" applyProtection="1">
      <protection locked="0"/>
    </xf>
    <xf numFmtId="0" fontId="14" fillId="25" borderId="10" xfId="0" applyFont="1" applyFill="1" applyBorder="1" applyAlignment="1" applyProtection="1">
      <alignment horizontal="center"/>
      <protection locked="0"/>
    </xf>
    <xf numFmtId="0" fontId="14" fillId="25" borderId="0" xfId="0" applyFont="1" applyFill="1" applyBorder="1" applyAlignment="1" applyProtection="1">
      <alignment horizontal="center"/>
      <protection locked="0"/>
    </xf>
    <xf numFmtId="0" fontId="0" fillId="25" borderId="0" xfId="0" applyFill="1" applyBorder="1" applyProtection="1">
      <protection locked="0"/>
    </xf>
    <xf numFmtId="0" fontId="14" fillId="25" borderId="25" xfId="0" applyFont="1" applyFill="1" applyBorder="1" applyAlignment="1" applyProtection="1">
      <alignment horizontal="center"/>
      <protection locked="0"/>
    </xf>
    <xf numFmtId="0" fontId="38" fillId="29" borderId="27" xfId="0" applyFont="1" applyFill="1" applyBorder="1" applyProtection="1">
      <protection locked="0"/>
    </xf>
    <xf numFmtId="0" fontId="14" fillId="0" borderId="0" xfId="0" applyFont="1" applyAlignment="1" applyProtection="1">
      <alignment horizontal="center" vertical="top" wrapText="1"/>
      <protection locked="0"/>
    </xf>
    <xf numFmtId="0" fontId="14" fillId="0" borderId="0" xfId="0" applyFont="1" applyAlignment="1" applyProtection="1">
      <alignment vertical="top" wrapText="1"/>
      <protection locked="0"/>
    </xf>
    <xf numFmtId="0" fontId="14" fillId="0" borderId="0" xfId="0" applyFont="1" applyAlignment="1" applyProtection="1">
      <alignment horizontal="left" vertical="center" indent="4"/>
      <protection locked="0"/>
    </xf>
    <xf numFmtId="0" fontId="90" fillId="0" borderId="0" xfId="0" applyFont="1" applyAlignment="1" applyProtection="1">
      <alignment horizontal="left" vertical="center" indent="2"/>
      <protection locked="0"/>
    </xf>
    <xf numFmtId="0" fontId="14" fillId="0" borderId="0" xfId="46" applyFont="1" applyBorder="1" applyAlignment="1" applyProtection="1">
      <alignment vertical="center"/>
      <protection locked="0"/>
    </xf>
    <xf numFmtId="0" fontId="14" fillId="0" borderId="0" xfId="46" applyFont="1" applyBorder="1" applyAlignment="1" applyProtection="1">
      <alignment horizontal="center" vertical="center"/>
      <protection locked="0"/>
    </xf>
    <xf numFmtId="0" fontId="11" fillId="0" borderId="0" xfId="46" applyBorder="1" applyAlignment="1" applyProtection="1">
      <alignment horizontal="center"/>
      <protection locked="0"/>
    </xf>
    <xf numFmtId="0" fontId="11" fillId="0" borderId="0" xfId="46" quotePrefix="1" applyBorder="1" applyAlignment="1" applyProtection="1">
      <alignment horizontal="center"/>
      <protection locked="0"/>
    </xf>
    <xf numFmtId="0" fontId="11" fillId="0" borderId="0" xfId="46" quotePrefix="1" applyBorder="1" applyAlignment="1" applyProtection="1">
      <alignment horizontal="right"/>
      <protection locked="0"/>
    </xf>
    <xf numFmtId="0" fontId="14" fillId="0" borderId="12" xfId="46" applyFont="1" applyBorder="1" applyProtection="1">
      <protection locked="0"/>
    </xf>
    <xf numFmtId="0" fontId="11" fillId="0" borderId="0" xfId="46" quotePrefix="1" applyBorder="1" applyProtection="1">
      <protection locked="0"/>
    </xf>
    <xf numFmtId="10" fontId="11" fillId="29" borderId="0" xfId="42" applyNumberFormat="1" applyFont="1" applyFill="1" applyBorder="1" applyProtection="1">
      <protection locked="0"/>
    </xf>
    <xf numFmtId="10" fontId="11" fillId="0" borderId="0" xfId="42" applyNumberFormat="1" applyFont="1" applyFill="1" applyBorder="1" applyProtection="1">
      <protection locked="0"/>
    </xf>
    <xf numFmtId="177" fontId="11" fillId="0" borderId="0" xfId="29" applyNumberFormat="1" applyFont="1" applyBorder="1" applyProtection="1">
      <protection locked="0"/>
    </xf>
    <xf numFmtId="10" fontId="11" fillId="29" borderId="12" xfId="42" applyNumberFormat="1" applyFont="1" applyFill="1" applyBorder="1" applyProtection="1">
      <protection locked="0"/>
    </xf>
    <xf numFmtId="177" fontId="11" fillId="0" borderId="12" xfId="29" applyNumberFormat="1" applyFont="1" applyBorder="1" applyProtection="1">
      <protection locked="0"/>
    </xf>
    <xf numFmtId="170" fontId="11" fillId="0" borderId="14" xfId="42" applyNumberFormat="1" applyFont="1" applyBorder="1" applyProtection="1">
      <protection locked="0"/>
    </xf>
    <xf numFmtId="170" fontId="11" fillId="0" borderId="14" xfId="42" applyNumberFormat="1" applyFont="1" applyFill="1" applyBorder="1" applyProtection="1">
      <protection locked="0"/>
    </xf>
    <xf numFmtId="177" fontId="11" fillId="0" borderId="14" xfId="29" applyNumberFormat="1" applyFont="1" applyBorder="1" applyProtection="1">
      <protection locked="0"/>
    </xf>
    <xf numFmtId="10" fontId="11" fillId="0" borderId="14" xfId="42" applyNumberFormat="1" applyFont="1" applyBorder="1" applyProtection="1">
      <protection locked="0"/>
    </xf>
    <xf numFmtId="0" fontId="11" fillId="64" borderId="0" xfId="46" applyFill="1" applyBorder="1" applyProtection="1">
      <protection locked="0"/>
    </xf>
    <xf numFmtId="170" fontId="11" fillId="0" borderId="0" xfId="42" applyNumberFormat="1" applyFont="1" applyBorder="1" applyProtection="1">
      <protection locked="0"/>
    </xf>
    <xf numFmtId="170" fontId="11" fillId="0" borderId="0" xfId="42" applyNumberFormat="1" applyFont="1" applyFill="1" applyBorder="1" applyProtection="1">
      <protection locked="0"/>
    </xf>
    <xf numFmtId="177" fontId="11" fillId="0" borderId="0" xfId="46" applyNumberFormat="1" applyBorder="1" applyProtection="1">
      <protection locked="0"/>
    </xf>
    <xf numFmtId="10" fontId="11" fillId="0" borderId="0" xfId="42" applyNumberFormat="1" applyFont="1" applyBorder="1" applyProtection="1">
      <protection locked="0"/>
    </xf>
    <xf numFmtId="0" fontId="14" fillId="0" borderId="0" xfId="46" applyFont="1" applyBorder="1" applyAlignment="1" applyProtection="1">
      <protection locked="0"/>
    </xf>
    <xf numFmtId="0" fontId="11" fillId="0" borderId="0" xfId="46" applyBorder="1" applyAlignment="1" applyProtection="1">
      <protection locked="0"/>
    </xf>
    <xf numFmtId="0" fontId="11" fillId="0" borderId="0" xfId="46" quotePrefix="1" applyBorder="1" applyAlignment="1" applyProtection="1">
      <protection locked="0"/>
    </xf>
    <xf numFmtId="10" fontId="11" fillId="29" borderId="0" xfId="42" applyNumberFormat="1" applyFont="1" applyFill="1" applyBorder="1" applyAlignment="1" applyProtection="1">
      <protection locked="0"/>
    </xf>
    <xf numFmtId="10" fontId="11" fillId="0" borderId="0" xfId="42" applyNumberFormat="1" applyFont="1" applyFill="1" applyBorder="1" applyAlignment="1" applyProtection="1">
      <protection locked="0"/>
    </xf>
    <xf numFmtId="177" fontId="11" fillId="0" borderId="0" xfId="29" applyNumberFormat="1" applyFont="1" applyBorder="1" applyAlignment="1" applyProtection="1">
      <protection locked="0"/>
    </xf>
    <xf numFmtId="10" fontId="11" fillId="29" borderId="12" xfId="42" applyNumberFormat="1" applyFont="1" applyFill="1" applyBorder="1" applyAlignment="1" applyProtection="1">
      <protection locked="0"/>
    </xf>
    <xf numFmtId="177" fontId="11" fillId="0" borderId="12" xfId="29" applyNumberFormat="1" applyFont="1" applyBorder="1" applyAlignment="1" applyProtection="1">
      <protection locked="0"/>
    </xf>
    <xf numFmtId="170" fontId="11" fillId="0" borderId="119" xfId="46" applyNumberFormat="1" applyBorder="1" applyProtection="1">
      <protection locked="0"/>
    </xf>
    <xf numFmtId="9" fontId="11" fillId="0" borderId="119" xfId="46" applyNumberFormat="1" applyBorder="1" applyProtection="1">
      <protection locked="0"/>
    </xf>
    <xf numFmtId="177" fontId="11" fillId="29" borderId="119" xfId="29" applyNumberFormat="1" applyFont="1" applyFill="1" applyBorder="1" applyProtection="1">
      <protection locked="0"/>
    </xf>
    <xf numFmtId="10" fontId="11" fillId="0" borderId="119" xfId="42" applyNumberFormat="1" applyFont="1" applyBorder="1" applyProtection="1">
      <protection locked="0"/>
    </xf>
    <xf numFmtId="177" fontId="11" fillId="0" borderId="119" xfId="29" applyNumberFormat="1" applyFont="1" applyBorder="1" applyProtection="1">
      <protection locked="0"/>
    </xf>
    <xf numFmtId="0" fontId="14" fillId="0" borderId="0" xfId="46" quotePrefix="1" applyFont="1" applyAlignment="1" applyProtection="1">
      <alignment horizontal="center" vertical="center"/>
      <protection locked="0"/>
    </xf>
    <xf numFmtId="0" fontId="81" fillId="0" borderId="0" xfId="46" applyFont="1" applyProtection="1">
      <protection locked="0"/>
    </xf>
    <xf numFmtId="0" fontId="14" fillId="0" borderId="0" xfId="0" applyFont="1" applyAlignment="1" applyProtection="1">
      <protection locked="0"/>
    </xf>
    <xf numFmtId="0" fontId="14" fillId="0" borderId="0" xfId="0" applyFont="1" applyAlignment="1" applyProtection="1">
      <alignment horizontal="left" indent="4"/>
      <protection locked="0"/>
    </xf>
    <xf numFmtId="0" fontId="16" fillId="0" borderId="0" xfId="0" applyFont="1" applyAlignment="1" applyProtection="1">
      <alignment horizontal="center" vertical="center"/>
      <protection locked="0"/>
    </xf>
    <xf numFmtId="0" fontId="0" fillId="28" borderId="10" xfId="0" applyFill="1" applyBorder="1" applyProtection="1">
      <protection locked="0"/>
    </xf>
    <xf numFmtId="0" fontId="11" fillId="0" borderId="32"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61" xfId="0" applyFont="1" applyBorder="1" applyAlignment="1" applyProtection="1">
      <alignment horizontal="center" vertical="center" wrapText="1"/>
      <protection locked="0"/>
    </xf>
    <xf numFmtId="0" fontId="0" fillId="0" borderId="27" xfId="0" applyBorder="1" applyProtection="1">
      <protection locked="0"/>
    </xf>
    <xf numFmtId="175" fontId="0" fillId="29" borderId="10" xfId="0" applyNumberFormat="1" applyFill="1" applyBorder="1" applyProtection="1">
      <protection locked="0"/>
    </xf>
    <xf numFmtId="168" fontId="0" fillId="0" borderId="10" xfId="29" applyFont="1" applyFill="1" applyBorder="1" applyProtection="1">
      <protection locked="0"/>
    </xf>
    <xf numFmtId="0" fontId="0" fillId="0" borderId="25" xfId="0" applyBorder="1" applyProtection="1">
      <protection locked="0"/>
    </xf>
    <xf numFmtId="0" fontId="0" fillId="0" borderId="71" xfId="0" applyBorder="1" applyProtection="1">
      <protection locked="0"/>
    </xf>
    <xf numFmtId="0" fontId="0" fillId="0" borderId="36"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34" xfId="0" applyBorder="1" applyProtection="1">
      <protection locked="0"/>
    </xf>
    <xf numFmtId="0" fontId="0" fillId="0" borderId="56" xfId="0" applyBorder="1" applyProtection="1">
      <protection locked="0"/>
    </xf>
    <xf numFmtId="168" fontId="0" fillId="0" borderId="34" xfId="0" applyNumberFormat="1" applyBorder="1" applyProtection="1">
      <protection locked="0"/>
    </xf>
    <xf numFmtId="0" fontId="0" fillId="0" borderId="62" xfId="0" applyBorder="1" applyProtection="1">
      <protection locked="0"/>
    </xf>
    <xf numFmtId="0" fontId="0" fillId="0" borderId="0" xfId="0" applyAlignment="1" applyProtection="1">
      <alignment horizontal="center" vertical="top"/>
      <protection locked="0"/>
    </xf>
    <xf numFmtId="171" fontId="0" fillId="0" borderId="26" xfId="29" applyNumberFormat="1" applyFont="1" applyBorder="1" applyProtection="1">
      <protection locked="0"/>
    </xf>
    <xf numFmtId="0" fontId="11" fillId="0" borderId="0" xfId="0" applyFont="1" applyAlignment="1" applyProtection="1">
      <protection locked="0"/>
    </xf>
    <xf numFmtId="0" fontId="14" fillId="0" borderId="0" xfId="0" applyFont="1" applyFill="1" applyAlignment="1" applyProtection="1">
      <alignment horizontal="left" vertical="center"/>
      <protection locked="0"/>
    </xf>
    <xf numFmtId="0" fontId="0" fillId="0" borderId="0" xfId="0" applyFill="1" applyAlignment="1" applyProtection="1">
      <alignment horizontal="left" vertical="center"/>
      <protection locked="0"/>
    </xf>
    <xf numFmtId="174" fontId="0" fillId="0" borderId="0" xfId="0" applyNumberFormat="1" applyFill="1" applyAlignment="1" applyProtection="1">
      <alignment horizontal="left" vertical="center"/>
      <protection locked="0"/>
    </xf>
    <xf numFmtId="0" fontId="18" fillId="0" borderId="0" xfId="0" applyFont="1" applyFill="1" applyAlignment="1" applyProtection="1">
      <alignment horizontal="center" vertical="center"/>
      <protection locked="0"/>
    </xf>
    <xf numFmtId="0" fontId="77" fillId="0" borderId="0" xfId="0" applyFont="1" applyFill="1" applyAlignment="1" applyProtection="1">
      <alignment vertical="center"/>
      <protection locked="0"/>
    </xf>
    <xf numFmtId="0" fontId="16" fillId="0" borderId="0" xfId="0" applyFont="1" applyAlignment="1" applyProtection="1">
      <alignment horizontal="left"/>
      <protection locked="0"/>
    </xf>
    <xf numFmtId="0" fontId="14" fillId="0" borderId="0" xfId="0" applyFont="1" applyFill="1" applyProtection="1">
      <protection locked="0"/>
    </xf>
    <xf numFmtId="0" fontId="14" fillId="0" borderId="10" xfId="0" quotePrefix="1" applyFont="1" applyFill="1" applyBorder="1" applyAlignment="1" applyProtection="1">
      <alignment horizontal="center"/>
      <protection locked="0"/>
    </xf>
    <xf numFmtId="0" fontId="14" fillId="0" borderId="10" xfId="0" quotePrefix="1" applyFont="1" applyBorder="1" applyAlignment="1" applyProtection="1">
      <alignment horizontal="center"/>
      <protection locked="0"/>
    </xf>
    <xf numFmtId="0" fontId="11" fillId="0" borderId="109" xfId="0" applyFont="1" applyBorder="1" applyProtection="1">
      <protection locked="0"/>
    </xf>
    <xf numFmtId="0" fontId="14" fillId="0" borderId="10" xfId="0" applyFont="1" applyFill="1" applyBorder="1" applyAlignment="1" applyProtection="1">
      <alignment vertical="center"/>
      <protection locked="0"/>
    </xf>
    <xf numFmtId="0" fontId="14" fillId="0" borderId="10" xfId="0" applyFont="1" applyFill="1" applyBorder="1" applyAlignment="1" applyProtection="1">
      <alignment horizontal="left" vertical="top" wrapText="1"/>
      <protection locked="0"/>
    </xf>
    <xf numFmtId="0" fontId="11" fillId="0" borderId="10" xfId="0" quotePrefix="1" applyFont="1" applyBorder="1" applyAlignment="1" applyProtection="1">
      <alignment horizontal="center" vertical="center"/>
      <protection locked="0"/>
    </xf>
    <xf numFmtId="0" fontId="11" fillId="0" borderId="10" xfId="0" applyFont="1" applyBorder="1" applyAlignment="1" applyProtection="1">
      <alignment horizontal="left" vertical="top" wrapText="1" indent="1"/>
      <protection locked="0"/>
    </xf>
    <xf numFmtId="168" fontId="11" fillId="29" borderId="10" xfId="29" applyFont="1" applyFill="1" applyBorder="1" applyAlignment="1" applyProtection="1">
      <alignment vertical="center"/>
      <protection locked="0"/>
    </xf>
    <xf numFmtId="168" fontId="11" fillId="0" borderId="10" xfId="29" applyFont="1" applyBorder="1" applyAlignment="1" applyProtection="1">
      <alignment vertical="center"/>
      <protection locked="0"/>
    </xf>
    <xf numFmtId="0" fontId="14" fillId="0" borderId="0" xfId="0" applyFont="1" applyFill="1" applyAlignment="1" applyProtection="1">
      <alignment horizontal="center"/>
      <protection locked="0"/>
    </xf>
    <xf numFmtId="0" fontId="14" fillId="29" borderId="10" xfId="0" applyFont="1" applyFill="1" applyBorder="1" applyAlignment="1" applyProtection="1">
      <alignment horizontal="left" vertical="top" wrapText="1" indent="1"/>
      <protection locked="0"/>
    </xf>
    <xf numFmtId="0" fontId="11" fillId="0" borderId="10" xfId="0" applyFont="1" applyFill="1" applyBorder="1" applyAlignment="1" applyProtection="1">
      <alignment horizontal="left" vertical="top" wrapText="1" indent="1"/>
      <protection locked="0"/>
    </xf>
    <xf numFmtId="0" fontId="11" fillId="0" borderId="0" xfId="0" applyFont="1" applyFill="1" applyAlignment="1" applyProtection="1">
      <protection locked="0"/>
    </xf>
    <xf numFmtId="0" fontId="11" fillId="0" borderId="13" xfId="0" applyFont="1" applyBorder="1" applyAlignment="1" applyProtection="1">
      <alignment horizontal="left" vertical="top" wrapText="1" indent="1"/>
      <protection locked="0"/>
    </xf>
    <xf numFmtId="0" fontId="11" fillId="0" borderId="13" xfId="0" applyFont="1" applyBorder="1" applyAlignment="1" applyProtection="1">
      <alignment vertical="center"/>
      <protection locked="0"/>
    </xf>
    <xf numFmtId="0" fontId="14" fillId="0" borderId="10" xfId="0" applyFont="1" applyBorder="1" applyAlignment="1" applyProtection="1">
      <alignment vertical="center"/>
      <protection locked="0"/>
    </xf>
    <xf numFmtId="0" fontId="14" fillId="0" borderId="109" xfId="0" applyFont="1" applyBorder="1" applyAlignment="1" applyProtection="1">
      <alignment vertical="center"/>
      <protection locked="0"/>
    </xf>
    <xf numFmtId="0" fontId="11" fillId="0" borderId="10" xfId="0" applyFont="1" applyBorder="1" applyAlignment="1" applyProtection="1">
      <alignment vertical="center" wrapText="1"/>
      <protection locked="0"/>
    </xf>
    <xf numFmtId="0" fontId="11" fillId="0" borderId="10" xfId="0" applyFont="1" applyBorder="1" applyAlignment="1" applyProtection="1">
      <alignment horizontal="center" vertical="center"/>
      <protection locked="0"/>
    </xf>
    <xf numFmtId="169" fontId="11" fillId="29" borderId="10" xfId="28" applyFont="1" applyFill="1" applyBorder="1" applyProtection="1">
      <protection locked="0"/>
    </xf>
    <xf numFmtId="172" fontId="11" fillId="29" borderId="10" xfId="28" applyNumberFormat="1" applyFont="1" applyFill="1" applyBorder="1" applyProtection="1">
      <protection locked="0"/>
    </xf>
    <xf numFmtId="10" fontId="11" fillId="0" borderId="10" xfId="42" applyNumberFormat="1" applyFont="1" applyBorder="1" applyProtection="1">
      <protection locked="0"/>
    </xf>
    <xf numFmtId="0" fontId="11" fillId="0" borderId="10" xfId="0" applyFont="1" applyFill="1" applyBorder="1" applyAlignment="1" applyProtection="1">
      <alignment vertical="center" wrapText="1"/>
      <protection locked="0"/>
    </xf>
    <xf numFmtId="0" fontId="14" fillId="0" borderId="10" xfId="0" applyFont="1" applyBorder="1" applyAlignment="1" applyProtection="1">
      <alignment horizontal="left" vertical="center"/>
      <protection locked="0"/>
    </xf>
    <xf numFmtId="0" fontId="11" fillId="0" borderId="10" xfId="0" applyFont="1" applyBorder="1" applyProtection="1">
      <protection locked="0"/>
    </xf>
    <xf numFmtId="0" fontId="11" fillId="0" borderId="10" xfId="0" quotePrefix="1" applyFont="1" applyBorder="1" applyAlignment="1" applyProtection="1">
      <alignment horizontal="center"/>
      <protection locked="0"/>
    </xf>
    <xf numFmtId="0" fontId="11" fillId="0" borderId="10" xfId="0" quotePrefix="1" applyFont="1" applyFill="1" applyBorder="1" applyAlignment="1" applyProtection="1">
      <alignment horizontal="center"/>
      <protection locked="0"/>
    </xf>
    <xf numFmtId="0" fontId="14" fillId="0" borderId="0" xfId="0" applyFont="1" applyBorder="1" applyAlignment="1" applyProtection="1">
      <alignment vertical="center"/>
      <protection locked="0"/>
    </xf>
    <xf numFmtId="173" fontId="11" fillId="0" borderId="10" xfId="29" applyNumberFormat="1" applyFont="1" applyBorder="1" applyProtection="1">
      <protection locked="0"/>
    </xf>
    <xf numFmtId="168" fontId="11" fillId="0" borderId="10" xfId="0" applyNumberFormat="1" applyFont="1" applyBorder="1" applyProtection="1">
      <protection locked="0"/>
    </xf>
    <xf numFmtId="173" fontId="11" fillId="0" borderId="10" xfId="0" applyNumberFormat="1" applyFont="1" applyBorder="1" applyProtection="1">
      <protection locked="0"/>
    </xf>
    <xf numFmtId="4" fontId="11" fillId="0" borderId="10" xfId="42" applyNumberFormat="1" applyFont="1" applyBorder="1" applyProtection="1">
      <protection locked="0"/>
    </xf>
    <xf numFmtId="4" fontId="11" fillId="0" borderId="10" xfId="0" applyNumberFormat="1" applyFont="1" applyBorder="1" applyProtection="1">
      <protection locked="0"/>
    </xf>
    <xf numFmtId="0" fontId="14" fillId="0" borderId="10" xfId="0" applyFont="1" applyBorder="1" applyAlignment="1" applyProtection="1">
      <alignment vertical="center" wrapText="1"/>
      <protection locked="0"/>
    </xf>
    <xf numFmtId="168" fontId="14" fillId="0" borderId="10" xfId="0" applyNumberFormat="1" applyFont="1" applyBorder="1" applyProtection="1">
      <protection locked="0"/>
    </xf>
    <xf numFmtId="173" fontId="14" fillId="0" borderId="10" xfId="29" applyNumberFormat="1" applyFont="1" applyBorder="1" applyProtection="1">
      <protection locked="0"/>
    </xf>
    <xf numFmtId="173" fontId="14" fillId="0" borderId="10" xfId="0" applyNumberFormat="1" applyFont="1" applyBorder="1" applyProtection="1">
      <protection locked="0"/>
    </xf>
    <xf numFmtId="4" fontId="14" fillId="0" borderId="10" xfId="0" applyNumberFormat="1" applyFont="1" applyFill="1" applyBorder="1" applyAlignment="1" applyProtection="1">
      <alignment vertical="center"/>
      <protection locked="0"/>
    </xf>
    <xf numFmtId="0" fontId="11" fillId="0" borderId="30" xfId="0" applyFont="1" applyBorder="1" applyProtection="1">
      <protection locked="0"/>
    </xf>
    <xf numFmtId="0" fontId="14" fillId="0" borderId="43" xfId="0" quotePrefix="1" applyFont="1" applyBorder="1" applyAlignment="1" applyProtection="1">
      <alignment horizontal="center"/>
      <protection locked="0"/>
    </xf>
    <xf numFmtId="0" fontId="14" fillId="0" borderId="45" xfId="0" quotePrefix="1" applyFont="1" applyBorder="1" applyAlignment="1" applyProtection="1">
      <alignment horizontal="center"/>
      <protection locked="0"/>
    </xf>
    <xf numFmtId="0" fontId="11" fillId="0" borderId="40" xfId="0" applyFont="1" applyBorder="1" applyProtection="1">
      <protection locked="0"/>
    </xf>
    <xf numFmtId="0" fontId="14" fillId="0" borderId="40" xfId="0" applyFont="1" applyBorder="1" applyAlignment="1" applyProtection="1">
      <alignment horizontal="center"/>
      <protection locked="0"/>
    </xf>
    <xf numFmtId="0" fontId="14" fillId="0" borderId="29" xfId="0" applyFont="1" applyBorder="1" applyAlignment="1" applyProtection="1">
      <alignment horizontal="center"/>
      <protection locked="0"/>
    </xf>
    <xf numFmtId="0" fontId="11" fillId="0" borderId="29" xfId="0" applyFont="1" applyBorder="1" applyProtection="1">
      <protection locked="0"/>
    </xf>
    <xf numFmtId="0" fontId="11" fillId="0" borderId="41" xfId="0" applyFont="1" applyBorder="1" applyProtection="1">
      <protection locked="0"/>
    </xf>
    <xf numFmtId="0" fontId="11" fillId="0" borderId="41" xfId="0" quotePrefix="1" applyFont="1" applyBorder="1" applyAlignment="1" applyProtection="1">
      <alignment horizontal="center"/>
      <protection locked="0"/>
    </xf>
    <xf numFmtId="0" fontId="11" fillId="0" borderId="29" xfId="0" quotePrefix="1" applyFont="1" applyBorder="1" applyAlignment="1" applyProtection="1">
      <alignment horizontal="center"/>
      <protection locked="0"/>
    </xf>
    <xf numFmtId="0" fontId="11" fillId="0" borderId="41" xfId="0" applyFont="1" applyBorder="1" applyAlignment="1" applyProtection="1">
      <alignment horizontal="center"/>
      <protection locked="0"/>
    </xf>
    <xf numFmtId="0" fontId="11" fillId="0" borderId="43" xfId="0" applyFont="1" applyBorder="1" applyProtection="1">
      <protection locked="0"/>
    </xf>
    <xf numFmtId="10" fontId="11" fillId="29" borderId="42" xfId="42" applyNumberFormat="1" applyFont="1" applyFill="1" applyBorder="1" applyProtection="1">
      <protection locked="0"/>
    </xf>
    <xf numFmtId="10" fontId="11" fillId="29" borderId="41" xfId="42" applyNumberFormat="1" applyFont="1" applyFill="1" applyBorder="1" applyProtection="1">
      <protection locked="0"/>
    </xf>
    <xf numFmtId="10" fontId="11" fillId="29" borderId="31" xfId="42" applyNumberFormat="1" applyFont="1" applyFill="1" applyBorder="1" applyProtection="1">
      <protection locked="0"/>
    </xf>
    <xf numFmtId="0" fontId="11" fillId="0" borderId="44" xfId="0" applyFont="1" applyBorder="1" applyProtection="1">
      <protection locked="0"/>
    </xf>
    <xf numFmtId="10" fontId="11" fillId="0" borderId="44" xfId="42" applyNumberFormat="1" applyFont="1" applyBorder="1" applyProtection="1">
      <protection locked="0"/>
    </xf>
    <xf numFmtId="0" fontId="11" fillId="0" borderId="22" xfId="0" applyFont="1" applyBorder="1" applyProtection="1">
      <protection locked="0"/>
    </xf>
    <xf numFmtId="9" fontId="11" fillId="29" borderId="22" xfId="42" applyFont="1" applyFill="1" applyBorder="1" applyProtection="1">
      <protection locked="0"/>
    </xf>
    <xf numFmtId="0" fontId="14" fillId="0" borderId="41" xfId="0" applyFont="1" applyBorder="1" applyProtection="1">
      <protection locked="0"/>
    </xf>
    <xf numFmtId="10" fontId="11" fillId="0" borderId="41" xfId="42" applyNumberFormat="1" applyFont="1" applyBorder="1" applyProtection="1">
      <protection locked="0"/>
    </xf>
    <xf numFmtId="0" fontId="11" fillId="0" borderId="31" xfId="0" applyFont="1" applyBorder="1" applyProtection="1">
      <protection locked="0"/>
    </xf>
    <xf numFmtId="172" fontId="0" fillId="29" borderId="10" xfId="28" applyNumberFormat="1" applyFont="1" applyFill="1" applyBorder="1" applyAlignment="1" applyProtection="1">
      <alignment horizontal="right" vertical="center"/>
      <protection locked="0"/>
    </xf>
    <xf numFmtId="172" fontId="11" fillId="29" borderId="10" xfId="28" applyNumberFormat="1" applyFont="1" applyFill="1" applyBorder="1" applyAlignment="1" applyProtection="1">
      <alignment horizontal="right" vertical="center"/>
      <protection locked="0"/>
    </xf>
    <xf numFmtId="0" fontId="14" fillId="0" borderId="32"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protection locked="0"/>
    </xf>
    <xf numFmtId="0" fontId="14" fillId="0" borderId="61"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protection locked="0"/>
    </xf>
    <xf numFmtId="0" fontId="14" fillId="0" borderId="25" xfId="0" quotePrefix="1" applyFont="1"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10" xfId="0" applyBorder="1" applyAlignment="1" applyProtection="1">
      <alignment horizontal="center"/>
      <protection locked="0"/>
    </xf>
    <xf numFmtId="171" fontId="0" fillId="0" borderId="25" xfId="29" applyNumberFormat="1" applyFont="1" applyBorder="1" applyProtection="1">
      <protection locked="0"/>
    </xf>
    <xf numFmtId="0" fontId="0" fillId="0" borderId="8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6" xfId="0" quotePrefix="1" applyBorder="1" applyAlignment="1" applyProtection="1">
      <alignment horizontal="center"/>
      <protection locked="0"/>
    </xf>
    <xf numFmtId="171" fontId="0" fillId="29" borderId="26" xfId="29" applyNumberFormat="1" applyFont="1" applyFill="1" applyBorder="1" applyProtection="1">
      <protection locked="0"/>
    </xf>
    <xf numFmtId="171" fontId="0" fillId="0" borderId="62" xfId="29" applyNumberFormat="1" applyFont="1" applyBorder="1" applyProtection="1">
      <protection locked="0"/>
    </xf>
    <xf numFmtId="0" fontId="0" fillId="0" borderId="0" xfId="0" quotePrefix="1" applyProtection="1">
      <protection locked="0"/>
    </xf>
    <xf numFmtId="0" fontId="38" fillId="0" borderId="0" xfId="0" applyFont="1" applyProtection="1">
      <protection locked="0"/>
    </xf>
    <xf numFmtId="0" fontId="14" fillId="0" borderId="73" xfId="46" applyFont="1" applyFill="1" applyBorder="1" applyAlignment="1" applyProtection="1">
      <alignment horizontal="center"/>
      <protection locked="0"/>
    </xf>
    <xf numFmtId="0" fontId="14" fillId="0" borderId="66" xfId="46" applyFont="1" applyFill="1" applyBorder="1" applyAlignment="1" applyProtection="1">
      <alignment horizontal="center"/>
      <protection locked="0"/>
    </xf>
    <xf numFmtId="171" fontId="11" fillId="0" borderId="25" xfId="29" applyNumberFormat="1" applyFill="1" applyBorder="1" applyProtection="1">
      <protection locked="0"/>
    </xf>
    <xf numFmtId="0" fontId="14" fillId="0" borderId="41" xfId="46" applyFont="1" applyFill="1" applyBorder="1" applyAlignment="1" applyProtection="1">
      <alignment horizontal="center"/>
      <protection locked="0"/>
    </xf>
    <xf numFmtId="0" fontId="14" fillId="0" borderId="35" xfId="46" applyFont="1" applyFill="1" applyBorder="1" applyAlignment="1" applyProtection="1">
      <alignment horizontal="center"/>
      <protection locked="0"/>
    </xf>
    <xf numFmtId="0" fontId="14" fillId="0" borderId="46" xfId="46" applyFont="1" applyFill="1" applyBorder="1" applyAlignment="1" applyProtection="1">
      <alignment horizontal="center"/>
      <protection locked="0"/>
    </xf>
    <xf numFmtId="0" fontId="11" fillId="0" borderId="30" xfId="46" applyFill="1" applyBorder="1" applyAlignment="1" applyProtection="1">
      <protection locked="0"/>
    </xf>
    <xf numFmtId="0" fontId="11" fillId="0" borderId="31" xfId="46" applyFill="1" applyBorder="1" applyAlignment="1" applyProtection="1">
      <protection locked="0"/>
    </xf>
    <xf numFmtId="171" fontId="11" fillId="29" borderId="63" xfId="29" applyNumberFormat="1" applyFill="1" applyBorder="1" applyProtection="1">
      <protection locked="0"/>
    </xf>
    <xf numFmtId="171" fontId="11" fillId="0" borderId="63" xfId="29" applyNumberFormat="1" applyFill="1" applyBorder="1" applyProtection="1">
      <protection locked="0"/>
    </xf>
    <xf numFmtId="171" fontId="11" fillId="0" borderId="126" xfId="29" applyNumberFormat="1" applyFill="1" applyBorder="1" applyProtection="1">
      <protection locked="0"/>
    </xf>
    <xf numFmtId="171" fontId="11" fillId="0" borderId="37" xfId="29" applyNumberFormat="1" applyFill="1" applyBorder="1" applyProtection="1">
      <protection locked="0"/>
    </xf>
    <xf numFmtId="0" fontId="14" fillId="0" borderId="0" xfId="0" applyFont="1" applyAlignment="1" applyProtection="1">
      <alignment horizontal="center" vertical="center"/>
      <protection locked="0"/>
    </xf>
    <xf numFmtId="0" fontId="11" fillId="0" borderId="0" xfId="46" applyFont="1" applyAlignment="1" applyProtection="1">
      <alignment vertical="center" wrapText="1"/>
      <protection locked="0"/>
    </xf>
    <xf numFmtId="0" fontId="0" fillId="0" borderId="10" xfId="0" applyBorder="1" applyAlignment="1" applyProtection="1">
      <alignment horizontal="center" vertical="center"/>
      <protection locked="0"/>
    </xf>
    <xf numFmtId="166" fontId="11" fillId="29" borderId="144" xfId="0" applyNumberFormat="1" applyFont="1" applyFill="1" applyBorder="1" applyAlignment="1" applyProtection="1">
      <alignment horizontal="center" vertical="center" wrapText="1"/>
      <protection locked="0"/>
    </xf>
    <xf numFmtId="166" fontId="11" fillId="29" borderId="145" xfId="0" applyNumberFormat="1" applyFont="1" applyFill="1" applyBorder="1" applyAlignment="1" applyProtection="1">
      <alignment horizontal="center" vertical="center" wrapText="1"/>
      <protection locked="0"/>
    </xf>
    <xf numFmtId="166" fontId="11" fillId="29" borderId="146" xfId="0" applyNumberFormat="1"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11" fillId="0" borderId="0" xfId="0" applyFont="1" applyAlignment="1" applyProtection="1">
      <alignment horizontal="left" vertical="top" wrapText="1"/>
      <protection locked="0"/>
    </xf>
    <xf numFmtId="0" fontId="11" fillId="0" borderId="0" xfId="46" applyAlignment="1" applyProtection="1">
      <alignment horizontal="center"/>
      <protection locked="0"/>
    </xf>
    <xf numFmtId="0" fontId="11" fillId="0" borderId="0" xfId="46" applyAlignment="1" applyProtection="1">
      <protection locked="0"/>
    </xf>
    <xf numFmtId="0" fontId="11" fillId="0" borderId="0" xfId="0" applyFont="1" applyFill="1" applyBorder="1" applyAlignment="1" applyProtection="1">
      <protection locked="0"/>
    </xf>
    <xf numFmtId="0" fontId="0" fillId="0" borderId="0" xfId="0" applyAlignment="1" applyProtection="1">
      <alignment horizontal="left"/>
      <protection locked="0"/>
    </xf>
    <xf numFmtId="0" fontId="11" fillId="0" borderId="0" xfId="0" applyFont="1" applyAlignment="1" applyProtection="1">
      <alignment wrapText="1"/>
      <protection locked="0"/>
    </xf>
    <xf numFmtId="0" fontId="78" fillId="0" borderId="0" xfId="46" applyFont="1" applyAlignment="1" applyProtection="1">
      <alignment horizontal="center" vertical="center"/>
      <protection locked="0"/>
    </xf>
    <xf numFmtId="0" fontId="14" fillId="0" borderId="12" xfId="46" applyFont="1" applyBorder="1" applyAlignment="1" applyProtection="1">
      <alignment horizontal="center" vertical="center"/>
      <protection locked="0"/>
    </xf>
    <xf numFmtId="0" fontId="14" fillId="0" borderId="10" xfId="0" applyFont="1" applyFill="1" applyBorder="1" applyAlignment="1" applyProtection="1">
      <alignment horizontal="center" vertical="center" wrapText="1"/>
      <protection locked="0"/>
    </xf>
    <xf numFmtId="0" fontId="11" fillId="0" borderId="0" xfId="46" applyAlignment="1" applyProtection="1">
      <alignment wrapText="1"/>
      <protection locked="0"/>
    </xf>
    <xf numFmtId="0" fontId="11" fillId="0" borderId="0" xfId="46" applyFont="1" applyAlignment="1" applyProtection="1">
      <alignment horizontal="center" vertical="top"/>
      <protection locked="0"/>
    </xf>
    <xf numFmtId="0" fontId="13" fillId="0" borderId="0" xfId="46" applyFont="1" applyAlignment="1" applyProtection="1">
      <alignment horizontal="right" vertical="top"/>
      <protection locked="0"/>
    </xf>
    <xf numFmtId="0" fontId="13" fillId="29" borderId="0" xfId="46" applyFont="1" applyFill="1" applyAlignment="1" applyProtection="1">
      <alignment horizontal="right" vertical="top"/>
      <protection locked="0"/>
    </xf>
    <xf numFmtId="0" fontId="0" fillId="28" borderId="93" xfId="0" applyNumberFormat="1" applyFill="1" applyBorder="1" applyAlignment="1" applyProtection="1">
      <alignment vertical="center"/>
      <protection locked="0"/>
    </xf>
    <xf numFmtId="0" fontId="18" fillId="0" borderId="0" xfId="46" applyFont="1" applyAlignment="1" applyProtection="1">
      <alignment horizontal="center"/>
      <protection locked="0"/>
    </xf>
    <xf numFmtId="0" fontId="56" fillId="0" borderId="0" xfId="93" applyFont="1" applyAlignment="1" applyProtection="1">
      <alignment horizontal="left"/>
      <protection locked="0"/>
    </xf>
    <xf numFmtId="0" fontId="14" fillId="0" borderId="0" xfId="46" applyFont="1" applyAlignment="1" applyProtection="1">
      <alignment horizontal="center" vertical="center" wrapText="1"/>
      <protection locked="0"/>
    </xf>
    <xf numFmtId="0" fontId="14" fillId="0" borderId="10" xfId="46" applyFont="1" applyBorder="1" applyAlignment="1" applyProtection="1">
      <alignment horizontal="center" vertical="center" wrapText="1"/>
      <protection locked="0"/>
    </xf>
    <xf numFmtId="0" fontId="11" fillId="0" borderId="10" xfId="46" applyBorder="1" applyAlignment="1" applyProtection="1">
      <alignment horizontal="center" vertical="center"/>
      <protection locked="0"/>
    </xf>
    <xf numFmtId="0" fontId="13" fillId="29" borderId="0" xfId="46" applyFont="1" applyFill="1" applyAlignment="1" applyProtection="1">
      <alignment horizontal="right" vertical="top"/>
      <protection locked="0"/>
    </xf>
    <xf numFmtId="0" fontId="18" fillId="0" borderId="0" xfId="0" applyFont="1" applyAlignment="1" applyProtection="1">
      <alignment horizontal="center"/>
      <protection locked="0"/>
    </xf>
    <xf numFmtId="0" fontId="14" fillId="0" borderId="33" xfId="0" applyFont="1" applyBorder="1" applyAlignment="1" applyProtection="1">
      <alignment horizontal="left"/>
      <protection locked="0"/>
    </xf>
    <xf numFmtId="0" fontId="14" fillId="0" borderId="53" xfId="0" quotePrefix="1" applyFont="1" applyBorder="1" applyAlignment="1" applyProtection="1">
      <alignment horizontal="left"/>
      <protection locked="0"/>
    </xf>
    <xf numFmtId="171" fontId="14" fillId="0" borderId="10" xfId="29" applyNumberFormat="1" applyFont="1" applyFill="1" applyBorder="1" applyProtection="1">
      <protection locked="0"/>
    </xf>
    <xf numFmtId="171" fontId="14" fillId="0" borderId="25" xfId="29" applyNumberFormat="1" applyFont="1" applyFill="1" applyBorder="1" applyProtection="1">
      <protection locked="0"/>
    </xf>
    <xf numFmtId="171" fontId="14" fillId="0" borderId="19" xfId="29" applyNumberFormat="1" applyFont="1" applyFill="1" applyBorder="1" applyProtection="1">
      <protection locked="0"/>
    </xf>
    <xf numFmtId="0" fontId="14" fillId="0" borderId="40" xfId="46" applyFont="1" applyFill="1" applyBorder="1" applyAlignment="1" applyProtection="1">
      <alignment horizontal="center" wrapText="1"/>
      <protection locked="0"/>
    </xf>
    <xf numFmtId="0" fontId="14" fillId="0" borderId="41" xfId="46" applyFont="1" applyFill="1" applyBorder="1" applyAlignment="1" applyProtection="1">
      <alignment horizontal="center" wrapText="1"/>
      <protection locked="0"/>
    </xf>
    <xf numFmtId="0" fontId="13" fillId="0" borderId="0" xfId="46" applyFont="1" applyAlignment="1" applyProtection="1">
      <alignment horizontal="right" vertical="top"/>
      <protection locked="0"/>
    </xf>
    <xf numFmtId="0" fontId="106" fillId="0" borderId="0" xfId="0" applyFont="1" applyAlignment="1">
      <alignment horizontal="left" vertical="top" wrapText="1"/>
    </xf>
    <xf numFmtId="0" fontId="11"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3" xfId="0" applyFont="1" applyBorder="1"/>
    <xf numFmtId="0" fontId="0" fillId="0" borderId="40" xfId="0" applyBorder="1"/>
    <xf numFmtId="0" fontId="14" fillId="0" borderId="40" xfId="0" applyFont="1" applyBorder="1"/>
    <xf numFmtId="0" fontId="14" fillId="0" borderId="41" xfId="0" applyFont="1" applyBorder="1"/>
    <xf numFmtId="0" fontId="14" fillId="0" borderId="43" xfId="0" applyFont="1" applyBorder="1"/>
    <xf numFmtId="0" fontId="0" fillId="0" borderId="41" xfId="0" applyBorder="1"/>
    <xf numFmtId="0" fontId="14" fillId="0" borderId="3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108" xfId="0" applyFont="1" applyBorder="1" applyAlignment="1">
      <alignment horizontal="center" vertical="center"/>
    </xf>
    <xf numFmtId="0" fontId="11" fillId="0" borderId="38" xfId="0" applyFont="1" applyBorder="1" applyAlignment="1">
      <alignment horizontal="center" vertical="center"/>
    </xf>
    <xf numFmtId="0" fontId="14" fillId="0" borderId="28" xfId="0" applyFont="1" applyBorder="1" applyAlignment="1">
      <alignment horizontal="center" vertical="center" wrapText="1"/>
    </xf>
    <xf numFmtId="0" fontId="14" fillId="0" borderId="69" xfId="0" applyFont="1" applyBorder="1"/>
    <xf numFmtId="0" fontId="11" fillId="65" borderId="0" xfId="0" applyFont="1" applyFill="1"/>
    <xf numFmtId="0" fontId="0" fillId="65" borderId="0" xfId="0" applyFill="1"/>
    <xf numFmtId="0" fontId="106" fillId="0" borderId="0" xfId="0" applyFont="1" applyAlignment="1">
      <alignment horizontal="left" vertical="top"/>
    </xf>
    <xf numFmtId="0" fontId="11" fillId="0" borderId="0" xfId="0" applyFont="1" applyFill="1" applyBorder="1" applyAlignment="1">
      <alignment horizontal="center" vertical="center"/>
    </xf>
    <xf numFmtId="0" fontId="11" fillId="0" borderId="30" xfId="0" applyFont="1" applyFill="1" applyBorder="1" applyAlignment="1">
      <alignment horizontal="center" vertical="center"/>
    </xf>
    <xf numFmtId="0" fontId="11" fillId="29" borderId="0" xfId="0" applyFont="1" applyFill="1" applyBorder="1" applyAlignment="1">
      <alignment horizontal="center" vertical="center"/>
    </xf>
    <xf numFmtId="0" fontId="14" fillId="0" borderId="30" xfId="0" applyFont="1" applyFill="1" applyBorder="1" applyAlignment="1">
      <alignment horizontal="center"/>
    </xf>
    <xf numFmtId="0" fontId="14" fillId="0" borderId="29" xfId="0" applyFont="1" applyBorder="1" applyAlignment="1">
      <alignment horizontal="center"/>
    </xf>
    <xf numFmtId="0" fontId="0" fillId="0" borderId="29" xfId="0" applyFill="1" applyBorder="1"/>
    <xf numFmtId="0" fontId="0" fillId="0" borderId="31" xfId="0" applyFill="1" applyBorder="1"/>
    <xf numFmtId="0" fontId="0" fillId="0" borderId="0" xfId="0" applyFill="1"/>
    <xf numFmtId="0" fontId="11" fillId="28" borderId="108" xfId="0" applyFont="1" applyFill="1" applyBorder="1" applyAlignment="1">
      <alignment horizontal="center" vertical="center"/>
    </xf>
    <xf numFmtId="172" fontId="11" fillId="29" borderId="0" xfId="28" applyNumberFormat="1" applyFont="1" applyFill="1" applyBorder="1" applyAlignment="1">
      <alignment horizontal="center" vertical="center"/>
    </xf>
    <xf numFmtId="172" fontId="11" fillId="29" borderId="30" xfId="28" applyNumberFormat="1" applyFont="1" applyFill="1" applyBorder="1" applyAlignment="1">
      <alignment horizontal="center" vertical="center"/>
    </xf>
    <xf numFmtId="0" fontId="0" fillId="29" borderId="0" xfId="0" applyFill="1" applyBorder="1"/>
    <xf numFmtId="0" fontId="0" fillId="29" borderId="30" xfId="0" applyFill="1" applyBorder="1"/>
    <xf numFmtId="0" fontId="14" fillId="0" borderId="102" xfId="0" applyFont="1" applyBorder="1" applyAlignment="1">
      <alignment vertical="center" wrapText="1"/>
    </xf>
    <xf numFmtId="0" fontId="14" fillId="0" borderId="81" xfId="0" applyFont="1" applyBorder="1" applyAlignment="1">
      <alignment vertical="center" wrapText="1"/>
    </xf>
    <xf numFmtId="0" fontId="0" fillId="0" borderId="30" xfId="0" applyFill="1" applyBorder="1"/>
    <xf numFmtId="0" fontId="14" fillId="0" borderId="47" xfId="0" applyFont="1" applyBorder="1"/>
    <xf numFmtId="0" fontId="0" fillId="0" borderId="47" xfId="0" applyBorder="1"/>
    <xf numFmtId="0" fontId="0" fillId="0" borderId="46" xfId="0" applyBorder="1"/>
    <xf numFmtId="171" fontId="11" fillId="29" borderId="0" xfId="29" applyNumberFormat="1" applyFont="1" applyFill="1" applyBorder="1" applyAlignment="1">
      <alignment horizontal="center" vertical="center"/>
    </xf>
    <xf numFmtId="171" fontId="11" fillId="29" borderId="30" xfId="29" applyNumberFormat="1" applyFont="1" applyFill="1" applyBorder="1" applyAlignment="1">
      <alignment horizontal="center" vertical="center"/>
    </xf>
    <xf numFmtId="0" fontId="11" fillId="0" borderId="92" xfId="0" applyFont="1" applyFill="1" applyBorder="1" applyAlignment="1">
      <alignment horizontal="center" vertical="center"/>
    </xf>
    <xf numFmtId="0" fontId="11" fillId="0" borderId="108" xfId="0" applyFont="1" applyFill="1" applyBorder="1" applyAlignment="1">
      <alignment horizontal="center" vertical="center"/>
    </xf>
    <xf numFmtId="0" fontId="11" fillId="0" borderId="38" xfId="0" applyFont="1" applyFill="1" applyBorder="1" applyAlignment="1">
      <alignment horizontal="center" vertical="center"/>
    </xf>
    <xf numFmtId="0" fontId="0" fillId="0" borderId="0" xfId="0" applyFill="1" applyBorder="1" applyAlignment="1"/>
    <xf numFmtId="0" fontId="0" fillId="28" borderId="44" xfId="0" applyFill="1" applyBorder="1" applyAlignment="1"/>
    <xf numFmtId="0" fontId="14" fillId="0" borderId="0" xfId="0" applyFont="1" applyAlignment="1">
      <alignment horizontal="center" vertical="center"/>
    </xf>
    <xf numFmtId="0" fontId="0" fillId="0" borderId="46" xfId="0" applyBorder="1" applyAlignment="1">
      <alignment horizontal="center" vertical="center"/>
    </xf>
    <xf numFmtId="0" fontId="106" fillId="29" borderId="0" xfId="0" applyFont="1" applyFill="1" applyAlignment="1">
      <alignment horizontal="left" vertical="top"/>
    </xf>
    <xf numFmtId="0" fontId="106" fillId="28" borderId="0" xfId="0" applyFont="1" applyFill="1" applyAlignment="1">
      <alignment horizontal="left" vertical="top"/>
    </xf>
    <xf numFmtId="0" fontId="106" fillId="0" borderId="0" xfId="0" applyFont="1" applyFill="1" applyAlignment="1">
      <alignment horizontal="left" vertical="top"/>
    </xf>
    <xf numFmtId="0" fontId="106" fillId="67" borderId="0" xfId="0" applyFont="1" applyFill="1" applyAlignment="1">
      <alignment horizontal="left" vertical="top"/>
    </xf>
    <xf numFmtId="0" fontId="0" fillId="67" borderId="29" xfId="0" applyFill="1" applyBorder="1"/>
    <xf numFmtId="0" fontId="11" fillId="67" borderId="29" xfId="0" applyFont="1" applyFill="1" applyBorder="1" applyAlignment="1">
      <alignment horizontal="center" vertical="center"/>
    </xf>
    <xf numFmtId="0" fontId="0" fillId="67" borderId="31" xfId="0" applyFill="1" applyBorder="1"/>
    <xf numFmtId="0" fontId="106" fillId="0" borderId="10" xfId="0" applyFont="1" applyBorder="1" applyAlignment="1">
      <alignment horizontal="left" vertical="top"/>
    </xf>
    <xf numFmtId="0" fontId="0" fillId="0" borderId="0" xfId="0" applyBorder="1"/>
    <xf numFmtId="0" fontId="0" fillId="67" borderId="0" xfId="0" applyFill="1" applyBorder="1"/>
    <xf numFmtId="172" fontId="11" fillId="0" borderId="0" xfId="28" applyNumberFormat="1" applyFont="1" applyFill="1" applyBorder="1" applyAlignment="1">
      <alignment horizontal="center" vertical="center"/>
    </xf>
    <xf numFmtId="0" fontId="0" fillId="29" borderId="0" xfId="0" applyFill="1" applyBorder="1" applyAlignment="1">
      <alignment horizontal="center"/>
    </xf>
    <xf numFmtId="0" fontId="0" fillId="29" borderId="30" xfId="0" applyFill="1" applyBorder="1" applyAlignment="1">
      <alignment horizontal="center"/>
    </xf>
    <xf numFmtId="0" fontId="108" fillId="0" borderId="0" xfId="0" applyFont="1" applyAlignment="1">
      <alignment horizontal="left" vertical="top"/>
    </xf>
    <xf numFmtId="0" fontId="108" fillId="0" borderId="0" xfId="0" applyFont="1" applyFill="1" applyAlignment="1">
      <alignment horizontal="left" vertical="top"/>
    </xf>
    <xf numFmtId="172" fontId="11" fillId="0" borderId="30" xfId="28" applyNumberFormat="1" applyFont="1" applyFill="1" applyBorder="1" applyAlignment="1">
      <alignment horizontal="center" vertical="center"/>
    </xf>
    <xf numFmtId="0" fontId="107" fillId="0" borderId="0" xfId="0" applyFont="1" applyFill="1"/>
    <xf numFmtId="0" fontId="14" fillId="0" borderId="45" xfId="0" applyFont="1" applyFill="1" applyBorder="1"/>
    <xf numFmtId="0" fontId="14" fillId="0" borderId="0" xfId="0" applyFont="1" applyFill="1" applyBorder="1" applyAlignment="1">
      <alignment wrapText="1"/>
    </xf>
    <xf numFmtId="0" fontId="106" fillId="0" borderId="30" xfId="0" applyFont="1" applyBorder="1" applyAlignment="1">
      <alignment horizontal="left" vertical="top"/>
    </xf>
    <xf numFmtId="0" fontId="14" fillId="0" borderId="31" xfId="0" applyFont="1" applyFill="1" applyBorder="1"/>
    <xf numFmtId="0" fontId="14" fillId="0" borderId="46" xfId="0" applyFont="1" applyBorder="1"/>
    <xf numFmtId="0" fontId="0" fillId="0" borderId="70" xfId="0" applyBorder="1"/>
    <xf numFmtId="0" fontId="14" fillId="0" borderId="69" xfId="0" applyFont="1" applyFill="1" applyBorder="1" applyAlignment="1">
      <alignment horizontal="left" vertical="top"/>
    </xf>
    <xf numFmtId="0" fontId="0" fillId="0" borderId="70" xfId="0" applyFill="1" applyBorder="1"/>
    <xf numFmtId="0" fontId="11" fillId="0" borderId="70" xfId="0" applyFont="1" applyFill="1" applyBorder="1" applyAlignment="1">
      <alignment horizontal="center" vertical="center"/>
    </xf>
    <xf numFmtId="0" fontId="11" fillId="0" borderId="70" xfId="0" applyFont="1" applyFill="1" applyBorder="1" applyAlignment="1">
      <alignment horizontal="center" vertical="center" wrapText="1"/>
    </xf>
    <xf numFmtId="0" fontId="0" fillId="0" borderId="0" xfId="0" applyFill="1" applyBorder="1" applyAlignment="1">
      <alignment horizontal="center"/>
    </xf>
    <xf numFmtId="0" fontId="0" fillId="67" borderId="0" xfId="0" applyFill="1" applyBorder="1" applyAlignment="1">
      <alignment horizontal="center" vertical="center"/>
    </xf>
    <xf numFmtId="170" fontId="0" fillId="0" borderId="0" xfId="42" applyNumberFormat="1" applyFont="1" applyFill="1" applyBorder="1" applyAlignment="1">
      <alignment horizontal="center"/>
    </xf>
    <xf numFmtId="170" fontId="0" fillId="0" borderId="0" xfId="42" applyNumberFormat="1" applyFont="1" applyBorder="1" applyAlignment="1">
      <alignment horizontal="center" vertical="center"/>
    </xf>
    <xf numFmtId="170" fontId="0" fillId="0" borderId="29" xfId="42" applyNumberFormat="1" applyFont="1" applyFill="1" applyBorder="1"/>
    <xf numFmtId="0" fontId="0" fillId="0" borderId="30" xfId="0" applyBorder="1"/>
    <xf numFmtId="170" fontId="0" fillId="0" borderId="30" xfId="42" applyNumberFormat="1" applyFont="1" applyFill="1" applyBorder="1" applyAlignment="1">
      <alignment horizontal="center"/>
    </xf>
    <xf numFmtId="0" fontId="0" fillId="0" borderId="30" xfId="0" applyFill="1" applyBorder="1" applyAlignment="1">
      <alignment horizontal="center"/>
    </xf>
    <xf numFmtId="170" fontId="0" fillId="0" borderId="30" xfId="42" applyNumberFormat="1" applyFont="1" applyBorder="1" applyAlignment="1">
      <alignment horizontal="center" vertical="center"/>
    </xf>
    <xf numFmtId="0" fontId="0" fillId="0" borderId="45" xfId="0" applyFill="1" applyBorder="1"/>
    <xf numFmtId="0" fontId="0" fillId="0" borderId="31" xfId="0" applyBorder="1"/>
    <xf numFmtId="0" fontId="0" fillId="0" borderId="64" xfId="0" applyBorder="1"/>
    <xf numFmtId="0" fontId="14" fillId="0" borderId="64" xfId="0" applyFont="1" applyFill="1" applyBorder="1"/>
    <xf numFmtId="0" fontId="38" fillId="0" borderId="40" xfId="0" applyFont="1" applyBorder="1" applyAlignment="1">
      <alignment horizontal="center" vertical="center"/>
    </xf>
    <xf numFmtId="0" fontId="38" fillId="0" borderId="41" xfId="0" applyFont="1" applyBorder="1" applyAlignment="1">
      <alignment horizontal="center" vertical="center"/>
    </xf>
    <xf numFmtId="0" fontId="38" fillId="0" borderId="0" xfId="0" applyFont="1" applyBorder="1" applyAlignment="1">
      <alignment horizontal="center" vertical="center"/>
    </xf>
    <xf numFmtId="0" fontId="14" fillId="0" borderId="70" xfId="0" applyFont="1" applyFill="1" applyBorder="1"/>
    <xf numFmtId="0" fontId="104" fillId="0" borderId="47" xfId="0" applyFont="1" applyBorder="1"/>
    <xf numFmtId="0" fontId="109" fillId="0" borderId="0" xfId="0" applyFont="1" applyBorder="1" applyAlignment="1">
      <alignment horizontal="center" vertical="center"/>
    </xf>
    <xf numFmtId="0" fontId="104" fillId="0" borderId="46" xfId="0" applyFont="1" applyBorder="1"/>
    <xf numFmtId="0" fontId="104" fillId="0" borderId="30" xfId="0" applyFont="1" applyBorder="1" applyAlignment="1">
      <alignment horizontal="center" vertical="center"/>
    </xf>
    <xf numFmtId="170" fontId="0" fillId="0" borderId="31" xfId="42" applyNumberFormat="1" applyFont="1" applyFill="1" applyBorder="1"/>
    <xf numFmtId="0" fontId="0" fillId="67" borderId="0" xfId="0" applyFill="1" applyBorder="1" applyAlignment="1">
      <alignment horizontal="center"/>
    </xf>
    <xf numFmtId="170" fontId="0" fillId="0" borderId="0" xfId="42" applyNumberFormat="1" applyFont="1" applyBorder="1" applyAlignment="1">
      <alignment horizontal="center"/>
    </xf>
    <xf numFmtId="170" fontId="0" fillId="0" borderId="0" xfId="42" applyNumberFormat="1" applyFont="1" applyBorder="1"/>
    <xf numFmtId="170" fontId="0" fillId="0" borderId="30" xfId="42" applyNumberFormat="1" applyFont="1" applyBorder="1" applyAlignment="1">
      <alignment horizontal="center"/>
    </xf>
    <xf numFmtId="170" fontId="0" fillId="0" borderId="30" xfId="42" applyNumberFormat="1" applyFont="1" applyBorder="1"/>
    <xf numFmtId="0" fontId="38" fillId="0" borderId="0" xfId="0" quotePrefix="1" applyFont="1" applyBorder="1" applyAlignment="1">
      <alignment horizontal="center" vertical="center"/>
    </xf>
    <xf numFmtId="0" fontId="0" fillId="67" borderId="29" xfId="0" applyFill="1" applyBorder="1" applyAlignment="1">
      <alignment horizontal="center"/>
    </xf>
    <xf numFmtId="170" fontId="0" fillId="0" borderId="29" xfId="42" applyNumberFormat="1" applyFont="1" applyFill="1" applyBorder="1" applyAlignment="1">
      <alignment horizontal="center"/>
    </xf>
    <xf numFmtId="0" fontId="14" fillId="0" borderId="43" xfId="0" applyFont="1" applyBorder="1" applyAlignment="1">
      <alignment horizontal="center" vertical="center"/>
    </xf>
    <xf numFmtId="0" fontId="0" fillId="67" borderId="29" xfId="0" applyFill="1" applyBorder="1" applyAlignment="1">
      <alignment horizontal="center" vertical="center"/>
    </xf>
    <xf numFmtId="170" fontId="0" fillId="0" borderId="29" xfId="42" applyNumberFormat="1" applyFont="1" applyFill="1" applyBorder="1" applyAlignment="1">
      <alignment horizontal="center" vertical="center"/>
    </xf>
    <xf numFmtId="0" fontId="0" fillId="0" borderId="29" xfId="0" applyBorder="1"/>
    <xf numFmtId="0" fontId="0" fillId="0" borderId="108" xfId="0" applyBorder="1" applyAlignment="1">
      <alignment horizontal="center" vertical="center"/>
    </xf>
    <xf numFmtId="0" fontId="0" fillId="0" borderId="38" xfId="0" applyBorder="1" applyAlignment="1">
      <alignment horizontal="center" vertical="center"/>
    </xf>
    <xf numFmtId="0" fontId="14" fillId="0" borderId="28" xfId="0" applyFont="1" applyBorder="1"/>
    <xf numFmtId="0" fontId="14" fillId="0" borderId="79"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64" xfId="0" applyFont="1" applyBorder="1"/>
    <xf numFmtId="0" fontId="14" fillId="0" borderId="22" xfId="0" applyFont="1" applyBorder="1" applyAlignment="1">
      <alignment horizontal="center" vertical="center" wrapText="1"/>
    </xf>
    <xf numFmtId="0" fontId="14" fillId="0" borderId="44" xfId="0" applyFont="1" applyBorder="1" applyAlignment="1">
      <alignment horizontal="center" vertical="center"/>
    </xf>
    <xf numFmtId="0" fontId="0" fillId="0" borderId="45" xfId="0" applyBorder="1"/>
    <xf numFmtId="0" fontId="0" fillId="0" borderId="43" xfId="0" applyBorder="1"/>
    <xf numFmtId="0" fontId="14" fillId="0" borderId="64" xfId="0" applyFont="1" applyBorder="1" applyAlignment="1">
      <alignment horizontal="center" vertical="center"/>
    </xf>
    <xf numFmtId="0" fontId="14" fillId="0" borderId="86" xfId="0" applyFont="1" applyBorder="1" applyAlignment="1">
      <alignment horizontal="center" vertical="center"/>
    </xf>
    <xf numFmtId="0" fontId="14" fillId="0" borderId="43" xfId="0" applyFont="1" applyFill="1" applyBorder="1" applyAlignment="1">
      <alignment horizontal="left" vertical="top"/>
    </xf>
    <xf numFmtId="0" fontId="38" fillId="0" borderId="47" xfId="0" applyFont="1" applyBorder="1" applyAlignment="1">
      <alignment horizontal="center" vertical="center"/>
    </xf>
    <xf numFmtId="0" fontId="38" fillId="0" borderId="69" xfId="0" applyFont="1" applyBorder="1" applyAlignment="1">
      <alignment horizontal="center" vertical="center"/>
    </xf>
    <xf numFmtId="0" fontId="14" fillId="0" borderId="38" xfId="0" applyFont="1" applyBorder="1"/>
    <xf numFmtId="0" fontId="0" fillId="0" borderId="41" xfId="0" applyBorder="1" applyAlignment="1">
      <alignment horizontal="center" vertical="center" wrapText="1"/>
    </xf>
    <xf numFmtId="0" fontId="0" fillId="0" borderId="46" xfId="0" applyBorder="1" applyAlignment="1">
      <alignment horizontal="center" vertical="center" wrapText="1"/>
    </xf>
    <xf numFmtId="170" fontId="0" fillId="0" borderId="31" xfId="42" applyNumberFormat="1" applyFont="1" applyFill="1" applyBorder="1" applyAlignment="1">
      <alignment horizontal="center" vertical="center"/>
    </xf>
    <xf numFmtId="0" fontId="14" fillId="0" borderId="40" xfId="0" applyFont="1" applyBorder="1" applyAlignment="1">
      <alignment horizontal="center" vertical="center"/>
    </xf>
    <xf numFmtId="0" fontId="104" fillId="0" borderId="0" xfId="0" applyFont="1" applyFill="1"/>
    <xf numFmtId="0" fontId="0" fillId="29" borderId="0" xfId="0" applyFill="1" applyAlignment="1">
      <alignment horizontal="center" vertical="top"/>
    </xf>
    <xf numFmtId="0" fontId="18" fillId="0" borderId="0" xfId="0" applyFont="1" applyAlignment="1" applyProtection="1">
      <alignment horizontal="center"/>
      <protection locked="0"/>
    </xf>
    <xf numFmtId="0" fontId="13" fillId="0" borderId="0" xfId="46" applyFont="1" applyAlignment="1" applyProtection="1">
      <alignment horizontal="right" vertical="top"/>
      <protection locked="0"/>
    </xf>
    <xf numFmtId="0" fontId="14" fillId="0" borderId="30"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4" fillId="0" borderId="0" xfId="0" applyFont="1" applyAlignment="1">
      <alignment horizontal="right" vertical="top"/>
    </xf>
    <xf numFmtId="171" fontId="11" fillId="29" borderId="25" xfId="29" applyNumberFormat="1" applyFill="1" applyBorder="1" applyAlignment="1" applyProtection="1">
      <alignment horizontal="left" vertical="top" wrapText="1"/>
      <protection locked="0"/>
    </xf>
    <xf numFmtId="171" fontId="11" fillId="29" borderId="67" xfId="29" applyNumberFormat="1" applyFill="1" applyBorder="1" applyAlignment="1" applyProtection="1">
      <alignment horizontal="left" vertical="top" wrapText="1"/>
      <protection locked="0"/>
    </xf>
    <xf numFmtId="171" fontId="11" fillId="29" borderId="62" xfId="29" applyNumberFormat="1" applyFill="1" applyBorder="1" applyAlignment="1" applyProtection="1">
      <alignment horizontal="left" vertical="top" wrapText="1"/>
      <protection locked="0"/>
    </xf>
    <xf numFmtId="0" fontId="0" fillId="28" borderId="161" xfId="0" applyNumberFormat="1" applyFill="1" applyBorder="1" applyAlignment="1" applyProtection="1">
      <alignment vertical="center"/>
      <protection locked="0"/>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0" fillId="0" borderId="0" xfId="0" applyAlignment="1" applyProtection="1">
      <alignment horizontal="right"/>
      <protection locked="0"/>
    </xf>
    <xf numFmtId="0" fontId="14" fillId="0" borderId="0" xfId="0" applyFont="1" applyAlignment="1" applyProtection="1">
      <alignment horizontal="right" vertical="top"/>
      <protection locked="0"/>
    </xf>
    <xf numFmtId="0" fontId="14" fillId="64" borderId="73" xfId="46"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17" fillId="0" borderId="0" xfId="0" applyFont="1" applyAlignment="1" applyProtection="1">
      <alignment horizontal="right"/>
      <protection locked="0"/>
    </xf>
    <xf numFmtId="0" fontId="17" fillId="0" borderId="0" xfId="0" applyFont="1" applyAlignment="1" applyProtection="1">
      <alignment horizontal="center" vertical="top" wrapText="1"/>
      <protection locked="0"/>
    </xf>
    <xf numFmtId="0" fontId="110" fillId="0" borderId="0" xfId="130" applyFont="1" applyFill="1" applyBorder="1" applyProtection="1">
      <protection locked="0"/>
    </xf>
    <xf numFmtId="0" fontId="110" fillId="0" borderId="0" xfId="130" applyFont="1" applyFill="1" applyBorder="1" applyAlignment="1" applyProtection="1">
      <alignment wrapText="1"/>
      <protection locked="0"/>
    </xf>
    <xf numFmtId="0" fontId="112" fillId="0" borderId="0" xfId="130" applyFont="1" applyFill="1" applyBorder="1" applyProtection="1">
      <protection locked="0"/>
    </xf>
    <xf numFmtId="169" fontId="112" fillId="0" borderId="0" xfId="131" applyNumberFormat="1" applyFont="1" applyFill="1" applyBorder="1" applyProtection="1">
      <protection locked="0"/>
    </xf>
    <xf numFmtId="0" fontId="112" fillId="72" borderId="47" xfId="130" applyFont="1" applyFill="1" applyBorder="1" applyAlignment="1" applyProtection="1">
      <alignment horizontal="right"/>
      <protection locked="0"/>
    </xf>
    <xf numFmtId="0" fontId="112" fillId="72" borderId="0" xfId="130" applyFont="1" applyFill="1" applyBorder="1" applyAlignment="1" applyProtection="1">
      <alignment horizontal="right"/>
      <protection locked="0"/>
    </xf>
    <xf numFmtId="0" fontId="112" fillId="72" borderId="29" xfId="130" applyFont="1" applyFill="1" applyBorder="1" applyAlignment="1" applyProtection="1">
      <alignment horizontal="right"/>
      <protection locked="0"/>
    </xf>
    <xf numFmtId="0" fontId="110" fillId="0" borderId="47" xfId="130" applyFont="1" applyFill="1" applyBorder="1" applyProtection="1">
      <protection locked="0"/>
    </xf>
    <xf numFmtId="10" fontId="113" fillId="0" borderId="0" xfId="132" applyNumberFormat="1" applyFont="1" applyFill="1" applyBorder="1" applyProtection="1">
      <protection locked="0"/>
    </xf>
    <xf numFmtId="10" fontId="106" fillId="0" borderId="122" xfId="132" applyNumberFormat="1" applyFont="1" applyFill="1" applyBorder="1" applyProtection="1">
      <protection locked="0"/>
    </xf>
    <xf numFmtId="10" fontId="106" fillId="0" borderId="29" xfId="132" applyNumberFormat="1" applyFont="1" applyFill="1" applyBorder="1" applyProtection="1">
      <protection locked="0"/>
    </xf>
    <xf numFmtId="0" fontId="110" fillId="74" borderId="0" xfId="130" applyFont="1" applyFill="1" applyBorder="1" applyProtection="1">
      <protection locked="0"/>
    </xf>
    <xf numFmtId="10" fontId="106" fillId="74" borderId="0" xfId="132" applyNumberFormat="1" applyFont="1" applyFill="1" applyBorder="1" applyProtection="1">
      <protection locked="0"/>
    </xf>
    <xf numFmtId="0" fontId="110" fillId="0" borderId="51" xfId="130" applyFont="1" applyFill="1" applyBorder="1" applyProtection="1">
      <protection locked="0"/>
    </xf>
    <xf numFmtId="0" fontId="110" fillId="74" borderId="119" xfId="130" applyFont="1" applyFill="1" applyBorder="1" applyProtection="1">
      <protection locked="0"/>
    </xf>
    <xf numFmtId="10" fontId="106" fillId="0" borderId="123" xfId="132" applyNumberFormat="1" applyFont="1" applyFill="1" applyBorder="1" applyProtection="1">
      <protection locked="0"/>
    </xf>
    <xf numFmtId="10" fontId="106" fillId="0" borderId="55" xfId="132" applyNumberFormat="1" applyFont="1" applyFill="1" applyBorder="1" applyProtection="1">
      <protection locked="0"/>
    </xf>
    <xf numFmtId="0" fontId="112" fillId="0" borderId="154" xfId="130" applyFont="1" applyFill="1" applyBorder="1" applyProtection="1">
      <protection locked="0"/>
    </xf>
    <xf numFmtId="10" fontId="114" fillId="0" borderId="155" xfId="130" applyNumberFormat="1" applyFont="1" applyFill="1" applyBorder="1" applyProtection="1">
      <protection locked="0"/>
    </xf>
    <xf numFmtId="10" fontId="115" fillId="0" borderId="156" xfId="130" applyNumberFormat="1" applyFont="1" applyFill="1" applyBorder="1" applyProtection="1">
      <protection locked="0"/>
    </xf>
    <xf numFmtId="10" fontId="112" fillId="0" borderId="157" xfId="130" applyNumberFormat="1" applyFont="1" applyFill="1" applyBorder="1" applyProtection="1">
      <protection locked="0"/>
    </xf>
    <xf numFmtId="192" fontId="106" fillId="0" borderId="29" xfId="131" applyNumberFormat="1" applyFont="1" applyFill="1" applyBorder="1" applyProtection="1">
      <protection locked="0"/>
    </xf>
    <xf numFmtId="192" fontId="106" fillId="74" borderId="0" xfId="131" applyNumberFormat="1" applyFont="1" applyFill="1" applyBorder="1" applyProtection="1">
      <protection locked="0"/>
    </xf>
    <xf numFmtId="192" fontId="116" fillId="74" borderId="0" xfId="131" applyNumberFormat="1" applyFont="1" applyFill="1" applyBorder="1" applyProtection="1">
      <protection locked="0"/>
    </xf>
    <xf numFmtId="9" fontId="110" fillId="75" borderId="0" xfId="130" applyNumberFormat="1" applyFont="1" applyFill="1" applyBorder="1" applyProtection="1">
      <protection locked="0"/>
    </xf>
    <xf numFmtId="9" fontId="110" fillId="0" borderId="0" xfId="130" applyNumberFormat="1" applyFont="1" applyFill="1" applyBorder="1" applyProtection="1">
      <protection locked="0"/>
    </xf>
    <xf numFmtId="192" fontId="106" fillId="74" borderId="119" xfId="131" applyNumberFormat="1" applyFont="1" applyFill="1" applyBorder="1" applyProtection="1">
      <protection locked="0"/>
    </xf>
    <xf numFmtId="192" fontId="116" fillId="74" borderId="119" xfId="131" applyNumberFormat="1" applyFont="1" applyFill="1" applyBorder="1" applyProtection="1">
      <protection locked="0"/>
    </xf>
    <xf numFmtId="192" fontId="106" fillId="0" borderId="55" xfId="131" applyNumberFormat="1" applyFont="1" applyFill="1" applyBorder="1" applyProtection="1">
      <protection locked="0"/>
    </xf>
    <xf numFmtId="0" fontId="112" fillId="0" borderId="46" xfId="130" applyFont="1" applyFill="1" applyBorder="1" applyProtection="1">
      <protection locked="0"/>
    </xf>
    <xf numFmtId="192" fontId="117" fillId="0" borderId="30" xfId="131" applyNumberFormat="1" applyFont="1" applyFill="1" applyBorder="1" applyProtection="1">
      <protection locked="0"/>
    </xf>
    <xf numFmtId="192" fontId="112" fillId="0" borderId="124" xfId="131" applyNumberFormat="1" applyFont="1" applyFill="1" applyBorder="1" applyProtection="1">
      <protection locked="0"/>
    </xf>
    <xf numFmtId="192" fontId="118" fillId="0" borderId="31" xfId="131" applyNumberFormat="1" applyFont="1" applyFill="1" applyBorder="1" applyProtection="1">
      <protection locked="0"/>
    </xf>
    <xf numFmtId="0" fontId="110" fillId="0" borderId="0" xfId="130" applyFont="1" applyFill="1" applyBorder="1" applyAlignment="1" applyProtection="1">
      <alignment vertical="top" wrapText="1"/>
      <protection locked="0"/>
    </xf>
    <xf numFmtId="0" fontId="112" fillId="73" borderId="47" xfId="130" applyFont="1" applyFill="1" applyBorder="1" applyAlignment="1" applyProtection="1">
      <alignment horizontal="center"/>
      <protection locked="0"/>
    </xf>
    <xf numFmtId="0" fontId="112" fillId="73" borderId="0" xfId="130" applyFont="1" applyFill="1" applyBorder="1" applyAlignment="1" applyProtection="1">
      <alignment horizontal="center"/>
      <protection locked="0"/>
    </xf>
    <xf numFmtId="0" fontId="112" fillId="73" borderId="29" xfId="130" applyFont="1" applyFill="1" applyBorder="1" applyAlignment="1" applyProtection="1">
      <alignment horizontal="center"/>
      <protection locked="0"/>
    </xf>
    <xf numFmtId="0" fontId="112" fillId="76" borderId="29" xfId="130" applyFont="1" applyFill="1" applyBorder="1" applyAlignment="1" applyProtection="1">
      <alignment horizontal="center"/>
      <protection locked="0"/>
    </xf>
    <xf numFmtId="0" fontId="112" fillId="73" borderId="52" xfId="130" applyFont="1" applyFill="1" applyBorder="1" applyAlignment="1" applyProtection="1">
      <alignment horizontal="center"/>
      <protection locked="0"/>
    </xf>
    <xf numFmtId="0" fontId="112" fillId="73" borderId="12" xfId="130" applyFont="1" applyFill="1" applyBorder="1" applyAlignment="1" applyProtection="1">
      <alignment horizontal="center"/>
      <protection locked="0"/>
    </xf>
    <xf numFmtId="0" fontId="112" fillId="73" borderId="54" xfId="130" applyFont="1" applyFill="1" applyBorder="1" applyAlignment="1" applyProtection="1">
      <alignment horizontal="center"/>
      <protection locked="0"/>
    </xf>
    <xf numFmtId="0" fontId="110" fillId="73" borderId="47" xfId="130" applyFont="1" applyFill="1" applyBorder="1" applyAlignment="1" applyProtection="1">
      <alignment vertical="top"/>
      <protection locked="0"/>
    </xf>
    <xf numFmtId="0" fontId="110" fillId="73" borderId="0" xfId="130" applyFont="1" applyFill="1" applyBorder="1" applyAlignment="1" applyProtection="1">
      <alignment vertical="top"/>
      <protection locked="0"/>
    </xf>
    <xf numFmtId="0" fontId="112" fillId="73" borderId="29" xfId="130" applyFont="1" applyFill="1" applyBorder="1" applyAlignment="1" applyProtection="1">
      <alignment horizontal="center" wrapText="1"/>
      <protection locked="0"/>
    </xf>
    <xf numFmtId="0" fontId="112" fillId="73" borderId="12" xfId="130" applyFont="1" applyFill="1" applyBorder="1" applyAlignment="1" applyProtection="1">
      <alignment horizontal="center" vertical="center"/>
      <protection locked="0"/>
    </xf>
    <xf numFmtId="0" fontId="112" fillId="73" borderId="54" xfId="130" applyFont="1" applyFill="1" applyBorder="1" applyAlignment="1" applyProtection="1">
      <alignment horizontal="center" vertical="center" wrapText="1"/>
      <protection locked="0"/>
    </xf>
    <xf numFmtId="0" fontId="110" fillId="0" borderId="47" xfId="130" applyFont="1" applyFill="1" applyBorder="1" applyAlignment="1" applyProtection="1">
      <alignment vertical="top"/>
      <protection locked="0"/>
    </xf>
    <xf numFmtId="0" fontId="110" fillId="0" borderId="0" xfId="130" applyFont="1" applyFill="1" applyBorder="1" applyAlignment="1" applyProtection="1">
      <alignment vertical="top"/>
      <protection locked="0"/>
    </xf>
    <xf numFmtId="0" fontId="112" fillId="0" borderId="29" xfId="130" applyFont="1" applyFill="1" applyBorder="1" applyAlignment="1" applyProtection="1">
      <alignment horizontal="center" vertical="top" wrapText="1"/>
      <protection locked="0"/>
    </xf>
    <xf numFmtId="0" fontId="110" fillId="0" borderId="51" xfId="130" applyFont="1" applyFill="1" applyBorder="1" applyAlignment="1" applyProtection="1">
      <alignment vertical="top"/>
      <protection locked="0"/>
    </xf>
    <xf numFmtId="0" fontId="110" fillId="0" borderId="119" xfId="130" applyFont="1" applyFill="1" applyBorder="1" applyAlignment="1" applyProtection="1">
      <alignment vertical="top"/>
      <protection locked="0"/>
    </xf>
    <xf numFmtId="0" fontId="112" fillId="0" borderId="55" xfId="130" applyFont="1" applyFill="1" applyBorder="1" applyAlignment="1" applyProtection="1">
      <alignment horizontal="center" vertical="top" wrapText="1"/>
      <protection locked="0"/>
    </xf>
    <xf numFmtId="10" fontId="92" fillId="0" borderId="31" xfId="132" applyNumberFormat="1" applyFont="1" applyFill="1" applyBorder="1" applyProtection="1">
      <protection locked="0"/>
    </xf>
    <xf numFmtId="0" fontId="112" fillId="0" borderId="0" xfId="130" applyFont="1" applyFill="1" applyBorder="1" applyAlignment="1" applyProtection="1">
      <alignment vertical="top" wrapText="1"/>
      <protection locked="0"/>
    </xf>
    <xf numFmtId="10" fontId="92" fillId="0" borderId="0" xfId="132" applyNumberFormat="1" applyFont="1" applyFill="1" applyBorder="1" applyProtection="1">
      <protection locked="0"/>
    </xf>
    <xf numFmtId="0" fontId="112" fillId="0" borderId="69" xfId="130" applyFont="1" applyFill="1" applyBorder="1" applyAlignment="1" applyProtection="1">
      <alignment vertical="top" wrapText="1"/>
      <protection locked="0"/>
    </xf>
    <xf numFmtId="0" fontId="112" fillId="0" borderId="70" xfId="130" applyFont="1" applyFill="1" applyBorder="1" applyAlignment="1" applyProtection="1">
      <alignment horizontal="center" vertical="center" wrapText="1"/>
      <protection locked="0"/>
    </xf>
    <xf numFmtId="0" fontId="115" fillId="0" borderId="70" xfId="131" applyNumberFormat="1" applyFont="1" applyFill="1" applyBorder="1" applyAlignment="1" applyProtection="1">
      <alignment horizontal="center" vertical="center"/>
      <protection locked="0"/>
    </xf>
    <xf numFmtId="0" fontId="110" fillId="0" borderId="45" xfId="130" applyFont="1" applyFill="1" applyBorder="1" applyProtection="1">
      <protection locked="0"/>
    </xf>
    <xf numFmtId="0" fontId="115" fillId="0" borderId="47" xfId="130" applyFont="1" applyFill="1" applyBorder="1" applyAlignment="1" applyProtection="1">
      <alignment horizontal="left" vertical="center" wrapText="1"/>
      <protection locked="0"/>
    </xf>
    <xf numFmtId="0" fontId="112" fillId="0" borderId="10" xfId="130" applyFont="1" applyFill="1" applyBorder="1" applyAlignment="1" applyProtection="1">
      <alignment horizontal="center" vertical="center" wrapText="1"/>
      <protection locked="0"/>
    </xf>
    <xf numFmtId="0" fontId="112" fillId="76" borderId="10" xfId="130" applyFont="1" applyFill="1" applyBorder="1" applyAlignment="1" applyProtection="1">
      <alignment horizontal="center" vertical="center" wrapText="1"/>
      <protection locked="0"/>
    </xf>
    <xf numFmtId="10" fontId="92" fillId="0" borderId="29" xfId="132" applyNumberFormat="1" applyFont="1" applyFill="1" applyBorder="1" applyAlignment="1" applyProtection="1">
      <alignment horizontal="center" vertical="center" wrapText="1"/>
      <protection locked="0"/>
    </xf>
    <xf numFmtId="0" fontId="120" fillId="0" borderId="46" xfId="130" applyFont="1" applyFill="1" applyBorder="1" applyAlignment="1" applyProtection="1">
      <alignment horizontal="left" vertical="top" wrapText="1"/>
      <protection locked="0"/>
    </xf>
    <xf numFmtId="0" fontId="121" fillId="77" borderId="30" xfId="130" applyFont="1" applyFill="1" applyBorder="1" applyAlignment="1" applyProtection="1">
      <alignment vertical="top" wrapText="1"/>
      <protection locked="0"/>
    </xf>
    <xf numFmtId="0" fontId="122" fillId="77" borderId="30" xfId="130" applyFont="1" applyFill="1" applyBorder="1" applyAlignment="1" applyProtection="1">
      <alignment vertical="top" wrapText="1"/>
      <protection locked="0"/>
    </xf>
    <xf numFmtId="0" fontId="121" fillId="0" borderId="30" xfId="130" applyFont="1" applyFill="1" applyBorder="1" applyAlignment="1" applyProtection="1">
      <alignment vertical="top" wrapText="1"/>
      <protection locked="0"/>
    </xf>
    <xf numFmtId="0" fontId="122" fillId="0" borderId="30" xfId="130" applyFont="1" applyFill="1" applyBorder="1" applyAlignment="1" applyProtection="1">
      <alignment vertical="top" wrapText="1"/>
      <protection locked="0"/>
    </xf>
    <xf numFmtId="0" fontId="120" fillId="0" borderId="0" xfId="130" applyFont="1" applyFill="1" applyBorder="1" applyAlignment="1" applyProtection="1">
      <alignment horizontal="left" vertical="top" wrapText="1"/>
      <protection locked="0"/>
    </xf>
    <xf numFmtId="0" fontId="121" fillId="0" borderId="0" xfId="130" applyFont="1" applyFill="1" applyBorder="1" applyAlignment="1" applyProtection="1">
      <alignment vertical="top" wrapText="1"/>
      <protection locked="0"/>
    </xf>
    <xf numFmtId="0" fontId="110" fillId="0" borderId="92" xfId="130" applyFont="1" applyFill="1" applyBorder="1" applyProtection="1">
      <protection locked="0"/>
    </xf>
    <xf numFmtId="0" fontId="112" fillId="73" borderId="70" xfId="130" applyFont="1" applyFill="1" applyBorder="1" applyAlignment="1" applyProtection="1">
      <alignment horizontal="center" vertical="center"/>
      <protection locked="0"/>
    </xf>
    <xf numFmtId="0" fontId="112" fillId="73" borderId="87" xfId="130" applyFont="1" applyFill="1" applyBorder="1" applyAlignment="1" applyProtection="1">
      <alignment horizontal="center"/>
      <protection locked="0"/>
    </xf>
    <xf numFmtId="0" fontId="112" fillId="73" borderId="45" xfId="130" applyFont="1" applyFill="1" applyBorder="1" applyAlignment="1" applyProtection="1">
      <alignment horizontal="center" vertical="center"/>
      <protection locked="0"/>
    </xf>
    <xf numFmtId="0" fontId="110" fillId="72" borderId="53" xfId="130" applyFont="1" applyFill="1" applyBorder="1" applyAlignment="1" applyProtection="1">
      <alignment wrapText="1"/>
      <protection locked="0"/>
    </xf>
    <xf numFmtId="169" fontId="110" fillId="72" borderId="13" xfId="130" applyNumberFormat="1" applyFont="1" applyFill="1" applyBorder="1" applyAlignment="1" applyProtection="1">
      <alignment horizontal="center" vertical="center"/>
      <protection locked="0"/>
    </xf>
    <xf numFmtId="169" fontId="110" fillId="72" borderId="50" xfId="130" applyNumberFormat="1" applyFont="1" applyFill="1" applyBorder="1" applyAlignment="1" applyProtection="1">
      <alignment horizontal="center" vertical="center"/>
      <protection locked="0"/>
    </xf>
    <xf numFmtId="169" fontId="110" fillId="0" borderId="82" xfId="131" applyFont="1" applyFill="1" applyBorder="1" applyAlignment="1" applyProtection="1">
      <alignment horizontal="center" vertical="center"/>
      <protection locked="0"/>
    </xf>
    <xf numFmtId="169" fontId="112" fillId="0" borderId="58" xfId="131" applyFont="1" applyFill="1" applyBorder="1" applyAlignment="1" applyProtection="1">
      <alignment horizontal="center" vertical="center"/>
      <protection locked="0"/>
    </xf>
    <xf numFmtId="0" fontId="110" fillId="72" borderId="51" xfId="130" applyFont="1" applyFill="1" applyBorder="1" applyAlignment="1" applyProtection="1">
      <alignment wrapText="1"/>
      <protection locked="0"/>
    </xf>
    <xf numFmtId="169" fontId="110" fillId="72" borderId="158" xfId="131" applyFont="1" applyFill="1" applyBorder="1" applyAlignment="1" applyProtection="1">
      <alignment horizontal="center" vertical="center"/>
      <protection locked="0"/>
    </xf>
    <xf numFmtId="169" fontId="110" fillId="72" borderId="0" xfId="131" applyFont="1" applyFill="1" applyBorder="1" applyAlignment="1" applyProtection="1">
      <alignment horizontal="center" vertical="center"/>
      <protection locked="0"/>
    </xf>
    <xf numFmtId="193" fontId="110" fillId="72" borderId="158" xfId="130" applyNumberFormat="1" applyFont="1" applyFill="1" applyBorder="1" applyAlignment="1" applyProtection="1">
      <alignment horizontal="center" vertical="center"/>
      <protection locked="0"/>
    </xf>
    <xf numFmtId="193" fontId="110" fillId="72" borderId="159" xfId="130" applyNumberFormat="1" applyFont="1" applyFill="1" applyBorder="1" applyAlignment="1" applyProtection="1">
      <alignment horizontal="center" vertical="center"/>
      <protection locked="0"/>
    </xf>
    <xf numFmtId="169" fontId="92" fillId="0" borderId="160" xfId="131" applyFont="1" applyFill="1" applyBorder="1" applyAlignment="1" applyProtection="1">
      <alignment horizontal="center" vertical="center"/>
      <protection locked="0"/>
    </xf>
    <xf numFmtId="169" fontId="92" fillId="0" borderId="155" xfId="131" applyFont="1" applyFill="1" applyBorder="1" applyAlignment="1" applyProtection="1">
      <alignment horizontal="center" vertical="center"/>
      <protection locked="0"/>
    </xf>
    <xf numFmtId="169" fontId="92" fillId="77" borderId="83" xfId="131" applyFont="1" applyFill="1" applyBorder="1" applyAlignment="1" applyProtection="1">
      <alignment horizontal="center" vertical="center"/>
      <protection locked="0"/>
    </xf>
    <xf numFmtId="169" fontId="92" fillId="67" borderId="74" xfId="131" applyFont="1" applyFill="1" applyBorder="1" applyAlignment="1" applyProtection="1">
      <alignment horizontal="center" vertical="center"/>
      <protection locked="0"/>
    </xf>
    <xf numFmtId="169" fontId="92" fillId="67" borderId="12" xfId="131" applyFont="1" applyFill="1" applyBorder="1" applyAlignment="1" applyProtection="1">
      <alignment horizontal="center" vertical="center"/>
      <protection locked="0"/>
    </xf>
    <xf numFmtId="169" fontId="92" fillId="78" borderId="12" xfId="131" applyFont="1" applyFill="1" applyBorder="1" applyAlignment="1" applyProtection="1">
      <alignment horizontal="center" vertical="center"/>
      <protection locked="0"/>
    </xf>
    <xf numFmtId="193" fontId="92" fillId="67" borderId="12" xfId="131" applyNumberFormat="1" applyFont="1" applyFill="1" applyBorder="1" applyAlignment="1" applyProtection="1">
      <alignment horizontal="center" vertical="center"/>
      <protection locked="0"/>
    </xf>
    <xf numFmtId="193" fontId="92" fillId="77" borderId="25" xfId="131" applyNumberFormat="1" applyFont="1" applyFill="1" applyBorder="1" applyAlignment="1" applyProtection="1">
      <alignment horizontal="center" vertical="center"/>
      <protection locked="0"/>
    </xf>
    <xf numFmtId="169" fontId="92" fillId="0" borderId="74" xfId="131" applyFont="1" applyFill="1" applyBorder="1" applyAlignment="1" applyProtection="1">
      <alignment horizontal="center" vertical="center"/>
      <protection locked="0"/>
    </xf>
    <xf numFmtId="169" fontId="92" fillId="0" borderId="12" xfId="131" applyFont="1" applyFill="1" applyBorder="1" applyAlignment="1" applyProtection="1">
      <alignment horizontal="center" vertical="center"/>
      <protection locked="0"/>
    </xf>
    <xf numFmtId="169" fontId="123" fillId="77" borderId="25" xfId="131" applyFont="1" applyFill="1" applyBorder="1" applyAlignment="1" applyProtection="1">
      <alignment horizontal="center" vertical="center"/>
      <protection locked="0"/>
    </xf>
    <xf numFmtId="193" fontId="92" fillId="72" borderId="13" xfId="131" applyNumberFormat="1" applyFont="1" applyFill="1" applyBorder="1" applyAlignment="1" applyProtection="1">
      <alignment horizontal="center" vertical="center"/>
      <protection locked="0"/>
    </xf>
    <xf numFmtId="193" fontId="92" fillId="72" borderId="12" xfId="131" applyNumberFormat="1" applyFont="1" applyFill="1" applyBorder="1" applyAlignment="1" applyProtection="1">
      <alignment horizontal="center" vertical="center"/>
      <protection locked="0"/>
    </xf>
    <xf numFmtId="193" fontId="92" fillId="72" borderId="50" xfId="131" applyNumberFormat="1" applyFont="1" applyFill="1" applyBorder="1" applyAlignment="1" applyProtection="1">
      <alignment horizontal="center" vertical="center"/>
      <protection locked="0"/>
    </xf>
    <xf numFmtId="0" fontId="110" fillId="0" borderId="108" xfId="130" applyFont="1" applyFill="1" applyBorder="1" applyAlignment="1" applyProtection="1">
      <alignment vertical="center" wrapText="1"/>
      <protection locked="0"/>
    </xf>
    <xf numFmtId="10" fontId="92" fillId="71" borderId="0" xfId="132" applyNumberFormat="1" applyFont="1" applyFill="1" applyBorder="1" applyAlignment="1" applyProtection="1">
      <alignment horizontal="center" vertical="center"/>
      <protection locked="0"/>
    </xf>
    <xf numFmtId="193" fontId="92" fillId="0" borderId="0" xfId="131" applyNumberFormat="1" applyFont="1" applyFill="1" applyBorder="1" applyAlignment="1" applyProtection="1">
      <alignment horizontal="center" vertical="center"/>
      <protection locked="0"/>
    </xf>
    <xf numFmtId="193" fontId="124" fillId="0" borderId="0" xfId="131" applyNumberFormat="1" applyFont="1" applyFill="1" applyBorder="1" applyAlignment="1" applyProtection="1">
      <alignment horizontal="center" vertical="center"/>
      <protection locked="0"/>
    </xf>
    <xf numFmtId="193" fontId="92" fillId="0" borderId="18" xfId="131" applyNumberFormat="1" applyFont="1" applyFill="1" applyBorder="1" applyAlignment="1" applyProtection="1">
      <alignment horizontal="center" vertical="center"/>
      <protection locked="0"/>
    </xf>
    <xf numFmtId="193" fontId="92" fillId="0" borderId="29" xfId="131" applyNumberFormat="1" applyFont="1" applyFill="1" applyBorder="1" applyAlignment="1" applyProtection="1">
      <alignment horizontal="center" vertical="center"/>
      <protection locked="0"/>
    </xf>
    <xf numFmtId="169" fontId="92" fillId="0" borderId="30" xfId="131" applyFont="1" applyFill="1" applyBorder="1" applyAlignment="1" applyProtection="1">
      <alignment horizontal="center" vertical="center"/>
      <protection locked="0"/>
    </xf>
    <xf numFmtId="169" fontId="123" fillId="77" borderId="35" xfId="131" applyFont="1" applyFill="1" applyBorder="1" applyAlignment="1" applyProtection="1">
      <alignment horizontal="center" vertical="center"/>
      <protection locked="0"/>
    </xf>
    <xf numFmtId="169" fontId="92" fillId="0" borderId="0" xfId="131" applyNumberFormat="1" applyFont="1" applyFill="1" applyBorder="1" applyAlignment="1" applyProtection="1">
      <alignment horizontal="center" vertical="center"/>
      <protection locked="0"/>
    </xf>
    <xf numFmtId="0" fontId="11" fillId="0" borderId="0" xfId="46" applyFont="1" applyAlignment="1" applyProtection="1">
      <alignment horizontal="left" vertical="center" wrapText="1"/>
      <protection locked="0"/>
    </xf>
    <xf numFmtId="0" fontId="11" fillId="0" borderId="0" xfId="46" applyFont="1" applyAlignment="1" applyProtection="1">
      <alignment horizontal="left" vertical="top" wrapText="1"/>
      <protection locked="0"/>
    </xf>
    <xf numFmtId="0" fontId="18" fillId="0" borderId="0" xfId="46" applyFont="1" applyAlignment="1" applyProtection="1">
      <alignment horizontal="center"/>
      <protection locked="0"/>
    </xf>
    <xf numFmtId="0" fontId="11" fillId="0" borderId="0" xfId="46" applyAlignment="1" applyProtection="1">
      <alignment horizontal="left" wrapText="1"/>
      <protection locked="0"/>
    </xf>
    <xf numFmtId="0" fontId="11" fillId="0" borderId="0" xfId="46" applyFont="1" applyAlignment="1" applyProtection="1">
      <alignment horizontal="left" wrapText="1"/>
      <protection locked="0"/>
    </xf>
    <xf numFmtId="0" fontId="18" fillId="0" borderId="0" xfId="46" applyFont="1" applyAlignment="1" applyProtection="1">
      <alignment horizontal="center" vertical="top"/>
      <protection locked="0"/>
    </xf>
    <xf numFmtId="0" fontId="11" fillId="0" borderId="0" xfId="46" applyFont="1" applyAlignment="1" applyProtection="1">
      <alignment vertical="top" wrapText="1"/>
      <protection locked="0"/>
    </xf>
    <xf numFmtId="0" fontId="14" fillId="0" borderId="74" xfId="46" applyFont="1" applyBorder="1" applyAlignment="1" applyProtection="1">
      <alignment horizontal="center" vertical="center" wrapText="1"/>
      <protection locked="0"/>
    </xf>
    <xf numFmtId="0" fontId="11" fillId="0" borderId="0" xfId="46" applyFont="1" applyAlignment="1" applyProtection="1">
      <alignment wrapText="1"/>
      <protection locked="0"/>
    </xf>
    <xf numFmtId="0" fontId="50" fillId="0" borderId="0" xfId="47" applyFont="1" applyAlignment="1" applyProtection="1">
      <alignment horizontal="left" vertical="center" wrapText="1"/>
      <protection locked="0"/>
    </xf>
    <xf numFmtId="0" fontId="50" fillId="0" borderId="33" xfId="47" applyFont="1" applyBorder="1" applyAlignment="1" applyProtection="1">
      <alignment horizontal="center"/>
      <protection locked="0"/>
    </xf>
    <xf numFmtId="0" fontId="11" fillId="0" borderId="0" xfId="46" applyAlignment="1" applyProtection="1">
      <alignment horizontal="center"/>
      <protection locked="0"/>
    </xf>
    <xf numFmtId="0" fontId="11" fillId="0" borderId="0" xfId="46" applyAlignment="1" applyProtection="1">
      <protection locked="0"/>
    </xf>
    <xf numFmtId="0" fontId="14" fillId="0" borderId="69" xfId="46" applyFont="1" applyFill="1" applyBorder="1" applyAlignment="1" applyProtection="1">
      <alignment horizontal="center"/>
      <protection locked="0"/>
    </xf>
    <xf numFmtId="174" fontId="11" fillId="0" borderId="0" xfId="46" applyNumberFormat="1" applyFont="1" applyFill="1" applyProtection="1">
      <protection locked="0"/>
    </xf>
    <xf numFmtId="0" fontId="16" fillId="0" borderId="0" xfId="46" applyFont="1" applyAlignment="1" applyProtection="1">
      <alignment horizontal="left"/>
      <protection locked="0"/>
    </xf>
    <xf numFmtId="0" fontId="99" fillId="79" borderId="10" xfId="133" applyNumberFormat="1" applyFont="1" applyFill="1" applyBorder="1" applyAlignment="1" applyProtection="1">
      <alignment horizontal="center" vertical="center"/>
      <protection locked="0"/>
    </xf>
    <xf numFmtId="0" fontId="11" fillId="79" borderId="10" xfId="46" applyFont="1" applyFill="1" applyBorder="1" applyAlignment="1" applyProtection="1">
      <alignment horizontal="center" vertical="center"/>
      <protection locked="0"/>
    </xf>
    <xf numFmtId="0" fontId="14" fillId="25" borderId="75" xfId="46" applyFont="1" applyFill="1" applyBorder="1" applyAlignment="1" applyProtection="1">
      <alignment horizontal="center" vertical="center" wrapText="1"/>
      <protection locked="0"/>
    </xf>
    <xf numFmtId="180" fontId="14" fillId="25" borderId="19" xfId="46" applyNumberFormat="1" applyFont="1" applyFill="1" applyBorder="1" applyAlignment="1" applyProtection="1">
      <alignment horizontal="center" vertical="center" wrapText="1"/>
      <protection locked="0"/>
    </xf>
    <xf numFmtId="0" fontId="14" fillId="25" borderId="63" xfId="46" applyFont="1" applyFill="1" applyBorder="1" applyAlignment="1" applyProtection="1">
      <alignment horizontal="center" vertical="center" wrapText="1"/>
      <protection locked="0"/>
    </xf>
    <xf numFmtId="0" fontId="14" fillId="25" borderId="91" xfId="46" applyFont="1" applyFill="1" applyBorder="1" applyAlignment="1" applyProtection="1">
      <alignment horizontal="center" vertical="center" wrapText="1"/>
      <protection locked="0"/>
    </xf>
    <xf numFmtId="0" fontId="14" fillId="25" borderId="19" xfId="46" applyFont="1" applyFill="1" applyBorder="1" applyAlignment="1" applyProtection="1">
      <alignment horizontal="center" vertical="center" wrapText="1"/>
      <protection locked="0"/>
    </xf>
    <xf numFmtId="0" fontId="14" fillId="25" borderId="76" xfId="46" applyFont="1" applyFill="1" applyBorder="1" applyAlignment="1" applyProtection="1">
      <alignment horizontal="center" vertical="center" wrapText="1"/>
      <protection locked="0"/>
    </xf>
    <xf numFmtId="0" fontId="14" fillId="25" borderId="151" xfId="46" applyFont="1" applyFill="1" applyBorder="1" applyAlignment="1" applyProtection="1">
      <alignment horizontal="center" vertical="center" wrapText="1"/>
      <protection locked="0"/>
    </xf>
    <xf numFmtId="0" fontId="14" fillId="25" borderId="61" xfId="46" applyFont="1" applyFill="1" applyBorder="1" applyAlignment="1" applyProtection="1">
      <alignment horizontal="center" vertical="center" wrapText="1"/>
      <protection locked="0"/>
    </xf>
    <xf numFmtId="0" fontId="14" fillId="25" borderId="38" xfId="46" quotePrefix="1" applyFont="1" applyFill="1" applyBorder="1" applyAlignment="1" applyProtection="1">
      <alignment horizontal="center"/>
      <protection locked="0"/>
    </xf>
    <xf numFmtId="0" fontId="14" fillId="25" borderId="41" xfId="46" quotePrefix="1" applyFont="1" applyFill="1" applyBorder="1" applyAlignment="1" applyProtection="1">
      <alignment horizontal="center"/>
      <protection locked="0"/>
    </xf>
    <xf numFmtId="0" fontId="14" fillId="25" borderId="38" xfId="46" applyFont="1" applyFill="1" applyBorder="1" applyAlignment="1" applyProtection="1">
      <alignment horizontal="center" wrapText="1"/>
      <protection locked="0"/>
    </xf>
    <xf numFmtId="0" fontId="14" fillId="25" borderId="77" xfId="46" quotePrefix="1" applyFont="1" applyFill="1" applyBorder="1" applyAlignment="1" applyProtection="1">
      <alignment horizontal="center"/>
      <protection locked="0"/>
    </xf>
    <xf numFmtId="0" fontId="14" fillId="25" borderId="27" xfId="46" applyFont="1" applyFill="1" applyBorder="1" applyAlignment="1" applyProtection="1">
      <alignment horizontal="center"/>
      <protection locked="0"/>
    </xf>
    <xf numFmtId="0" fontId="14" fillId="25" borderId="10" xfId="46" quotePrefix="1" applyFont="1" applyFill="1" applyBorder="1" applyAlignment="1" applyProtection="1">
      <alignment horizontal="center"/>
      <protection locked="0"/>
    </xf>
    <xf numFmtId="0" fontId="14" fillId="25" borderId="25" xfId="46" applyFont="1" applyFill="1" applyBorder="1" applyAlignment="1" applyProtection="1">
      <alignment horizontal="center"/>
      <protection locked="0"/>
    </xf>
    <xf numFmtId="0" fontId="14" fillId="25" borderId="31" xfId="46" applyFont="1" applyFill="1" applyBorder="1" applyAlignment="1" applyProtection="1">
      <alignment horizontal="center"/>
      <protection locked="0"/>
    </xf>
    <xf numFmtId="0" fontId="11" fillId="0" borderId="19" xfId="46" applyFont="1" applyBorder="1" applyAlignment="1" applyProtection="1">
      <alignment horizontal="center" vertical="center"/>
      <protection locked="0"/>
    </xf>
    <xf numFmtId="0" fontId="11" fillId="0" borderId="76" xfId="46" applyFont="1" applyBorder="1" applyAlignment="1" applyProtection="1">
      <alignment vertical="center" wrapText="1"/>
      <protection locked="0"/>
    </xf>
    <xf numFmtId="171" fontId="99" fillId="29" borderId="27" xfId="134" applyNumberFormat="1" applyFont="1" applyFill="1" applyBorder="1" applyProtection="1">
      <protection locked="0"/>
    </xf>
    <xf numFmtId="171" fontId="99" fillId="29" borderId="10" xfId="134" applyNumberFormat="1" applyFont="1" applyFill="1" applyBorder="1" applyProtection="1">
      <protection locked="0"/>
    </xf>
    <xf numFmtId="171" fontId="99" fillId="29" borderId="126" xfId="134" applyNumberFormat="1" applyFont="1" applyFill="1" applyBorder="1" applyProtection="1">
      <protection locked="0"/>
    </xf>
    <xf numFmtId="169" fontId="99" fillId="29" borderId="10" xfId="135" applyFont="1" applyFill="1" applyBorder="1" applyProtection="1">
      <protection locked="0"/>
    </xf>
    <xf numFmtId="171" fontId="99" fillId="29" borderId="33" xfId="134" applyNumberFormat="1" applyFont="1" applyFill="1" applyBorder="1" applyProtection="1">
      <protection locked="0"/>
    </xf>
    <xf numFmtId="0" fontId="11" fillId="0" borderId="74" xfId="46" applyFont="1" applyBorder="1" applyAlignment="1" applyProtection="1">
      <alignment vertical="center" wrapText="1"/>
      <protection locked="0"/>
    </xf>
    <xf numFmtId="0" fontId="11" fillId="0" borderId="74" xfId="46" applyFont="1" applyFill="1" applyBorder="1" applyAlignment="1" applyProtection="1">
      <alignment vertical="center" wrapText="1"/>
      <protection locked="0"/>
    </xf>
    <xf numFmtId="0" fontId="11" fillId="0" borderId="74" xfId="46" applyFont="1" applyFill="1" applyBorder="1" applyAlignment="1" applyProtection="1">
      <alignment vertical="center"/>
      <protection locked="0"/>
    </xf>
    <xf numFmtId="0" fontId="14" fillId="0" borderId="77" xfId="46" applyFont="1" applyBorder="1" applyProtection="1">
      <protection locked="0"/>
    </xf>
    <xf numFmtId="169" fontId="99" fillId="0" borderId="0" xfId="135" applyFont="1" applyBorder="1" applyProtection="1">
      <protection locked="0"/>
    </xf>
    <xf numFmtId="10" fontId="99" fillId="0" borderId="0" xfId="136" applyNumberFormat="1" applyFont="1" applyBorder="1" applyProtection="1">
      <protection locked="0"/>
    </xf>
    <xf numFmtId="0" fontId="11" fillId="0" borderId="0" xfId="46" applyFont="1" applyAlignment="1" applyProtection="1">
      <alignment vertical="top"/>
      <protection locked="0"/>
    </xf>
    <xf numFmtId="0" fontId="18" fillId="0" borderId="0" xfId="46" applyFont="1" applyBorder="1" applyAlignment="1" applyProtection="1">
      <alignment horizontal="center" vertical="center" wrapText="1"/>
      <protection locked="0"/>
    </xf>
    <xf numFmtId="0" fontId="18" fillId="0" borderId="0" xfId="46" applyFont="1" applyAlignment="1" applyProtection="1">
      <alignment vertical="center" wrapText="1"/>
      <protection locked="0"/>
    </xf>
    <xf numFmtId="0" fontId="18" fillId="0" borderId="0" xfId="46" applyFont="1" applyAlignment="1" applyProtection="1">
      <alignment vertical="top"/>
      <protection locked="0"/>
    </xf>
    <xf numFmtId="0" fontId="11" fillId="63" borderId="10" xfId="46" applyFill="1" applyBorder="1" applyProtection="1">
      <protection locked="0"/>
    </xf>
    <xf numFmtId="0" fontId="14" fillId="69" borderId="10" xfId="46" applyFont="1" applyFill="1" applyBorder="1" applyProtection="1">
      <protection locked="0"/>
    </xf>
    <xf numFmtId="0" fontId="14" fillId="63" borderId="17" xfId="46" applyFont="1" applyFill="1" applyBorder="1" applyAlignment="1" applyProtection="1">
      <alignment horizontal="center" vertical="center"/>
      <protection locked="0"/>
    </xf>
    <xf numFmtId="0" fontId="14" fillId="63" borderId="105" xfId="46" applyFont="1" applyFill="1" applyBorder="1" applyAlignment="1" applyProtection="1">
      <alignment horizontal="center" vertical="center"/>
      <protection locked="0"/>
    </xf>
    <xf numFmtId="0" fontId="11" fillId="69" borderId="10" xfId="46" applyFill="1" applyBorder="1" applyAlignment="1" applyProtection="1">
      <alignment horizontal="center" vertical="center"/>
      <protection locked="0"/>
    </xf>
    <xf numFmtId="0" fontId="83" fillId="63" borderId="17" xfId="46" applyFont="1" applyFill="1" applyBorder="1" applyAlignment="1" applyProtection="1">
      <alignment horizontal="center" vertical="center" wrapText="1"/>
      <protection locked="0"/>
    </xf>
    <xf numFmtId="0" fontId="83" fillId="63" borderId="148" xfId="46" applyFont="1" applyFill="1" applyBorder="1" applyAlignment="1" applyProtection="1">
      <alignment horizontal="center" vertical="center" wrapText="1"/>
      <protection locked="0"/>
    </xf>
    <xf numFmtId="0" fontId="83" fillId="63" borderId="150" xfId="46" applyFont="1" applyFill="1" applyBorder="1" applyAlignment="1" applyProtection="1">
      <alignment horizontal="center" vertical="center" wrapText="1"/>
      <protection locked="0"/>
    </xf>
    <xf numFmtId="0" fontId="83" fillId="63" borderId="10" xfId="46" applyFont="1" applyFill="1" applyBorder="1" applyAlignment="1" applyProtection="1">
      <alignment horizontal="center" vertical="center" wrapText="1"/>
      <protection locked="0"/>
    </xf>
    <xf numFmtId="0" fontId="11" fillId="0" borderId="24" xfId="46" applyBorder="1" applyAlignment="1" applyProtection="1">
      <alignment horizontal="center" vertical="center"/>
      <protection locked="0"/>
    </xf>
    <xf numFmtId="0" fontId="11" fillId="0" borderId="61" xfId="46" applyBorder="1" applyAlignment="1" applyProtection="1">
      <alignment horizontal="center" vertical="center"/>
      <protection locked="0"/>
    </xf>
    <xf numFmtId="0" fontId="11" fillId="69" borderId="33" xfId="46" applyFill="1" applyBorder="1" applyAlignment="1" applyProtection="1">
      <alignment horizontal="center" vertical="center"/>
      <protection locked="0"/>
    </xf>
    <xf numFmtId="0" fontId="11" fillId="0" borderId="10" xfId="46" applyFont="1" applyBorder="1" applyAlignment="1" applyProtection="1">
      <alignment horizontal="left"/>
      <protection locked="0"/>
    </xf>
    <xf numFmtId="0" fontId="11" fillId="0" borderId="25" xfId="46" applyBorder="1" applyAlignment="1" applyProtection="1">
      <alignment horizontal="center" vertical="center"/>
      <protection locked="0"/>
    </xf>
    <xf numFmtId="0" fontId="11" fillId="0" borderId="17" xfId="46" applyBorder="1" applyAlignment="1" applyProtection="1">
      <alignment horizontal="center" vertical="center"/>
      <protection locked="0"/>
    </xf>
    <xf numFmtId="0" fontId="11" fillId="0" borderId="67" xfId="46" applyBorder="1" applyAlignment="1" applyProtection="1">
      <alignment horizontal="center" vertical="center"/>
      <protection locked="0"/>
    </xf>
    <xf numFmtId="0" fontId="78" fillId="69" borderId="33" xfId="46" applyFont="1" applyFill="1" applyBorder="1" applyAlignment="1" applyProtection="1">
      <alignment horizontal="center" vertical="center"/>
      <protection locked="0"/>
    </xf>
    <xf numFmtId="0" fontId="11" fillId="69" borderId="33" xfId="46" applyFill="1" applyBorder="1" applyProtection="1">
      <protection locked="0"/>
    </xf>
    <xf numFmtId="0" fontId="11" fillId="0" borderId="26" xfId="46" applyBorder="1" applyAlignment="1" applyProtection="1">
      <alignment horizontal="center" vertical="center"/>
      <protection locked="0"/>
    </xf>
    <xf numFmtId="0" fontId="11" fillId="0" borderId="62" xfId="46" applyBorder="1" applyAlignment="1" applyProtection="1">
      <alignment horizontal="center" vertical="center"/>
      <protection locked="0"/>
    </xf>
    <xf numFmtId="0" fontId="11" fillId="0" borderId="26" xfId="46" applyFill="1" applyBorder="1" applyAlignment="1" applyProtection="1">
      <alignment horizontal="center" vertical="center"/>
      <protection locked="0"/>
    </xf>
    <xf numFmtId="0" fontId="14" fillId="0" borderId="20" xfId="46" applyFont="1" applyBorder="1" applyAlignment="1" applyProtection="1">
      <alignment horizontal="center" vertical="center"/>
      <protection locked="0"/>
    </xf>
    <xf numFmtId="0" fontId="11" fillId="0" borderId="21" xfId="46" applyBorder="1" applyAlignment="1" applyProtection="1">
      <alignment horizontal="center" vertical="center"/>
      <protection locked="0"/>
    </xf>
    <xf numFmtId="0" fontId="11" fillId="0" borderId="21" xfId="46" applyFill="1" applyBorder="1" applyAlignment="1" applyProtection="1">
      <alignment horizontal="center" vertical="center"/>
      <protection locked="0"/>
    </xf>
    <xf numFmtId="0" fontId="11" fillId="0" borderId="65" xfId="46" applyBorder="1" applyAlignment="1" applyProtection="1">
      <alignment horizontal="center" vertical="center"/>
      <protection locked="0"/>
    </xf>
    <xf numFmtId="0" fontId="14" fillId="63" borderId="10" xfId="46" applyFont="1" applyFill="1" applyBorder="1" applyAlignment="1" applyProtection="1">
      <alignment horizontal="center" vertical="center"/>
      <protection locked="0"/>
    </xf>
    <xf numFmtId="0" fontId="83" fillId="63" borderId="149" xfId="46" applyFont="1" applyFill="1" applyBorder="1" applyAlignment="1" applyProtection="1">
      <alignment horizontal="center" vertical="center" wrapText="1"/>
      <protection locked="0"/>
    </xf>
    <xf numFmtId="1" fontId="11" fillId="0" borderId="10" xfId="46" applyNumberFormat="1" applyBorder="1" applyAlignment="1" applyProtection="1">
      <alignment vertical="center"/>
      <protection locked="0"/>
    </xf>
    <xf numFmtId="0" fontId="78" fillId="0" borderId="0" xfId="46" applyFont="1" applyBorder="1" applyAlignment="1" applyProtection="1">
      <alignment horizontal="center" vertical="center"/>
      <protection locked="0"/>
    </xf>
    <xf numFmtId="0" fontId="12" fillId="0" borderId="0" xfId="36" applyAlignment="1" applyProtection="1">
      <protection locked="0"/>
    </xf>
    <xf numFmtId="0" fontId="11" fillId="0" borderId="0" xfId="46" applyAlignment="1" applyProtection="1">
      <alignment vertical="top" wrapText="1"/>
      <protection locked="0"/>
    </xf>
    <xf numFmtId="0" fontId="14" fillId="0" borderId="46" xfId="46" applyFont="1" applyBorder="1" applyAlignment="1" applyProtection="1">
      <alignment vertical="top"/>
      <protection locked="0"/>
    </xf>
    <xf numFmtId="0" fontId="14" fillId="0" borderId="0" xfId="46" applyFont="1" applyBorder="1" applyAlignment="1" applyProtection="1">
      <alignment vertical="top"/>
      <protection locked="0"/>
    </xf>
    <xf numFmtId="171" fontId="11" fillId="0" borderId="0" xfId="29" applyNumberFormat="1" applyBorder="1" applyProtection="1">
      <protection locked="0"/>
    </xf>
    <xf numFmtId="171" fontId="11" fillId="0" borderId="0" xfId="29" applyNumberFormat="1" applyFill="1" applyBorder="1" applyProtection="1">
      <protection locked="0"/>
    </xf>
    <xf numFmtId="171" fontId="11" fillId="0" borderId="0" xfId="29" applyNumberFormat="1" applyFill="1" applyBorder="1" applyAlignment="1" applyProtection="1">
      <protection locked="0"/>
    </xf>
    <xf numFmtId="0" fontId="14" fillId="0" borderId="0" xfId="46" applyFont="1" applyFill="1" applyBorder="1" applyAlignment="1" applyProtection="1">
      <alignment vertical="top"/>
      <protection locked="0"/>
    </xf>
    <xf numFmtId="0" fontId="14" fillId="0" borderId="70" xfId="46" applyFont="1" applyFill="1" applyBorder="1" applyAlignment="1" applyProtection="1">
      <alignment horizontal="center"/>
      <protection locked="0"/>
    </xf>
    <xf numFmtId="0" fontId="14" fillId="0" borderId="91" xfId="46" applyFont="1" applyFill="1" applyBorder="1" applyAlignment="1" applyProtection="1">
      <alignment horizontal="center"/>
      <protection locked="0"/>
    </xf>
    <xf numFmtId="0" fontId="11" fillId="0" borderId="40" xfId="46" applyBorder="1" applyAlignment="1" applyProtection="1">
      <alignment horizontal="left" wrapText="1"/>
      <protection locked="0"/>
    </xf>
    <xf numFmtId="0" fontId="11" fillId="0" borderId="126" xfId="46" applyBorder="1" applyAlignment="1" applyProtection="1">
      <alignment horizontal="left" wrapText="1"/>
      <protection locked="0"/>
    </xf>
    <xf numFmtId="0" fontId="11" fillId="0" borderId="103" xfId="46" applyBorder="1" applyAlignment="1" applyProtection="1">
      <alignment horizontal="left" wrapText="1"/>
      <protection locked="0"/>
    </xf>
    <xf numFmtId="0" fontId="11" fillId="0" borderId="103" xfId="46" applyFill="1" applyBorder="1" applyAlignment="1" applyProtection="1">
      <alignment horizontal="left" wrapText="1"/>
      <protection locked="0"/>
    </xf>
    <xf numFmtId="0" fontId="14" fillId="0" borderId="41" xfId="46" applyFont="1" applyBorder="1" applyAlignment="1" applyProtection="1">
      <alignment vertical="top"/>
      <protection locked="0"/>
    </xf>
    <xf numFmtId="171" fontId="11" fillId="0" borderId="60" xfId="29" applyNumberFormat="1" applyBorder="1" applyProtection="1">
      <protection locked="0"/>
    </xf>
    <xf numFmtId="171" fontId="11" fillId="66" borderId="104" xfId="29" applyNumberFormat="1" applyFill="1" applyBorder="1" applyProtection="1">
      <protection locked="0"/>
    </xf>
    <xf numFmtId="171" fontId="11" fillId="66" borderId="41" xfId="29" applyNumberFormat="1" applyFill="1" applyBorder="1" applyProtection="1">
      <protection locked="0"/>
    </xf>
    <xf numFmtId="0" fontId="14" fillId="0" borderId="44" xfId="46" applyFont="1" applyBorder="1" applyAlignment="1" applyProtection="1">
      <alignment vertical="top"/>
      <protection locked="0"/>
    </xf>
    <xf numFmtId="9" fontId="11" fillId="0" borderId="20" xfId="42" applyBorder="1" applyAlignment="1" applyProtection="1">
      <alignment horizontal="right"/>
      <protection locked="0"/>
    </xf>
    <xf numFmtId="171" fontId="11" fillId="0" borderId="44" xfId="29" applyNumberFormat="1" applyBorder="1" applyProtection="1">
      <protection locked="0"/>
    </xf>
    <xf numFmtId="3" fontId="50" fillId="0" borderId="10" xfId="47" applyNumberFormat="1" applyFont="1" applyFill="1" applyBorder="1" applyAlignment="1" applyProtection="1">
      <protection locked="0"/>
    </xf>
    <xf numFmtId="0" fontId="50" fillId="0" borderId="0" xfId="47" applyFont="1" applyAlignment="1" applyProtection="1">
      <alignment wrapText="1"/>
      <protection locked="0"/>
    </xf>
    <xf numFmtId="0" fontId="50" fillId="0" borderId="0" xfId="47" applyFont="1" applyAlignment="1" applyProtection="1">
      <alignment vertical="center"/>
      <protection locked="0"/>
    </xf>
    <xf numFmtId="0" fontId="50" fillId="0" borderId="0" xfId="47" applyFont="1" applyAlignment="1" applyProtection="1">
      <alignment vertical="center" wrapText="1"/>
      <protection locked="0"/>
    </xf>
    <xf numFmtId="0" fontId="11" fillId="0" borderId="70" xfId="46" applyBorder="1" applyProtection="1">
      <protection locked="0"/>
    </xf>
    <xf numFmtId="0" fontId="14" fillId="64" borderId="66" xfId="46" applyFont="1" applyFill="1" applyBorder="1" applyAlignment="1" applyProtection="1">
      <alignment vertical="center"/>
      <protection locked="0"/>
    </xf>
    <xf numFmtId="0" fontId="14" fillId="64" borderId="35" xfId="46" applyFont="1" applyFill="1" applyBorder="1" applyAlignment="1" applyProtection="1">
      <alignment horizontal="center" wrapText="1"/>
      <protection locked="0"/>
    </xf>
    <xf numFmtId="0" fontId="14" fillId="64" borderId="30" xfId="46" applyFont="1" applyFill="1" applyBorder="1" applyAlignment="1" applyProtection="1">
      <alignment horizontal="center" wrapText="1"/>
      <protection locked="0"/>
    </xf>
    <xf numFmtId="0" fontId="14" fillId="64" borderId="34" xfId="46" applyFont="1" applyFill="1" applyBorder="1" applyAlignment="1" applyProtection="1">
      <alignment horizontal="center" wrapText="1"/>
      <protection locked="0"/>
    </xf>
    <xf numFmtId="0" fontId="11" fillId="0" borderId="109" xfId="46" applyBorder="1" applyProtection="1">
      <protection locked="0"/>
    </xf>
    <xf numFmtId="171" fontId="11" fillId="29" borderId="19" xfId="29" applyNumberFormat="1" applyFill="1" applyBorder="1" applyProtection="1">
      <protection locked="0"/>
    </xf>
    <xf numFmtId="171" fontId="11" fillId="29" borderId="16" xfId="29" applyNumberFormat="1" applyFill="1" applyBorder="1" applyProtection="1">
      <protection locked="0"/>
    </xf>
    <xf numFmtId="171" fontId="11" fillId="0" borderId="50" xfId="29" applyNumberFormat="1" applyFill="1" applyBorder="1" applyProtection="1">
      <protection locked="0"/>
    </xf>
    <xf numFmtId="171" fontId="11" fillId="29" borderId="33" xfId="29" applyNumberFormat="1" applyFill="1" applyBorder="1" applyProtection="1">
      <protection locked="0"/>
    </xf>
    <xf numFmtId="0" fontId="11" fillId="0" borderId="77" xfId="46" applyBorder="1" applyProtection="1">
      <protection locked="0"/>
    </xf>
    <xf numFmtId="171" fontId="11" fillId="0" borderId="41" xfId="29" applyNumberFormat="1" applyBorder="1" applyProtection="1">
      <protection locked="0"/>
    </xf>
    <xf numFmtId="167" fontId="11" fillId="29" borderId="22" xfId="0" applyNumberFormat="1" applyFont="1" applyFill="1" applyBorder="1" applyAlignment="1" applyProtection="1">
      <alignment horizontal="center" vertical="center" wrapText="1"/>
      <protection locked="0"/>
    </xf>
    <xf numFmtId="0" fontId="0" fillId="29" borderId="85" xfId="0" applyFill="1" applyBorder="1" applyAlignment="1" applyProtection="1">
      <alignment horizontal="left"/>
      <protection locked="0"/>
    </xf>
    <xf numFmtId="0" fontId="0" fillId="29" borderId="17" xfId="0" applyFill="1" applyBorder="1" applyAlignment="1" applyProtection="1">
      <alignment vertical="top"/>
      <protection locked="0"/>
    </xf>
    <xf numFmtId="0" fontId="11" fillId="29" borderId="17" xfId="0" applyFont="1" applyFill="1" applyBorder="1" applyAlignment="1" applyProtection="1">
      <alignment vertical="top"/>
      <protection locked="0"/>
    </xf>
    <xf numFmtId="171" fontId="56" fillId="62" borderId="24" xfId="29" applyNumberFormat="1" applyFont="1" applyFill="1" applyBorder="1" applyAlignment="1" applyProtection="1">
      <alignment vertical="center" wrapText="1"/>
      <protection locked="0"/>
    </xf>
    <xf numFmtId="171" fontId="56" fillId="62" borderId="10" xfId="29" applyNumberFormat="1" applyFont="1" applyFill="1" applyBorder="1" applyAlignment="1" applyProtection="1">
      <alignment vertical="center" wrapText="1"/>
      <protection locked="0"/>
    </xf>
    <xf numFmtId="194" fontId="131" fillId="0" borderId="173" xfId="138" applyFont="1" applyFill="1" applyBorder="1" applyAlignment="1" applyProtection="1">
      <alignment horizontal="center" vertical="center" wrapText="1"/>
    </xf>
    <xf numFmtId="37" fontId="131" fillId="0" borderId="173" xfId="138" applyNumberFormat="1" applyFont="1" applyFill="1" applyBorder="1" applyAlignment="1" applyProtection="1">
      <alignment horizontal="center" vertical="center"/>
    </xf>
    <xf numFmtId="195" fontId="131" fillId="0" borderId="173" xfId="138" applyNumberFormat="1" applyFont="1" applyFill="1" applyBorder="1" applyAlignment="1" applyProtection="1">
      <alignment horizontal="center" vertical="center" wrapText="1"/>
    </xf>
    <xf numFmtId="196" fontId="136" fillId="0" borderId="173" xfId="138" applyNumberFormat="1" applyFont="1" applyFill="1" applyBorder="1" applyAlignment="1" applyProtection="1">
      <alignment horizontal="right" vertical="center"/>
    </xf>
    <xf numFmtId="196" fontId="11" fillId="83" borderId="173" xfId="138" applyNumberFormat="1" applyFont="1" applyFill="1" applyBorder="1" applyAlignment="1" applyProtection="1">
      <alignment horizontal="right" vertical="center"/>
    </xf>
    <xf numFmtId="37" fontId="136" fillId="0" borderId="173" xfId="138" applyNumberFormat="1" applyFont="1" applyFill="1" applyBorder="1" applyAlignment="1" applyProtection="1">
      <alignment horizontal="right" vertical="center"/>
    </xf>
    <xf numFmtId="37" fontId="131" fillId="0" borderId="173" xfId="138" applyNumberFormat="1" applyFont="1" applyFill="1" applyBorder="1" applyAlignment="1" applyProtection="1">
      <alignment horizontal="right" vertical="center"/>
    </xf>
    <xf numFmtId="37" fontId="14" fillId="64" borderId="173" xfId="138" applyNumberFormat="1" applyFont="1" applyFill="1" applyBorder="1" applyAlignment="1" applyProtection="1">
      <alignment horizontal="right" vertical="center"/>
    </xf>
    <xf numFmtId="199" fontId="136" fillId="0" borderId="173" xfId="138" applyNumberFormat="1" applyFont="1" applyFill="1" applyBorder="1" applyAlignment="1" applyProtection="1">
      <alignment horizontal="right" vertical="center"/>
    </xf>
    <xf numFmtId="0" fontId="130" fillId="0" borderId="0" xfId="0" applyFont="1" applyAlignment="1" applyProtection="1">
      <alignment horizontal="left" vertical="center"/>
    </xf>
    <xf numFmtId="194" fontId="131" fillId="0" borderId="174" xfId="138" applyFont="1" applyFill="1" applyBorder="1" applyAlignment="1" applyProtection="1">
      <alignment horizontal="center" vertical="center" wrapText="1"/>
    </xf>
    <xf numFmtId="194" fontId="14" fillId="0" borderId="179" xfId="138" applyFont="1" applyFill="1" applyBorder="1" applyAlignment="1" applyProtection="1">
      <alignment horizontal="center" vertical="center" wrapText="1"/>
    </xf>
    <xf numFmtId="37" fontId="131" fillId="0" borderId="180" xfId="138" applyNumberFormat="1" applyFont="1" applyFill="1" applyBorder="1" applyAlignment="1" applyProtection="1">
      <alignment horizontal="center" vertical="center"/>
    </xf>
    <xf numFmtId="37" fontId="131" fillId="0" borderId="174" xfId="138" applyNumberFormat="1" applyFont="1" applyFill="1" applyBorder="1" applyAlignment="1" applyProtection="1">
      <alignment horizontal="center" vertical="center"/>
    </xf>
    <xf numFmtId="0" fontId="131" fillId="82" borderId="174" xfId="0" applyFont="1" applyFill="1" applyBorder="1" applyAlignment="1" applyProtection="1">
      <alignment vertical="center"/>
    </xf>
    <xf numFmtId="0" fontId="136" fillId="0" borderId="173" xfId="0" applyFont="1" applyFill="1" applyBorder="1" applyAlignment="1" applyProtection="1">
      <alignment vertical="center"/>
    </xf>
    <xf numFmtId="0" fontId="131" fillId="0" borderId="173" xfId="0" applyFont="1" applyFill="1" applyBorder="1" applyAlignment="1" applyProtection="1">
      <alignment horizontal="left" vertical="center" indent="1"/>
    </xf>
    <xf numFmtId="10" fontId="137" fillId="0" borderId="171" xfId="139" applyNumberFormat="1" applyFont="1" applyFill="1" applyBorder="1" applyAlignment="1" applyProtection="1">
      <alignment horizontal="right"/>
    </xf>
    <xf numFmtId="10" fontId="137" fillId="0" borderId="30" xfId="139" applyNumberFormat="1" applyFont="1" applyFill="1" applyBorder="1" applyAlignment="1" applyProtection="1">
      <alignment horizontal="right"/>
    </xf>
    <xf numFmtId="10" fontId="137" fillId="0" borderId="0" xfId="139" applyNumberFormat="1" applyFont="1" applyFill="1" applyBorder="1" applyAlignment="1" applyProtection="1">
      <alignment horizontal="right"/>
    </xf>
    <xf numFmtId="197" fontId="136" fillId="0" borderId="10" xfId="0" applyNumberFormat="1" applyFont="1" applyFill="1" applyBorder="1" applyProtection="1"/>
    <xf numFmtId="10" fontId="0" fillId="0" borderId="56" xfId="42" applyNumberFormat="1" applyFont="1" applyBorder="1" applyProtection="1">
      <protection locked="0"/>
    </xf>
    <xf numFmtId="0" fontId="51" fillId="0" borderId="0" xfId="0" applyFont="1" applyAlignment="1" applyProtection="1">
      <alignment horizontal="right" vertical="center" wrapText="1" indent="1"/>
    </xf>
    <xf numFmtId="0" fontId="0" fillId="0" borderId="0" xfId="0" applyAlignment="1" applyProtection="1">
      <alignment vertical="top"/>
    </xf>
    <xf numFmtId="0" fontId="11" fillId="0" borderId="0" xfId="0" applyFont="1" applyProtection="1"/>
    <xf numFmtId="0" fontId="33" fillId="0" borderId="0" xfId="0" applyFont="1" applyAlignment="1" applyProtection="1">
      <alignment horizontal="right" indent="1"/>
    </xf>
    <xf numFmtId="0" fontId="38" fillId="0" borderId="0" xfId="0" applyFont="1" applyFill="1" applyProtection="1"/>
    <xf numFmtId="190" fontId="44" fillId="0" borderId="0" xfId="0" applyNumberFormat="1" applyFont="1" applyAlignment="1" applyProtection="1">
      <alignment horizontal="center" vertical="center"/>
    </xf>
    <xf numFmtId="0" fontId="0" fillId="0" borderId="162" xfId="0" applyBorder="1" applyProtection="1"/>
    <xf numFmtId="0" fontId="17" fillId="0" borderId="0" xfId="0" applyFont="1" applyProtection="1"/>
    <xf numFmtId="0" fontId="0" fillId="29" borderId="44" xfId="0" applyFill="1" applyBorder="1" applyProtection="1"/>
    <xf numFmtId="0" fontId="0" fillId="28" borderId="44" xfId="0" applyFill="1" applyBorder="1" applyProtection="1"/>
    <xf numFmtId="0" fontId="0" fillId="0" borderId="0" xfId="0" applyAlignment="1" applyProtection="1">
      <alignment wrapText="1"/>
    </xf>
    <xf numFmtId="0" fontId="0" fillId="0" borderId="44" xfId="0" applyBorder="1" applyProtection="1"/>
    <xf numFmtId="0" fontId="0" fillId="0" borderId="0" xfId="0" applyAlignment="1" applyProtection="1">
      <alignment horizontal="left" wrapText="1"/>
    </xf>
    <xf numFmtId="0" fontId="90" fillId="0" borderId="0" xfId="0" applyFont="1" applyProtection="1"/>
    <xf numFmtId="0" fontId="0" fillId="64" borderId="0" xfId="0" applyFill="1" applyProtection="1"/>
    <xf numFmtId="0" fontId="90" fillId="64" borderId="0" xfId="0" applyFont="1" applyFill="1" applyAlignment="1" applyProtection="1">
      <alignment vertical="center"/>
    </xf>
    <xf numFmtId="0" fontId="14" fillId="0" borderId="0" xfId="0" applyFont="1" applyProtection="1"/>
    <xf numFmtId="0" fontId="13" fillId="0" borderId="0" xfId="0" applyFont="1" applyAlignment="1" applyProtection="1">
      <alignment horizontal="right" vertical="top"/>
    </xf>
    <xf numFmtId="0" fontId="127" fillId="0" borderId="0" xfId="0" applyFont="1" applyProtection="1"/>
    <xf numFmtId="0" fontId="14" fillId="0" borderId="0" xfId="0" applyFont="1" applyAlignment="1" applyProtection="1">
      <alignment horizontal="right" vertical="center"/>
    </xf>
    <xf numFmtId="0" fontId="129" fillId="0" borderId="0" xfId="0" applyFont="1" applyAlignment="1" applyProtection="1">
      <alignment horizontal="center" vertical="center"/>
    </xf>
    <xf numFmtId="0" fontId="11" fillId="0" borderId="0" xfId="0" applyFont="1" applyFill="1" applyProtection="1"/>
    <xf numFmtId="0" fontId="57" fillId="0" borderId="31" xfId="0" applyFont="1" applyFill="1" applyBorder="1" applyAlignment="1" applyProtection="1">
      <alignment horizontal="center" vertical="center" wrapText="1"/>
    </xf>
    <xf numFmtId="0" fontId="57" fillId="0" borderId="44"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6" fillId="0" borderId="140" xfId="0" applyFont="1" applyFill="1" applyBorder="1" applyAlignment="1" applyProtection="1">
      <alignment horizontal="right" vertical="center" wrapText="1" indent="1"/>
    </xf>
    <xf numFmtId="170" fontId="11" fillId="0" borderId="31" xfId="0" applyNumberFormat="1" applyFont="1" applyFill="1" applyBorder="1" applyAlignment="1" applyProtection="1">
      <alignment horizontal="center" vertical="center" wrapText="1"/>
    </xf>
    <xf numFmtId="167" fontId="11" fillId="0" borderId="29" xfId="0" applyNumberFormat="1" applyFont="1" applyFill="1" applyBorder="1" applyAlignment="1" applyProtection="1">
      <alignment horizontal="center" vertical="center" wrapText="1"/>
    </xf>
    <xf numFmtId="170" fontId="11" fillId="0" borderId="29" xfId="0" applyNumberFormat="1" applyFont="1" applyFill="1" applyBorder="1" applyAlignment="1" applyProtection="1">
      <alignment horizontal="center" vertical="center" wrapText="1"/>
    </xf>
    <xf numFmtId="167" fontId="11" fillId="0" borderId="45" xfId="0" applyNumberFormat="1" applyFont="1" applyFill="1" applyBorder="1" applyAlignment="1" applyProtection="1">
      <alignment horizontal="center" vertical="center" wrapText="1"/>
    </xf>
    <xf numFmtId="167" fontId="11" fillId="0" borderId="169" xfId="0" applyNumberFormat="1" applyFont="1" applyFill="1" applyBorder="1" applyAlignment="1" applyProtection="1">
      <alignment horizontal="center" vertical="center" wrapText="1"/>
    </xf>
    <xf numFmtId="170" fontId="11" fillId="0" borderId="44" xfId="0" applyNumberFormat="1" applyFont="1" applyFill="1" applyBorder="1" applyAlignment="1" applyProtection="1">
      <alignment horizontal="center" vertical="center" wrapText="1"/>
    </xf>
    <xf numFmtId="170" fontId="11" fillId="0" borderId="41" xfId="0" applyNumberFormat="1" applyFont="1" applyFill="1" applyBorder="1" applyAlignment="1" applyProtection="1">
      <alignment horizontal="center" vertical="center" wrapText="1"/>
    </xf>
    <xf numFmtId="0" fontId="16" fillId="0" borderId="143" xfId="0" applyFont="1" applyFill="1" applyBorder="1" applyAlignment="1" applyProtection="1">
      <alignment horizontal="right" vertical="center" wrapText="1" indent="1"/>
    </xf>
    <xf numFmtId="170" fontId="11" fillId="0" borderId="145" xfId="0" applyNumberFormat="1" applyFont="1" applyFill="1" applyBorder="1" applyAlignment="1" applyProtection="1">
      <alignment horizontal="center" vertical="center" wrapText="1"/>
    </xf>
    <xf numFmtId="0" fontId="11" fillId="0" borderId="0" xfId="46" applyProtection="1"/>
    <xf numFmtId="0" fontId="11" fillId="0" borderId="0" xfId="46" applyFont="1" applyProtection="1"/>
    <xf numFmtId="0" fontId="11" fillId="0" borderId="0" xfId="46" applyAlignment="1" applyProtection="1">
      <alignment horizontal="left" wrapText="1"/>
    </xf>
    <xf numFmtId="0" fontId="14" fillId="66" borderId="42" xfId="46" applyFont="1" applyFill="1" applyBorder="1" applyAlignment="1" applyProtection="1">
      <alignment horizontal="center" wrapText="1"/>
    </xf>
    <xf numFmtId="0" fontId="11" fillId="0" borderId="0" xfId="46" applyFont="1" applyAlignment="1" applyProtection="1">
      <alignment horizontal="left" vertical="center" indent="2"/>
    </xf>
    <xf numFmtId="0" fontId="14" fillId="66" borderId="42" xfId="46" applyFont="1" applyFill="1" applyBorder="1" applyAlignment="1" applyProtection="1">
      <alignment wrapText="1"/>
    </xf>
    <xf numFmtId="0" fontId="14" fillId="66" borderId="70" xfId="46" applyFont="1" applyFill="1" applyBorder="1" applyProtection="1"/>
    <xf numFmtId="0" fontId="14" fillId="66" borderId="45" xfId="46" applyFont="1" applyFill="1" applyBorder="1" applyProtection="1"/>
    <xf numFmtId="0" fontId="11" fillId="0" borderId="42" xfId="46" applyBorder="1" applyAlignment="1" applyProtection="1">
      <alignment horizontal="center"/>
    </xf>
    <xf numFmtId="0" fontId="11" fillId="0" borderId="151" xfId="46" applyBorder="1" applyAlignment="1" applyProtection="1">
      <alignment horizontal="center"/>
    </xf>
    <xf numFmtId="0" fontId="14" fillId="66" borderId="0" xfId="46" applyFont="1" applyFill="1" applyBorder="1" applyProtection="1"/>
    <xf numFmtId="0" fontId="14" fillId="66" borderId="29" xfId="46" applyFont="1" applyFill="1" applyBorder="1" applyProtection="1"/>
    <xf numFmtId="0" fontId="11" fillId="0" borderId="91" xfId="46" applyBorder="1" applyAlignment="1" applyProtection="1">
      <alignment horizontal="center"/>
    </xf>
    <xf numFmtId="0" fontId="11" fillId="0" borderId="54" xfId="46" applyBorder="1" applyAlignment="1" applyProtection="1">
      <alignment horizontal="center"/>
    </xf>
    <xf numFmtId="0" fontId="99" fillId="0" borderId="126" xfId="31" applyFont="1" applyFill="1" applyBorder="1" applyAlignment="1" applyProtection="1">
      <alignment horizontal="center"/>
    </xf>
    <xf numFmtId="0" fontId="26" fillId="4" borderId="126" xfId="31" applyBorder="1" applyAlignment="1" applyProtection="1">
      <alignment horizontal="center"/>
    </xf>
    <xf numFmtId="0" fontId="11" fillId="0" borderId="126" xfId="46" applyBorder="1" applyAlignment="1" applyProtection="1">
      <alignment horizontal="center"/>
    </xf>
    <xf numFmtId="0" fontId="11" fillId="0" borderId="50" xfId="46" applyBorder="1" applyAlignment="1" applyProtection="1">
      <alignment horizontal="center"/>
    </xf>
    <xf numFmtId="0" fontId="26" fillId="4" borderId="101" xfId="31" applyBorder="1" applyAlignment="1" applyProtection="1">
      <alignment horizontal="center"/>
    </xf>
    <xf numFmtId="0" fontId="11" fillId="0" borderId="81" xfId="46" applyBorder="1" applyAlignment="1" applyProtection="1">
      <alignment horizontal="center"/>
    </xf>
    <xf numFmtId="0" fontId="11" fillId="0" borderId="0" xfId="46" applyFont="1" applyAlignment="1" applyProtection="1">
      <alignment vertical="center" wrapText="1"/>
    </xf>
    <xf numFmtId="0" fontId="88" fillId="0" borderId="0" xfId="46" applyFont="1" applyAlignment="1" applyProtection="1">
      <alignment horizontal="left" vertical="center" wrapText="1"/>
    </xf>
    <xf numFmtId="0" fontId="11" fillId="0" borderId="0" xfId="46" applyFont="1" applyAlignment="1" applyProtection="1">
      <alignment horizontal="left" vertical="center" wrapText="1"/>
    </xf>
    <xf numFmtId="0" fontId="17" fillId="0" borderId="0" xfId="46" applyFont="1" applyAlignment="1" applyProtection="1">
      <alignment horizontal="left"/>
    </xf>
    <xf numFmtId="0" fontId="11" fillId="0" borderId="0" xfId="46" applyFont="1" applyAlignment="1" applyProtection="1">
      <alignment horizontal="left"/>
    </xf>
    <xf numFmtId="0" fontId="80" fillId="0" borderId="0" xfId="46" applyFont="1" applyProtection="1"/>
    <xf numFmtId="0" fontId="17" fillId="0" borderId="0" xfId="46" applyFont="1" applyProtection="1"/>
    <xf numFmtId="0" fontId="14" fillId="0" borderId="0" xfId="46" applyFont="1" applyProtection="1"/>
    <xf numFmtId="0" fontId="11" fillId="0" borderId="0" xfId="46" applyFont="1" applyFill="1" applyProtection="1"/>
    <xf numFmtId="0" fontId="14" fillId="0" borderId="0" xfId="46" applyFont="1" applyFill="1" applyProtection="1"/>
    <xf numFmtId="0" fontId="11" fillId="0" borderId="0" xfId="46" applyFill="1" applyProtection="1"/>
    <xf numFmtId="0" fontId="17" fillId="0" borderId="0" xfId="46" applyFont="1" applyFill="1" applyAlignment="1" applyProtection="1">
      <alignment horizontal="left"/>
    </xf>
    <xf numFmtId="0" fontId="11" fillId="0" borderId="0" xfId="46" applyFont="1" applyFill="1" applyAlignment="1" applyProtection="1">
      <alignment horizontal="left"/>
    </xf>
    <xf numFmtId="0" fontId="88" fillId="0" borderId="0" xfId="46" applyFont="1" applyAlignment="1" applyProtection="1">
      <alignment horizontal="left" vertical="center" indent="4"/>
    </xf>
    <xf numFmtId="0" fontId="11" fillId="0" borderId="0" xfId="46" applyFont="1" applyFill="1" applyAlignment="1" applyProtection="1">
      <alignment vertical="center" wrapText="1"/>
    </xf>
    <xf numFmtId="0" fontId="17" fillId="0" borderId="0" xfId="46" applyFont="1" applyFill="1" applyProtection="1"/>
    <xf numFmtId="0" fontId="20" fillId="0" borderId="0" xfId="47" applyProtection="1"/>
    <xf numFmtId="0" fontId="13" fillId="0" borderId="0" xfId="46" applyFont="1" applyAlignment="1" applyProtection="1">
      <alignment horizontal="right" vertical="top"/>
    </xf>
    <xf numFmtId="0" fontId="127" fillId="64" borderId="0" xfId="46" applyFont="1" applyFill="1" applyProtection="1"/>
    <xf numFmtId="0" fontId="82" fillId="0" borderId="0" xfId="47" applyFont="1" applyProtection="1"/>
    <xf numFmtId="0" fontId="18" fillId="0" borderId="0" xfId="46" applyFont="1" applyAlignment="1" applyProtection="1"/>
    <xf numFmtId="0" fontId="9" fillId="0" borderId="0" xfId="90" applyProtection="1"/>
    <xf numFmtId="0" fontId="11" fillId="0" borderId="0" xfId="0" applyFont="1" applyAlignment="1" applyProtection="1">
      <alignment horizontal="left" vertical="top" wrapText="1"/>
    </xf>
    <xf numFmtId="0" fontId="99" fillId="0" borderId="0" xfId="0" applyFont="1" applyAlignment="1" applyProtection="1">
      <alignment horizontal="left" vertical="top"/>
    </xf>
    <xf numFmtId="0" fontId="4" fillId="0" borderId="0" xfId="90" applyFont="1" applyProtection="1"/>
    <xf numFmtId="0" fontId="84" fillId="0" borderId="0" xfId="0" applyFont="1" applyAlignment="1" applyProtection="1"/>
    <xf numFmtId="0" fontId="84" fillId="0" borderId="0" xfId="90" applyFont="1" applyProtection="1"/>
    <xf numFmtId="0" fontId="5" fillId="0" borderId="0" xfId="90" applyFont="1" applyProtection="1"/>
    <xf numFmtId="0" fontId="18" fillId="0" borderId="0" xfId="0" applyFont="1" applyProtection="1"/>
    <xf numFmtId="0" fontId="14" fillId="0" borderId="0" xfId="0" applyFont="1" applyAlignment="1" applyProtection="1">
      <alignment horizontal="center"/>
    </xf>
    <xf numFmtId="0" fontId="14" fillId="0" borderId="10" xfId="0" applyFont="1" applyBorder="1" applyAlignment="1" applyProtection="1">
      <alignment horizontal="center"/>
    </xf>
    <xf numFmtId="0" fontId="39" fillId="0" borderId="0" xfId="0" applyFont="1" applyProtection="1"/>
    <xf numFmtId="171" fontId="11" fillId="0" borderId="0" xfId="29" applyNumberFormat="1" applyFont="1" applyProtection="1"/>
    <xf numFmtId="171" fontId="14" fillId="0" borderId="0" xfId="29" applyNumberFormat="1" applyFont="1" applyProtection="1"/>
    <xf numFmtId="0" fontId="14" fillId="0" borderId="0" xfId="0" applyFont="1" applyFill="1" applyBorder="1" applyProtection="1"/>
    <xf numFmtId="171" fontId="14" fillId="0" borderId="0" xfId="0" applyNumberFormat="1" applyFont="1" applyFill="1" applyBorder="1" applyProtection="1"/>
    <xf numFmtId="0" fontId="0" fillId="66" borderId="0" xfId="0" applyFill="1" applyBorder="1" applyProtection="1"/>
    <xf numFmtId="0" fontId="93" fillId="66" borderId="0" xfId="0" applyFont="1" applyFill="1" applyBorder="1" applyAlignment="1" applyProtection="1">
      <alignment horizontal="center"/>
    </xf>
    <xf numFmtId="171" fontId="90" fillId="66" borderId="0" xfId="0" applyNumberFormat="1" applyFont="1" applyFill="1" applyBorder="1" applyProtection="1"/>
    <xf numFmtId="171" fontId="90" fillId="66" borderId="0" xfId="0" applyNumberFormat="1" applyFont="1" applyFill="1" applyBorder="1" applyAlignment="1" applyProtection="1">
      <alignment horizontal="center"/>
    </xf>
    <xf numFmtId="0" fontId="0" fillId="0" borderId="0" xfId="0" applyFill="1" applyBorder="1" applyProtection="1"/>
    <xf numFmtId="0" fontId="93" fillId="0" borderId="0" xfId="0" applyFont="1" applyFill="1" applyBorder="1" applyAlignment="1" applyProtection="1">
      <alignment horizontal="center"/>
    </xf>
    <xf numFmtId="171" fontId="0" fillId="0" borderId="0" xfId="29" applyNumberFormat="1" applyFont="1" applyFill="1" applyBorder="1" applyProtection="1"/>
    <xf numFmtId="0" fontId="11" fillId="0" borderId="0" xfId="0" applyFont="1" applyFill="1" applyBorder="1" applyProtection="1"/>
    <xf numFmtId="9" fontId="11" fillId="0" borderId="0" xfId="0" applyNumberFormat="1" applyFont="1" applyFill="1" applyBorder="1" applyAlignment="1" applyProtection="1">
      <alignment horizontal="center"/>
    </xf>
    <xf numFmtId="171" fontId="11" fillId="0" borderId="0" xfId="29" applyNumberFormat="1" applyFont="1" applyFill="1" applyBorder="1" applyProtection="1"/>
    <xf numFmtId="171" fontId="11" fillId="0" borderId="0" xfId="29" applyNumberFormat="1" applyFont="1" applyFill="1" applyBorder="1" applyAlignment="1" applyProtection="1">
      <alignment horizontal="center"/>
    </xf>
    <xf numFmtId="9" fontId="11" fillId="0" borderId="0" xfId="28" applyNumberFormat="1" applyFont="1" applyFill="1" applyBorder="1" applyAlignment="1" applyProtection="1">
      <alignment horizontal="center"/>
    </xf>
    <xf numFmtId="171" fontId="11" fillId="0" borderId="0" xfId="0" applyNumberFormat="1" applyFont="1" applyFill="1" applyBorder="1" applyProtection="1"/>
    <xf numFmtId="9" fontId="11" fillId="0" borderId="0" xfId="42" applyFont="1" applyFill="1" applyBorder="1" applyAlignment="1" applyProtection="1">
      <alignment horizontal="center"/>
    </xf>
    <xf numFmtId="0" fontId="38" fillId="0" borderId="0" xfId="0" applyFont="1" applyFill="1" applyBorder="1" applyAlignment="1" applyProtection="1">
      <alignment horizontal="center"/>
    </xf>
    <xf numFmtId="171" fontId="11" fillId="0" borderId="0" xfId="0" applyNumberFormat="1" applyFont="1" applyFill="1" applyBorder="1" applyAlignment="1" applyProtection="1">
      <alignment horizontal="center"/>
    </xf>
    <xf numFmtId="0" fontId="11" fillId="66" borderId="0" xfId="0" applyFont="1" applyFill="1" applyBorder="1" applyProtection="1"/>
    <xf numFmtId="0" fontId="38" fillId="66" borderId="0" xfId="0" applyFont="1" applyFill="1" applyBorder="1" applyAlignment="1" applyProtection="1">
      <alignment horizontal="center"/>
    </xf>
    <xf numFmtId="171" fontId="11" fillId="66" borderId="0" xfId="0" applyNumberFormat="1" applyFont="1" applyFill="1" applyBorder="1" applyProtection="1"/>
    <xf numFmtId="171" fontId="11" fillId="66" borderId="0" xfId="0" applyNumberFormat="1" applyFont="1" applyFill="1" applyBorder="1" applyAlignment="1" applyProtection="1">
      <alignment horizontal="center"/>
    </xf>
    <xf numFmtId="0" fontId="128" fillId="64" borderId="0" xfId="46" applyFont="1" applyFill="1" applyProtection="1"/>
    <xf numFmtId="0" fontId="86" fillId="0" borderId="0" xfId="90" applyFont="1" applyProtection="1"/>
    <xf numFmtId="0" fontId="14" fillId="0" borderId="0" xfId="0" applyFont="1" applyBorder="1" applyAlignment="1" applyProtection="1"/>
    <xf numFmtId="0" fontId="11" fillId="0" borderId="0" xfId="0" applyFont="1" applyBorder="1" applyProtection="1"/>
    <xf numFmtId="0" fontId="9" fillId="0" borderId="0" xfId="90" applyBorder="1" applyProtection="1"/>
    <xf numFmtId="0" fontId="11" fillId="0" borderId="0" xfId="0" applyFont="1" applyAlignment="1" applyProtection="1">
      <alignment horizontal="right"/>
    </xf>
    <xf numFmtId="0" fontId="14" fillId="0" borderId="0" xfId="97" applyFont="1" applyFill="1" applyBorder="1" applyAlignment="1" applyProtection="1">
      <alignment horizontal="center"/>
    </xf>
    <xf numFmtId="9" fontId="14" fillId="0" borderId="0" xfId="97" applyNumberFormat="1" applyFont="1" applyFill="1" applyBorder="1" applyAlignment="1" applyProtection="1">
      <alignment horizontal="center"/>
    </xf>
    <xf numFmtId="9" fontId="11" fillId="0" borderId="0" xfId="0" applyNumberFormat="1" applyFont="1" applyAlignment="1" applyProtection="1">
      <alignment horizontal="center"/>
    </xf>
    <xf numFmtId="171" fontId="11" fillId="64" borderId="0" xfId="29" applyNumberFormat="1" applyFont="1" applyFill="1" applyProtection="1"/>
    <xf numFmtId="171" fontId="11" fillId="0" borderId="0" xfId="29" applyNumberFormat="1" applyFont="1" applyAlignment="1" applyProtection="1">
      <alignment horizontal="center"/>
    </xf>
    <xf numFmtId="171" fontId="11" fillId="0" borderId="0" xfId="29" applyNumberFormat="1" applyFont="1" applyFill="1" applyProtection="1"/>
    <xf numFmtId="166" fontId="11" fillId="0" borderId="0" xfId="0" applyNumberFormat="1" applyFont="1" applyAlignment="1" applyProtection="1">
      <alignment horizontal="center"/>
    </xf>
    <xf numFmtId="180" fontId="11" fillId="0" borderId="0" xfId="28" applyNumberFormat="1" applyFont="1" applyFill="1" applyBorder="1" applyAlignment="1" applyProtection="1">
      <alignment horizontal="center"/>
    </xf>
    <xf numFmtId="171" fontId="11" fillId="0" borderId="0" xfId="0" applyNumberFormat="1" applyFont="1" applyFill="1" applyProtection="1"/>
    <xf numFmtId="166" fontId="11" fillId="0" borderId="0" xfId="0" applyNumberFormat="1" applyFont="1" applyFill="1" applyAlignment="1" applyProtection="1">
      <alignment horizontal="center"/>
    </xf>
    <xf numFmtId="170" fontId="11" fillId="0" borderId="0" xfId="0" applyNumberFormat="1" applyFont="1" applyAlignment="1" applyProtection="1">
      <alignment horizontal="center"/>
    </xf>
    <xf numFmtId="171" fontId="11" fillId="0" borderId="12" xfId="0" applyNumberFormat="1" applyFont="1" applyBorder="1" applyProtection="1"/>
    <xf numFmtId="171" fontId="11" fillId="0" borderId="12" xfId="29" applyNumberFormat="1" applyFont="1" applyBorder="1" applyAlignment="1" applyProtection="1">
      <alignment horizontal="center"/>
    </xf>
    <xf numFmtId="171" fontId="11" fillId="0" borderId="0" xfId="0" applyNumberFormat="1" applyFont="1" applyProtection="1"/>
    <xf numFmtId="9" fontId="11" fillId="0" borderId="0" xfId="42" applyFont="1" applyBorder="1" applyAlignment="1" applyProtection="1">
      <alignment horizontal="center"/>
    </xf>
    <xf numFmtId="9" fontId="11" fillId="0" borderId="0" xfId="42" applyFont="1" applyAlignment="1" applyProtection="1">
      <alignment horizontal="center"/>
    </xf>
    <xf numFmtId="168" fontId="11" fillId="0" borderId="0" xfId="29" applyFont="1" applyProtection="1"/>
    <xf numFmtId="10" fontId="11" fillId="0" borderId="0" xfId="42" applyNumberFormat="1" applyFont="1" applyAlignment="1" applyProtection="1">
      <alignment horizontal="center"/>
    </xf>
    <xf numFmtId="0" fontId="14" fillId="0" borderId="0" xfId="0" applyFont="1" applyAlignment="1" applyProtection="1">
      <alignment horizontal="left"/>
    </xf>
    <xf numFmtId="171" fontId="11" fillId="0" borderId="13" xfId="0" applyNumberFormat="1" applyFont="1" applyBorder="1" applyProtection="1"/>
    <xf numFmtId="171" fontId="11" fillId="64" borderId="0" xfId="0" applyNumberFormat="1" applyFont="1" applyFill="1" applyProtection="1"/>
    <xf numFmtId="0" fontId="38" fillId="0" borderId="0" xfId="0" applyFont="1" applyAlignment="1" applyProtection="1">
      <alignment horizontal="center"/>
    </xf>
    <xf numFmtId="171" fontId="11" fillId="0" borderId="0" xfId="0" applyNumberFormat="1" applyFont="1" applyAlignment="1" applyProtection="1">
      <alignment horizontal="center"/>
    </xf>
    <xf numFmtId="171" fontId="11" fillId="0" borderId="102" xfId="0" applyNumberFormat="1" applyFont="1" applyBorder="1" applyProtection="1"/>
    <xf numFmtId="0" fontId="11" fillId="64" borderId="0" xfId="0" applyFont="1" applyFill="1" applyBorder="1" applyProtection="1"/>
    <xf numFmtId="171" fontId="11" fillId="0" borderId="0" xfId="0" applyNumberFormat="1" applyFont="1" applyBorder="1" applyProtection="1"/>
    <xf numFmtId="0" fontId="14" fillId="64" borderId="0" xfId="0" applyFont="1" applyFill="1" applyBorder="1" applyAlignment="1" applyProtection="1">
      <alignment horizontal="center"/>
    </xf>
    <xf numFmtId="171" fontId="11" fillId="0" borderId="13" xfId="0" applyNumberFormat="1" applyFont="1" applyFill="1" applyBorder="1" applyProtection="1"/>
    <xf numFmtId="172" fontId="11" fillId="64" borderId="0" xfId="28" applyNumberFormat="1" applyFont="1" applyFill="1" applyBorder="1" applyAlignment="1" applyProtection="1">
      <alignment horizontal="center"/>
    </xf>
    <xf numFmtId="0" fontId="11" fillId="0" borderId="0" xfId="0" applyFont="1" applyAlignment="1" applyProtection="1">
      <alignment horizontal="center"/>
    </xf>
    <xf numFmtId="173" fontId="11" fillId="0" borderId="0" xfId="0" applyNumberFormat="1" applyFont="1" applyProtection="1"/>
    <xf numFmtId="168" fontId="11" fillId="0" borderId="0" xfId="0" applyNumberFormat="1" applyFont="1" applyFill="1" applyBorder="1" applyProtection="1"/>
    <xf numFmtId="0" fontId="50" fillId="0" borderId="0" xfId="0" applyFont="1" applyBorder="1" applyAlignment="1" applyProtection="1">
      <alignment horizontal="left"/>
    </xf>
    <xf numFmtId="0" fontId="11" fillId="0" borderId="0" xfId="0" applyFont="1" applyFill="1" applyBorder="1" applyAlignment="1" applyProtection="1"/>
    <xf numFmtId="0" fontId="11" fillId="0" borderId="0" xfId="0" applyFont="1" applyFill="1" applyBorder="1" applyAlignment="1" applyProtection="1">
      <alignment horizontal="right"/>
    </xf>
    <xf numFmtId="0" fontId="91" fillId="0" borderId="0" xfId="97" applyFont="1" applyFill="1" applyProtection="1"/>
    <xf numFmtId="0" fontId="11" fillId="0" borderId="0" xfId="97" applyFont="1" applyFill="1" applyBorder="1" applyProtection="1"/>
    <xf numFmtId="0" fontId="17" fillId="0" borderId="0" xfId="97" applyFont="1" applyFill="1" applyProtection="1"/>
    <xf numFmtId="0" fontId="14" fillId="0" borderId="0" xfId="97" applyFont="1" applyFill="1" applyProtection="1"/>
    <xf numFmtId="0" fontId="11" fillId="0" borderId="0" xfId="97" applyFont="1" applyFill="1" applyProtection="1"/>
    <xf numFmtId="171" fontId="11" fillId="0" borderId="0" xfId="97" applyNumberFormat="1" applyFont="1" applyFill="1" applyBorder="1" applyAlignment="1" applyProtection="1">
      <alignment horizontal="center"/>
    </xf>
    <xf numFmtId="10" fontId="94" fillId="0" borderId="0" xfId="97" applyNumberFormat="1" applyFont="1" applyFill="1" applyBorder="1" applyAlignment="1" applyProtection="1">
      <alignment horizontal="center"/>
    </xf>
    <xf numFmtId="171" fontId="11" fillId="0" borderId="13" xfId="29" applyNumberFormat="1" applyFont="1" applyFill="1" applyBorder="1" applyProtection="1"/>
    <xf numFmtId="168" fontId="11" fillId="0" borderId="13" xfId="29" applyNumberFormat="1" applyFont="1" applyFill="1" applyBorder="1" applyProtection="1"/>
    <xf numFmtId="0" fontId="14" fillId="0" borderId="0" xfId="97" applyFont="1" applyFill="1" applyAlignment="1" applyProtection="1">
      <alignment horizontal="left"/>
    </xf>
    <xf numFmtId="168" fontId="11" fillId="0" borderId="0" xfId="29" applyFont="1" applyFill="1" applyProtection="1"/>
    <xf numFmtId="168" fontId="11" fillId="0" borderId="0" xfId="29" applyFont="1" applyFill="1" applyBorder="1" applyProtection="1"/>
    <xf numFmtId="171" fontId="46" fillId="0" borderId="13" xfId="29" applyNumberFormat="1" applyFont="1" applyFill="1" applyBorder="1" applyProtection="1"/>
    <xf numFmtId="168" fontId="46" fillId="0" borderId="0" xfId="29" applyFont="1" applyFill="1" applyBorder="1" applyProtection="1"/>
    <xf numFmtId="181" fontId="50" fillId="0" borderId="0" xfId="0" applyNumberFormat="1" applyFont="1" applyBorder="1" applyAlignment="1" applyProtection="1">
      <alignment horizontal="right"/>
    </xf>
    <xf numFmtId="0" fontId="11" fillId="0" borderId="0" xfId="98" applyFont="1" applyFill="1" applyProtection="1"/>
    <xf numFmtId="0" fontId="14" fillId="0" borderId="86" xfId="29" applyNumberFormat="1" applyFont="1" applyFill="1" applyBorder="1" applyAlignment="1" applyProtection="1">
      <alignment horizontal="center"/>
    </xf>
    <xf numFmtId="0" fontId="14" fillId="0" borderId="44" xfId="29" applyNumberFormat="1" applyFont="1" applyFill="1" applyBorder="1" applyAlignment="1" applyProtection="1">
      <alignment horizontal="center"/>
    </xf>
    <xf numFmtId="0" fontId="90" fillId="0" borderId="0" xfId="0" applyFont="1" applyFill="1" applyProtection="1"/>
    <xf numFmtId="0" fontId="0" fillId="0" borderId="0" xfId="0" applyFill="1" applyProtection="1"/>
    <xf numFmtId="0" fontId="17" fillId="0" borderId="0" xfId="98" applyFont="1" applyFill="1" applyProtection="1"/>
    <xf numFmtId="0" fontId="14" fillId="0" borderId="0" xfId="98" applyFont="1" applyFill="1" applyProtection="1"/>
    <xf numFmtId="171" fontId="11" fillId="0" borderId="0" xfId="29" applyNumberFormat="1" applyFont="1" applyFill="1" applyAlignment="1" applyProtection="1">
      <alignment horizontal="center"/>
    </xf>
    <xf numFmtId="0" fontId="41" fillId="0" borderId="0" xfId="0" applyFont="1" applyFill="1" applyProtection="1"/>
    <xf numFmtId="0" fontId="80" fillId="0" borderId="0" xfId="0" applyFont="1" applyFill="1" applyProtection="1"/>
    <xf numFmtId="9" fontId="11" fillId="64" borderId="0" xfId="42" applyFont="1" applyFill="1" applyBorder="1" applyAlignment="1" applyProtection="1">
      <alignment horizontal="right"/>
    </xf>
    <xf numFmtId="165" fontId="11" fillId="0" borderId="0" xfId="0" applyNumberFormat="1" applyFont="1" applyFill="1" applyProtection="1"/>
    <xf numFmtId="171" fontId="11" fillId="0" borderId="102" xfId="29" applyNumberFormat="1" applyFont="1" applyFill="1" applyBorder="1" applyProtection="1"/>
    <xf numFmtId="0" fontId="127" fillId="0" borderId="0" xfId="46" applyFont="1" applyProtection="1"/>
    <xf numFmtId="9" fontId="11" fillId="0" borderId="0" xfId="28" applyNumberFormat="1" applyFont="1" applyFill="1" applyBorder="1" applyAlignment="1" applyProtection="1">
      <alignment horizontal="left" vertical="center" wrapText="1"/>
    </xf>
    <xf numFmtId="180" fontId="90" fillId="0" borderId="0" xfId="28" applyNumberFormat="1" applyFont="1" applyFill="1" applyBorder="1" applyAlignment="1" applyProtection="1">
      <alignment horizontal="center"/>
    </xf>
    <xf numFmtId="0" fontId="14" fillId="0" borderId="0" xfId="0" applyFont="1" applyFill="1" applyBorder="1" applyAlignment="1" applyProtection="1"/>
    <xf numFmtId="0" fontId="38" fillId="0" borderId="0" xfId="0" applyFont="1" applyFill="1" applyAlignment="1" applyProtection="1">
      <alignment horizontal="center"/>
    </xf>
    <xf numFmtId="0" fontId="11" fillId="0" borderId="0" xfId="0" applyFont="1" applyFill="1" applyAlignment="1" applyProtection="1">
      <alignment horizontal="right"/>
    </xf>
    <xf numFmtId="168" fontId="11" fillId="0" borderId="0" xfId="29" applyFont="1" applyBorder="1" applyProtection="1"/>
    <xf numFmtId="171" fontId="14" fillId="64" borderId="0" xfId="0" applyNumberFormat="1" applyFont="1" applyFill="1" applyBorder="1" applyProtection="1"/>
    <xf numFmtId="171" fontId="11" fillId="0" borderId="0" xfId="29" applyNumberFormat="1" applyFont="1" applyBorder="1" applyProtection="1"/>
    <xf numFmtId="0" fontId="90" fillId="0" borderId="0" xfId="0" applyFont="1" applyFill="1" applyBorder="1" applyAlignment="1" applyProtection="1">
      <alignment horizontal="right"/>
    </xf>
    <xf numFmtId="0" fontId="0" fillId="0" borderId="0" xfId="0" applyFill="1" applyBorder="1" applyAlignment="1" applyProtection="1"/>
    <xf numFmtId="10" fontId="11" fillId="0" borderId="0" xfId="42" applyNumberFormat="1" applyFont="1" applyFill="1" applyAlignment="1" applyProtection="1">
      <alignment horizontal="center"/>
    </xf>
    <xf numFmtId="0" fontId="11" fillId="0" borderId="0" xfId="29" applyNumberFormat="1" applyFont="1" applyFill="1" applyAlignment="1" applyProtection="1">
      <alignment horizontal="center"/>
    </xf>
    <xf numFmtId="0" fontId="14" fillId="81" borderId="86" xfId="29" applyNumberFormat="1" applyFont="1" applyFill="1" applyBorder="1" applyAlignment="1" applyProtection="1">
      <alignment horizontal="center"/>
    </xf>
    <xf numFmtId="0" fontId="14" fillId="81" borderId="44" xfId="29" applyNumberFormat="1" applyFont="1" applyFill="1" applyBorder="1" applyAlignment="1" applyProtection="1">
      <alignment horizontal="center"/>
    </xf>
    <xf numFmtId="0" fontId="11" fillId="0" borderId="0" xfId="42" applyNumberFormat="1" applyFont="1" applyFill="1" applyAlignment="1" applyProtection="1">
      <alignment horizontal="center"/>
    </xf>
    <xf numFmtId="171" fontId="11" fillId="81" borderId="0" xfId="29" applyNumberFormat="1" applyFont="1" applyFill="1" applyProtection="1"/>
    <xf numFmtId="171" fontId="11" fillId="81" borderId="13" xfId="29" applyNumberFormat="1" applyFont="1" applyFill="1" applyBorder="1" applyProtection="1"/>
    <xf numFmtId="171" fontId="94" fillId="0" borderId="0" xfId="29" applyNumberFormat="1" applyFont="1" applyFill="1" applyBorder="1" applyProtection="1"/>
    <xf numFmtId="171" fontId="11" fillId="81" borderId="0" xfId="29" applyNumberFormat="1" applyFont="1" applyFill="1" applyAlignment="1" applyProtection="1">
      <alignment horizontal="center"/>
    </xf>
    <xf numFmtId="171" fontId="11" fillId="81" borderId="0" xfId="29" applyNumberFormat="1" applyFont="1" applyFill="1" applyBorder="1" applyProtection="1"/>
    <xf numFmtId="191" fontId="11" fillId="0" borderId="0" xfId="29" applyNumberFormat="1" applyFont="1" applyFill="1" applyProtection="1"/>
    <xf numFmtId="171" fontId="11" fillId="81" borderId="102" xfId="29" applyNumberFormat="1" applyFont="1" applyFill="1" applyBorder="1" applyProtection="1"/>
    <xf numFmtId="9" fontId="11" fillId="0" borderId="0" xfId="42" applyFont="1" applyFill="1" applyAlignment="1" applyProtection="1">
      <alignment horizontal="center"/>
    </xf>
    <xf numFmtId="0" fontId="0" fillId="0" borderId="0" xfId="0" applyAlignment="1" applyProtection="1">
      <alignment horizontal="left"/>
    </xf>
    <xf numFmtId="0" fontId="14" fillId="0" borderId="32" xfId="0" applyFont="1" applyBorder="1" applyProtection="1"/>
    <xf numFmtId="0" fontId="14" fillId="0" borderId="24" xfId="0" applyFont="1" applyBorder="1" applyProtection="1"/>
    <xf numFmtId="0" fontId="14" fillId="0" borderId="24" xfId="0" applyFont="1" applyFill="1" applyBorder="1" applyAlignment="1" applyProtection="1">
      <alignment horizontal="center"/>
    </xf>
    <xf numFmtId="0" fontId="14" fillId="25" borderId="24" xfId="0" applyFont="1" applyFill="1" applyBorder="1" applyAlignment="1" applyProtection="1">
      <alignment horizontal="center"/>
    </xf>
    <xf numFmtId="0" fontId="14" fillId="25" borderId="61" xfId="0" applyFont="1" applyFill="1" applyBorder="1" applyAlignment="1" applyProtection="1">
      <alignment horizontal="center"/>
    </xf>
    <xf numFmtId="0" fontId="14" fillId="0" borderId="75" xfId="0" applyFont="1" applyBorder="1" applyProtection="1"/>
    <xf numFmtId="0" fontId="14" fillId="0" borderId="19" xfId="0" applyFont="1" applyBorder="1" applyProtection="1"/>
    <xf numFmtId="0" fontId="14" fillId="25" borderId="19" xfId="0" applyFont="1" applyFill="1" applyBorder="1" applyAlignment="1" applyProtection="1">
      <alignment horizontal="center"/>
    </xf>
    <xf numFmtId="0" fontId="14" fillId="25" borderId="76" xfId="0" applyFont="1" applyFill="1" applyBorder="1" applyAlignment="1" applyProtection="1">
      <alignment horizontal="center"/>
    </xf>
    <xf numFmtId="0" fontId="14" fillId="25" borderId="63" xfId="0" applyFont="1" applyFill="1" applyBorder="1" applyAlignment="1" applyProtection="1">
      <alignment horizontal="center"/>
    </xf>
    <xf numFmtId="0" fontId="39" fillId="0" borderId="19" xfId="0" applyFont="1" applyBorder="1" applyProtection="1"/>
    <xf numFmtId="0" fontId="14" fillId="0" borderId="11" xfId="0" applyFont="1" applyFill="1" applyBorder="1" applyAlignment="1" applyProtection="1">
      <alignment horizontal="center"/>
    </xf>
    <xf numFmtId="0" fontId="14" fillId="0" borderId="27" xfId="0" applyFont="1" applyBorder="1" applyAlignment="1" applyProtection="1">
      <alignment horizontal="center"/>
    </xf>
    <xf numFmtId="0" fontId="14" fillId="0" borderId="10" xfId="0" applyFont="1" applyBorder="1" applyProtection="1"/>
    <xf numFmtId="171" fontId="0" fillId="0" borderId="10" xfId="0" applyNumberFormat="1" applyFill="1" applyBorder="1" applyProtection="1"/>
    <xf numFmtId="171" fontId="0" fillId="0" borderId="10" xfId="0" applyNumberFormat="1" applyBorder="1" applyProtection="1"/>
    <xf numFmtId="171" fontId="0" fillId="0" borderId="25" xfId="0" applyNumberFormat="1" applyBorder="1" applyProtection="1"/>
    <xf numFmtId="171" fontId="0" fillId="0" borderId="34" xfId="29" applyNumberFormat="1" applyFont="1" applyBorder="1" applyProtection="1"/>
    <xf numFmtId="171" fontId="0" fillId="0" borderId="35" xfId="29" applyNumberFormat="1" applyFont="1" applyBorder="1" applyProtection="1"/>
    <xf numFmtId="171" fontId="0" fillId="0" borderId="44" xfId="29" applyNumberFormat="1" applyFont="1" applyBorder="1" applyProtection="1"/>
    <xf numFmtId="0" fontId="16" fillId="0" borderId="0" xfId="0" applyFont="1" applyProtection="1"/>
    <xf numFmtId="0" fontId="90" fillId="0" borderId="0" xfId="0" applyFont="1" applyAlignment="1" applyProtection="1">
      <alignment wrapText="1"/>
    </xf>
    <xf numFmtId="0" fontId="11" fillId="0" borderId="0" xfId="0" applyFont="1" applyAlignment="1" applyProtection="1">
      <alignment wrapText="1"/>
    </xf>
    <xf numFmtId="0" fontId="42" fillId="0" borderId="0" xfId="0" applyFont="1" applyProtection="1"/>
    <xf numFmtId="0" fontId="43" fillId="0" borderId="0" xfId="0" applyFont="1" applyProtection="1"/>
    <xf numFmtId="0" fontId="14" fillId="0" borderId="61" xfId="0" applyFont="1" applyFill="1" applyBorder="1" applyAlignment="1" applyProtection="1">
      <alignment horizontal="center"/>
    </xf>
    <xf numFmtId="0" fontId="0" fillId="0" borderId="52" xfId="0" applyBorder="1" applyProtection="1"/>
    <xf numFmtId="0" fontId="0" fillId="0" borderId="16" xfId="0" applyBorder="1" applyProtection="1"/>
    <xf numFmtId="0" fontId="14" fillId="0" borderId="10" xfId="0" applyFont="1" applyFill="1" applyBorder="1" applyAlignment="1" applyProtection="1">
      <alignment horizontal="center"/>
    </xf>
    <xf numFmtId="0" fontId="14" fillId="0" borderId="25" xfId="0" applyFont="1" applyFill="1" applyBorder="1" applyAlignment="1" applyProtection="1">
      <alignment horizontal="center"/>
    </xf>
    <xf numFmtId="171" fontId="0" fillId="0" borderId="31" xfId="29" applyNumberFormat="1" applyFont="1" applyBorder="1" applyProtection="1"/>
    <xf numFmtId="0" fontId="0" fillId="0" borderId="0" xfId="0" applyAlignment="1" applyProtection="1">
      <alignment horizontal="center" vertical="top"/>
    </xf>
    <xf numFmtId="0" fontId="11" fillId="0" borderId="0" xfId="0" applyFont="1" applyAlignment="1" applyProtection="1">
      <alignment vertical="top"/>
    </xf>
    <xf numFmtId="0" fontId="0" fillId="0" borderId="0" xfId="0" applyAlignment="1" applyProtection="1">
      <alignment horizontal="center" vertical="center"/>
    </xf>
    <xf numFmtId="0" fontId="13" fillId="0" borderId="0" xfId="46" applyFont="1" applyAlignment="1" applyProtection="1">
      <alignment vertical="top"/>
    </xf>
    <xf numFmtId="0" fontId="11" fillId="0" borderId="43" xfId="0" applyFont="1" applyBorder="1" applyProtection="1"/>
    <xf numFmtId="0" fontId="14" fillId="0" borderId="43" xfId="0" applyFont="1" applyBorder="1" applyProtection="1"/>
    <xf numFmtId="0" fontId="14" fillId="0" borderId="70" xfId="0" applyFont="1" applyBorder="1" applyProtection="1"/>
    <xf numFmtId="0" fontId="14" fillId="0" borderId="45" xfId="0" applyFont="1" applyBorder="1" applyProtection="1"/>
    <xf numFmtId="0" fontId="14" fillId="0" borderId="69" xfId="0" applyFont="1" applyBorder="1" applyProtection="1"/>
    <xf numFmtId="0" fontId="0" fillId="0" borderId="41" xfId="0" applyBorder="1" applyProtection="1"/>
    <xf numFmtId="0" fontId="14" fillId="0" borderId="41" xfId="0" applyFont="1" applyBorder="1" applyAlignment="1" applyProtection="1">
      <alignment horizontal="center" vertical="center" wrapText="1"/>
    </xf>
    <xf numFmtId="0" fontId="14" fillId="0" borderId="40" xfId="0" applyFont="1" applyBorder="1" applyProtection="1"/>
    <xf numFmtId="0" fontId="14" fillId="0" borderId="30" xfId="0" applyFont="1" applyBorder="1" applyProtection="1"/>
    <xf numFmtId="0" fontId="14" fillId="0" borderId="31" xfId="0" applyFont="1" applyBorder="1" applyProtection="1"/>
    <xf numFmtId="0" fontId="14" fillId="0" borderId="28"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0" fillId="0" borderId="40" xfId="0" applyBorder="1" applyAlignment="1" applyProtection="1">
      <alignment horizontal="center" vertical="center"/>
    </xf>
    <xf numFmtId="0" fontId="0" fillId="0" borderId="40" xfId="0" applyBorder="1" applyProtection="1"/>
    <xf numFmtId="0" fontId="11" fillId="0" borderId="92" xfId="0" applyFont="1" applyBorder="1" applyAlignment="1" applyProtection="1">
      <alignment horizontal="center" vertical="center"/>
    </xf>
    <xf numFmtId="0" fontId="0" fillId="66" borderId="29" xfId="0" applyFill="1" applyBorder="1" applyProtection="1"/>
    <xf numFmtId="0" fontId="11" fillId="0" borderId="108" xfId="0" applyFont="1" applyBorder="1" applyAlignment="1" applyProtection="1">
      <alignment horizontal="center" vertical="center"/>
    </xf>
    <xf numFmtId="0" fontId="11" fillId="0" borderId="0" xfId="0" applyFont="1" applyBorder="1" applyAlignment="1" applyProtection="1">
      <alignment horizontal="center" vertical="center" wrapText="1"/>
    </xf>
    <xf numFmtId="0" fontId="0" fillId="66" borderId="45" xfId="0" applyFill="1" applyBorder="1" applyProtection="1"/>
    <xf numFmtId="0" fontId="11" fillId="0" borderId="0" xfId="0" applyFont="1" applyBorder="1" applyAlignment="1" applyProtection="1">
      <alignment horizontal="center" vertical="center"/>
    </xf>
    <xf numFmtId="0" fontId="11" fillId="0" borderId="29" xfId="0" applyFont="1" applyBorder="1" applyAlignment="1" applyProtection="1">
      <alignment horizontal="center" vertical="center"/>
    </xf>
    <xf numFmtId="0" fontId="0" fillId="66" borderId="108" xfId="0" applyFill="1" applyBorder="1" applyProtection="1"/>
    <xf numFmtId="0" fontId="14" fillId="0" borderId="41" xfId="0" applyFont="1" applyBorder="1" applyProtection="1"/>
    <xf numFmtId="0" fontId="0" fillId="0" borderId="41" xfId="0" applyBorder="1" applyAlignment="1" applyProtection="1">
      <alignment horizontal="center" vertical="center"/>
    </xf>
    <xf numFmtId="0" fontId="11" fillId="0" borderId="38" xfId="0" applyFont="1" applyBorder="1" applyAlignment="1" applyProtection="1">
      <alignment horizontal="center" vertical="center"/>
    </xf>
    <xf numFmtId="0" fontId="0" fillId="66" borderId="31" xfId="0" applyFill="1" applyBorder="1" applyProtection="1"/>
    <xf numFmtId="0" fontId="0" fillId="66" borderId="38" xfId="0" applyFill="1" applyBorder="1" applyProtection="1"/>
    <xf numFmtId="0" fontId="11" fillId="0" borderId="30" xfId="0" applyFont="1" applyBorder="1" applyAlignment="1" applyProtection="1">
      <alignment horizontal="center" vertical="center" wrapText="1"/>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45" fillId="0" borderId="0" xfId="0" quotePrefix="1" applyFont="1" applyAlignment="1" applyProtection="1">
      <alignment horizontal="left" vertical="top"/>
    </xf>
    <xf numFmtId="0" fontId="104" fillId="0" borderId="0" xfId="0" applyFont="1" applyProtection="1"/>
    <xf numFmtId="0" fontId="56" fillId="0" borderId="92" xfId="46" applyFont="1" applyFill="1" applyBorder="1" applyAlignment="1" applyProtection="1">
      <alignment vertical="center" wrapText="1"/>
    </xf>
    <xf numFmtId="0" fontId="14" fillId="0" borderId="21" xfId="0" applyFont="1" applyFill="1" applyBorder="1" applyAlignment="1" applyProtection="1">
      <alignment horizontal="center" vertical="center" wrapText="1"/>
    </xf>
    <xf numFmtId="0" fontId="14" fillId="0" borderId="65" xfId="0" applyFont="1" applyFill="1" applyBorder="1" applyAlignment="1" applyProtection="1">
      <alignment horizontal="center" vertical="center" wrapText="1"/>
    </xf>
    <xf numFmtId="0" fontId="75" fillId="0" borderId="20" xfId="51" applyFont="1" applyBorder="1" applyAlignment="1" applyProtection="1">
      <alignment horizontal="center" vertical="center" wrapText="1"/>
    </xf>
    <xf numFmtId="0" fontId="75" fillId="0" borderId="23" xfId="51" applyFont="1" applyBorder="1" applyAlignment="1" applyProtection="1">
      <alignment horizontal="center" vertical="center" wrapText="1"/>
    </xf>
    <xf numFmtId="0" fontId="79" fillId="0" borderId="20" xfId="46" applyFont="1" applyFill="1" applyBorder="1" applyAlignment="1" applyProtection="1">
      <alignment vertical="center" wrapText="1"/>
    </xf>
    <xf numFmtId="0" fontId="57" fillId="0" borderId="0" xfId="46" applyFont="1" applyFill="1" applyBorder="1" applyAlignment="1" applyProtection="1">
      <alignment horizontal="center" vertical="center" wrapText="1"/>
    </xf>
    <xf numFmtId="0" fontId="76" fillId="0" borderId="75" xfId="51" applyFont="1" applyBorder="1" applyAlignment="1" applyProtection="1">
      <alignment vertical="center" wrapText="1"/>
    </xf>
    <xf numFmtId="171" fontId="76" fillId="0" borderId="16" xfId="51" applyNumberFormat="1" applyFont="1" applyBorder="1" applyAlignment="1" applyProtection="1">
      <alignment vertical="center" wrapText="1"/>
    </xf>
    <xf numFmtId="0" fontId="56" fillId="0" borderId="32" xfId="46" applyFont="1" applyBorder="1" applyAlignment="1" applyProtection="1">
      <alignment vertical="center" wrapText="1"/>
    </xf>
    <xf numFmtId="3" fontId="56" fillId="0" borderId="0" xfId="46" applyNumberFormat="1" applyFont="1" applyFill="1" applyBorder="1" applyAlignment="1" applyProtection="1">
      <alignment vertical="center" wrapText="1"/>
    </xf>
    <xf numFmtId="0" fontId="76" fillId="0" borderId="27" xfId="51" applyFont="1" applyBorder="1" applyAlignment="1" applyProtection="1">
      <alignment vertical="center" wrapText="1"/>
    </xf>
    <xf numFmtId="171" fontId="76" fillId="0" borderId="33" xfId="51" applyNumberFormat="1" applyFont="1" applyBorder="1" applyAlignment="1" applyProtection="1">
      <alignment vertical="center" wrapText="1"/>
    </xf>
    <xf numFmtId="0" fontId="56" fillId="0" borderId="27" xfId="46" applyFont="1" applyBorder="1" applyAlignment="1" applyProtection="1">
      <alignment vertical="center" wrapText="1"/>
    </xf>
    <xf numFmtId="0" fontId="57" fillId="0" borderId="27" xfId="46" applyFont="1" applyBorder="1" applyAlignment="1" applyProtection="1">
      <alignment vertical="center" wrapText="1"/>
    </xf>
    <xf numFmtId="171" fontId="57" fillId="0" borderId="10" xfId="29" applyNumberFormat="1" applyFont="1" applyBorder="1" applyAlignment="1" applyProtection="1">
      <alignment vertical="center" wrapText="1"/>
    </xf>
    <xf numFmtId="171" fontId="57" fillId="0" borderId="25" xfId="29" applyNumberFormat="1" applyFont="1" applyBorder="1" applyAlignment="1" applyProtection="1">
      <alignment vertical="center" wrapText="1"/>
    </xf>
    <xf numFmtId="3" fontId="57" fillId="0" borderId="0" xfId="28" applyNumberFormat="1" applyFont="1" applyFill="1" applyBorder="1" applyAlignment="1" applyProtection="1">
      <alignment vertical="center" wrapText="1"/>
    </xf>
    <xf numFmtId="170" fontId="56" fillId="62" borderId="10" xfId="42" applyNumberFormat="1" applyFont="1" applyFill="1" applyBorder="1" applyAlignment="1" applyProtection="1">
      <alignment vertical="center" wrapText="1"/>
    </xf>
    <xf numFmtId="170" fontId="56" fillId="0" borderId="10" xfId="42" applyNumberFormat="1" applyFont="1" applyBorder="1" applyAlignment="1" applyProtection="1">
      <alignment vertical="center" wrapText="1"/>
    </xf>
    <xf numFmtId="170" fontId="56" fillId="0" borderId="25" xfId="42" applyNumberFormat="1" applyFont="1" applyBorder="1" applyAlignment="1" applyProtection="1">
      <alignment vertical="center" wrapText="1"/>
    </xf>
    <xf numFmtId="3" fontId="56" fillId="0" borderId="0" xfId="42" applyNumberFormat="1" applyFont="1" applyFill="1" applyBorder="1" applyAlignment="1" applyProtection="1">
      <alignment vertical="center" wrapText="1"/>
    </xf>
    <xf numFmtId="170" fontId="56" fillId="0" borderId="74" xfId="42" applyNumberFormat="1" applyFont="1" applyBorder="1" applyAlignment="1" applyProtection="1">
      <alignment vertical="center" wrapText="1"/>
    </xf>
    <xf numFmtId="170" fontId="56" fillId="0" borderId="13" xfId="42" applyNumberFormat="1" applyFont="1" applyBorder="1" applyAlignment="1" applyProtection="1">
      <alignment vertical="center" wrapText="1"/>
    </xf>
    <xf numFmtId="170" fontId="56" fillId="0" borderId="33" xfId="42" applyNumberFormat="1" applyFont="1" applyBorder="1" applyAlignment="1" applyProtection="1">
      <alignment vertical="center" wrapText="1"/>
    </xf>
    <xf numFmtId="0" fontId="76" fillId="0" borderId="33" xfId="51" applyFont="1" applyBorder="1" applyAlignment="1" applyProtection="1">
      <alignment vertical="center" wrapText="1"/>
    </xf>
    <xf numFmtId="0" fontId="76" fillId="66" borderId="82" xfId="51" applyFont="1" applyFill="1" applyBorder="1" applyAlignment="1" applyProtection="1">
      <alignment vertical="center" wrapText="1"/>
    </xf>
    <xf numFmtId="0" fontId="76" fillId="0" borderId="82" xfId="51" applyFont="1" applyBorder="1" applyAlignment="1" applyProtection="1">
      <alignment vertical="center" wrapText="1"/>
    </xf>
    <xf numFmtId="0" fontId="76" fillId="0" borderId="82" xfId="51" applyFont="1" applyFill="1" applyBorder="1" applyAlignment="1" applyProtection="1">
      <alignment vertical="center" wrapText="1"/>
    </xf>
    <xf numFmtId="171" fontId="75" fillId="0" borderId="10" xfId="29" applyNumberFormat="1" applyFont="1" applyFill="1" applyBorder="1" applyAlignment="1" applyProtection="1">
      <alignment vertical="center" wrapText="1"/>
    </xf>
    <xf numFmtId="0" fontId="76" fillId="0" borderId="18" xfId="51" applyFont="1" applyFill="1" applyBorder="1" applyAlignment="1" applyProtection="1">
      <alignment vertical="center" wrapText="1"/>
    </xf>
    <xf numFmtId="0" fontId="76" fillId="66" borderId="0" xfId="51" applyFont="1" applyFill="1" applyBorder="1" applyAlignment="1" applyProtection="1">
      <alignment vertical="center" wrapText="1"/>
    </xf>
    <xf numFmtId="0" fontId="76" fillId="0" borderId="0" xfId="51" applyFont="1" applyBorder="1" applyAlignment="1" applyProtection="1">
      <alignment vertical="center" wrapText="1"/>
    </xf>
    <xf numFmtId="0" fontId="76" fillId="0" borderId="0" xfId="51" applyFont="1" applyFill="1" applyBorder="1" applyAlignment="1" applyProtection="1">
      <alignment vertical="center" wrapText="1"/>
    </xf>
    <xf numFmtId="9" fontId="75" fillId="0" borderId="10" xfId="42" applyFont="1" applyFill="1" applyBorder="1" applyAlignment="1" applyProtection="1">
      <alignment vertical="center" wrapText="1"/>
    </xf>
    <xf numFmtId="0" fontId="76" fillId="0" borderId="15" xfId="51" applyFont="1" applyFill="1" applyBorder="1" applyAlignment="1" applyProtection="1">
      <alignment vertical="center" wrapText="1"/>
    </xf>
    <xf numFmtId="170" fontId="56" fillId="80" borderId="10" xfId="42" applyNumberFormat="1" applyFont="1" applyFill="1" applyBorder="1" applyAlignment="1" applyProtection="1">
      <alignment vertical="center" wrapText="1"/>
    </xf>
    <xf numFmtId="0" fontId="76" fillId="66" borderId="12" xfId="51" applyFont="1" applyFill="1" applyBorder="1" applyAlignment="1" applyProtection="1">
      <alignment vertical="center" wrapText="1"/>
    </xf>
    <xf numFmtId="0" fontId="76" fillId="0" borderId="12" xfId="51" applyFont="1" applyBorder="1" applyAlignment="1" applyProtection="1">
      <alignment vertical="center" wrapText="1"/>
    </xf>
    <xf numFmtId="0" fontId="76" fillId="0" borderId="12" xfId="51" applyFont="1" applyFill="1" applyBorder="1" applyAlignment="1" applyProtection="1">
      <alignment vertical="center" wrapText="1"/>
    </xf>
    <xf numFmtId="10" fontId="75" fillId="0" borderId="10" xfId="51" applyNumberFormat="1" applyFont="1" applyFill="1" applyBorder="1" applyAlignment="1" applyProtection="1">
      <alignment vertical="center" wrapText="1"/>
    </xf>
    <xf numFmtId="170" fontId="75" fillId="0" borderId="10" xfId="42" applyNumberFormat="1" applyFont="1" applyFill="1" applyBorder="1" applyAlignment="1" applyProtection="1">
      <alignment vertical="center" wrapText="1"/>
    </xf>
    <xf numFmtId="0" fontId="56" fillId="0" borderId="28" xfId="46" applyFont="1" applyBorder="1" applyAlignment="1" applyProtection="1">
      <alignment vertical="center" wrapText="1"/>
    </xf>
    <xf numFmtId="170" fontId="56" fillId="0" borderId="62" xfId="42" applyNumberFormat="1" applyFont="1" applyBorder="1" applyAlignment="1" applyProtection="1">
      <alignment vertical="center" wrapText="1"/>
    </xf>
    <xf numFmtId="0" fontId="76" fillId="0" borderId="28" xfId="51" applyFont="1" applyBorder="1" applyAlignment="1" applyProtection="1">
      <alignment vertical="center" wrapText="1"/>
    </xf>
    <xf numFmtId="0" fontId="76" fillId="0" borderId="30" xfId="51" applyFont="1" applyBorder="1" applyAlignment="1" applyProtection="1">
      <alignment vertical="center" wrapText="1"/>
    </xf>
    <xf numFmtId="0" fontId="76" fillId="0" borderId="30" xfId="51" applyFont="1" applyFill="1" applyBorder="1" applyAlignment="1" applyProtection="1">
      <alignment vertical="center" wrapText="1"/>
    </xf>
    <xf numFmtId="0" fontId="11" fillId="0" borderId="0" xfId="46" applyAlignment="1" applyProtection="1">
      <alignment vertical="center" wrapText="1"/>
    </xf>
    <xf numFmtId="172" fontId="11" fillId="0" borderId="0" xfId="28" applyNumberFormat="1" applyFont="1" applyAlignment="1" applyProtection="1">
      <alignment vertical="center" wrapText="1"/>
    </xf>
    <xf numFmtId="172" fontId="13" fillId="0" borderId="0" xfId="28" applyNumberFormat="1" applyFont="1" applyAlignment="1" applyProtection="1">
      <alignment vertical="center" wrapText="1"/>
    </xf>
    <xf numFmtId="0" fontId="0" fillId="0" borderId="0" xfId="0" applyFill="1" applyBorder="1" applyAlignment="1" applyProtection="1">
      <alignment vertical="center" wrapText="1"/>
    </xf>
    <xf numFmtId="0" fontId="0" fillId="0" borderId="0" xfId="0" applyAlignment="1" applyProtection="1">
      <alignment vertical="center" wrapText="1"/>
    </xf>
    <xf numFmtId="0" fontId="56" fillId="0" borderId="32" xfId="46" applyFont="1" applyFill="1" applyBorder="1" applyAlignment="1" applyProtection="1">
      <alignment vertical="center" wrapText="1"/>
    </xf>
    <xf numFmtId="0" fontId="57" fillId="0" borderId="24" xfId="46" applyFont="1" applyFill="1" applyBorder="1" applyAlignment="1" applyProtection="1">
      <alignment horizontal="center" vertical="center" wrapText="1"/>
    </xf>
    <xf numFmtId="171" fontId="56" fillId="0" borderId="10" xfId="29" applyNumberFormat="1" applyFont="1" applyBorder="1" applyAlignment="1" applyProtection="1">
      <alignment vertical="center" wrapText="1"/>
    </xf>
    <xf numFmtId="0" fontId="14" fillId="0" borderId="0" xfId="0" applyFont="1" applyAlignment="1" applyProtection="1">
      <alignment vertical="center" wrapText="1"/>
    </xf>
    <xf numFmtId="0" fontId="11" fillId="0" borderId="0" xfId="0" applyFont="1" applyAlignment="1" applyProtection="1">
      <alignment vertical="top" wrapText="1"/>
    </xf>
    <xf numFmtId="0" fontId="11" fillId="0" borderId="0" xfId="0" applyFont="1" applyAlignment="1" applyProtection="1">
      <alignment horizontal="left" vertical="top"/>
    </xf>
    <xf numFmtId="0" fontId="0" fillId="0" borderId="20" xfId="0" applyBorder="1" applyProtection="1"/>
    <xf numFmtId="0" fontId="0" fillId="0" borderId="0" xfId="0" applyAlignment="1" applyProtection="1">
      <alignment horizontal="center" vertical="center" wrapText="1"/>
    </xf>
    <xf numFmtId="0" fontId="0" fillId="0" borderId="10" xfId="0" applyBorder="1" applyProtection="1"/>
    <xf numFmtId="172" fontId="11" fillId="0" borderId="10" xfId="28" applyNumberFormat="1" applyBorder="1" applyProtection="1"/>
    <xf numFmtId="171" fontId="11" fillId="0" borderId="10" xfId="29" applyNumberFormat="1" applyBorder="1" applyProtection="1"/>
    <xf numFmtId="0" fontId="14" fillId="0" borderId="24" xfId="0" applyFont="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61" xfId="0" applyFont="1" applyBorder="1" applyAlignment="1" applyProtection="1">
      <alignment horizontal="center" vertical="center" wrapText="1"/>
    </xf>
    <xf numFmtId="0" fontId="0" fillId="0" borderId="10" xfId="0" quotePrefix="1" applyBorder="1" applyAlignment="1" applyProtection="1">
      <alignment horizontal="center"/>
    </xf>
    <xf numFmtId="0" fontId="11" fillId="0" borderId="10" xfId="0" quotePrefix="1" applyFont="1" applyBorder="1" applyAlignment="1" applyProtection="1">
      <alignment horizontal="center"/>
    </xf>
    <xf numFmtId="0" fontId="11" fillId="0" borderId="25" xfId="0" quotePrefix="1" applyFont="1" applyBorder="1" applyAlignment="1" applyProtection="1">
      <alignment horizontal="center"/>
    </xf>
    <xf numFmtId="0" fontId="0" fillId="0" borderId="25" xfId="0" quotePrefix="1" applyBorder="1" applyAlignment="1" applyProtection="1">
      <alignment horizontal="center"/>
    </xf>
    <xf numFmtId="0" fontId="14" fillId="0" borderId="27" xfId="0" applyFont="1" applyBorder="1" applyAlignment="1" applyProtection="1">
      <alignment horizontal="center" vertical="top"/>
    </xf>
    <xf numFmtId="0" fontId="0" fillId="0" borderId="10" xfId="0" applyBorder="1" applyAlignment="1" applyProtection="1">
      <alignment vertical="top" wrapText="1"/>
    </xf>
    <xf numFmtId="10" fontId="0" fillId="0" borderId="10" xfId="42" applyNumberFormat="1" applyFont="1" applyBorder="1" applyAlignment="1" applyProtection="1">
      <alignment vertical="top"/>
    </xf>
    <xf numFmtId="10" fontId="0" fillId="0" borderId="25" xfId="42" applyNumberFormat="1" applyFont="1" applyBorder="1" applyAlignment="1" applyProtection="1">
      <alignment vertical="top"/>
    </xf>
    <xf numFmtId="0" fontId="0" fillId="0" borderId="17" xfId="0" applyBorder="1" applyAlignment="1" applyProtection="1">
      <alignment vertical="top" wrapText="1"/>
    </xf>
    <xf numFmtId="0" fontId="0" fillId="0" borderId="17" xfId="0" applyFill="1" applyBorder="1" applyAlignment="1" applyProtection="1">
      <alignment vertical="top"/>
    </xf>
    <xf numFmtId="171" fontId="0" fillId="0" borderId="17" xfId="29" applyNumberFormat="1" applyFont="1" applyFill="1" applyBorder="1" applyAlignment="1" applyProtection="1">
      <alignment vertical="top"/>
    </xf>
    <xf numFmtId="10" fontId="0" fillId="0" borderId="10" xfId="42" applyNumberFormat="1" applyFont="1" applyFill="1" applyBorder="1" applyAlignment="1" applyProtection="1">
      <alignment vertical="top"/>
    </xf>
    <xf numFmtId="10" fontId="0" fillId="0" borderId="25" xfId="42" applyNumberFormat="1" applyFont="1" applyFill="1" applyBorder="1" applyAlignment="1" applyProtection="1">
      <alignment vertical="top"/>
    </xf>
    <xf numFmtId="0" fontId="14" fillId="0" borderId="89" xfId="0" applyFont="1" applyBorder="1" applyAlignment="1" applyProtection="1">
      <alignment horizontal="center" vertical="top"/>
    </xf>
    <xf numFmtId="0" fontId="11" fillId="0" borderId="10" xfId="0" applyFont="1" applyBorder="1" applyAlignment="1" applyProtection="1">
      <alignment vertical="top" wrapText="1"/>
    </xf>
    <xf numFmtId="0" fontId="11" fillId="0" borderId="74" xfId="0" applyFont="1" applyBorder="1" applyAlignment="1" applyProtection="1">
      <alignment vertical="top" wrapText="1"/>
    </xf>
    <xf numFmtId="0" fontId="0" fillId="0" borderId="105" xfId="0" applyBorder="1" applyAlignment="1" applyProtection="1">
      <alignment vertical="top" wrapText="1"/>
    </xf>
    <xf numFmtId="10" fontId="0" fillId="0" borderId="26" xfId="42" applyNumberFormat="1" applyFont="1" applyBorder="1" applyAlignment="1" applyProtection="1">
      <alignment vertical="top"/>
    </xf>
    <xf numFmtId="10" fontId="0" fillId="0" borderId="62" xfId="42" applyNumberFormat="1" applyFont="1" applyBorder="1" applyAlignment="1" applyProtection="1">
      <alignment vertical="top"/>
    </xf>
    <xf numFmtId="0" fontId="11" fillId="0" borderId="19" xfId="0" applyFont="1" applyBorder="1" applyAlignment="1" applyProtection="1">
      <alignment vertical="top" wrapText="1"/>
    </xf>
    <xf numFmtId="0" fontId="0" fillId="62" borderId="19" xfId="0" applyFill="1" applyBorder="1" applyAlignment="1" applyProtection="1">
      <alignment vertical="top"/>
    </xf>
    <xf numFmtId="171" fontId="0" fillId="0" borderId="19" xfId="29" applyNumberFormat="1" applyFont="1" applyBorder="1" applyAlignment="1" applyProtection="1">
      <alignment vertical="top"/>
    </xf>
    <xf numFmtId="10" fontId="0" fillId="0" borderId="19" xfId="42" applyNumberFormat="1" applyFont="1" applyBorder="1" applyAlignment="1" applyProtection="1">
      <alignment vertical="top"/>
    </xf>
    <xf numFmtId="10" fontId="0" fillId="0" borderId="63" xfId="42" applyNumberFormat="1" applyFont="1" applyBorder="1" applyAlignment="1" applyProtection="1">
      <alignment vertical="top"/>
    </xf>
    <xf numFmtId="0" fontId="11" fillId="0" borderId="36" xfId="0" applyFont="1" applyBorder="1" applyAlignment="1" applyProtection="1">
      <alignment vertical="top" wrapText="1"/>
    </xf>
    <xf numFmtId="0" fontId="0" fillId="62" borderId="36" xfId="0" applyFill="1" applyBorder="1" applyAlignment="1" applyProtection="1">
      <alignment vertical="top"/>
    </xf>
    <xf numFmtId="171" fontId="0" fillId="0" borderId="36" xfId="29" applyNumberFormat="1" applyFont="1" applyBorder="1" applyAlignment="1" applyProtection="1">
      <alignment vertical="top"/>
    </xf>
    <xf numFmtId="10" fontId="0" fillId="0" borderId="36" xfId="42" applyNumberFormat="1" applyFont="1" applyBorder="1" applyAlignment="1" applyProtection="1">
      <alignment vertical="top"/>
    </xf>
    <xf numFmtId="10" fontId="0" fillId="0" borderId="37" xfId="42" applyNumberFormat="1" applyFont="1" applyBorder="1" applyAlignment="1" applyProtection="1">
      <alignment vertical="top"/>
    </xf>
    <xf numFmtId="0" fontId="14" fillId="0" borderId="28" xfId="0" applyFont="1" applyBorder="1" applyAlignment="1" applyProtection="1">
      <alignment horizontal="center" vertical="top"/>
    </xf>
    <xf numFmtId="0" fontId="0" fillId="0" borderId="34" xfId="0" applyBorder="1" applyAlignment="1" applyProtection="1">
      <alignment vertical="top" wrapText="1"/>
    </xf>
    <xf numFmtId="0" fontId="0" fillId="62" borderId="34" xfId="0" applyFill="1" applyBorder="1" applyAlignment="1" applyProtection="1">
      <alignment vertical="top"/>
    </xf>
    <xf numFmtId="171" fontId="0" fillId="0" borderId="34" xfId="29" applyNumberFormat="1" applyFont="1" applyBorder="1" applyAlignment="1" applyProtection="1">
      <alignment vertical="top"/>
    </xf>
    <xf numFmtId="10" fontId="0" fillId="0" borderId="34" xfId="42" applyNumberFormat="1" applyFont="1" applyBorder="1" applyAlignment="1" applyProtection="1">
      <alignment vertical="top"/>
    </xf>
    <xf numFmtId="10" fontId="0" fillId="0" borderId="35" xfId="42" applyNumberFormat="1" applyFont="1" applyBorder="1" applyAlignment="1" applyProtection="1">
      <alignment vertical="top"/>
    </xf>
    <xf numFmtId="0" fontId="14" fillId="0" borderId="20" xfId="0" applyFont="1" applyBorder="1" applyProtection="1"/>
    <xf numFmtId="0" fontId="14" fillId="0" borderId="65" xfId="0" applyFont="1" applyBorder="1" applyAlignment="1" applyProtection="1">
      <alignment horizontal="center"/>
    </xf>
    <xf numFmtId="0" fontId="0" fillId="0" borderId="91" xfId="0" applyBorder="1" applyAlignment="1" applyProtection="1">
      <alignment horizontal="left" wrapText="1"/>
    </xf>
    <xf numFmtId="171" fontId="0" fillId="0" borderId="31" xfId="0" applyNumberFormat="1" applyFill="1" applyBorder="1" applyProtection="1"/>
    <xf numFmtId="0" fontId="0" fillId="0" borderId="101" xfId="0" applyFill="1" applyBorder="1" applyProtection="1"/>
    <xf numFmtId="0" fontId="0" fillId="0" borderId="31" xfId="0" applyFill="1" applyBorder="1" applyProtection="1"/>
    <xf numFmtId="0" fontId="0" fillId="0" borderId="0" xfId="0" applyBorder="1" applyProtection="1"/>
    <xf numFmtId="0" fontId="14" fillId="0" borderId="0" xfId="0" applyFont="1" applyFill="1" applyBorder="1" applyAlignment="1" applyProtection="1">
      <alignment horizontal="center" vertical="center" wrapText="1"/>
    </xf>
    <xf numFmtId="0" fontId="14" fillId="0" borderId="0" xfId="0" applyFont="1" applyBorder="1" applyAlignment="1" applyProtection="1">
      <alignment horizontal="center" vertical="top"/>
    </xf>
    <xf numFmtId="0" fontId="0" fillId="0" borderId="0" xfId="0" applyFill="1" applyBorder="1" applyAlignment="1" applyProtection="1">
      <alignment horizontal="right" vertical="center"/>
    </xf>
    <xf numFmtId="0" fontId="19" fillId="0" borderId="0" xfId="0" quotePrefix="1" applyFont="1" applyAlignment="1" applyProtection="1">
      <alignment horizontal="center"/>
    </xf>
    <xf numFmtId="0" fontId="0" fillId="0" borderId="27" xfId="0" applyFill="1" applyBorder="1" applyProtection="1"/>
    <xf numFmtId="0" fontId="14" fillId="0" borderId="27" xfId="0" applyFont="1" applyBorder="1" applyAlignment="1" applyProtection="1">
      <alignment vertical="top"/>
    </xf>
    <xf numFmtId="172" fontId="0" fillId="0" borderId="25" xfId="28" applyNumberFormat="1" applyFont="1" applyBorder="1" applyAlignment="1" applyProtection="1">
      <alignment horizontal="right" vertical="center"/>
    </xf>
    <xf numFmtId="172" fontId="0" fillId="0" borderId="10" xfId="28" applyNumberFormat="1" applyFont="1" applyFill="1" applyBorder="1" applyAlignment="1" applyProtection="1">
      <alignment horizontal="right" vertical="center"/>
    </xf>
    <xf numFmtId="172" fontId="0" fillId="0" borderId="25" xfId="28" applyNumberFormat="1" applyFont="1" applyFill="1" applyBorder="1" applyAlignment="1" applyProtection="1">
      <alignment horizontal="right" vertical="center"/>
    </xf>
    <xf numFmtId="182" fontId="0" fillId="0" borderId="10" xfId="0" applyNumberFormat="1" applyFill="1" applyBorder="1" applyAlignment="1" applyProtection="1">
      <alignment horizontal="right" vertical="center"/>
    </xf>
    <xf numFmtId="182" fontId="0" fillId="0" borderId="25" xfId="0" applyNumberFormat="1" applyFill="1" applyBorder="1" applyAlignment="1" applyProtection="1">
      <alignment horizontal="right" vertical="center"/>
    </xf>
    <xf numFmtId="0" fontId="0" fillId="0" borderId="27" xfId="0" applyFill="1" applyBorder="1" applyAlignment="1" applyProtection="1">
      <alignment vertical="top"/>
    </xf>
    <xf numFmtId="182" fontId="0" fillId="0" borderId="25" xfId="0" applyNumberFormat="1" applyBorder="1" applyAlignment="1" applyProtection="1">
      <alignment horizontal="right" vertical="center"/>
    </xf>
    <xf numFmtId="0" fontId="0" fillId="0" borderId="28" xfId="0" applyBorder="1" applyAlignment="1" applyProtection="1">
      <alignment vertical="top"/>
    </xf>
    <xf numFmtId="0" fontId="0" fillId="0" borderId="26" xfId="0" applyBorder="1" applyAlignment="1" applyProtection="1">
      <alignment vertical="top" wrapText="1"/>
    </xf>
    <xf numFmtId="182" fontId="0" fillId="0" borderId="26" xfId="0" applyNumberFormat="1" applyBorder="1" applyAlignment="1" applyProtection="1">
      <alignment horizontal="right" vertical="center"/>
    </xf>
    <xf numFmtId="182" fontId="0" fillId="0" borderId="62" xfId="0" applyNumberFormat="1" applyBorder="1" applyAlignment="1" applyProtection="1">
      <alignment horizontal="right" vertical="center"/>
    </xf>
    <xf numFmtId="0" fontId="33" fillId="0" borderId="0" xfId="0" applyFont="1" applyAlignment="1" applyProtection="1">
      <alignment horizontal="center"/>
    </xf>
    <xf numFmtId="0" fontId="141" fillId="0" borderId="0" xfId="0" applyFont="1" applyFill="1" applyAlignment="1" applyProtection="1">
      <alignment horizontal="center" vertical="top"/>
    </xf>
    <xf numFmtId="0" fontId="141" fillId="0" borderId="0" xfId="0" applyFont="1" applyFill="1" applyBorder="1" applyAlignment="1" applyProtection="1">
      <alignment horizontal="center" vertical="top"/>
    </xf>
    <xf numFmtId="0" fontId="0" fillId="0" borderId="0" xfId="0" applyAlignment="1" applyProtection="1">
      <alignment horizontal="center"/>
    </xf>
    <xf numFmtId="0" fontId="132" fillId="0" borderId="0" xfId="0" applyFont="1" applyBorder="1" applyAlignment="1" applyProtection="1">
      <alignment vertical="top"/>
    </xf>
    <xf numFmtId="0" fontId="142" fillId="0" borderId="0" xfId="0" applyFont="1" applyBorder="1" applyProtection="1"/>
    <xf numFmtId="0" fontId="133" fillId="0" borderId="0" xfId="0" applyFont="1" applyBorder="1" applyProtection="1"/>
    <xf numFmtId="0" fontId="131" fillId="0" borderId="170" xfId="0" applyFont="1" applyFill="1" applyBorder="1" applyAlignment="1" applyProtection="1">
      <alignment vertical="center"/>
    </xf>
    <xf numFmtId="0" fontId="131" fillId="82" borderId="0" xfId="0" applyFont="1" applyFill="1" applyBorder="1" applyAlignment="1" applyProtection="1">
      <alignment vertical="center"/>
    </xf>
    <xf numFmtId="0" fontId="135" fillId="0" borderId="0" xfId="0" applyFont="1" applyProtection="1"/>
    <xf numFmtId="0" fontId="131" fillId="82" borderId="173" xfId="0" applyFont="1" applyFill="1" applyBorder="1" applyAlignment="1" applyProtection="1">
      <alignment vertical="center"/>
    </xf>
    <xf numFmtId="196" fontId="135" fillId="0" borderId="0" xfId="0" applyNumberFormat="1" applyFont="1" applyProtection="1"/>
    <xf numFmtId="0" fontId="131" fillId="0" borderId="173" xfId="0" applyFont="1" applyFill="1" applyBorder="1" applyAlignment="1" applyProtection="1">
      <alignment vertical="center"/>
    </xf>
    <xf numFmtId="10" fontId="135" fillId="0" borderId="0" xfId="0" applyNumberFormat="1" applyFont="1" applyProtection="1"/>
    <xf numFmtId="0" fontId="137" fillId="0" borderId="173" xfId="0" applyFont="1" applyFill="1" applyBorder="1" applyAlignment="1" applyProtection="1">
      <alignment horizontal="left" indent="1"/>
    </xf>
    <xf numFmtId="0" fontId="137" fillId="0" borderId="173" xfId="0" applyFont="1" applyFill="1" applyBorder="1" applyProtection="1"/>
    <xf numFmtId="10" fontId="143" fillId="0" borderId="10" xfId="0" applyNumberFormat="1" applyFont="1" applyBorder="1" applyProtection="1"/>
    <xf numFmtId="0" fontId="135" fillId="0" borderId="30" xfId="0" applyFont="1" applyBorder="1" applyProtection="1"/>
    <xf numFmtId="0" fontId="137" fillId="0" borderId="30" xfId="0" applyFont="1" applyFill="1" applyBorder="1" applyAlignment="1" applyProtection="1">
      <alignment horizontal="left" indent="1"/>
    </xf>
    <xf numFmtId="0" fontId="137" fillId="0" borderId="30" xfId="0" applyFont="1" applyFill="1" applyBorder="1" applyProtection="1"/>
    <xf numFmtId="10" fontId="143" fillId="0" borderId="30" xfId="0" applyNumberFormat="1" applyFont="1" applyBorder="1" applyProtection="1"/>
    <xf numFmtId="0" fontId="137" fillId="0" borderId="0" xfId="0" applyFont="1" applyFill="1" applyBorder="1" applyAlignment="1" applyProtection="1">
      <alignment horizontal="left" indent="1"/>
    </xf>
    <xf numFmtId="0" fontId="137" fillId="0" borderId="0" xfId="0" applyFont="1" applyFill="1" applyBorder="1" applyProtection="1"/>
    <xf numFmtId="10" fontId="143" fillId="0" borderId="0" xfId="0" applyNumberFormat="1" applyFont="1" applyBorder="1" applyProtection="1"/>
    <xf numFmtId="0" fontId="144" fillId="0" borderId="0" xfId="0" applyFont="1" applyProtection="1"/>
    <xf numFmtId="0" fontId="135" fillId="0" borderId="0" xfId="0" applyFont="1" applyFill="1" applyBorder="1" applyProtection="1"/>
    <xf numFmtId="0" fontId="135" fillId="0" borderId="0" xfId="0" applyFont="1" applyAlignment="1" applyProtection="1">
      <alignment horizontal="right"/>
    </xf>
    <xf numFmtId="0" fontId="138" fillId="0" borderId="0" xfId="0" applyFont="1" applyAlignment="1" applyProtection="1">
      <alignment horizontal="center" vertical="top"/>
    </xf>
    <xf numFmtId="0" fontId="145" fillId="0" borderId="44" xfId="0" applyFont="1" applyFill="1" applyBorder="1" applyProtection="1"/>
    <xf numFmtId="168" fontId="135" fillId="0" borderId="0" xfId="29" applyFont="1" applyFill="1" applyBorder="1" applyProtection="1"/>
    <xf numFmtId="0" fontId="133" fillId="0" borderId="0" xfId="0" applyFont="1" applyFill="1" applyBorder="1" applyProtection="1"/>
    <xf numFmtId="0" fontId="135" fillId="0" borderId="70" xfId="0" applyFont="1" applyBorder="1" applyProtection="1"/>
    <xf numFmtId="0" fontId="135" fillId="0" borderId="0" xfId="0" applyFont="1" applyBorder="1" applyProtection="1"/>
    <xf numFmtId="0" fontId="145" fillId="0" borderId="0" xfId="0" applyFont="1" applyFill="1" applyBorder="1" applyProtection="1"/>
    <xf numFmtId="0" fontId="135" fillId="64" borderId="0" xfId="0" applyFont="1" applyFill="1" applyProtection="1"/>
    <xf numFmtId="0" fontId="44" fillId="0" borderId="19" xfId="0" applyFont="1" applyFill="1" applyBorder="1" applyProtection="1"/>
    <xf numFmtId="0" fontId="136" fillId="0" borderId="171" xfId="0" applyFont="1" applyFill="1" applyBorder="1" applyProtection="1"/>
    <xf numFmtId="0" fontId="135" fillId="67" borderId="18" xfId="0" applyFont="1" applyFill="1" applyBorder="1" applyAlignment="1" applyProtection="1"/>
    <xf numFmtId="0" fontId="135" fillId="64" borderId="109" xfId="0" applyFont="1" applyFill="1" applyBorder="1" applyProtection="1"/>
    <xf numFmtId="0" fontId="136" fillId="0" borderId="0" xfId="0" applyFont="1" applyBorder="1" applyAlignment="1" applyProtection="1">
      <alignment horizontal="left" vertical="top"/>
    </xf>
    <xf numFmtId="0" fontId="135" fillId="67" borderId="15" xfId="0" applyFont="1" applyFill="1" applyBorder="1" applyAlignment="1" applyProtection="1">
      <alignment horizontal="center"/>
    </xf>
    <xf numFmtId="0" fontId="131" fillId="0" borderId="171" xfId="0" applyFont="1" applyFill="1" applyBorder="1" applyAlignment="1" applyProtection="1">
      <alignment horizontal="left" indent="1"/>
    </xf>
    <xf numFmtId="197" fontId="131" fillId="0" borderId="10" xfId="0" applyNumberFormat="1" applyFont="1" applyFill="1" applyBorder="1" applyProtection="1"/>
    <xf numFmtId="0" fontId="135" fillId="67" borderId="0" xfId="0" applyFont="1" applyFill="1" applyProtection="1"/>
    <xf numFmtId="0" fontId="139" fillId="0" borderId="171" xfId="0" applyFont="1" applyFill="1" applyBorder="1" applyAlignment="1" applyProtection="1">
      <alignment horizontal="left" indent="1"/>
    </xf>
    <xf numFmtId="0" fontId="135" fillId="67" borderId="15" xfId="0" applyFont="1" applyFill="1" applyBorder="1" applyProtection="1"/>
    <xf numFmtId="198" fontId="139" fillId="0" borderId="10" xfId="0" applyNumberFormat="1" applyFont="1" applyFill="1" applyBorder="1" applyProtection="1"/>
    <xf numFmtId="0" fontId="135" fillId="0" borderId="171" xfId="0" applyFont="1" applyFill="1" applyBorder="1" applyProtection="1"/>
    <xf numFmtId="10" fontId="135" fillId="0" borderId="10" xfId="0" applyNumberFormat="1" applyFont="1" applyFill="1" applyBorder="1" applyProtection="1"/>
    <xf numFmtId="10" fontId="135" fillId="0" borderId="173" xfId="0" applyNumberFormat="1" applyFont="1" applyFill="1" applyBorder="1" applyProtection="1"/>
    <xf numFmtId="201" fontId="135" fillId="86" borderId="74" xfId="29" applyNumberFormat="1" applyFont="1" applyFill="1" applyBorder="1" applyProtection="1"/>
    <xf numFmtId="0" fontId="135" fillId="67" borderId="0" xfId="0" applyFont="1" applyFill="1" applyBorder="1" applyProtection="1"/>
    <xf numFmtId="195" fontId="131" fillId="0" borderId="33" xfId="0" applyNumberFormat="1" applyFont="1" applyFill="1" applyBorder="1" applyProtection="1"/>
    <xf numFmtId="195" fontId="131" fillId="0" borderId="10" xfId="0" applyNumberFormat="1" applyFont="1" applyFill="1" applyBorder="1" applyProtection="1"/>
    <xf numFmtId="195" fontId="131" fillId="0" borderId="173" xfId="0" applyNumberFormat="1" applyFont="1" applyFill="1" applyBorder="1" applyProtection="1"/>
    <xf numFmtId="0" fontId="140" fillId="0" borderId="0" xfId="0" applyFont="1" applyBorder="1" applyProtection="1"/>
    <xf numFmtId="0" fontId="131" fillId="0" borderId="173" xfId="0" applyFont="1" applyBorder="1" applyProtection="1"/>
    <xf numFmtId="0" fontId="0" fillId="0" borderId="173" xfId="0" applyBorder="1" applyAlignment="1" applyProtection="1">
      <alignment horizontal="center"/>
    </xf>
    <xf numFmtId="0" fontId="131" fillId="0" borderId="173" xfId="0" applyFont="1" applyBorder="1" applyAlignment="1" applyProtection="1">
      <alignment horizontal="center"/>
    </xf>
    <xf numFmtId="200" fontId="0" fillId="0" borderId="173" xfId="0" applyNumberFormat="1" applyFill="1" applyBorder="1" applyAlignment="1" applyProtection="1">
      <alignment horizontal="right"/>
    </xf>
    <xf numFmtId="0" fontId="131" fillId="0" borderId="171" xfId="0" applyFont="1" applyBorder="1" applyAlignment="1" applyProtection="1">
      <alignment horizontal="center"/>
    </xf>
    <xf numFmtId="0" fontId="131" fillId="0" borderId="10" xfId="0" applyFont="1" applyBorder="1" applyAlignment="1" applyProtection="1">
      <alignment horizontal="center"/>
    </xf>
    <xf numFmtId="0" fontId="131" fillId="0" borderId="0" xfId="0" applyFont="1" applyProtection="1"/>
    <xf numFmtId="0" fontId="0" fillId="0" borderId="173" xfId="0" applyFont="1" applyBorder="1" applyProtection="1"/>
    <xf numFmtId="0" fontId="0" fillId="0" borderId="171" xfId="0" applyBorder="1" applyAlignment="1" applyProtection="1">
      <alignment horizontal="center"/>
    </xf>
    <xf numFmtId="0" fontId="0" fillId="0" borderId="10" xfId="0" applyBorder="1" applyAlignment="1" applyProtection="1">
      <alignment horizontal="center"/>
    </xf>
    <xf numFmtId="0" fontId="136" fillId="0" borderId="10" xfId="0" applyFont="1" applyBorder="1" applyAlignment="1" applyProtection="1">
      <alignment horizontal="center"/>
    </xf>
    <xf numFmtId="200" fontId="0" fillId="0" borderId="10" xfId="0" applyNumberFormat="1" applyFill="1" applyBorder="1" applyAlignment="1" applyProtection="1">
      <alignment horizontal="right"/>
    </xf>
    <xf numFmtId="0" fontId="0" fillId="0" borderId="10" xfId="0" applyFill="1" applyBorder="1" applyAlignment="1" applyProtection="1">
      <alignment horizontal="right"/>
    </xf>
    <xf numFmtId="195" fontId="0" fillId="0" borderId="10" xfId="0" applyNumberFormat="1" applyFill="1" applyBorder="1" applyAlignment="1" applyProtection="1">
      <alignment horizontal="right"/>
    </xf>
    <xf numFmtId="0" fontId="0" fillId="0" borderId="0" xfId="0" quotePrefix="1" applyProtection="1"/>
    <xf numFmtId="37" fontId="131" fillId="0" borderId="10" xfId="0" applyNumberFormat="1" applyFont="1" applyBorder="1" applyAlignment="1" applyProtection="1">
      <alignment horizontal="right"/>
    </xf>
    <xf numFmtId="0" fontId="131" fillId="0" borderId="10" xfId="0" applyFont="1" applyFill="1" applyBorder="1" applyAlignment="1" applyProtection="1">
      <alignment horizontal="right"/>
    </xf>
    <xf numFmtId="200" fontId="131" fillId="0" borderId="10" xfId="0" applyNumberFormat="1" applyFont="1" applyBorder="1" applyAlignment="1" applyProtection="1">
      <alignment horizontal="right"/>
    </xf>
    <xf numFmtId="195" fontId="131" fillId="0" borderId="10"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0" xfId="0" quotePrefix="1" applyNumberFormat="1" applyFill="1" applyBorder="1" applyAlignment="1" applyProtection="1">
      <alignment horizontal="right"/>
    </xf>
    <xf numFmtId="182" fontId="0" fillId="0" borderId="10" xfId="0" applyNumberFormat="1" applyFill="1" applyBorder="1" applyAlignment="1" applyProtection="1">
      <alignment horizontal="right"/>
    </xf>
    <xf numFmtId="196" fontId="134" fillId="0" borderId="0" xfId="138" applyNumberFormat="1" applyProtection="1"/>
    <xf numFmtId="49" fontId="0" fillId="0" borderId="173" xfId="0" applyNumberFormat="1" applyBorder="1" applyAlignment="1" applyProtection="1">
      <alignment horizontal="center"/>
    </xf>
    <xf numFmtId="200" fontId="0" fillId="0" borderId="0" xfId="0" applyNumberFormat="1" applyProtection="1"/>
    <xf numFmtId="169" fontId="0" fillId="0" borderId="0" xfId="0" applyNumberFormat="1" applyProtection="1"/>
    <xf numFmtId="196" fontId="0" fillId="0" borderId="0" xfId="0" applyNumberFormat="1" applyProtection="1"/>
    <xf numFmtId="37" fontId="136" fillId="29" borderId="173" xfId="138" applyNumberFormat="1" applyFont="1" applyFill="1" applyBorder="1" applyAlignment="1" applyProtection="1">
      <alignment horizontal="right" vertical="center"/>
      <protection locked="0"/>
    </xf>
    <xf numFmtId="196" fontId="136" fillId="85" borderId="173" xfId="138" applyNumberFormat="1" applyFont="1" applyFill="1" applyBorder="1" applyAlignment="1" applyProtection="1">
      <alignment horizontal="right" vertical="center"/>
      <protection locked="0"/>
    </xf>
    <xf numFmtId="197" fontId="136" fillId="85" borderId="10" xfId="0" applyNumberFormat="1" applyFont="1" applyFill="1" applyBorder="1" applyProtection="1">
      <protection locked="0"/>
    </xf>
    <xf numFmtId="197" fontId="135" fillId="85" borderId="10" xfId="0" applyNumberFormat="1" applyFont="1" applyFill="1" applyBorder="1" applyProtection="1">
      <protection locked="0"/>
    </xf>
    <xf numFmtId="196" fontId="134" fillId="29" borderId="173" xfId="138" applyNumberFormat="1" applyFill="1" applyBorder="1" applyAlignment="1" applyProtection="1">
      <alignment horizontal="center"/>
      <protection locked="0"/>
    </xf>
    <xf numFmtId="0" fontId="0" fillId="29" borderId="173" xfId="0" applyFill="1" applyBorder="1" applyAlignment="1" applyProtection="1">
      <alignment horizontal="center"/>
      <protection locked="0"/>
    </xf>
    <xf numFmtId="37" fontId="0" fillId="29" borderId="10" xfId="0" quotePrefix="1" applyNumberFormat="1" applyFill="1" applyBorder="1" applyAlignment="1" applyProtection="1">
      <alignment horizontal="right"/>
      <protection locked="0"/>
    </xf>
    <xf numFmtId="0" fontId="0" fillId="79" borderId="173" xfId="0" applyFill="1" applyBorder="1" applyAlignment="1" applyProtection="1">
      <alignment horizontal="center"/>
      <protection locked="0"/>
    </xf>
    <xf numFmtId="196" fontId="0" fillId="79" borderId="173" xfId="0" applyNumberFormat="1" applyFill="1" applyBorder="1" applyAlignment="1" applyProtection="1">
      <alignment horizontal="center"/>
      <protection locked="0"/>
    </xf>
    <xf numFmtId="0" fontId="0" fillId="79" borderId="171" xfId="0" applyFill="1" applyBorder="1" applyAlignment="1" applyProtection="1">
      <alignment horizontal="center"/>
      <protection locked="0"/>
    </xf>
    <xf numFmtId="49" fontId="0" fillId="79" borderId="173" xfId="0" applyNumberFormat="1" applyFill="1" applyBorder="1" applyAlignment="1" applyProtection="1">
      <alignment horizontal="center"/>
      <protection locked="0"/>
    </xf>
    <xf numFmtId="0" fontId="131" fillId="79" borderId="173" xfId="0" applyFont="1" applyFill="1" applyBorder="1" applyAlignment="1" applyProtection="1">
      <alignment horizontal="center"/>
      <protection locked="0"/>
    </xf>
    <xf numFmtId="0" fontId="131" fillId="79" borderId="171" xfId="0" applyFont="1" applyFill="1" applyBorder="1" applyAlignment="1" applyProtection="1">
      <alignment horizontal="center"/>
      <protection locked="0"/>
    </xf>
    <xf numFmtId="195" fontId="131" fillId="0" borderId="171" xfId="138" applyNumberFormat="1" applyFont="1" applyFill="1" applyBorder="1" applyAlignment="1" applyProtection="1">
      <alignment horizontal="center" vertical="center" wrapText="1"/>
    </xf>
    <xf numFmtId="0" fontId="132" fillId="0" borderId="0" xfId="0" applyFont="1" applyBorder="1" applyAlignment="1" applyProtection="1">
      <alignment horizontal="center" vertical="top"/>
    </xf>
    <xf numFmtId="10" fontId="137" fillId="0" borderId="173" xfId="139" applyNumberFormat="1" applyFont="1" applyFill="1" applyBorder="1" applyAlignment="1" applyProtection="1">
      <alignment horizontal="right"/>
    </xf>
    <xf numFmtId="0" fontId="131" fillId="67" borderId="15" xfId="0" applyFont="1" applyFill="1" applyBorder="1" applyAlignment="1" applyProtection="1">
      <alignment horizontal="center"/>
    </xf>
    <xf numFmtId="198" fontId="139" fillId="0" borderId="174" xfId="0" applyNumberFormat="1" applyFont="1" applyFill="1" applyBorder="1" applyProtection="1"/>
    <xf numFmtId="0" fontId="33" fillId="0" borderId="0" xfId="0" applyFont="1" applyAlignment="1" applyProtection="1">
      <alignment vertical="top" wrapText="1"/>
    </xf>
    <xf numFmtId="0" fontId="11" fillId="0" borderId="0" xfId="0" applyFont="1" applyAlignment="1" applyProtection="1">
      <alignment vertical="top" wrapText="1"/>
    </xf>
    <xf numFmtId="0" fontId="50" fillId="0" borderId="0" xfId="0" applyFont="1" applyBorder="1" applyAlignment="1" applyProtection="1"/>
    <xf numFmtId="0" fontId="11" fillId="0" borderId="0" xfId="0" applyFont="1" applyAlignment="1" applyProtection="1"/>
    <xf numFmtId="9" fontId="11" fillId="0" borderId="0" xfId="29" applyNumberFormat="1" applyFont="1" applyFill="1" applyAlignment="1" applyProtection="1">
      <alignment horizontal="center"/>
    </xf>
    <xf numFmtId="0" fontId="11" fillId="0" borderId="0" xfId="0" applyFont="1" applyFill="1" applyAlignment="1" applyProtection="1">
      <alignment horizontal="center"/>
    </xf>
    <xf numFmtId="9" fontId="11" fillId="0" borderId="0" xfId="0" applyNumberFormat="1" applyFont="1" applyFill="1" applyAlignment="1" applyProtection="1">
      <alignment horizontal="center"/>
    </xf>
    <xf numFmtId="3" fontId="0" fillId="0" borderId="10" xfId="0" applyNumberFormat="1" applyFill="1" applyBorder="1" applyProtection="1"/>
    <xf numFmtId="3" fontId="14" fillId="0" borderId="56" xfId="0" applyNumberFormat="1" applyFont="1" applyFill="1" applyBorder="1" applyProtection="1"/>
    <xf numFmtId="0" fontId="44" fillId="0" borderId="52" xfId="93" applyFont="1" applyBorder="1" applyAlignment="1" applyProtection="1">
      <alignment horizontal="center" vertical="center"/>
    </xf>
    <xf numFmtId="0" fontId="44" fillId="0" borderId="42" xfId="93" applyFont="1" applyBorder="1" applyAlignment="1" applyProtection="1">
      <alignment horizontal="center" vertical="center"/>
    </xf>
    <xf numFmtId="0" fontId="44" fillId="0" borderId="42" xfId="96" applyFont="1" applyBorder="1" applyAlignment="1" applyProtection="1">
      <alignment horizontal="center"/>
    </xf>
    <xf numFmtId="0" fontId="44" fillId="0" borderId="131" xfId="96" applyFont="1" applyBorder="1" applyAlignment="1" applyProtection="1">
      <alignment horizontal="center"/>
    </xf>
    <xf numFmtId="179" fontId="8" fillId="0" borderId="134" xfId="93" applyNumberFormat="1" applyBorder="1" applyProtection="1"/>
    <xf numFmtId="0" fontId="0" fillId="0" borderId="0" xfId="0" applyAlignment="1">
      <alignment horizontal="right"/>
    </xf>
    <xf numFmtId="0" fontId="0" fillId="0" borderId="0" xfId="0" applyNumberFormat="1"/>
    <xf numFmtId="171" fontId="0" fillId="0" borderId="10" xfId="29" applyNumberFormat="1" applyFont="1" applyBorder="1" applyProtection="1"/>
    <xf numFmtId="171" fontId="14" fillId="0" borderId="10" xfId="46" applyNumberFormat="1" applyFont="1" applyBorder="1" applyProtection="1"/>
    <xf numFmtId="171" fontId="11" fillId="0" borderId="10" xfId="46" applyNumberFormat="1" applyBorder="1" applyProtection="1"/>
    <xf numFmtId="9" fontId="0" fillId="0" borderId="10" xfId="42" applyFont="1" applyBorder="1" applyAlignment="1" applyProtection="1">
      <alignment horizontal="center" vertical="center"/>
    </xf>
    <xf numFmtId="9" fontId="0" fillId="0" borderId="74" xfId="42" applyFont="1" applyBorder="1" applyAlignment="1" applyProtection="1">
      <alignment horizontal="center" vertical="center"/>
    </xf>
    <xf numFmtId="0" fontId="11" fillId="0" borderId="10" xfId="46" applyBorder="1" applyAlignment="1" applyProtection="1">
      <alignment horizontal="center"/>
    </xf>
    <xf numFmtId="171" fontId="0" fillId="0" borderId="33" xfId="29" applyNumberFormat="1" applyFont="1" applyBorder="1" applyProtection="1"/>
    <xf numFmtId="171" fontId="0" fillId="0" borderId="56" xfId="29" applyNumberFormat="1" applyFont="1" applyBorder="1" applyProtection="1"/>
    <xf numFmtId="0" fontId="14" fillId="0" borderId="53" xfId="0" applyFont="1" applyBorder="1" applyProtection="1"/>
    <xf numFmtId="0" fontId="14" fillId="0" borderId="38" xfId="0" applyFont="1" applyBorder="1" applyProtection="1"/>
    <xf numFmtId="0" fontId="14" fillId="0" borderId="53" xfId="0" quotePrefix="1" applyFont="1" applyBorder="1" applyAlignment="1" applyProtection="1">
      <alignment horizontal="left"/>
      <protection locked="0"/>
    </xf>
    <xf numFmtId="0" fontId="14" fillId="0" borderId="33" xfId="0" applyFont="1" applyBorder="1" applyAlignment="1" applyProtection="1">
      <alignment horizontal="left"/>
      <protection locked="0"/>
    </xf>
    <xf numFmtId="171" fontId="14" fillId="0" borderId="84" xfId="46" applyNumberFormat="1" applyFont="1" applyBorder="1" applyProtection="1"/>
    <xf numFmtId="171" fontId="14" fillId="0" borderId="167" xfId="46" applyNumberFormat="1" applyFont="1" applyFill="1" applyBorder="1" applyProtection="1"/>
    <xf numFmtId="10" fontId="99" fillId="0" borderId="168" xfId="136" applyNumberFormat="1" applyFont="1" applyBorder="1" applyProtection="1"/>
    <xf numFmtId="169" fontId="99" fillId="0" borderId="56" xfId="135" applyFont="1" applyBorder="1" applyProtection="1"/>
    <xf numFmtId="0" fontId="44" fillId="0" borderId="44" xfId="93" applyFont="1" applyBorder="1" applyAlignment="1" applyProtection="1">
      <alignment horizontal="center" vertical="center"/>
    </xf>
    <xf numFmtId="0" fontId="44" fillId="0" borderId="44" xfId="96" applyFont="1" applyBorder="1" applyAlignment="1" applyProtection="1">
      <alignment horizontal="center" vertical="center"/>
    </xf>
    <xf numFmtId="0" fontId="44" fillId="0" borderId="22" xfId="96" applyFont="1" applyBorder="1" applyAlignment="1" applyProtection="1">
      <alignment horizontal="center" vertical="center"/>
    </xf>
    <xf numFmtId="171" fontId="14" fillId="0" borderId="24" xfId="29" applyNumberFormat="1" applyFont="1" applyFill="1" applyBorder="1" applyProtection="1">
      <protection locked="0"/>
    </xf>
    <xf numFmtId="171" fontId="14" fillId="0" borderId="61" xfId="29" applyNumberFormat="1" applyFont="1" applyFill="1" applyBorder="1" applyProtection="1">
      <protection locked="0"/>
    </xf>
    <xf numFmtId="0" fontId="14" fillId="0" borderId="90" xfId="0" quotePrefix="1" applyFont="1" applyBorder="1" applyAlignment="1" applyProtection="1">
      <alignment horizontal="left"/>
      <protection locked="0"/>
    </xf>
    <xf numFmtId="0" fontId="14" fillId="0" borderId="80" xfId="0" applyFont="1" applyBorder="1" applyAlignment="1" applyProtection="1">
      <alignment horizontal="left"/>
      <protection locked="0"/>
    </xf>
    <xf numFmtId="0" fontId="14" fillId="0" borderId="30" xfId="0" applyFont="1" applyBorder="1" applyAlignment="1" applyProtection="1"/>
    <xf numFmtId="170" fontId="56" fillId="62" borderId="26" xfId="42" applyNumberFormat="1" applyFont="1" applyFill="1" applyBorder="1" applyAlignment="1" applyProtection="1">
      <alignment vertical="center" wrapText="1"/>
    </xf>
    <xf numFmtId="170" fontId="56" fillId="80" borderId="26" xfId="42" applyNumberFormat="1" applyFont="1" applyFill="1" applyBorder="1" applyAlignment="1" applyProtection="1">
      <alignment vertical="center" wrapText="1"/>
    </xf>
    <xf numFmtId="170" fontId="56" fillId="0" borderId="26" xfId="42" applyNumberFormat="1" applyFont="1" applyBorder="1" applyAlignment="1" applyProtection="1">
      <alignment vertical="center" wrapText="1"/>
    </xf>
    <xf numFmtId="0" fontId="0" fillId="0" borderId="30" xfId="0" applyBorder="1" applyAlignment="1" applyProtection="1"/>
    <xf numFmtId="0" fontId="76" fillId="0" borderId="19" xfId="51" applyFont="1" applyFill="1" applyBorder="1" applyAlignment="1" applyProtection="1">
      <alignment vertical="center" wrapText="1"/>
    </xf>
    <xf numFmtId="0" fontId="76" fillId="0" borderId="34" xfId="51" applyFont="1" applyFill="1" applyBorder="1" applyAlignment="1" applyProtection="1">
      <alignment vertical="center" wrapText="1"/>
    </xf>
    <xf numFmtId="0" fontId="0" fillId="0" borderId="70" xfId="0" applyBorder="1" applyProtection="1"/>
    <xf numFmtId="171" fontId="56" fillId="0" borderId="25" xfId="29" applyNumberFormat="1" applyFont="1" applyBorder="1" applyAlignment="1" applyProtection="1">
      <alignment vertical="center" wrapText="1"/>
    </xf>
    <xf numFmtId="0" fontId="0" fillId="0" borderId="30" xfId="0" applyBorder="1" applyProtection="1"/>
    <xf numFmtId="0" fontId="14" fillId="0" borderId="0" xfId="0" applyFont="1" applyFill="1" applyProtection="1"/>
    <xf numFmtId="0" fontId="0" fillId="0" borderId="48" xfId="0" applyFill="1" applyBorder="1" applyProtection="1"/>
    <xf numFmtId="0" fontId="0" fillId="0" borderId="49" xfId="0" applyFill="1" applyBorder="1" applyProtection="1"/>
    <xf numFmtId="0" fontId="0" fillId="0" borderId="52" xfId="0" applyFill="1" applyBorder="1" applyProtection="1"/>
    <xf numFmtId="0" fontId="0" fillId="0" borderId="16" xfId="0" applyFill="1" applyBorder="1" applyProtection="1"/>
    <xf numFmtId="171" fontId="0" fillId="0" borderId="10" xfId="29" applyNumberFormat="1" applyFont="1" applyFill="1" applyBorder="1" applyProtection="1"/>
    <xf numFmtId="171" fontId="0" fillId="0" borderId="25" xfId="29" applyNumberFormat="1" applyFont="1" applyFill="1" applyBorder="1" applyProtection="1"/>
    <xf numFmtId="171" fontId="0" fillId="0" borderId="13" xfId="29" applyNumberFormat="1" applyFont="1" applyFill="1" applyBorder="1" applyProtection="1"/>
    <xf numFmtId="171" fontId="0" fillId="0" borderId="33" xfId="29" applyNumberFormat="1" applyFont="1" applyFill="1" applyBorder="1" applyProtection="1"/>
    <xf numFmtId="0" fontId="0" fillId="0" borderId="85" xfId="0" applyFill="1" applyBorder="1" applyAlignment="1" applyProtection="1">
      <alignment horizontal="left"/>
    </xf>
    <xf numFmtId="171" fontId="0" fillId="0" borderId="36" xfId="29" applyNumberFormat="1" applyFont="1" applyFill="1" applyBorder="1" applyProtection="1"/>
    <xf numFmtId="171" fontId="0" fillId="0" borderId="14" xfId="29" applyNumberFormat="1" applyFont="1" applyFill="1" applyBorder="1" applyProtection="1"/>
    <xf numFmtId="171" fontId="0" fillId="0" borderId="37" xfId="29" applyNumberFormat="1" applyFont="1" applyFill="1" applyBorder="1" applyProtection="1"/>
    <xf numFmtId="171" fontId="0" fillId="0" borderId="34" xfId="29" applyNumberFormat="1" applyFont="1" applyFill="1" applyBorder="1" applyProtection="1"/>
    <xf numFmtId="171" fontId="0" fillId="0" borderId="31" xfId="29" applyNumberFormat="1" applyFont="1" applyFill="1" applyBorder="1" applyProtection="1"/>
    <xf numFmtId="171" fontId="0" fillId="0" borderId="44" xfId="29" applyNumberFormat="1" applyFont="1" applyFill="1" applyBorder="1" applyProtection="1"/>
    <xf numFmtId="0" fontId="14" fillId="0" borderId="66" xfId="0" applyFont="1" applyFill="1" applyBorder="1" applyAlignment="1" applyProtection="1">
      <alignment horizontal="center"/>
    </xf>
    <xf numFmtId="0" fontId="14" fillId="0" borderId="42" xfId="0" applyFont="1" applyFill="1" applyBorder="1" applyAlignment="1" applyProtection="1">
      <alignment horizontal="center"/>
    </xf>
    <xf numFmtId="171" fontId="14" fillId="0" borderId="126" xfId="29" applyNumberFormat="1" applyFont="1" applyFill="1" applyBorder="1" applyAlignment="1" applyProtection="1">
      <alignment horizontal="center"/>
    </xf>
    <xf numFmtId="0" fontId="14" fillId="25" borderId="42" xfId="0" applyFont="1" applyFill="1" applyBorder="1" applyAlignment="1" applyProtection="1">
      <alignment horizontal="center"/>
    </xf>
    <xf numFmtId="171" fontId="0" fillId="0" borderId="126" xfId="29" applyNumberFormat="1" applyFont="1" applyFill="1" applyBorder="1" applyProtection="1"/>
    <xf numFmtId="171" fontId="0" fillId="0" borderId="103" xfId="29" applyNumberFormat="1" applyFont="1" applyFill="1" applyBorder="1" applyProtection="1"/>
    <xf numFmtId="171" fontId="0" fillId="29" borderId="126" xfId="29" applyNumberFormat="1" applyFont="1" applyFill="1" applyBorder="1" applyProtection="1">
      <protection locked="0"/>
    </xf>
    <xf numFmtId="0" fontId="125" fillId="69" borderId="40" xfId="0" applyFont="1" applyFill="1" applyBorder="1" applyProtection="1"/>
    <xf numFmtId="171" fontId="0" fillId="0" borderId="126" xfId="0" applyNumberFormat="1" applyBorder="1" applyProtection="1"/>
    <xf numFmtId="171" fontId="0" fillId="29" borderId="103" xfId="29" applyNumberFormat="1" applyFont="1" applyFill="1" applyBorder="1" applyProtection="1">
      <protection locked="0"/>
    </xf>
    <xf numFmtId="0" fontId="11" fillId="29" borderId="10" xfId="0" applyFont="1" applyFill="1" applyBorder="1" applyAlignment="1" applyProtection="1">
      <protection locked="0"/>
    </xf>
    <xf numFmtId="0" fontId="13" fillId="0" borderId="0" xfId="46" applyFont="1" applyAlignment="1" applyProtection="1">
      <alignment horizontal="right" vertical="top"/>
    </xf>
    <xf numFmtId="0" fontId="18" fillId="0" borderId="0" xfId="0" applyFont="1" applyAlignment="1" applyProtection="1">
      <alignment horizontal="center"/>
      <protection locked="0"/>
    </xf>
    <xf numFmtId="0" fontId="14" fillId="0" borderId="19" xfId="0" applyFont="1" applyFill="1" applyBorder="1" applyAlignment="1" applyProtection="1">
      <alignment horizontal="center"/>
    </xf>
    <xf numFmtId="0" fontId="11" fillId="0" borderId="0" xfId="46" applyFont="1" applyAlignment="1" applyProtection="1">
      <alignment horizontal="left" vertical="top" wrapText="1"/>
      <protection locked="0"/>
    </xf>
    <xf numFmtId="0" fontId="11" fillId="0" borderId="74" xfId="46" applyBorder="1" applyProtection="1">
      <protection locked="0"/>
    </xf>
    <xf numFmtId="0" fontId="11" fillId="0" borderId="13" xfId="46" applyBorder="1" applyProtection="1">
      <protection locked="0"/>
    </xf>
    <xf numFmtId="0" fontId="11" fillId="0" borderId="13" xfId="46" applyBorder="1" applyAlignment="1" applyProtection="1">
      <protection locked="0"/>
    </xf>
    <xf numFmtId="171" fontId="0" fillId="0" borderId="12" xfId="29" applyNumberFormat="1" applyFont="1" applyBorder="1" applyProtection="1"/>
    <xf numFmtId="0" fontId="14" fillId="64" borderId="66" xfId="46" applyFont="1" applyFill="1" applyBorder="1" applyAlignment="1" applyProtection="1">
      <alignment horizontal="center"/>
    </xf>
    <xf numFmtId="0" fontId="14" fillId="64" borderId="52" xfId="46" applyFont="1" applyFill="1" applyBorder="1" applyAlignment="1" applyProtection="1">
      <alignment horizontal="center"/>
      <protection locked="0"/>
    </xf>
    <xf numFmtId="0" fontId="14" fillId="64" borderId="91" xfId="46" applyFont="1" applyFill="1" applyBorder="1" applyAlignment="1" applyProtection="1">
      <alignment horizontal="center"/>
      <protection locked="0"/>
    </xf>
    <xf numFmtId="0" fontId="14" fillId="64" borderId="12" xfId="46" applyFont="1" applyFill="1" applyBorder="1" applyAlignment="1" applyProtection="1">
      <alignment horizontal="center"/>
      <protection locked="0"/>
    </xf>
    <xf numFmtId="0" fontId="11" fillId="0" borderId="0" xfId="46" applyFont="1" applyFill="1" applyBorder="1" applyProtection="1"/>
    <xf numFmtId="0" fontId="51" fillId="0" borderId="0" xfId="0" applyFont="1" applyAlignment="1" applyProtection="1">
      <alignment horizontal="right" vertical="center" wrapText="1" indent="1"/>
    </xf>
    <xf numFmtId="0" fontId="11" fillId="0" borderId="0" xfId="0" applyFont="1" applyAlignment="1" applyProtection="1">
      <alignment wrapText="1"/>
    </xf>
    <xf numFmtId="15" fontId="13" fillId="29" borderId="0" xfId="46" applyNumberFormat="1" applyFont="1" applyFill="1" applyAlignment="1" applyProtection="1">
      <alignment vertical="top"/>
      <protection locked="0"/>
    </xf>
    <xf numFmtId="15" fontId="13" fillId="29" borderId="0" xfId="0" applyNumberFormat="1" applyFont="1" applyFill="1" applyAlignment="1" applyProtection="1">
      <alignment horizontal="right" vertical="top"/>
      <protection locked="0"/>
    </xf>
    <xf numFmtId="0" fontId="14" fillId="0" borderId="64" xfId="0" applyFont="1" applyBorder="1" applyAlignment="1">
      <alignment horizontal="center" vertical="center"/>
    </xf>
    <xf numFmtId="0" fontId="14" fillId="0" borderId="12" xfId="46" applyFont="1" applyBorder="1" applyAlignment="1" applyProtection="1">
      <alignment horizontal="center" vertical="center"/>
      <protection locked="0"/>
    </xf>
    <xf numFmtId="0" fontId="0" fillId="0" borderId="10" xfId="0" applyBorder="1"/>
    <xf numFmtId="0" fontId="0" fillId="0" borderId="0" xfId="0" applyAlignment="1" applyProtection="1"/>
    <xf numFmtId="0" fontId="33" fillId="0" borderId="47" xfId="0" applyFont="1" applyBorder="1" applyAlignment="1" applyProtection="1">
      <alignment vertical="top" wrapText="1"/>
    </xf>
    <xf numFmtId="0" fontId="33" fillId="0" borderId="0" xfId="0" applyFont="1" applyBorder="1" applyAlignment="1" applyProtection="1">
      <alignment vertical="top" wrapText="1"/>
    </xf>
    <xf numFmtId="0" fontId="147" fillId="0" borderId="0" xfId="90" applyFont="1" applyProtection="1"/>
    <xf numFmtId="0" fontId="50" fillId="0" borderId="0" xfId="0" applyFont="1" applyFill="1" applyBorder="1" applyAlignment="1" applyProtection="1"/>
    <xf numFmtId="4" fontId="11" fillId="29" borderId="0" xfId="0" applyNumberFormat="1" applyFont="1" applyFill="1" applyBorder="1" applyAlignment="1">
      <alignment horizontal="center" vertical="center"/>
    </xf>
    <xf numFmtId="4" fontId="0" fillId="29" borderId="0" xfId="0" applyNumberFormat="1" applyFill="1" applyBorder="1" applyAlignment="1">
      <alignment horizontal="center" vertical="center"/>
    </xf>
    <xf numFmtId="4" fontId="0" fillId="67" borderId="77" xfId="0" applyNumberFormat="1" applyFill="1" applyBorder="1" applyAlignment="1">
      <alignment horizontal="center" vertical="center"/>
    </xf>
    <xf numFmtId="4" fontId="0" fillId="29" borderId="30" xfId="0" applyNumberFormat="1" applyFill="1" applyBorder="1" applyAlignment="1">
      <alignment horizontal="center" vertical="center"/>
    </xf>
    <xf numFmtId="4" fontId="0" fillId="67" borderId="29" xfId="0" applyNumberFormat="1" applyFill="1" applyBorder="1"/>
    <xf numFmtId="4" fontId="11" fillId="67" borderId="29" xfId="0" applyNumberFormat="1" applyFont="1" applyFill="1" applyBorder="1" applyAlignment="1">
      <alignment horizontal="center" vertical="center"/>
    </xf>
    <xf numFmtId="4" fontId="0" fillId="67" borderId="31" xfId="0" applyNumberFormat="1" applyFill="1" applyBorder="1"/>
    <xf numFmtId="4" fontId="0" fillId="29" borderId="0" xfId="0" applyNumberFormat="1" applyFill="1" applyBorder="1"/>
    <xf numFmtId="4" fontId="0" fillId="29" borderId="30" xfId="0" applyNumberFormat="1" applyFill="1" applyBorder="1"/>
    <xf numFmtId="4" fontId="0" fillId="0" borderId="109" xfId="0" applyNumberFormat="1" applyBorder="1"/>
    <xf numFmtId="4" fontId="0" fillId="0" borderId="0" xfId="0" applyNumberFormat="1" applyBorder="1"/>
    <xf numFmtId="4" fontId="0" fillId="0" borderId="77" xfId="0" applyNumberFormat="1" applyBorder="1"/>
    <xf numFmtId="4" fontId="0" fillId="0" borderId="30" xfId="0" applyNumberFormat="1" applyBorder="1"/>
    <xf numFmtId="180" fontId="0" fillId="67" borderId="45" xfId="0" applyNumberFormat="1" applyFill="1" applyBorder="1"/>
    <xf numFmtId="180" fontId="0" fillId="67" borderId="29" xfId="0" applyNumberFormat="1" applyFill="1" applyBorder="1"/>
    <xf numFmtId="180" fontId="11" fillId="67" borderId="29" xfId="29" applyNumberFormat="1" applyFont="1" applyFill="1" applyBorder="1" applyAlignment="1">
      <alignment horizontal="center" vertical="center"/>
    </xf>
    <xf numFmtId="180" fontId="0" fillId="67" borderId="31" xfId="0" applyNumberFormat="1" applyFill="1" applyBorder="1"/>
    <xf numFmtId="3" fontId="0" fillId="67" borderId="29" xfId="0" applyNumberFormat="1" applyFill="1" applyBorder="1"/>
    <xf numFmtId="3" fontId="0" fillId="67" borderId="31" xfId="0" applyNumberFormat="1" applyFill="1" applyBorder="1"/>
    <xf numFmtId="3" fontId="11" fillId="67" borderId="29" xfId="0" applyNumberFormat="1" applyFont="1" applyFill="1" applyBorder="1" applyAlignment="1">
      <alignment horizontal="center" vertical="center"/>
    </xf>
    <xf numFmtId="0" fontId="14" fillId="0" borderId="41" xfId="0" applyFont="1" applyBorder="1" applyAlignment="1">
      <alignment horizontal="center"/>
    </xf>
    <xf numFmtId="0" fontId="0" fillId="0" borderId="0" xfId="0" applyBorder="1" applyAlignment="1">
      <alignment horizontal="center" vertical="center" wrapText="1"/>
    </xf>
    <xf numFmtId="170" fontId="0" fillId="0" borderId="0" xfId="42" applyNumberFormat="1" applyFont="1" applyFill="1" applyBorder="1"/>
    <xf numFmtId="170" fontId="56" fillId="80" borderId="79" xfId="42" applyNumberFormat="1" applyFont="1" applyFill="1" applyBorder="1" applyAlignment="1" applyProtection="1">
      <alignment vertical="center" wrapText="1"/>
    </xf>
    <xf numFmtId="0" fontId="0" fillId="0" borderId="47" xfId="0" applyBorder="1" applyProtection="1"/>
    <xf numFmtId="171" fontId="0" fillId="0" borderId="61" xfId="29" applyNumberFormat="1" applyFont="1" applyBorder="1" applyProtection="1"/>
    <xf numFmtId="3" fontId="14" fillId="0" borderId="49" xfId="0" applyNumberFormat="1" applyFont="1" applyFill="1" applyBorder="1" applyProtection="1">
      <protection locked="0"/>
    </xf>
    <xf numFmtId="3" fontId="14" fillId="0" borderId="21" xfId="0" applyNumberFormat="1" applyFont="1" applyFill="1" applyBorder="1" applyAlignment="1" applyProtection="1">
      <alignment horizontal="center" vertical="center" wrapText="1"/>
    </xf>
    <xf numFmtId="3" fontId="14" fillId="0" borderId="65" xfId="0" applyNumberFormat="1" applyFont="1" applyFill="1" applyBorder="1" applyAlignment="1" applyProtection="1">
      <alignment horizontal="center" vertical="center" wrapText="1"/>
    </xf>
    <xf numFmtId="3" fontId="0" fillId="0" borderId="0" xfId="0" applyNumberFormat="1" applyProtection="1">
      <protection locked="0"/>
    </xf>
    <xf numFmtId="3" fontId="79" fillId="0" borderId="20" xfId="46" applyNumberFormat="1" applyFont="1" applyFill="1" applyBorder="1" applyAlignment="1" applyProtection="1">
      <alignment vertical="center" wrapText="1"/>
      <protection locked="0"/>
    </xf>
    <xf numFmtId="3" fontId="14" fillId="28" borderId="21" xfId="0" applyNumberFormat="1" applyFont="1" applyFill="1" applyBorder="1" applyAlignment="1" applyProtection="1">
      <alignment horizontal="center" vertical="top" wrapText="1"/>
      <protection locked="0"/>
    </xf>
    <xf numFmtId="3" fontId="14" fillId="29" borderId="33" xfId="0" applyNumberFormat="1" applyFont="1" applyFill="1" applyBorder="1" applyProtection="1">
      <protection locked="0"/>
    </xf>
    <xf numFmtId="3" fontId="14" fillId="0" borderId="33" xfId="0" applyNumberFormat="1" applyFont="1" applyFill="1" applyBorder="1" applyProtection="1">
      <protection locked="0"/>
    </xf>
    <xf numFmtId="3" fontId="14" fillId="29" borderId="33" xfId="0" applyNumberFormat="1" applyFont="1" applyFill="1" applyBorder="1" applyAlignment="1" applyProtection="1">
      <alignment wrapText="1"/>
      <protection locked="0"/>
    </xf>
    <xf numFmtId="3" fontId="39" fillId="0" borderId="0" xfId="0" applyNumberFormat="1" applyFont="1" applyAlignment="1" applyProtection="1">
      <alignment horizontal="left" vertical="top"/>
      <protection locked="0"/>
    </xf>
    <xf numFmtId="3" fontId="11" fillId="0" borderId="0" xfId="0" applyNumberFormat="1" applyFont="1" applyProtection="1">
      <protection locked="0"/>
    </xf>
    <xf numFmtId="3" fontId="11" fillId="0" borderId="0" xfId="0" applyNumberFormat="1" applyFont="1" applyAlignment="1" applyProtection="1">
      <alignment horizontal="left" vertical="top" wrapText="1"/>
      <protection locked="0"/>
    </xf>
    <xf numFmtId="3" fontId="33" fillId="0" borderId="0" xfId="0" applyNumberFormat="1" applyFont="1" applyAlignment="1" applyProtection="1">
      <alignment horizontal="left" vertical="top" wrapText="1"/>
      <protection locked="0"/>
    </xf>
    <xf numFmtId="3" fontId="14" fillId="0" borderId="0" xfId="0" applyNumberFormat="1" applyFont="1" applyAlignment="1" applyProtection="1">
      <alignment horizontal="left" wrapText="1"/>
      <protection locked="0"/>
    </xf>
    <xf numFmtId="3" fontId="14" fillId="0" borderId="0" xfId="0" applyNumberFormat="1" applyFont="1" applyProtection="1">
      <protection locked="0"/>
    </xf>
    <xf numFmtId="171" fontId="11" fillId="29" borderId="10" xfId="29" applyNumberFormat="1" applyFont="1" applyFill="1" applyBorder="1" applyProtection="1">
      <protection locked="0"/>
    </xf>
    <xf numFmtId="171" fontId="11" fillId="0" borderId="19" xfId="29" applyNumberFormat="1" applyFont="1" applyFill="1" applyBorder="1" applyProtection="1"/>
    <xf numFmtId="171" fontId="11" fillId="0" borderId="63" xfId="29" applyNumberFormat="1" applyFont="1" applyFill="1" applyBorder="1" applyProtection="1"/>
    <xf numFmtId="3" fontId="11" fillId="29" borderId="10" xfId="0" applyNumberFormat="1" applyFont="1" applyFill="1" applyBorder="1" applyProtection="1">
      <protection locked="0"/>
    </xf>
    <xf numFmtId="3" fontId="11" fillId="29" borderId="25" xfId="0" applyNumberFormat="1" applyFont="1" applyFill="1" applyBorder="1" applyProtection="1">
      <protection locked="0"/>
    </xf>
    <xf numFmtId="3" fontId="11" fillId="0" borderId="10" xfId="28" applyNumberFormat="1" applyFont="1" applyBorder="1" applyProtection="1"/>
    <xf numFmtId="3" fontId="11" fillId="0" borderId="25" xfId="28" applyNumberFormat="1" applyFont="1" applyBorder="1" applyProtection="1"/>
    <xf numFmtId="3" fontId="11" fillId="0" borderId="10" xfId="29" applyNumberFormat="1" applyFont="1" applyBorder="1" applyProtection="1"/>
    <xf numFmtId="3" fontId="11" fillId="0" borderId="25" xfId="29" applyNumberFormat="1" applyFont="1" applyBorder="1" applyProtection="1"/>
    <xf numFmtId="180" fontId="11" fillId="0" borderId="10" xfId="0" applyNumberFormat="1" applyFont="1" applyFill="1" applyBorder="1" applyProtection="1"/>
    <xf numFmtId="180" fontId="11" fillId="0" borderId="25" xfId="0" applyNumberFormat="1" applyFont="1" applyFill="1" applyBorder="1" applyProtection="1"/>
    <xf numFmtId="180" fontId="11" fillId="0" borderId="10" xfId="28" applyNumberFormat="1" applyFont="1" applyBorder="1" applyProtection="1"/>
    <xf numFmtId="180" fontId="11" fillId="0" borderId="25" xfId="28" applyNumberFormat="1" applyFont="1" applyBorder="1" applyProtection="1"/>
    <xf numFmtId="180" fontId="11" fillId="0" borderId="26" xfId="0" applyNumberFormat="1" applyFont="1" applyFill="1" applyBorder="1" applyProtection="1"/>
    <xf numFmtId="180" fontId="11" fillId="0" borderId="62" xfId="0" applyNumberFormat="1" applyFont="1" applyFill="1" applyBorder="1" applyProtection="1"/>
    <xf numFmtId="3" fontId="0" fillId="29" borderId="10" xfId="0" applyNumberFormat="1" applyFill="1" applyBorder="1" applyAlignment="1" applyProtection="1">
      <alignment vertical="top"/>
      <protection locked="0"/>
    </xf>
    <xf numFmtId="3" fontId="0" fillId="29" borderId="10" xfId="29" applyNumberFormat="1" applyFont="1" applyFill="1" applyBorder="1" applyAlignment="1" applyProtection="1">
      <alignment vertical="top"/>
      <protection locked="0"/>
    </xf>
    <xf numFmtId="3" fontId="0" fillId="29" borderId="17" xfId="29" applyNumberFormat="1" applyFont="1" applyFill="1" applyBorder="1" applyAlignment="1" applyProtection="1">
      <alignment vertical="top"/>
      <protection locked="0"/>
    </xf>
    <xf numFmtId="3" fontId="0" fillId="29" borderId="26" xfId="29" applyNumberFormat="1" applyFont="1" applyFill="1" applyBorder="1" applyAlignment="1" applyProtection="1">
      <alignment vertical="top"/>
      <protection locked="0"/>
    </xf>
    <xf numFmtId="3" fontId="0" fillId="29" borderId="26" xfId="0" applyNumberFormat="1" applyFill="1" applyBorder="1" applyAlignment="1" applyProtection="1">
      <alignment vertical="top"/>
      <protection locked="0"/>
    </xf>
    <xf numFmtId="180" fontId="0" fillId="29" borderId="10" xfId="0" applyNumberFormat="1" applyFill="1" applyBorder="1" applyProtection="1">
      <protection locked="0"/>
    </xf>
    <xf numFmtId="180" fontId="0" fillId="29" borderId="25" xfId="0" applyNumberFormat="1" applyFill="1" applyBorder="1" applyProtection="1">
      <protection locked="0"/>
    </xf>
    <xf numFmtId="2" fontId="0" fillId="29" borderId="173" xfId="0" applyNumberFormat="1" applyFill="1" applyBorder="1" applyAlignment="1" applyProtection="1">
      <alignment horizontal="center"/>
      <protection locked="0"/>
    </xf>
    <xf numFmtId="182" fontId="0" fillId="85" borderId="10" xfId="0" applyNumberFormat="1" applyFill="1" applyBorder="1" applyAlignment="1" applyProtection="1">
      <alignment horizontal="right"/>
      <protection locked="0"/>
    </xf>
    <xf numFmtId="0" fontId="14" fillId="0" borderId="10" xfId="0" applyFont="1" applyFill="1" applyBorder="1" applyAlignment="1" applyProtection="1">
      <alignment horizontal="center" vertical="center"/>
    </xf>
    <xf numFmtId="0" fontId="50" fillId="0" borderId="0" xfId="0" applyFont="1" applyBorder="1" applyAlignment="1" applyProtection="1">
      <alignment wrapText="1"/>
    </xf>
    <xf numFmtId="0" fontId="110"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vertical="top" wrapText="1"/>
      <protection locked="0"/>
    </xf>
    <xf numFmtId="0" fontId="106" fillId="0" borderId="0" xfId="130" applyFont="1" applyFill="1" applyBorder="1" applyAlignment="1" applyProtection="1">
      <alignment horizontal="left" vertical="top" wrapText="1"/>
      <protection locked="0"/>
    </xf>
    <xf numFmtId="0" fontId="112" fillId="73" borderId="70" xfId="130" applyFont="1" applyFill="1" applyBorder="1" applyAlignment="1" applyProtection="1">
      <alignment horizontal="center"/>
      <protection locked="0"/>
    </xf>
    <xf numFmtId="0" fontId="92" fillId="0" borderId="0" xfId="46" applyFont="1" applyFill="1" applyBorder="1" applyProtection="1">
      <protection locked="0"/>
    </xf>
    <xf numFmtId="0" fontId="123" fillId="0" borderId="0" xfId="46" applyFont="1" applyFill="1" applyBorder="1" applyAlignment="1" applyProtection="1">
      <alignment horizontal="left"/>
      <protection locked="0"/>
    </xf>
    <xf numFmtId="0" fontId="148" fillId="0" borderId="163" xfId="46" applyFont="1" applyFill="1" applyBorder="1" applyAlignment="1" applyProtection="1">
      <alignment horizontal="right" vertical="top"/>
      <protection locked="0"/>
    </xf>
    <xf numFmtId="0" fontId="148" fillId="0" borderId="0" xfId="46" applyFont="1" applyFill="1" applyBorder="1" applyAlignment="1" applyProtection="1">
      <alignment horizontal="right" vertical="top"/>
      <protection locked="0"/>
    </xf>
    <xf numFmtId="0" fontId="148" fillId="71" borderId="163" xfId="46" applyFont="1" applyFill="1" applyBorder="1" applyAlignment="1" applyProtection="1">
      <alignment horizontal="right" vertical="top"/>
      <protection locked="0"/>
    </xf>
    <xf numFmtId="0" fontId="148" fillId="71" borderId="0" xfId="46" applyFont="1" applyFill="1" applyBorder="1" applyAlignment="1" applyProtection="1">
      <alignment horizontal="right" vertical="top"/>
      <protection locked="0"/>
    </xf>
    <xf numFmtId="0" fontId="92" fillId="0" borderId="0" xfId="46" applyFont="1" applyFill="1" applyBorder="1" applyAlignment="1" applyProtection="1">
      <alignment horizontal="left"/>
      <protection locked="0"/>
    </xf>
    <xf numFmtId="9" fontId="92" fillId="75" borderId="0" xfId="132" applyFont="1" applyFill="1" applyBorder="1" applyProtection="1">
      <protection locked="0"/>
    </xf>
    <xf numFmtId="0" fontId="92" fillId="0" borderId="0" xfId="130" applyFont="1" applyFill="1" applyBorder="1" applyAlignment="1" applyProtection="1">
      <alignment horizontal="left" vertical="top" wrapText="1"/>
      <protection locked="0"/>
    </xf>
    <xf numFmtId="0" fontId="92" fillId="0" borderId="0" xfId="130" applyFont="1" applyFill="1" applyBorder="1" applyAlignment="1" applyProtection="1">
      <alignment vertical="top"/>
      <protection locked="0"/>
    </xf>
    <xf numFmtId="0" fontId="92" fillId="0" borderId="0" xfId="130" applyFont="1" applyFill="1" applyBorder="1" applyAlignment="1" applyProtection="1">
      <alignment horizontal="left" vertical="top"/>
      <protection locked="0"/>
    </xf>
    <xf numFmtId="0" fontId="123" fillId="0" borderId="71" xfId="130" applyFont="1" applyFill="1" applyBorder="1" applyAlignment="1" applyProtection="1">
      <alignment wrapText="1"/>
      <protection locked="0"/>
    </xf>
    <xf numFmtId="0" fontId="92" fillId="77" borderId="75" xfId="130" applyFont="1" applyFill="1" applyBorder="1" applyAlignment="1" applyProtection="1">
      <alignment wrapText="1"/>
      <protection locked="0"/>
    </xf>
    <xf numFmtId="0" fontId="92" fillId="77" borderId="52" xfId="130" applyFont="1" applyFill="1" applyBorder="1" applyAlignment="1" applyProtection="1">
      <alignment wrapText="1"/>
      <protection locked="0"/>
    </xf>
    <xf numFmtId="0" fontId="123" fillId="77" borderId="52" xfId="130" applyFont="1" applyFill="1" applyBorder="1" applyAlignment="1" applyProtection="1">
      <alignment wrapText="1"/>
      <protection locked="0"/>
    </xf>
    <xf numFmtId="0" fontId="123" fillId="77" borderId="38" xfId="130" applyFont="1" applyFill="1" applyBorder="1" applyAlignment="1" applyProtection="1">
      <alignment wrapText="1"/>
      <protection locked="0"/>
    </xf>
    <xf numFmtId="0" fontId="11" fillId="0" borderId="74" xfId="46" applyFont="1" applyBorder="1" applyAlignment="1" applyProtection="1">
      <alignment horizontal="left" vertical="center"/>
      <protection locked="0"/>
    </xf>
    <xf numFmtId="0" fontId="11" fillId="0" borderId="10" xfId="46" applyBorder="1" applyAlignment="1" applyProtection="1">
      <alignment horizontal="center" vertical="center"/>
      <protection locked="0"/>
    </xf>
    <xf numFmtId="0" fontId="11" fillId="0" borderId="10" xfId="46" applyBorder="1" applyAlignment="1" applyProtection="1">
      <alignment horizontal="left" vertical="center"/>
      <protection locked="0"/>
    </xf>
    <xf numFmtId="0" fontId="11" fillId="0" borderId="0" xfId="46" applyAlignment="1" applyProtection="1">
      <alignment horizontal="center"/>
      <protection locked="0"/>
    </xf>
    <xf numFmtId="0" fontId="11" fillId="0" borderId="0" xfId="46" applyAlignment="1" applyProtection="1">
      <protection locked="0"/>
    </xf>
    <xf numFmtId="0" fontId="44" fillId="0" borderId="22" xfId="93" applyFont="1" applyBorder="1" applyAlignment="1" applyProtection="1">
      <alignment horizontal="center" vertical="center" wrapText="1"/>
      <protection locked="0"/>
    </xf>
    <xf numFmtId="0" fontId="11" fillId="0" borderId="0" xfId="46" applyFont="1" applyAlignment="1" applyProtection="1">
      <alignment horizontal="left" vertical="top" wrapText="1"/>
      <protection locked="0"/>
    </xf>
    <xf numFmtId="0" fontId="11" fillId="0" borderId="74" xfId="46" applyFont="1" applyBorder="1" applyAlignment="1" applyProtection="1">
      <alignment horizontal="left" vertical="center"/>
      <protection locked="0"/>
    </xf>
    <xf numFmtId="0" fontId="18" fillId="0" borderId="0" xfId="46" applyFont="1" applyAlignment="1" applyProtection="1">
      <alignment horizontal="center"/>
      <protection locked="0"/>
    </xf>
    <xf numFmtId="0" fontId="14" fillId="64" borderId="33" xfId="0" applyFont="1" applyFill="1" applyBorder="1" applyProtection="1">
      <protection locked="0"/>
    </xf>
    <xf numFmtId="0" fontId="11" fillId="29" borderId="33" xfId="0" applyFont="1" applyFill="1" applyBorder="1" applyProtection="1">
      <protection locked="0"/>
    </xf>
    <xf numFmtId="169" fontId="0" fillId="29" borderId="10" xfId="28" applyFont="1" applyFill="1" applyBorder="1" applyProtection="1">
      <protection locked="0"/>
    </xf>
    <xf numFmtId="0" fontId="14" fillId="64" borderId="33" xfId="0" applyFont="1" applyFill="1" applyBorder="1" applyAlignment="1" applyProtection="1">
      <alignment wrapText="1"/>
      <protection locked="0"/>
    </xf>
    <xf numFmtId="0" fontId="11" fillId="29" borderId="10" xfId="0" applyFont="1" applyFill="1" applyBorder="1" applyProtection="1">
      <protection locked="0"/>
    </xf>
    <xf numFmtId="169" fontId="0" fillId="29" borderId="17" xfId="28" applyFont="1" applyFill="1" applyBorder="1" applyProtection="1">
      <protection locked="0"/>
    </xf>
    <xf numFmtId="0" fontId="11" fillId="29" borderId="10" xfId="46" applyFont="1" applyFill="1" applyBorder="1" applyAlignment="1" applyProtection="1">
      <alignment horizontal="center" vertical="center"/>
      <protection locked="0"/>
    </xf>
    <xf numFmtId="0" fontId="11" fillId="29" borderId="0" xfId="46" applyFill="1" applyAlignment="1" applyProtection="1">
      <alignment horizontal="center"/>
      <protection locked="0"/>
    </xf>
    <xf numFmtId="0" fontId="11" fillId="0" borderId="10" xfId="46" applyFont="1" applyBorder="1" applyAlignment="1">
      <alignment vertical="center" wrapText="1"/>
    </xf>
    <xf numFmtId="0" fontId="11" fillId="0" borderId="10" xfId="46" applyFont="1" applyBorder="1"/>
    <xf numFmtId="169" fontId="11" fillId="29" borderId="10" xfId="28" applyFill="1" applyBorder="1" applyProtection="1">
      <protection locked="0"/>
    </xf>
    <xf numFmtId="171" fontId="0" fillId="29" borderId="99" xfId="29" applyNumberFormat="1" applyFont="1" applyFill="1" applyBorder="1" applyProtection="1">
      <protection locked="0"/>
    </xf>
    <xf numFmtId="171" fontId="0" fillId="29" borderId="12" xfId="29" applyNumberFormat="1" applyFont="1" applyFill="1" applyBorder="1" applyProtection="1">
      <protection locked="0"/>
    </xf>
    <xf numFmtId="171" fontId="0" fillId="0" borderId="0" xfId="29" applyNumberFormat="1" applyFont="1" applyBorder="1" applyProtection="1"/>
    <xf numFmtId="171" fontId="11" fillId="29" borderId="10" xfId="46" applyNumberFormat="1" applyFill="1" applyBorder="1" applyProtection="1">
      <protection locked="0"/>
    </xf>
    <xf numFmtId="0" fontId="44" fillId="0" borderId="52" xfId="93" applyFont="1" applyBorder="1" applyAlignment="1" applyProtection="1">
      <alignment horizontal="center" vertical="center"/>
      <protection locked="0"/>
    </xf>
    <xf numFmtId="0" fontId="44" fillId="0" borderId="12" xfId="96" applyFont="1" applyBorder="1" applyAlignment="1" applyProtection="1">
      <alignment horizontal="center"/>
    </xf>
    <xf numFmtId="179" fontId="11" fillId="29" borderId="13" xfId="93" applyNumberFormat="1" applyFont="1" applyFill="1" applyBorder="1" applyAlignment="1" applyProtection="1">
      <alignment horizontal="center"/>
      <protection locked="0"/>
    </xf>
    <xf numFmtId="179" fontId="11" fillId="29" borderId="102" xfId="93" applyNumberFormat="1" applyFont="1" applyFill="1" applyBorder="1" applyAlignment="1" applyProtection="1">
      <alignment horizontal="center"/>
      <protection locked="0"/>
    </xf>
    <xf numFmtId="0" fontId="44" fillId="0" borderId="91" xfId="93" applyFont="1" applyBorder="1" applyAlignment="1" applyProtection="1">
      <alignment horizontal="center" vertical="center"/>
    </xf>
    <xf numFmtId="0" fontId="44" fillId="0" borderId="91" xfId="96" applyFont="1" applyBorder="1" applyAlignment="1" applyProtection="1">
      <alignment horizontal="center"/>
    </xf>
    <xf numFmtId="0" fontId="44" fillId="0" borderId="182" xfId="96" applyFont="1" applyBorder="1" applyAlignment="1" applyProtection="1">
      <alignment horizontal="center"/>
    </xf>
    <xf numFmtId="179" fontId="11" fillId="29" borderId="52" xfId="93" applyNumberFormat="1" applyFont="1" applyFill="1" applyBorder="1" applyProtection="1">
      <protection locked="0"/>
    </xf>
    <xf numFmtId="179" fontId="11" fillId="29" borderId="25" xfId="93" applyNumberFormat="1" applyFont="1" applyFill="1" applyBorder="1" applyProtection="1">
      <protection locked="0"/>
    </xf>
    <xf numFmtId="179" fontId="11" fillId="29" borderId="62" xfId="93" applyNumberFormat="1" applyFont="1" applyFill="1" applyBorder="1" applyProtection="1">
      <protection locked="0"/>
    </xf>
    <xf numFmtId="170" fontId="1" fillId="29" borderId="10" xfId="42" applyNumberFormat="1" applyFont="1" applyFill="1" applyBorder="1" applyAlignment="1" applyProtection="1">
      <alignment horizontal="center" vertical="center"/>
      <protection locked="0"/>
    </xf>
    <xf numFmtId="170" fontId="1" fillId="29" borderId="24" xfId="42" applyNumberFormat="1" applyFont="1" applyFill="1" applyBorder="1" applyAlignment="1" applyProtection="1">
      <alignment horizontal="center" vertical="center"/>
      <protection locked="0"/>
    </xf>
    <xf numFmtId="170" fontId="1" fillId="29" borderId="61" xfId="42" applyNumberFormat="1" applyFont="1" applyFill="1" applyBorder="1" applyAlignment="1" applyProtection="1">
      <alignment horizontal="center" vertical="center"/>
      <protection locked="0"/>
    </xf>
    <xf numFmtId="170" fontId="1" fillId="29" borderId="25" xfId="42" applyNumberFormat="1" applyFont="1" applyFill="1" applyBorder="1" applyAlignment="1" applyProtection="1">
      <alignment horizontal="center" vertical="center"/>
      <protection locked="0"/>
    </xf>
    <xf numFmtId="170" fontId="1" fillId="29" borderId="26" xfId="42" applyNumberFormat="1" applyFont="1" applyFill="1" applyBorder="1" applyAlignment="1" applyProtection="1">
      <alignment horizontal="center" vertical="center"/>
      <protection locked="0"/>
    </xf>
    <xf numFmtId="170" fontId="1" fillId="29" borderId="62" xfId="42" applyNumberFormat="1" applyFont="1" applyFill="1" applyBorder="1" applyAlignment="1" applyProtection="1">
      <alignment horizontal="center" vertical="center"/>
      <protection locked="0"/>
    </xf>
    <xf numFmtId="0" fontId="11" fillId="29" borderId="27" xfId="0" applyFont="1" applyFill="1" applyBorder="1" applyAlignment="1" applyProtection="1">
      <alignment horizontal="center"/>
      <protection locked="0"/>
    </xf>
    <xf numFmtId="0" fontId="11" fillId="29" borderId="10" xfId="0" applyFont="1" applyFill="1" applyBorder="1" applyAlignment="1" applyProtection="1">
      <alignment wrapText="1"/>
      <protection locked="0"/>
    </xf>
    <xf numFmtId="171" fontId="0" fillId="29" borderId="10" xfId="0" applyNumberFormat="1" applyFill="1" applyBorder="1" applyProtection="1">
      <protection locked="0"/>
    </xf>
    <xf numFmtId="0" fontId="0" fillId="29" borderId="10" xfId="0" applyFill="1" applyBorder="1" applyAlignment="1" applyProtection="1">
      <alignment vertical="top"/>
      <protection locked="0"/>
    </xf>
    <xf numFmtId="171" fontId="0" fillId="29" borderId="10" xfId="29" applyNumberFormat="1" applyFont="1" applyFill="1" applyBorder="1" applyAlignment="1" applyProtection="1">
      <alignment vertical="top"/>
      <protection locked="0"/>
    </xf>
    <xf numFmtId="171" fontId="0" fillId="29" borderId="17" xfId="29" applyNumberFormat="1" applyFont="1" applyFill="1" applyBorder="1" applyAlignment="1" applyProtection="1">
      <alignment vertical="top"/>
      <protection locked="0"/>
    </xf>
    <xf numFmtId="0" fontId="0" fillId="64" borderId="0" xfId="0" applyFill="1" applyBorder="1" applyProtection="1">
      <protection locked="0"/>
    </xf>
    <xf numFmtId="180" fontId="0" fillId="64" borderId="0" xfId="0" applyNumberFormat="1" applyFill="1" applyBorder="1" applyProtection="1">
      <protection locked="0"/>
    </xf>
    <xf numFmtId="0" fontId="0" fillId="29" borderId="10" xfId="0" applyFill="1" applyBorder="1" applyAlignment="1" applyProtection="1">
      <alignment wrapText="1"/>
      <protection locked="0"/>
    </xf>
    <xf numFmtId="10" fontId="0" fillId="29" borderId="10" xfId="42" applyNumberFormat="1" applyFont="1" applyFill="1" applyBorder="1" applyProtection="1">
      <protection locked="0"/>
    </xf>
    <xf numFmtId="172" fontId="0" fillId="29" borderId="10" xfId="28" applyNumberFormat="1" applyFont="1" applyFill="1" applyBorder="1" applyProtection="1">
      <protection locked="0"/>
    </xf>
    <xf numFmtId="10" fontId="0" fillId="0" borderId="34" xfId="42" applyNumberFormat="1" applyFont="1" applyBorder="1" applyProtection="1">
      <protection locked="0"/>
    </xf>
    <xf numFmtId="182" fontId="0" fillId="29" borderId="10" xfId="0" applyNumberFormat="1" applyFill="1" applyBorder="1" applyAlignment="1" applyProtection="1">
      <alignment horizontal="right" vertical="center"/>
      <protection locked="0"/>
    </xf>
    <xf numFmtId="171" fontId="99" fillId="0" borderId="25" xfId="134" applyNumberFormat="1" applyFont="1" applyFill="1" applyBorder="1" applyProtection="1">
      <protection locked="0"/>
    </xf>
    <xf numFmtId="169" fontId="99" fillId="29" borderId="27" xfId="135" applyNumberFormat="1" applyFont="1" applyFill="1" applyBorder="1" applyProtection="1">
      <protection locked="0"/>
    </xf>
    <xf numFmtId="10" fontId="99" fillId="0" borderId="19" xfId="136" applyNumberFormat="1" applyFont="1" applyBorder="1" applyProtection="1">
      <protection locked="0"/>
    </xf>
    <xf numFmtId="10" fontId="99" fillId="0" borderId="76" xfId="136" applyNumberFormat="1" applyFont="1" applyBorder="1" applyProtection="1">
      <protection locked="0"/>
    </xf>
    <xf numFmtId="171" fontId="14" fillId="0" borderId="75" xfId="46" applyNumberFormat="1" applyFont="1" applyBorder="1" applyProtection="1">
      <protection locked="0"/>
    </xf>
    <xf numFmtId="171" fontId="14" fillId="0" borderId="19" xfId="46" applyNumberFormat="1" applyFont="1" applyBorder="1" applyProtection="1">
      <protection locked="0"/>
    </xf>
    <xf numFmtId="171" fontId="14" fillId="0" borderId="63" xfId="46" applyNumberFormat="1" applyFont="1" applyBorder="1" applyProtection="1">
      <protection locked="0"/>
    </xf>
    <xf numFmtId="10" fontId="99" fillId="0" borderId="74" xfId="136" applyNumberFormat="1" applyFont="1" applyBorder="1" applyProtection="1">
      <protection locked="0"/>
    </xf>
    <xf numFmtId="169" fontId="99" fillId="29" borderId="27" xfId="135" quotePrefix="1" applyNumberFormat="1" applyFont="1" applyFill="1" applyBorder="1" applyProtection="1">
      <protection locked="0"/>
    </xf>
    <xf numFmtId="10" fontId="99" fillId="0" borderId="19" xfId="136" applyNumberFormat="1" applyFont="1" applyFill="1" applyBorder="1" applyProtection="1">
      <protection locked="0"/>
    </xf>
    <xf numFmtId="10" fontId="99" fillId="0" borderId="74" xfId="136" applyNumberFormat="1" applyFont="1" applyFill="1" applyBorder="1" applyProtection="1">
      <protection locked="0"/>
    </xf>
    <xf numFmtId="171" fontId="14" fillId="0" borderId="75" xfId="46" applyNumberFormat="1" applyFont="1" applyFill="1" applyBorder="1" applyProtection="1">
      <protection locked="0"/>
    </xf>
    <xf numFmtId="171" fontId="14" fillId="0" borderId="19" xfId="46" applyNumberFormat="1" applyFont="1" applyFill="1" applyBorder="1" applyProtection="1">
      <protection locked="0"/>
    </xf>
    <xf numFmtId="171" fontId="14" fillId="0" borderId="63" xfId="46" applyNumberFormat="1" applyFont="1" applyFill="1" applyBorder="1" applyProtection="1">
      <protection locked="0"/>
    </xf>
    <xf numFmtId="171" fontId="14" fillId="0" borderId="10" xfId="46" applyNumberFormat="1" applyFont="1" applyFill="1" applyBorder="1" applyProtection="1">
      <protection locked="0"/>
    </xf>
    <xf numFmtId="168" fontId="99" fillId="29" borderId="27" xfId="135" applyNumberFormat="1" applyFont="1" applyFill="1" applyBorder="1" applyProtection="1">
      <protection locked="0"/>
    </xf>
    <xf numFmtId="10" fontId="99" fillId="0" borderId="166" xfId="136" applyNumberFormat="1" applyFont="1" applyBorder="1" applyProtection="1">
      <protection locked="0"/>
    </xf>
    <xf numFmtId="0" fontId="11" fillId="0" borderId="74" xfId="46" applyFont="1" applyBorder="1" applyAlignment="1" applyProtection="1">
      <alignment horizontal="left" vertical="center"/>
      <protection locked="0"/>
    </xf>
    <xf numFmtId="0" fontId="18" fillId="0" borderId="0" xfId="46" applyFont="1" applyAlignment="1" applyProtection="1">
      <alignment horizontal="center"/>
      <protection locked="0"/>
    </xf>
    <xf numFmtId="169" fontId="99" fillId="29" borderId="27" xfId="135" applyFont="1" applyFill="1" applyBorder="1" applyProtection="1">
      <protection locked="0"/>
    </xf>
    <xf numFmtId="171" fontId="14" fillId="0" borderId="84" xfId="46" applyNumberFormat="1" applyFont="1" applyBorder="1" applyProtection="1">
      <protection locked="0"/>
    </xf>
    <xf numFmtId="171" fontId="14" fillId="0" borderId="104" xfId="46" applyNumberFormat="1" applyFont="1" applyBorder="1" applyProtection="1">
      <protection locked="0"/>
    </xf>
    <xf numFmtId="171" fontId="14" fillId="0" borderId="167" xfId="46" applyNumberFormat="1" applyFont="1" applyFill="1" applyBorder="1" applyProtection="1">
      <protection locked="0"/>
    </xf>
    <xf numFmtId="169" fontId="99" fillId="0" borderId="56" xfId="135" applyFont="1" applyBorder="1" applyProtection="1">
      <protection locked="0"/>
    </xf>
    <xf numFmtId="10" fontId="99" fillId="0" borderId="168" xfId="136" applyNumberFormat="1" applyFont="1" applyBorder="1" applyProtection="1">
      <protection locked="0"/>
    </xf>
    <xf numFmtId="171" fontId="14" fillId="0" borderId="56" xfId="46" applyNumberFormat="1" applyFont="1" applyBorder="1" applyProtection="1">
      <protection locked="0"/>
    </xf>
    <xf numFmtId="171" fontId="14" fillId="0" borderId="59" xfId="46" applyNumberFormat="1" applyFont="1" applyBorder="1" applyProtection="1">
      <protection locked="0"/>
    </xf>
    <xf numFmtId="171" fontId="14" fillId="0" borderId="167" xfId="46" applyNumberFormat="1" applyFont="1" applyBorder="1" applyProtection="1">
      <protection locked="0"/>
    </xf>
    <xf numFmtId="171" fontId="14" fillId="0" borderId="0" xfId="46" applyNumberFormat="1" applyFont="1" applyBorder="1" applyProtection="1"/>
    <xf numFmtId="171" fontId="14" fillId="0" borderId="0" xfId="46" applyNumberFormat="1" applyFont="1" applyFill="1" applyBorder="1" applyProtection="1"/>
    <xf numFmtId="169" fontId="99" fillId="0" borderId="0" xfId="135" applyFont="1" applyBorder="1" applyProtection="1"/>
    <xf numFmtId="10" fontId="99" fillId="0" borderId="0" xfId="136" applyNumberFormat="1" applyFont="1" applyBorder="1" applyProtection="1"/>
    <xf numFmtId="171" fontId="14" fillId="0" borderId="0" xfId="46" applyNumberFormat="1" applyFont="1" applyFill="1" applyBorder="1" applyProtection="1">
      <protection locked="0"/>
    </xf>
    <xf numFmtId="0" fontId="99" fillId="29" borderId="27" xfId="135" applyNumberFormat="1" applyFont="1" applyFill="1" applyBorder="1" applyProtection="1">
      <protection locked="0"/>
    </xf>
    <xf numFmtId="171" fontId="99" fillId="29" borderId="17" xfId="134" applyNumberFormat="1" applyFont="1" applyFill="1" applyBorder="1" applyProtection="1">
      <protection locked="0"/>
    </xf>
    <xf numFmtId="169" fontId="99" fillId="29" borderId="89" xfId="135" applyFont="1" applyFill="1" applyBorder="1" applyProtection="1">
      <protection locked="0"/>
    </xf>
    <xf numFmtId="171" fontId="99" fillId="29" borderId="103" xfId="134" applyNumberFormat="1" applyFont="1" applyFill="1" applyBorder="1" applyProtection="1">
      <protection locked="0"/>
    </xf>
    <xf numFmtId="171" fontId="99" fillId="29" borderId="18" xfId="134" applyNumberFormat="1" applyFont="1" applyFill="1" applyBorder="1" applyProtection="1">
      <protection locked="0"/>
    </xf>
    <xf numFmtId="169" fontId="0" fillId="29" borderId="18" xfId="28" applyFont="1" applyFill="1" applyBorder="1" applyProtection="1">
      <protection locked="0"/>
    </xf>
    <xf numFmtId="3" fontId="0" fillId="29" borderId="18" xfId="29" applyNumberFormat="1" applyFont="1" applyFill="1" applyBorder="1" applyProtection="1">
      <protection locked="0"/>
    </xf>
    <xf numFmtId="169" fontId="11" fillId="29" borderId="33" xfId="28" applyFont="1" applyFill="1" applyBorder="1" applyAlignment="1" applyProtection="1">
      <alignment wrapText="1"/>
      <protection locked="0"/>
    </xf>
    <xf numFmtId="0" fontId="14" fillId="64" borderId="43" xfId="46" applyFont="1" applyFill="1" applyBorder="1" applyAlignment="1" applyProtection="1">
      <alignment horizontal="center" vertical="center" wrapText="1"/>
      <protection locked="0"/>
    </xf>
    <xf numFmtId="0" fontId="14" fillId="64" borderId="40" xfId="46" applyFont="1" applyFill="1" applyBorder="1" applyAlignment="1" applyProtection="1">
      <alignment vertical="center"/>
      <protection locked="0"/>
    </xf>
    <xf numFmtId="0" fontId="14" fillId="64" borderId="41" xfId="46" applyFont="1" applyFill="1" applyBorder="1" applyAlignment="1" applyProtection="1">
      <alignment horizontal="center" wrapText="1"/>
      <protection locked="0"/>
    </xf>
    <xf numFmtId="171" fontId="11" fillId="29" borderId="91" xfId="29" applyNumberFormat="1" applyFill="1" applyBorder="1" applyProtection="1">
      <protection locked="0"/>
    </xf>
    <xf numFmtId="171" fontId="11" fillId="29" borderId="126" xfId="29" applyNumberFormat="1" applyFill="1" applyBorder="1" applyProtection="1">
      <protection locked="0"/>
    </xf>
    <xf numFmtId="3" fontId="11" fillId="29" borderId="33" xfId="0" applyNumberFormat="1" applyFont="1" applyFill="1" applyBorder="1" applyProtection="1">
      <protection locked="0"/>
    </xf>
    <xf numFmtId="169" fontId="11" fillId="29" borderId="33" xfId="28" applyFont="1" applyFill="1" applyBorder="1" applyProtection="1">
      <protection locked="0"/>
    </xf>
    <xf numFmtId="169" fontId="11" fillId="29" borderId="17" xfId="28" applyFont="1" applyFill="1" applyBorder="1" applyProtection="1">
      <protection locked="0"/>
    </xf>
    <xf numFmtId="169" fontId="0" fillId="0" borderId="10" xfId="28" applyFont="1" applyFill="1" applyBorder="1" applyProtection="1"/>
    <xf numFmtId="169" fontId="0" fillId="0" borderId="10" xfId="28" applyFont="1" applyFill="1" applyBorder="1" applyProtection="1">
      <protection locked="0"/>
    </xf>
    <xf numFmtId="0" fontId="11" fillId="29" borderId="26" xfId="0" applyFont="1" applyFill="1" applyBorder="1" applyAlignment="1" applyProtection="1">
      <alignment wrapText="1"/>
      <protection locked="0"/>
    </xf>
    <xf numFmtId="0" fontId="11" fillId="29" borderId="10" xfId="0" applyFont="1" applyFill="1" applyBorder="1" applyAlignment="1" applyProtection="1">
      <alignment vertical="top" wrapText="1"/>
      <protection locked="0"/>
    </xf>
    <xf numFmtId="180" fontId="0" fillId="29" borderId="10" xfId="0" applyNumberFormat="1" applyFill="1" applyBorder="1" applyAlignment="1" applyProtection="1">
      <alignment vertical="top"/>
      <protection locked="0"/>
    </xf>
    <xf numFmtId="0" fontId="14" fillId="0" borderId="74" xfId="46" applyFont="1" applyFill="1" applyBorder="1" applyAlignment="1" applyProtection="1">
      <alignment horizontal="left"/>
      <protection locked="0"/>
    </xf>
    <xf numFmtId="0" fontId="14" fillId="0" borderId="13" xfId="46" applyFont="1" applyFill="1" applyBorder="1" applyAlignment="1" applyProtection="1">
      <alignment horizontal="left"/>
      <protection locked="0"/>
    </xf>
    <xf numFmtId="0" fontId="14" fillId="0" borderId="33" xfId="46" applyFont="1" applyFill="1" applyBorder="1" applyAlignment="1" applyProtection="1">
      <alignment horizontal="left"/>
      <protection locked="0"/>
    </xf>
    <xf numFmtId="0" fontId="11" fillId="0" borderId="0" xfId="46" applyAlignment="1" applyProtection="1">
      <alignment horizontal="center"/>
      <protection locked="0"/>
    </xf>
    <xf numFmtId="171" fontId="11" fillId="29" borderId="33" xfId="29" applyNumberFormat="1" applyFont="1" applyFill="1" applyBorder="1" applyProtection="1">
      <protection locked="0"/>
    </xf>
    <xf numFmtId="0" fontId="11" fillId="0" borderId="76" xfId="46" applyBorder="1" applyProtection="1">
      <protection locked="0"/>
    </xf>
    <xf numFmtId="0" fontId="11" fillId="0" borderId="12" xfId="46" applyBorder="1" applyProtection="1">
      <protection locked="0"/>
    </xf>
    <xf numFmtId="0" fontId="11" fillId="0" borderId="74" xfId="46" applyFont="1" applyBorder="1" applyAlignment="1" applyProtection="1">
      <alignment horizontal="center" vertical="center" wrapText="1"/>
      <protection locked="0"/>
    </xf>
    <xf numFmtId="0" fontId="11" fillId="0" borderId="10" xfId="46" applyBorder="1" applyAlignment="1" applyProtection="1">
      <alignment horizontal="center" vertical="center"/>
      <protection locked="0"/>
    </xf>
    <xf numFmtId="171" fontId="99" fillId="29" borderId="108" xfId="134" applyNumberFormat="1" applyFont="1" applyFill="1" applyBorder="1" applyProtection="1">
      <protection locked="0"/>
    </xf>
    <xf numFmtId="171" fontId="99" fillId="29" borderId="15" xfId="134" applyNumberFormat="1" applyFont="1" applyFill="1" applyBorder="1" applyProtection="1">
      <protection locked="0"/>
    </xf>
    <xf numFmtId="171" fontId="99" fillId="0" borderId="0" xfId="134" applyNumberFormat="1" applyFont="1" applyFill="1" applyBorder="1" applyProtection="1">
      <protection locked="0"/>
    </xf>
    <xf numFmtId="169" fontId="99" fillId="29" borderId="11" xfId="135" applyFont="1" applyFill="1" applyBorder="1" applyProtection="1">
      <protection locked="0"/>
    </xf>
    <xf numFmtId="0" fontId="11" fillId="0" borderId="33" xfId="46" applyFont="1" applyBorder="1" applyAlignment="1" applyProtection="1">
      <alignment horizontal="center" vertical="center"/>
      <protection locked="0"/>
    </xf>
    <xf numFmtId="0" fontId="11" fillId="0" borderId="25" xfId="46" applyFont="1" applyBorder="1" applyAlignment="1" applyProtection="1">
      <alignment vertical="center" wrapText="1"/>
      <protection locked="0"/>
    </xf>
    <xf numFmtId="10" fontId="99" fillId="0" borderId="10" xfId="136" applyNumberFormat="1" applyFont="1" applyBorder="1" applyProtection="1">
      <protection locked="0"/>
    </xf>
    <xf numFmtId="171" fontId="14" fillId="0" borderId="27" xfId="46" applyNumberFormat="1" applyFont="1" applyBorder="1" applyProtection="1">
      <protection locked="0"/>
    </xf>
    <xf numFmtId="171" fontId="14" fillId="0" borderId="25" xfId="46" applyNumberFormat="1" applyFont="1" applyBorder="1" applyProtection="1">
      <protection locked="0"/>
    </xf>
    <xf numFmtId="0" fontId="14" fillId="0" borderId="0" xfId="46" applyFont="1" applyFill="1" applyBorder="1" applyAlignment="1" applyProtection="1">
      <alignment horizontal="left"/>
      <protection locked="0"/>
    </xf>
    <xf numFmtId="171" fontId="14" fillId="0" borderId="0" xfId="46" applyNumberFormat="1" applyFont="1" applyFill="1" applyBorder="1" applyAlignment="1" applyProtection="1">
      <alignment horizontal="left"/>
      <protection locked="0"/>
    </xf>
    <xf numFmtId="171" fontId="11" fillId="0" borderId="0" xfId="46" applyNumberFormat="1" applyProtection="1">
      <protection locked="0"/>
    </xf>
    <xf numFmtId="171" fontId="99" fillId="29" borderId="40" xfId="134" applyNumberFormat="1" applyFont="1" applyFill="1" applyBorder="1" applyProtection="1">
      <protection locked="0"/>
    </xf>
    <xf numFmtId="169" fontId="99" fillId="29" borderId="108" xfId="135" applyFont="1" applyFill="1" applyBorder="1" applyProtection="1">
      <protection locked="0"/>
    </xf>
    <xf numFmtId="171" fontId="99" fillId="29" borderId="75" xfId="134" applyNumberFormat="1" applyFont="1" applyFill="1" applyBorder="1" applyProtection="1">
      <protection locked="0"/>
    </xf>
    <xf numFmtId="171" fontId="99" fillId="29" borderId="16" xfId="134" applyNumberFormat="1" applyFont="1" applyFill="1" applyBorder="1" applyProtection="1">
      <protection locked="0"/>
    </xf>
    <xf numFmtId="10" fontId="99" fillId="0" borderId="183" xfId="136" applyNumberFormat="1" applyFont="1" applyBorder="1" applyProtection="1">
      <protection locked="0"/>
    </xf>
    <xf numFmtId="10" fontId="99" fillId="0" borderId="25" xfId="136" applyNumberFormat="1" applyFont="1" applyBorder="1" applyProtection="1">
      <protection locked="0"/>
    </xf>
    <xf numFmtId="171" fontId="99" fillId="29" borderId="0" xfId="134" applyNumberFormat="1" applyFont="1" applyFill="1" applyBorder="1" applyProtection="1">
      <protection locked="0"/>
    </xf>
    <xf numFmtId="171" fontId="99" fillId="29" borderId="12" xfId="134" applyNumberFormat="1" applyFont="1" applyFill="1" applyBorder="1" applyProtection="1">
      <protection locked="0"/>
    </xf>
    <xf numFmtId="169" fontId="99" fillId="29" borderId="75" xfId="135" applyFont="1" applyFill="1" applyBorder="1" applyProtection="1">
      <protection locked="0"/>
    </xf>
    <xf numFmtId="171" fontId="99" fillId="29" borderId="91" xfId="134" applyNumberFormat="1" applyFont="1" applyFill="1" applyBorder="1" applyProtection="1">
      <protection locked="0"/>
    </xf>
    <xf numFmtId="10" fontId="99" fillId="0" borderId="63" xfId="136" applyNumberFormat="1" applyFont="1" applyBorder="1" applyProtection="1">
      <protection locked="0"/>
    </xf>
    <xf numFmtId="0" fontId="11" fillId="0" borderId="0" xfId="46" applyFont="1" applyAlignment="1" applyProtection="1">
      <alignment horizontal="left" vertical="top" wrapText="1"/>
      <protection locked="0"/>
    </xf>
    <xf numFmtId="169" fontId="0" fillId="0" borderId="17" xfId="28" applyFont="1" applyFill="1" applyBorder="1" applyProtection="1">
      <protection locked="0"/>
    </xf>
    <xf numFmtId="0" fontId="11" fillId="0" borderId="0" xfId="46" applyFont="1" applyAlignment="1" applyProtection="1">
      <alignment horizontal="left" vertical="top"/>
      <protection locked="0"/>
    </xf>
    <xf numFmtId="14" fontId="13" fillId="29" borderId="0" xfId="0" applyNumberFormat="1" applyFont="1" applyFill="1" applyAlignment="1" applyProtection="1">
      <alignment horizontal="right" vertical="top"/>
      <protection locked="0"/>
    </xf>
    <xf numFmtId="10" fontId="0" fillId="29" borderId="10" xfId="0" applyNumberFormat="1" applyFill="1" applyBorder="1" applyProtection="1">
      <protection locked="0"/>
    </xf>
    <xf numFmtId="0" fontId="0" fillId="29" borderId="10" xfId="0" applyFill="1" applyBorder="1" applyAlignment="1" applyProtection="1">
      <alignment horizontal="right"/>
      <protection locked="0"/>
    </xf>
    <xf numFmtId="0" fontId="14" fillId="25" borderId="0" xfId="0" applyFont="1" applyFill="1" applyBorder="1" applyAlignment="1" applyProtection="1">
      <alignment horizontal="center" wrapText="1"/>
      <protection locked="0"/>
    </xf>
    <xf numFmtId="0" fontId="14" fillId="0" borderId="0" xfId="0" applyFont="1" applyAlignment="1" applyProtection="1">
      <alignment horizontal="left" vertical="top" wrapText="1"/>
      <protection locked="0"/>
    </xf>
    <xf numFmtId="0" fontId="41" fillId="29" borderId="0" xfId="0" applyFont="1" applyFill="1" applyAlignment="1" applyProtection="1">
      <alignment horizontal="right"/>
      <protection locked="0"/>
    </xf>
    <xf numFmtId="0" fontId="0" fillId="29" borderId="27" xfId="0" applyFill="1" applyBorder="1" applyAlignment="1" applyProtection="1">
      <alignment wrapText="1"/>
      <protection locked="0"/>
    </xf>
    <xf numFmtId="0" fontId="0" fillId="29" borderId="0" xfId="0" applyFill="1" applyBorder="1" applyProtection="1">
      <protection locked="0"/>
    </xf>
    <xf numFmtId="180" fontId="0" fillId="29" borderId="0" xfId="0" applyNumberFormat="1" applyFill="1" applyBorder="1" applyProtection="1">
      <protection locked="0"/>
    </xf>
    <xf numFmtId="9" fontId="0" fillId="29" borderId="10" xfId="42" applyFont="1" applyFill="1" applyBorder="1" applyAlignment="1" applyProtection="1">
      <protection locked="0"/>
    </xf>
    <xf numFmtId="180" fontId="0" fillId="29" borderId="10" xfId="28" applyNumberFormat="1" applyFont="1" applyFill="1" applyBorder="1" applyAlignment="1" applyProtection="1">
      <protection locked="0"/>
    </xf>
    <xf numFmtId="15" fontId="13" fillId="29" borderId="0" xfId="46" applyNumberFormat="1" applyFont="1" applyFill="1" applyAlignment="1" applyProtection="1">
      <alignment horizontal="right" vertical="top"/>
      <protection locked="0"/>
    </xf>
    <xf numFmtId="171" fontId="0" fillId="29" borderId="0" xfId="29" applyNumberFormat="1" applyFont="1" applyFill="1" applyBorder="1" applyProtection="1">
      <protection locked="0"/>
    </xf>
    <xf numFmtId="188" fontId="11" fillId="29" borderId="33" xfId="28" applyNumberFormat="1" applyFont="1" applyFill="1" applyBorder="1" applyProtection="1">
      <protection locked="0"/>
    </xf>
    <xf numFmtId="188" fontId="11" fillId="29" borderId="10" xfId="28" applyNumberFormat="1" applyFont="1" applyFill="1" applyBorder="1" applyProtection="1">
      <protection locked="0"/>
    </xf>
    <xf numFmtId="188" fontId="0" fillId="29" borderId="10" xfId="28" applyNumberFormat="1" applyFont="1" applyFill="1" applyBorder="1" applyProtection="1">
      <protection locked="0"/>
    </xf>
    <xf numFmtId="188" fontId="0" fillId="29" borderId="11" xfId="28" applyNumberFormat="1" applyFont="1" applyFill="1" applyBorder="1" applyProtection="1">
      <protection locked="0"/>
    </xf>
    <xf numFmtId="188" fontId="0" fillId="64" borderId="10" xfId="28" applyNumberFormat="1" applyFont="1" applyFill="1" applyBorder="1" applyProtection="1"/>
    <xf numFmtId="188" fontId="14" fillId="64" borderId="10" xfId="28" applyNumberFormat="1" applyFont="1" applyFill="1" applyBorder="1" applyProtection="1"/>
    <xf numFmtId="188" fontId="14" fillId="0" borderId="56" xfId="28" applyNumberFormat="1" applyFont="1" applyFill="1" applyBorder="1" applyProtection="1"/>
    <xf numFmtId="188" fontId="14" fillId="0" borderId="10" xfId="28" applyNumberFormat="1" applyFont="1" applyFill="1" applyBorder="1" applyProtection="1"/>
    <xf numFmtId="10" fontId="11" fillId="29" borderId="10" xfId="42" applyNumberFormat="1" applyFill="1" applyBorder="1"/>
    <xf numFmtId="168" fontId="0" fillId="0" borderId="0" xfId="29" applyFont="1" applyProtection="1">
      <protection locked="0"/>
    </xf>
    <xf numFmtId="0" fontId="14" fillId="0" borderId="64" xfId="0" applyFont="1" applyBorder="1" applyAlignment="1">
      <alignment horizontal="center" vertical="center"/>
    </xf>
    <xf numFmtId="0" fontId="14" fillId="0" borderId="31" xfId="0" applyFont="1" applyBorder="1" applyAlignment="1">
      <alignment horizontal="center"/>
    </xf>
    <xf numFmtId="0" fontId="106" fillId="0" borderId="0" xfId="0" applyFont="1" applyAlignment="1">
      <alignment horizontal="left" vertical="top"/>
    </xf>
    <xf numFmtId="202" fontId="106" fillId="87" borderId="0" xfId="131" applyNumberFormat="1" applyFont="1" applyFill="1" applyBorder="1" applyProtection="1">
      <protection locked="0"/>
    </xf>
    <xf numFmtId="202" fontId="106" fillId="87" borderId="122" xfId="132" applyNumberFormat="1" applyFont="1" applyFill="1" applyBorder="1" applyProtection="1">
      <protection locked="0"/>
    </xf>
    <xf numFmtId="202" fontId="106" fillId="87" borderId="164" xfId="131" applyNumberFormat="1" applyFont="1" applyFill="1" applyBorder="1" applyProtection="1">
      <protection locked="0"/>
    </xf>
    <xf numFmtId="202" fontId="106" fillId="87" borderId="0" xfId="132" applyNumberFormat="1" applyFont="1" applyFill="1" applyBorder="1" applyProtection="1">
      <protection locked="0"/>
    </xf>
    <xf numFmtId="202" fontId="116" fillId="87" borderId="164" xfId="131" applyNumberFormat="1" applyFont="1" applyFill="1" applyBorder="1" applyProtection="1">
      <protection locked="0"/>
    </xf>
    <xf numFmtId="202" fontId="116" fillId="87" borderId="0" xfId="132" applyNumberFormat="1" applyFont="1" applyFill="1" applyBorder="1" applyProtection="1">
      <protection locked="0"/>
    </xf>
    <xf numFmtId="202" fontId="116" fillId="87" borderId="122" xfId="132" applyNumberFormat="1" applyFont="1" applyFill="1" applyBorder="1" applyProtection="1">
      <protection locked="0"/>
    </xf>
    <xf numFmtId="202" fontId="116" fillId="87" borderId="0" xfId="131" applyNumberFormat="1" applyFont="1" applyFill="1" applyBorder="1" applyProtection="1">
      <protection locked="0"/>
    </xf>
    <xf numFmtId="202" fontId="116" fillId="87" borderId="122" xfId="131" applyNumberFormat="1" applyFont="1" applyFill="1" applyBorder="1" applyProtection="1">
      <protection locked="0"/>
    </xf>
    <xf numFmtId="202" fontId="116" fillId="87" borderId="123" xfId="131" applyNumberFormat="1" applyFont="1" applyFill="1" applyBorder="1" applyProtection="1">
      <protection locked="0"/>
    </xf>
    <xf numFmtId="39" fontId="112" fillId="71" borderId="0" xfId="28" applyNumberFormat="1" applyFont="1" applyFill="1" applyBorder="1" applyAlignment="1" applyProtection="1">
      <alignment vertical="top"/>
      <protection locked="0"/>
    </xf>
    <xf numFmtId="39" fontId="112" fillId="71" borderId="165" xfId="28" applyNumberFormat="1" applyFont="1" applyFill="1" applyBorder="1" applyAlignment="1" applyProtection="1">
      <alignment vertical="top"/>
      <protection locked="0"/>
    </xf>
    <xf numFmtId="39" fontId="112" fillId="71" borderId="119" xfId="28" applyNumberFormat="1" applyFont="1" applyFill="1" applyBorder="1" applyAlignment="1" applyProtection="1">
      <alignment vertical="top"/>
      <protection locked="0"/>
    </xf>
    <xf numFmtId="39" fontId="110" fillId="0" borderId="30" xfId="130" applyNumberFormat="1" applyFont="1" applyFill="1" applyBorder="1" applyProtection="1">
      <protection locked="0"/>
    </xf>
    <xf numFmtId="39" fontId="112" fillId="0" borderId="0" xfId="130" applyNumberFormat="1" applyFont="1" applyFill="1" applyBorder="1" applyAlignment="1" applyProtection="1">
      <alignment vertical="top"/>
      <protection locked="0"/>
    </xf>
    <xf numFmtId="39" fontId="112" fillId="0" borderId="119" xfId="130" applyNumberFormat="1" applyFont="1" applyFill="1" applyBorder="1" applyAlignment="1" applyProtection="1">
      <alignment vertical="top"/>
      <protection locked="0"/>
    </xf>
    <xf numFmtId="0" fontId="14" fillId="0" borderId="0" xfId="0" applyFont="1" applyFill="1" applyBorder="1" applyAlignment="1">
      <alignment horizontal="center"/>
    </xf>
    <xf numFmtId="0" fontId="14" fillId="0" borderId="29" xfId="0" applyFont="1" applyFill="1" applyBorder="1"/>
    <xf numFmtId="0" fontId="14" fillId="0" borderId="10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29" xfId="0" applyFont="1" applyBorder="1" applyAlignment="1">
      <alignment vertical="center" wrapText="1"/>
    </xf>
    <xf numFmtId="3" fontId="11" fillId="29" borderId="0" xfId="0" applyNumberFormat="1" applyFont="1" applyFill="1" applyBorder="1" applyAlignment="1">
      <alignment horizontal="center" vertical="center"/>
    </xf>
    <xf numFmtId="3" fontId="0" fillId="29" borderId="0" xfId="0" applyNumberFormat="1" applyFill="1" applyBorder="1" applyAlignment="1">
      <alignment horizontal="center" vertical="center"/>
    </xf>
    <xf numFmtId="3" fontId="0" fillId="29" borderId="30" xfId="0" applyNumberFormat="1" applyFill="1" applyBorder="1" applyAlignment="1">
      <alignment horizontal="center" vertical="center"/>
    </xf>
    <xf numFmtId="0" fontId="14" fillId="0" borderId="47" xfId="0" applyFont="1" applyFill="1" applyBorder="1" applyAlignment="1">
      <alignment horizontal="left" vertical="top"/>
    </xf>
    <xf numFmtId="0" fontId="11" fillId="0" borderId="0" xfId="0" applyFont="1" applyFill="1" applyBorder="1" applyAlignment="1">
      <alignment horizontal="center" vertical="center" wrapText="1"/>
    </xf>
    <xf numFmtId="0" fontId="14" fillId="0" borderId="0" xfId="0" applyFont="1" applyBorder="1" applyAlignment="1">
      <alignment horizontal="center" vertical="center"/>
    </xf>
    <xf numFmtId="0" fontId="14" fillId="0" borderId="0" xfId="0" applyFont="1" applyBorder="1"/>
    <xf numFmtId="0" fontId="14" fillId="0" borderId="29" xfId="0" applyFont="1" applyBorder="1" applyAlignment="1">
      <alignment horizontal="center" vertical="center" wrapText="1"/>
    </xf>
    <xf numFmtId="0" fontId="14" fillId="0" borderId="108" xfId="0" applyFont="1" applyBorder="1"/>
    <xf numFmtId="0" fontId="14" fillId="0" borderId="40" xfId="0" applyFont="1" applyFill="1" applyBorder="1" applyAlignment="1">
      <alignment horizontal="left" vertical="top"/>
    </xf>
    <xf numFmtId="0" fontId="11" fillId="0" borderId="0" xfId="0" applyFont="1" applyBorder="1" applyAlignment="1">
      <alignment horizontal="center" vertical="center"/>
    </xf>
    <xf numFmtId="0" fontId="11" fillId="0" borderId="40" xfId="0" applyFont="1" applyBorder="1" applyAlignment="1">
      <alignment horizontal="center" vertical="center"/>
    </xf>
    <xf numFmtId="170" fontId="0" fillId="0" borderId="0" xfId="42" applyNumberFormat="1" applyFont="1" applyFill="1" applyBorder="1" applyAlignment="1">
      <alignment horizontal="center" vertical="center"/>
    </xf>
    <xf numFmtId="170" fontId="0" fillId="0" borderId="30" xfId="42" applyNumberFormat="1" applyFont="1" applyBorder="1" applyAlignment="1">
      <alignment vertical="center"/>
    </xf>
    <xf numFmtId="0" fontId="11" fillId="0" borderId="40" xfId="0" applyFont="1" applyBorder="1" applyAlignment="1">
      <alignment horizontal="center" vertical="center" wrapText="1"/>
    </xf>
    <xf numFmtId="0" fontId="14" fillId="0" borderId="70" xfId="0" applyFont="1" applyBorder="1" applyAlignment="1">
      <alignment horizontal="center" vertical="center"/>
    </xf>
    <xf numFmtId="0" fontId="11" fillId="0" borderId="69" xfId="0" applyFont="1" applyBorder="1" applyAlignment="1">
      <alignment horizontal="center" vertical="center"/>
    </xf>
    <xf numFmtId="0" fontId="0" fillId="0" borderId="30" xfId="0" applyBorder="1" applyAlignment="1">
      <alignment horizontal="center" vertical="center" wrapText="1"/>
    </xf>
    <xf numFmtId="0" fontId="11" fillId="0" borderId="47" xfId="0" applyFont="1" applyBorder="1" applyAlignment="1">
      <alignment horizontal="center"/>
    </xf>
    <xf numFmtId="0" fontId="11" fillId="0" borderId="108" xfId="0" applyFont="1" applyBorder="1" applyAlignment="1">
      <alignment horizontal="center" vertical="center" wrapText="1"/>
    </xf>
    <xf numFmtId="3" fontId="0" fillId="29" borderId="0" xfId="0" applyNumberFormat="1" applyFill="1" applyBorder="1"/>
    <xf numFmtId="3" fontId="0" fillId="29" borderId="30" xfId="0" applyNumberFormat="1" applyFill="1" applyBorder="1"/>
    <xf numFmtId="3" fontId="14" fillId="0" borderId="10" xfId="28" applyNumberFormat="1" applyFont="1" applyFill="1" applyBorder="1" applyProtection="1"/>
    <xf numFmtId="3" fontId="14" fillId="64" borderId="10" xfId="28" applyNumberFormat="1" applyFont="1" applyFill="1" applyBorder="1" applyProtection="1"/>
    <xf numFmtId="1" fontId="14" fillId="29" borderId="25" xfId="29" applyNumberFormat="1" applyFont="1" applyFill="1" applyBorder="1" applyAlignment="1" applyProtection="1">
      <alignment horizontal="center"/>
      <protection locked="0"/>
    </xf>
    <xf numFmtId="0" fontId="53" fillId="0" borderId="0" xfId="47" applyFont="1" applyBorder="1" applyProtection="1">
      <protection locked="0"/>
    </xf>
    <xf numFmtId="3" fontId="50" fillId="0" borderId="0" xfId="47" applyNumberFormat="1" applyFont="1" applyBorder="1" applyAlignment="1" applyProtection="1">
      <protection locked="0"/>
    </xf>
    <xf numFmtId="0" fontId="50" fillId="30" borderId="33" xfId="47" applyFont="1" applyFill="1" applyBorder="1" applyProtection="1">
      <protection locked="0"/>
    </xf>
    <xf numFmtId="3" fontId="50" fillId="0" borderId="82" xfId="47" applyNumberFormat="1" applyFont="1" applyBorder="1" applyAlignment="1" applyProtection="1">
      <protection locked="0"/>
    </xf>
    <xf numFmtId="3" fontId="50" fillId="0" borderId="12" xfId="47" applyNumberFormat="1" applyFont="1" applyBorder="1" applyAlignment="1" applyProtection="1">
      <protection locked="0"/>
    </xf>
    <xf numFmtId="3" fontId="50" fillId="0" borderId="19" xfId="47" applyNumberFormat="1" applyFont="1" applyBorder="1" applyAlignment="1" applyProtection="1">
      <protection locked="0"/>
    </xf>
    <xf numFmtId="0" fontId="14" fillId="29" borderId="18" xfId="0" applyFont="1" applyFill="1" applyBorder="1" applyProtection="1">
      <protection locked="0"/>
    </xf>
    <xf numFmtId="0" fontId="11" fillId="29" borderId="18" xfId="0" applyFont="1" applyFill="1" applyBorder="1" applyProtection="1">
      <protection locked="0"/>
    </xf>
    <xf numFmtId="0" fontId="11" fillId="29" borderId="15" xfId="0" applyFont="1" applyFill="1" applyBorder="1" applyProtection="1">
      <protection locked="0"/>
    </xf>
    <xf numFmtId="0" fontId="14" fillId="64" borderId="16" xfId="0" applyFont="1" applyFill="1" applyBorder="1" applyAlignment="1" applyProtection="1">
      <alignment wrapText="1"/>
      <protection locked="0"/>
    </xf>
    <xf numFmtId="0" fontId="14" fillId="0" borderId="0" xfId="46" applyFont="1" applyAlignment="1" applyProtection="1">
      <alignment horizontal="center" vertical="top"/>
      <protection locked="0"/>
    </xf>
    <xf numFmtId="0" fontId="14" fillId="0" borderId="0" xfId="46" applyFont="1" applyAlignment="1" applyProtection="1">
      <alignment horizontal="center" vertical="top" wrapText="1"/>
      <protection locked="0"/>
    </xf>
    <xf numFmtId="0" fontId="14" fillId="0" borderId="69" xfId="46" applyFont="1" applyFill="1" applyBorder="1" applyAlignment="1" applyProtection="1">
      <alignment vertical="center" wrapText="1"/>
      <protection locked="0"/>
    </xf>
    <xf numFmtId="188" fontId="0" fillId="29" borderId="17" xfId="28" applyNumberFormat="1" applyFont="1" applyFill="1" applyBorder="1" applyProtection="1">
      <protection locked="0"/>
    </xf>
    <xf numFmtId="188" fontId="11" fillId="29" borderId="15" xfId="28" applyNumberFormat="1" applyFont="1" applyFill="1" applyBorder="1" applyProtection="1">
      <protection locked="0"/>
    </xf>
    <xf numFmtId="188" fontId="11" fillId="29" borderId="18" xfId="28" applyNumberFormat="1" applyFont="1" applyFill="1" applyBorder="1" applyProtection="1">
      <protection locked="0"/>
    </xf>
    <xf numFmtId="0" fontId="14" fillId="0" borderId="49" xfId="0" applyFont="1" applyFill="1" applyBorder="1" applyAlignment="1" applyProtection="1">
      <alignment horizontal="center" vertical="center"/>
      <protection locked="0"/>
    </xf>
    <xf numFmtId="188" fontId="0" fillId="29" borderId="10" xfId="29" applyNumberFormat="1" applyFont="1" applyFill="1" applyBorder="1" applyProtection="1">
      <protection locked="0"/>
    </xf>
    <xf numFmtId="188" fontId="11" fillId="29" borderId="33" xfId="28" applyNumberFormat="1" applyFont="1" applyFill="1" applyBorder="1" applyAlignment="1" applyProtection="1">
      <alignment wrapText="1"/>
      <protection locked="0"/>
    </xf>
    <xf numFmtId="188" fontId="14" fillId="29" borderId="18" xfId="28" applyNumberFormat="1" applyFont="1" applyFill="1" applyBorder="1" applyProtection="1">
      <protection locked="0"/>
    </xf>
    <xf numFmtId="188" fontId="0" fillId="0" borderId="10" xfId="28" applyNumberFormat="1" applyFont="1" applyFill="1" applyBorder="1" applyProtection="1"/>
    <xf numFmtId="0" fontId="11" fillId="0" borderId="88" xfId="46" applyFill="1" applyBorder="1" applyAlignment="1" applyProtection="1">
      <alignment horizontal="left" wrapText="1"/>
      <protection locked="0"/>
    </xf>
    <xf numFmtId="0" fontId="14" fillId="64" borderId="11" xfId="46" applyFont="1" applyFill="1" applyBorder="1" applyAlignment="1" applyProtection="1">
      <alignment horizontal="center"/>
    </xf>
    <xf numFmtId="0" fontId="14" fillId="64" borderId="19" xfId="46" applyFont="1" applyFill="1" applyBorder="1" applyAlignment="1" applyProtection="1">
      <alignment horizontal="center"/>
      <protection locked="0"/>
    </xf>
    <xf numFmtId="0" fontId="14" fillId="0" borderId="72" xfId="46" applyFont="1" applyFill="1" applyBorder="1" applyAlignment="1" applyProtection="1">
      <alignment vertical="center" wrapText="1"/>
      <protection locked="0"/>
    </xf>
    <xf numFmtId="0" fontId="14" fillId="0" borderId="66" xfId="46" applyFont="1" applyFill="1" applyBorder="1" applyAlignment="1" applyProtection="1">
      <alignment horizontal="center"/>
    </xf>
    <xf numFmtId="0" fontId="14" fillId="0" borderId="63" xfId="46" applyFont="1" applyFill="1" applyBorder="1" applyAlignment="1" applyProtection="1">
      <alignment horizontal="center"/>
      <protection locked="0"/>
    </xf>
    <xf numFmtId="0" fontId="11" fillId="0" borderId="53" xfId="46" applyFill="1" applyBorder="1" applyAlignment="1" applyProtection="1">
      <alignment horizontal="left" wrapText="1"/>
      <protection locked="0"/>
    </xf>
    <xf numFmtId="188" fontId="0" fillId="29" borderId="173" xfId="28" applyNumberFormat="1" applyFont="1" applyFill="1" applyBorder="1" applyAlignment="1" applyProtection="1">
      <alignment horizontal="center"/>
      <protection locked="0"/>
    </xf>
    <xf numFmtId="188" fontId="0" fillId="79" borderId="173" xfId="28" applyNumberFormat="1" applyFont="1" applyFill="1" applyBorder="1" applyAlignment="1" applyProtection="1">
      <alignment horizontal="center"/>
      <protection locked="0"/>
    </xf>
    <xf numFmtId="188" fontId="0" fillId="29" borderId="173" xfId="0" applyNumberFormat="1" applyFill="1" applyBorder="1" applyAlignment="1" applyProtection="1">
      <alignment horizontal="center"/>
      <protection locked="0"/>
    </xf>
    <xf numFmtId="0" fontId="14" fillId="0" borderId="100" xfId="46" applyFont="1" applyFill="1" applyBorder="1" applyAlignment="1" applyProtection="1">
      <alignment vertical="center" wrapText="1"/>
      <protection locked="0"/>
    </xf>
    <xf numFmtId="0" fontId="14" fillId="64" borderId="109" xfId="46" applyFont="1" applyFill="1" applyBorder="1" applyAlignment="1" applyProtection="1">
      <alignment horizontal="center"/>
    </xf>
    <xf numFmtId="0" fontId="14" fillId="64" borderId="76" xfId="46" applyFont="1" applyFill="1" applyBorder="1" applyAlignment="1" applyProtection="1">
      <alignment horizontal="center"/>
      <protection locked="0"/>
    </xf>
    <xf numFmtId="0" fontId="14" fillId="0" borderId="11" xfId="46" applyFont="1" applyFill="1" applyBorder="1" applyAlignment="1" applyProtection="1">
      <alignment horizontal="center"/>
    </xf>
    <xf numFmtId="0" fontId="14" fillId="0" borderId="19" xfId="46" applyFont="1" applyFill="1" applyBorder="1" applyAlignment="1" applyProtection="1">
      <alignment horizontal="center"/>
      <protection locked="0"/>
    </xf>
    <xf numFmtId="188" fontId="11" fillId="29" borderId="17" xfId="28" applyNumberFormat="1" applyFill="1" applyBorder="1" applyAlignment="1" applyProtection="1">
      <alignment horizontal="left" wrapText="1"/>
      <protection locked="0"/>
    </xf>
    <xf numFmtId="188" fontId="11" fillId="29" borderId="17" xfId="46" applyNumberFormat="1" applyFill="1" applyBorder="1" applyAlignment="1" applyProtection="1">
      <alignment horizontal="left" wrapText="1"/>
      <protection locked="0"/>
    </xf>
    <xf numFmtId="0" fontId="14" fillId="0" borderId="73" xfId="46" applyFont="1" applyFill="1" applyBorder="1" applyAlignment="1" applyProtection="1">
      <alignment vertical="center" wrapText="1"/>
      <protection locked="0"/>
    </xf>
    <xf numFmtId="188" fontId="11" fillId="29" borderId="67" xfId="28" applyNumberFormat="1" applyFill="1" applyBorder="1" applyAlignment="1" applyProtection="1">
      <alignment horizontal="left" wrapText="1"/>
      <protection locked="0"/>
    </xf>
    <xf numFmtId="188" fontId="11" fillId="29" borderId="67" xfId="46" applyNumberFormat="1" applyFill="1" applyBorder="1" applyAlignment="1" applyProtection="1">
      <alignment horizontal="left" wrapText="1"/>
      <protection locked="0"/>
    </xf>
    <xf numFmtId="0" fontId="14" fillId="0" borderId="31" xfId="0" applyFont="1" applyBorder="1" applyAlignment="1">
      <alignment horizontal="center"/>
    </xf>
    <xf numFmtId="3" fontId="0" fillId="0" borderId="0" xfId="0" applyNumberFormat="1" applyBorder="1"/>
    <xf numFmtId="3" fontId="0" fillId="0" borderId="0" xfId="0" applyNumberFormat="1"/>
    <xf numFmtId="180" fontId="0" fillId="67" borderId="68" xfId="0" applyNumberFormat="1" applyFill="1" applyBorder="1"/>
    <xf numFmtId="3" fontId="104" fillId="0" borderId="0" xfId="0" applyNumberFormat="1" applyFont="1" applyFill="1"/>
    <xf numFmtId="4" fontId="104" fillId="0" borderId="0" xfId="0" applyNumberFormat="1" applyFont="1" applyFill="1"/>
    <xf numFmtId="180" fontId="104" fillId="0" borderId="0" xfId="0" applyNumberFormat="1" applyFont="1" applyFill="1"/>
    <xf numFmtId="0" fontId="11" fillId="29" borderId="17" xfId="0" applyFont="1" applyFill="1" applyBorder="1" applyAlignment="1" applyProtection="1">
      <alignment horizontal="left" vertical="top" wrapText="1"/>
      <protection locked="0"/>
    </xf>
    <xf numFmtId="0" fontId="0" fillId="29" borderId="17" xfId="0" applyFill="1" applyBorder="1" applyAlignment="1" applyProtection="1">
      <alignment horizontal="left" vertical="top" wrapText="1"/>
      <protection locked="0"/>
    </xf>
    <xf numFmtId="188" fontId="0" fillId="29" borderId="10" xfId="28" applyNumberFormat="1" applyFont="1" applyFill="1" applyBorder="1" applyAlignment="1" applyProtection="1">
      <protection locked="0"/>
    </xf>
    <xf numFmtId="14" fontId="13" fillId="29" borderId="0" xfId="46" applyNumberFormat="1" applyFont="1" applyFill="1" applyAlignment="1" applyProtection="1">
      <alignment horizontal="right" vertical="top"/>
      <protection locked="0"/>
    </xf>
    <xf numFmtId="169" fontId="11" fillId="0" borderId="0" xfId="28" applyProtection="1">
      <protection locked="0"/>
    </xf>
    <xf numFmtId="0" fontId="14" fillId="25" borderId="72" xfId="0" applyFont="1" applyFill="1" applyBorder="1" applyAlignment="1" applyProtection="1">
      <alignment horizontal="center" vertical="center" wrapText="1"/>
      <protection locked="0"/>
    </xf>
    <xf numFmtId="0" fontId="14"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4" fillId="25" borderId="24" xfId="0" applyFont="1" applyFill="1" applyBorder="1" applyAlignment="1" applyProtection="1">
      <alignment horizontal="center" vertical="center" wrapText="1"/>
      <protection locked="0"/>
    </xf>
    <xf numFmtId="0" fontId="14"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4" fillId="25" borderId="0" xfId="0" applyFont="1" applyFill="1" applyBorder="1" applyAlignment="1" applyProtection="1">
      <alignment horizontal="center" wrapText="1"/>
      <protection locked="0"/>
    </xf>
    <xf numFmtId="9" fontId="11" fillId="29" borderId="10" xfId="42" applyFont="1" applyFill="1" applyBorder="1" applyAlignment="1" applyProtection="1">
      <alignment horizontal="center" vertical="top" wrapText="1"/>
      <protection locked="0"/>
    </xf>
    <xf numFmtId="168" fontId="11" fillId="0" borderId="0" xfId="46" applyNumberFormat="1" applyProtection="1">
      <protection locked="0"/>
    </xf>
    <xf numFmtId="0" fontId="11" fillId="29" borderId="18" xfId="0" applyFont="1" applyFill="1" applyBorder="1" applyAlignment="1" applyProtection="1">
      <alignment wrapText="1"/>
      <protection locked="0"/>
    </xf>
    <xf numFmtId="0" fontId="0" fillId="29" borderId="27" xfId="0" applyFill="1" applyBorder="1" applyAlignment="1" applyProtection="1">
      <alignment vertical="top" wrapText="1"/>
      <protection locked="0"/>
    </xf>
    <xf numFmtId="0" fontId="0" fillId="29" borderId="10" xfId="0" applyFill="1" applyBorder="1" applyAlignment="1" applyProtection="1">
      <alignment vertical="top" wrapText="1"/>
      <protection locked="0"/>
    </xf>
    <xf numFmtId="171" fontId="11" fillId="0" borderId="10" xfId="46" applyNumberFormat="1" applyFill="1" applyBorder="1" applyProtection="1"/>
    <xf numFmtId="0" fontId="41" fillId="29" borderId="0" xfId="0" applyFont="1" applyFill="1" applyAlignment="1" applyProtection="1">
      <alignment horizontal="left"/>
      <protection locked="0"/>
    </xf>
    <xf numFmtId="188" fontId="0" fillId="0" borderId="0" xfId="0" applyNumberFormat="1" applyProtection="1">
      <protection locked="0"/>
    </xf>
    <xf numFmtId="3" fontId="20" fillId="0" borderId="0" xfId="47" applyNumberFormat="1" applyProtection="1">
      <protection locked="0"/>
    </xf>
    <xf numFmtId="39" fontId="120" fillId="71" borderId="0" xfId="28" applyNumberFormat="1" applyFont="1" applyFill="1" applyBorder="1" applyAlignment="1" applyProtection="1">
      <alignment vertical="top"/>
      <protection locked="0"/>
    </xf>
    <xf numFmtId="203" fontId="11" fillId="0" borderId="119" xfId="42" applyNumberFormat="1" applyFont="1" applyBorder="1" applyProtection="1">
      <protection locked="0"/>
    </xf>
    <xf numFmtId="0" fontId="51" fillId="0" borderId="0" xfId="0" applyFont="1" applyAlignment="1" applyProtection="1">
      <alignment horizontal="right" vertical="center" wrapText="1"/>
    </xf>
    <xf numFmtId="0" fontId="51" fillId="0" borderId="0" xfId="0" applyFont="1" applyAlignment="1" applyProtection="1">
      <alignment horizontal="right" vertical="center" wrapText="1" indent="1"/>
    </xf>
    <xf numFmtId="0" fontId="0" fillId="28" borderId="93" xfId="0" applyNumberFormat="1" applyFill="1" applyBorder="1" applyAlignment="1" applyProtection="1">
      <alignment horizontal="center" vertical="center"/>
      <protection locked="0"/>
    </xf>
    <xf numFmtId="0" fontId="0" fillId="28" borderId="94" xfId="0" applyNumberFormat="1" applyFill="1" applyBorder="1" applyAlignment="1" applyProtection="1">
      <alignment horizontal="center" vertical="center"/>
      <protection locked="0"/>
    </xf>
    <xf numFmtId="0" fontId="0" fillId="28" borderId="95" xfId="0" applyNumberFormat="1" applyFill="1" applyBorder="1" applyAlignment="1" applyProtection="1">
      <alignment horizontal="center" vertical="center"/>
      <protection locked="0"/>
    </xf>
    <xf numFmtId="0" fontId="51" fillId="0" borderId="147" xfId="0" applyFont="1" applyBorder="1" applyAlignment="1" applyProtection="1">
      <alignment horizontal="right" vertical="center" wrapText="1"/>
    </xf>
    <xf numFmtId="0" fontId="51" fillId="0" borderId="0" xfId="0" applyFont="1" applyBorder="1" applyAlignment="1" applyProtection="1">
      <alignment horizontal="right" wrapText="1"/>
    </xf>
    <xf numFmtId="0" fontId="51" fillId="0" borderId="147" xfId="0" applyFont="1" applyBorder="1" applyAlignment="1" applyProtection="1">
      <alignment horizontal="right" wrapText="1"/>
    </xf>
    <xf numFmtId="0" fontId="11" fillId="29" borderId="96" xfId="0" applyFont="1" applyFill="1" applyBorder="1" applyAlignment="1" applyProtection="1">
      <alignment vertical="center"/>
      <protection locked="0"/>
    </xf>
    <xf numFmtId="0" fontId="0" fillId="29" borderId="97" xfId="0" applyFill="1" applyBorder="1" applyAlignment="1" applyProtection="1">
      <alignment vertical="center"/>
      <protection locked="0"/>
    </xf>
    <xf numFmtId="0" fontId="0" fillId="29" borderId="98" xfId="0" applyFill="1" applyBorder="1" applyAlignment="1" applyProtection="1">
      <alignment vertical="center"/>
      <protection locked="0"/>
    </xf>
    <xf numFmtId="0" fontId="0" fillId="28" borderId="93" xfId="0" applyFill="1" applyBorder="1" applyAlignment="1" applyProtection="1">
      <alignment horizontal="left" vertical="center" wrapText="1"/>
      <protection locked="0"/>
    </xf>
    <xf numFmtId="0" fontId="0" fillId="28" borderId="94" xfId="0" applyFill="1" applyBorder="1" applyAlignment="1" applyProtection="1">
      <alignment horizontal="left" vertical="center" wrapText="1"/>
      <protection locked="0"/>
    </xf>
    <xf numFmtId="0" fontId="0" fillId="28" borderId="95" xfId="0" applyFill="1" applyBorder="1" applyAlignment="1" applyProtection="1">
      <alignment horizontal="left" vertical="center" wrapText="1"/>
      <protection locked="0"/>
    </xf>
    <xf numFmtId="0" fontId="11" fillId="29" borderId="93" xfId="0" applyFont="1" applyFill="1" applyBorder="1" applyAlignment="1" applyProtection="1">
      <alignment vertical="center"/>
      <protection locked="0"/>
    </xf>
    <xf numFmtId="0" fontId="0" fillId="29" borderId="94" xfId="0" applyFill="1" applyBorder="1" applyAlignment="1" applyProtection="1">
      <alignment vertical="center"/>
      <protection locked="0"/>
    </xf>
    <xf numFmtId="0" fontId="0" fillId="29" borderId="95" xfId="0" applyFill="1" applyBorder="1" applyAlignment="1" applyProtection="1">
      <alignment vertical="center"/>
      <protection locked="0"/>
    </xf>
    <xf numFmtId="0" fontId="0" fillId="64" borderId="93" xfId="0" applyNumberFormat="1" applyFill="1" applyBorder="1" applyAlignment="1" applyProtection="1">
      <alignment horizontal="center" vertical="center"/>
    </xf>
    <xf numFmtId="0" fontId="0" fillId="64" borderId="94" xfId="0" applyNumberFormat="1" applyFill="1" applyBorder="1" applyAlignment="1" applyProtection="1">
      <alignment horizontal="center" vertical="center"/>
    </xf>
    <xf numFmtId="0" fontId="0" fillId="64" borderId="95" xfId="0" applyNumberFormat="1" applyFill="1" applyBorder="1" applyAlignment="1" applyProtection="1">
      <alignment horizontal="center" vertical="center"/>
    </xf>
    <xf numFmtId="0" fontId="11" fillId="29" borderId="93" xfId="0" applyNumberFormat="1" applyFont="1" applyFill="1" applyBorder="1" applyAlignment="1" applyProtection="1">
      <alignment horizontal="left" vertical="top"/>
      <protection locked="0"/>
    </xf>
    <xf numFmtId="0" fontId="0" fillId="29" borderId="94" xfId="0" applyNumberFormat="1" applyFill="1" applyBorder="1" applyAlignment="1" applyProtection="1">
      <alignment horizontal="left" vertical="top"/>
      <protection locked="0"/>
    </xf>
    <xf numFmtId="0" fontId="0" fillId="29" borderId="95" xfId="0" applyNumberFormat="1" applyFill="1" applyBorder="1" applyAlignment="1" applyProtection="1">
      <alignment horizontal="left" vertical="top"/>
      <protection locked="0"/>
    </xf>
    <xf numFmtId="0" fontId="11" fillId="0" borderId="0" xfId="0" applyFont="1" applyAlignment="1">
      <alignment horizontal="left" vertical="top" wrapText="1"/>
    </xf>
    <xf numFmtId="0" fontId="11" fillId="0" borderId="0" xfId="0" applyFont="1" applyAlignment="1" applyProtection="1">
      <alignment horizontal="left" wrapText="1"/>
    </xf>
    <xf numFmtId="0" fontId="0" fillId="0" borderId="0" xfId="0" applyAlignment="1" applyProtection="1">
      <alignment horizontal="left" wrapText="1"/>
    </xf>
    <xf numFmtId="0" fontId="18" fillId="0" borderId="0" xfId="0" applyFont="1" applyAlignment="1" applyProtection="1">
      <alignment horizontal="center"/>
    </xf>
    <xf numFmtId="0" fontId="18" fillId="64" borderId="0" xfId="0" applyFont="1" applyFill="1" applyAlignment="1" applyProtection="1">
      <alignment horizontal="center" vertical="center"/>
    </xf>
    <xf numFmtId="0" fontId="90" fillId="64" borderId="0" xfId="0" applyFont="1" applyFill="1" applyAlignment="1" applyProtection="1">
      <alignment vertical="center" wrapText="1"/>
    </xf>
    <xf numFmtId="0" fontId="0" fillId="64" borderId="0" xfId="0" applyFill="1" applyAlignment="1" applyProtection="1">
      <alignment wrapText="1"/>
    </xf>
    <xf numFmtId="0" fontId="18" fillId="0" borderId="0" xfId="46" applyFont="1" applyAlignment="1">
      <alignment horizontal="center"/>
    </xf>
    <xf numFmtId="0" fontId="11" fillId="29" borderId="0" xfId="0" applyFont="1" applyFill="1" applyAlignment="1">
      <alignment horizontal="left" vertical="top" wrapText="1"/>
    </xf>
    <xf numFmtId="0" fontId="0" fillId="29" borderId="0" xfId="0" applyFill="1" applyAlignment="1">
      <alignment horizontal="left" vertical="top" wrapText="1"/>
    </xf>
    <xf numFmtId="0" fontId="18" fillId="0" borderId="0" xfId="0" applyFont="1" applyAlignment="1">
      <alignment horizontal="center" vertical="center"/>
    </xf>
    <xf numFmtId="0" fontId="14" fillId="0" borderId="0" xfId="0" applyFont="1" applyAlignment="1">
      <alignment horizontal="left" vertical="top"/>
    </xf>
    <xf numFmtId="0" fontId="0" fillId="0" borderId="0" xfId="0" applyAlignment="1" applyProtection="1">
      <alignment horizontal="left" wrapText="1"/>
      <protection locked="0"/>
    </xf>
    <xf numFmtId="0" fontId="14" fillId="0" borderId="0" xfId="0" applyFont="1" applyAlignment="1" applyProtection="1">
      <alignment horizontal="left" wrapText="1"/>
      <protection locked="0"/>
    </xf>
    <xf numFmtId="0" fontId="18" fillId="0" borderId="0" xfId="0" applyFont="1" applyAlignment="1" applyProtection="1">
      <alignment horizontal="center" vertical="top"/>
    </xf>
    <xf numFmtId="0" fontId="11"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96" fillId="29" borderId="105" xfId="0" applyFont="1" applyFill="1" applyBorder="1" applyAlignment="1" applyProtection="1">
      <alignment horizontal="left" vertical="top"/>
      <protection locked="0"/>
    </xf>
    <xf numFmtId="0" fontId="96" fillId="29" borderId="82" xfId="0" applyFont="1" applyFill="1" applyBorder="1" applyAlignment="1" applyProtection="1">
      <alignment horizontal="left" vertical="top"/>
      <protection locked="0"/>
    </xf>
    <xf numFmtId="0" fontId="96" fillId="29" borderId="18" xfId="0" applyFont="1" applyFill="1" applyBorder="1" applyAlignment="1" applyProtection="1">
      <alignment horizontal="left" vertical="top"/>
      <protection locked="0"/>
    </xf>
    <xf numFmtId="0" fontId="96" fillId="29" borderId="76" xfId="0" applyFont="1" applyFill="1" applyBorder="1" applyAlignment="1" applyProtection="1">
      <alignment horizontal="left" vertical="top"/>
      <protection locked="0"/>
    </xf>
    <xf numFmtId="0" fontId="96" fillId="29" borderId="12" xfId="0" applyFont="1" applyFill="1" applyBorder="1" applyAlignment="1" applyProtection="1">
      <alignment horizontal="left" vertical="top"/>
      <protection locked="0"/>
    </xf>
    <xf numFmtId="0" fontId="96" fillId="29" borderId="16" xfId="0" applyFont="1" applyFill="1" applyBorder="1" applyAlignment="1" applyProtection="1">
      <alignment horizontal="left" vertical="top"/>
      <protection locked="0"/>
    </xf>
    <xf numFmtId="0" fontId="72" fillId="0" borderId="74" xfId="0" applyFont="1" applyBorder="1" applyProtection="1"/>
    <xf numFmtId="0" fontId="72" fillId="0" borderId="13" xfId="0" applyFont="1" applyBorder="1" applyProtection="1"/>
    <xf numFmtId="0" fontId="72" fillId="0" borderId="33" xfId="0" applyFont="1" applyBorder="1" applyProtection="1"/>
    <xf numFmtId="0" fontId="95" fillId="0" borderId="74" xfId="0" applyFont="1" applyBorder="1" applyProtection="1"/>
    <xf numFmtId="0" fontId="95" fillId="0" borderId="13" xfId="0" applyFont="1" applyBorder="1" applyProtection="1"/>
    <xf numFmtId="0" fontId="95" fillId="0" borderId="33" xfId="0" applyFont="1" applyBorder="1" applyProtection="1"/>
    <xf numFmtId="0" fontId="18" fillId="0" borderId="0" xfId="0" applyFont="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xf>
    <xf numFmtId="0" fontId="57" fillId="0" borderId="43" xfId="0" applyFont="1" applyFill="1" applyBorder="1" applyAlignment="1" applyProtection="1">
      <alignment horizontal="center" vertical="center" wrapText="1"/>
    </xf>
    <xf numFmtId="0" fontId="57" fillId="0" borderId="41" xfId="0" applyFont="1" applyFill="1" applyBorder="1" applyAlignment="1" applyProtection="1">
      <alignment horizontal="center" vertical="center" wrapText="1"/>
    </xf>
    <xf numFmtId="0" fontId="14" fillId="0" borderId="86" xfId="0" applyFont="1" applyFill="1" applyBorder="1" applyAlignment="1" applyProtection="1">
      <alignment horizontal="center" vertical="center" wrapText="1"/>
    </xf>
    <xf numFmtId="0" fontId="14" fillId="0" borderId="64"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8" fillId="0" borderId="135" xfId="0" applyFont="1" applyFill="1" applyBorder="1" applyAlignment="1" applyProtection="1">
      <alignment horizontal="center" vertical="center" wrapText="1"/>
    </xf>
    <xf numFmtId="0" fontId="18" fillId="0" borderId="139" xfId="0" applyFont="1" applyFill="1" applyBorder="1" applyAlignment="1" applyProtection="1">
      <alignment horizontal="center" vertical="center" wrapText="1"/>
    </xf>
    <xf numFmtId="0" fontId="11" fillId="0" borderId="140" xfId="0" applyFont="1" applyFill="1" applyBorder="1" applyAlignment="1" applyProtection="1">
      <alignment vertical="center" wrapText="1"/>
    </xf>
    <xf numFmtId="0" fontId="14" fillId="0" borderId="136" xfId="0" applyFont="1" applyFill="1" applyBorder="1" applyAlignment="1" applyProtection="1">
      <alignment horizontal="center" vertical="center" wrapText="1"/>
    </xf>
    <xf numFmtId="0" fontId="14" fillId="0" borderId="137" xfId="0" applyFont="1" applyFill="1" applyBorder="1" applyAlignment="1" applyProtection="1">
      <alignment horizontal="center" vertical="center" wrapText="1"/>
    </xf>
    <xf numFmtId="0" fontId="14" fillId="0" borderId="138" xfId="0" applyFont="1" applyFill="1" applyBorder="1" applyAlignment="1" applyProtection="1">
      <alignment horizontal="center" vertical="center" wrapText="1"/>
    </xf>
    <xf numFmtId="0" fontId="11" fillId="0" borderId="0" xfId="0" applyFont="1" applyAlignment="1" applyProtection="1">
      <alignment horizontal="left" vertical="center"/>
    </xf>
    <xf numFmtId="0" fontId="72" fillId="0" borderId="0" xfId="0" applyFont="1" applyAlignment="1" applyProtection="1">
      <alignment horizontal="left"/>
    </xf>
    <xf numFmtId="0" fontId="38" fillId="0" borderId="44"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38" fillId="0" borderId="86" xfId="0" applyFont="1" applyFill="1" applyBorder="1" applyAlignment="1" applyProtection="1">
      <alignment horizontal="center" vertical="center" wrapText="1"/>
    </xf>
    <xf numFmtId="0" fontId="38" fillId="0" borderId="64" xfId="0" applyFont="1" applyFill="1" applyBorder="1" applyAlignment="1" applyProtection="1">
      <alignment horizontal="center" vertical="center" wrapText="1"/>
    </xf>
    <xf numFmtId="0" fontId="38" fillId="0" borderId="141"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11" fillId="0" borderId="0" xfId="0" applyFont="1" applyAlignment="1" applyProtection="1">
      <alignment horizontal="left" vertical="top" wrapText="1"/>
    </xf>
    <xf numFmtId="0" fontId="18" fillId="0" borderId="0" xfId="0" applyFont="1" applyAlignment="1" applyProtection="1">
      <alignment horizontal="center" vertical="center"/>
      <protection locked="0"/>
    </xf>
    <xf numFmtId="0" fontId="16" fillId="65" borderId="74" xfId="0" applyFont="1" applyFill="1" applyBorder="1" applyAlignment="1" applyProtection="1">
      <alignment horizontal="left" vertical="top" wrapText="1"/>
      <protection locked="0"/>
    </xf>
    <xf numFmtId="0" fontId="16" fillId="65" borderId="13" xfId="0" applyFont="1" applyFill="1" applyBorder="1" applyAlignment="1" applyProtection="1">
      <alignment horizontal="left" vertical="top" wrapText="1"/>
      <protection locked="0"/>
    </xf>
    <xf numFmtId="0" fontId="16" fillId="65" borderId="33" xfId="0" applyFont="1" applyFill="1" applyBorder="1" applyAlignment="1" applyProtection="1">
      <alignment horizontal="left" vertical="top" wrapText="1"/>
      <protection locked="0"/>
    </xf>
    <xf numFmtId="0" fontId="90" fillId="65" borderId="12" xfId="0" applyFont="1" applyFill="1" applyBorder="1" applyAlignment="1">
      <alignment horizontal="left"/>
    </xf>
    <xf numFmtId="0" fontId="11" fillId="0" borderId="0" xfId="46" applyFont="1" applyAlignment="1" applyProtection="1">
      <alignment horizontal="left" vertical="center" wrapText="1"/>
    </xf>
    <xf numFmtId="0" fontId="11" fillId="0" borderId="0" xfId="46" applyFont="1" applyAlignment="1" applyProtection="1">
      <alignment horizontal="left" wrapText="1"/>
    </xf>
    <xf numFmtId="0" fontId="11" fillId="0" borderId="0" xfId="46" applyAlignment="1" applyProtection="1">
      <alignment horizontal="left" wrapText="1"/>
    </xf>
    <xf numFmtId="0" fontId="11" fillId="0" borderId="0" xfId="46" applyFont="1" applyFill="1" applyBorder="1" applyAlignment="1" applyProtection="1">
      <alignment horizontal="left" wrapText="1"/>
    </xf>
    <xf numFmtId="0" fontId="11" fillId="0" borderId="0" xfId="46" applyFont="1" applyFill="1" applyBorder="1" applyAlignment="1" applyProtection="1">
      <alignment horizontal="left" vertical="top" wrapText="1"/>
    </xf>
    <xf numFmtId="0" fontId="18" fillId="0" borderId="0" xfId="46" applyFont="1" applyAlignment="1" applyProtection="1">
      <alignment horizontal="center"/>
    </xf>
    <xf numFmtId="0" fontId="11" fillId="0" borderId="0" xfId="46" applyFont="1" applyFill="1" applyAlignment="1" applyProtection="1">
      <alignment horizontal="left" wrapText="1"/>
    </xf>
    <xf numFmtId="0" fontId="14" fillId="66" borderId="86" xfId="46" applyFont="1" applyFill="1" applyBorder="1" applyAlignment="1" applyProtection="1">
      <alignment horizontal="center" wrapText="1"/>
    </xf>
    <xf numFmtId="0" fontId="14" fillId="66" borderId="22" xfId="46" applyFont="1" applyFill="1" applyBorder="1" applyAlignment="1" applyProtection="1">
      <alignment horizontal="center" wrapText="1"/>
    </xf>
    <xf numFmtId="0" fontId="14" fillId="66" borderId="0" xfId="46" applyFont="1" applyFill="1" applyBorder="1" applyAlignment="1" applyProtection="1">
      <alignment horizontal="center" vertical="center" wrapText="1"/>
    </xf>
    <xf numFmtId="0" fontId="88" fillId="0" borderId="0" xfId="46" applyFont="1" applyAlignment="1" applyProtection="1">
      <alignment horizontal="left" vertical="center" wrapText="1"/>
    </xf>
    <xf numFmtId="0" fontId="11" fillId="0" borderId="0" xfId="46" applyFont="1" applyAlignment="1" applyProtection="1">
      <alignment horizontal="left" vertical="top" wrapText="1"/>
    </xf>
    <xf numFmtId="0" fontId="11" fillId="0" borderId="0" xfId="46" applyFont="1" applyAlignment="1" applyProtection="1">
      <alignment horizontal="left" vertical="center" wrapText="1" indent="2"/>
    </xf>
    <xf numFmtId="0" fontId="18" fillId="0" borderId="0" xfId="46" applyFont="1" applyAlignment="1" applyProtection="1">
      <alignment horizontal="center" vertical="top"/>
      <protection locked="0"/>
    </xf>
    <xf numFmtId="0" fontId="11" fillId="0" borderId="0" xfId="46" applyAlignment="1" applyProtection="1">
      <alignment horizontal="left" vertical="top" wrapText="1"/>
      <protection locked="0"/>
    </xf>
    <xf numFmtId="0" fontId="14" fillId="25" borderId="74" xfId="46" applyFont="1" applyFill="1" applyBorder="1" applyAlignment="1" applyProtection="1">
      <alignment horizontal="center"/>
      <protection locked="0"/>
    </xf>
    <xf numFmtId="0" fontId="14" fillId="25" borderId="13" xfId="46" applyFont="1" applyFill="1" applyBorder="1" applyAlignment="1" applyProtection="1">
      <alignment horizontal="center"/>
      <protection locked="0"/>
    </xf>
    <xf numFmtId="0" fontId="14" fillId="25" borderId="33" xfId="46" applyFont="1" applyFill="1" applyBorder="1" applyAlignment="1" applyProtection="1">
      <alignment horizontal="center"/>
      <protection locked="0"/>
    </xf>
    <xf numFmtId="0" fontId="11" fillId="0" borderId="0" xfId="46" applyAlignment="1" applyProtection="1">
      <alignment horizontal="left" wrapText="1"/>
      <protection locked="0"/>
    </xf>
    <xf numFmtId="0" fontId="11" fillId="0" borderId="0" xfId="46" applyFont="1" applyAlignment="1" applyProtection="1">
      <alignment horizontal="left" vertical="top" wrapText="1"/>
      <protection locked="0"/>
    </xf>
    <xf numFmtId="0" fontId="11" fillId="0" borderId="74" xfId="46" applyFont="1" applyBorder="1" applyAlignment="1" applyProtection="1">
      <alignment horizontal="left" vertical="center"/>
      <protection locked="0"/>
    </xf>
    <xf numFmtId="0" fontId="11" fillId="0" borderId="13" xfId="46" applyFont="1" applyBorder="1" applyAlignment="1" applyProtection="1">
      <alignment horizontal="left" vertical="center"/>
      <protection locked="0"/>
    </xf>
    <xf numFmtId="0" fontId="11" fillId="0" borderId="33" xfId="46" applyFont="1" applyBorder="1" applyAlignment="1" applyProtection="1">
      <alignment horizontal="left" vertical="center"/>
      <protection locked="0"/>
    </xf>
    <xf numFmtId="1" fontId="11" fillId="0" borderId="10" xfId="46" applyNumberFormat="1" applyBorder="1" applyAlignment="1" applyProtection="1">
      <alignment horizontal="center" vertical="center"/>
      <protection locked="0"/>
    </xf>
    <xf numFmtId="0" fontId="78" fillId="0" borderId="0" xfId="46" applyFont="1" applyBorder="1" applyAlignment="1" applyProtection="1">
      <alignment horizontal="center" vertical="center"/>
      <protection locked="0"/>
    </xf>
    <xf numFmtId="0" fontId="11" fillId="0" borderId="17" xfId="46" applyBorder="1" applyAlignment="1" applyProtection="1">
      <alignment horizontal="center" vertical="center"/>
      <protection locked="0"/>
    </xf>
    <xf numFmtId="0" fontId="11" fillId="0" borderId="19" xfId="46" applyBorder="1" applyAlignment="1" applyProtection="1">
      <alignment horizontal="center" vertical="center"/>
      <protection locked="0"/>
    </xf>
    <xf numFmtId="0" fontId="11" fillId="0" borderId="17" xfId="46" applyFont="1" applyBorder="1" applyAlignment="1" applyProtection="1">
      <alignment horizontal="left" vertical="center"/>
      <protection locked="0"/>
    </xf>
    <xf numFmtId="0" fontId="11" fillId="0" borderId="19" xfId="46" applyFont="1" applyBorder="1" applyAlignment="1" applyProtection="1">
      <alignment horizontal="left" vertical="center"/>
      <protection locked="0"/>
    </xf>
    <xf numFmtId="0" fontId="11" fillId="0" borderId="11" xfId="46" applyBorder="1" applyAlignment="1" applyProtection="1">
      <alignment horizontal="center" vertical="center"/>
      <protection locked="0"/>
    </xf>
    <xf numFmtId="0" fontId="11" fillId="0" borderId="11" xfId="46" applyFont="1" applyBorder="1" applyAlignment="1" applyProtection="1">
      <alignment horizontal="left" vertical="center"/>
      <protection locked="0"/>
    </xf>
    <xf numFmtId="2" fontId="11" fillId="0" borderId="10" xfId="46" quotePrefix="1" applyNumberFormat="1" applyFont="1" applyBorder="1" applyAlignment="1" applyProtection="1">
      <alignment horizontal="center" vertical="center"/>
      <protection locked="0"/>
    </xf>
    <xf numFmtId="0" fontId="83" fillId="63" borderId="121" xfId="46" applyFont="1" applyFill="1" applyBorder="1" applyAlignment="1" applyProtection="1">
      <alignment horizontal="center" vertical="center" wrapText="1"/>
      <protection locked="0"/>
    </xf>
    <xf numFmtId="0" fontId="83" fillId="63" borderId="120" xfId="46" applyFont="1" applyFill="1" applyBorder="1" applyAlignment="1" applyProtection="1">
      <alignment horizontal="center" vertical="center" wrapText="1"/>
      <protection locked="0"/>
    </xf>
    <xf numFmtId="0" fontId="83" fillId="63" borderId="10" xfId="46" applyFont="1" applyFill="1" applyBorder="1" applyAlignment="1" applyProtection="1">
      <alignment horizontal="center" vertical="center" wrapText="1"/>
      <protection locked="0"/>
    </xf>
    <xf numFmtId="0" fontId="14" fillId="63" borderId="10" xfId="46" applyFont="1" applyFill="1" applyBorder="1" applyAlignment="1" applyProtection="1">
      <alignment horizontal="center" vertical="center"/>
      <protection locked="0"/>
    </xf>
    <xf numFmtId="0" fontId="14" fillId="63" borderId="10" xfId="46" applyFont="1" applyFill="1" applyBorder="1" applyAlignment="1" applyProtection="1">
      <alignment horizontal="center" vertical="center" wrapText="1"/>
      <protection locked="0"/>
    </xf>
    <xf numFmtId="0" fontId="14" fillId="63" borderId="17" xfId="46" applyFont="1" applyFill="1" applyBorder="1" applyAlignment="1" applyProtection="1">
      <alignment horizontal="center" vertical="center" wrapText="1"/>
      <protection locked="0"/>
    </xf>
    <xf numFmtId="0" fontId="18" fillId="0" borderId="0" xfId="46" applyFont="1" applyBorder="1" applyAlignment="1" applyProtection="1">
      <alignment horizontal="center" vertical="center" wrapText="1"/>
      <protection locked="0"/>
    </xf>
    <xf numFmtId="0" fontId="14" fillId="63" borderId="105" xfId="46" applyFont="1" applyFill="1" applyBorder="1" applyAlignment="1" applyProtection="1">
      <alignment horizontal="center" vertical="center"/>
      <protection locked="0"/>
    </xf>
    <xf numFmtId="0" fontId="14" fillId="63" borderId="82" xfId="46" applyFont="1" applyFill="1" applyBorder="1" applyAlignment="1" applyProtection="1">
      <alignment horizontal="center" vertical="center"/>
      <protection locked="0"/>
    </xf>
    <xf numFmtId="0" fontId="14" fillId="63" borderId="18" xfId="46" applyFont="1" applyFill="1" applyBorder="1" applyAlignment="1" applyProtection="1">
      <alignment horizontal="center" vertical="center"/>
      <protection locked="0"/>
    </xf>
    <xf numFmtId="0" fontId="14" fillId="63" borderId="76" xfId="46" applyFont="1" applyFill="1" applyBorder="1" applyAlignment="1" applyProtection="1">
      <alignment horizontal="center" vertical="center"/>
      <protection locked="0"/>
    </xf>
    <xf numFmtId="0" fontId="14" fillId="63" borderId="12" xfId="46" applyFont="1" applyFill="1" applyBorder="1" applyAlignment="1" applyProtection="1">
      <alignment horizontal="center" vertical="center"/>
      <protection locked="0"/>
    </xf>
    <xf numFmtId="0" fontId="14" fillId="63" borderId="16" xfId="46" applyFont="1" applyFill="1" applyBorder="1" applyAlignment="1" applyProtection="1">
      <alignment horizontal="center" vertical="center"/>
      <protection locked="0"/>
    </xf>
    <xf numFmtId="0" fontId="11" fillId="0" borderId="21" xfId="46" applyFont="1" applyBorder="1" applyAlignment="1" applyProtection="1">
      <alignment horizontal="left" vertical="center"/>
      <protection locked="0"/>
    </xf>
    <xf numFmtId="0" fontId="11" fillId="0" borderId="21" xfId="46" applyBorder="1" applyAlignment="1" applyProtection="1">
      <alignment horizontal="left" vertical="center"/>
      <protection locked="0"/>
    </xf>
    <xf numFmtId="0" fontId="11" fillId="0" borderId="74" xfId="46" applyFont="1" applyBorder="1" applyAlignment="1" applyProtection="1">
      <alignment horizontal="left"/>
      <protection locked="0"/>
    </xf>
    <xf numFmtId="0" fontId="11" fillId="0" borderId="33" xfId="46" applyFont="1" applyBorder="1" applyAlignment="1" applyProtection="1">
      <alignment horizontal="left"/>
      <protection locked="0"/>
    </xf>
    <xf numFmtId="0" fontId="11" fillId="0" borderId="79" xfId="46" applyFont="1" applyBorder="1" applyAlignment="1" applyProtection="1">
      <alignment horizontal="left" vertical="center"/>
      <protection locked="0"/>
    </xf>
    <xf numFmtId="0" fontId="11" fillId="0" borderId="102" xfId="46" applyBorder="1" applyAlignment="1" applyProtection="1">
      <alignment horizontal="left" vertical="center"/>
      <protection locked="0"/>
    </xf>
    <xf numFmtId="0" fontId="11" fillId="0" borderId="80" xfId="46" applyBorder="1" applyAlignment="1" applyProtection="1">
      <alignment horizontal="left" vertical="center"/>
      <protection locked="0"/>
    </xf>
    <xf numFmtId="0" fontId="14" fillId="0" borderId="32" xfId="46" applyFont="1" applyBorder="1" applyAlignment="1" applyProtection="1">
      <alignment horizontal="center" vertical="center"/>
      <protection locked="0"/>
    </xf>
    <xf numFmtId="0" fontId="11" fillId="0" borderId="27" xfId="46" applyBorder="1" applyAlignment="1" applyProtection="1">
      <alignment horizontal="center" vertical="center"/>
      <protection locked="0"/>
    </xf>
    <xf numFmtId="0" fontId="11" fillId="0" borderId="28" xfId="46" applyBorder="1" applyAlignment="1" applyProtection="1">
      <alignment horizontal="center" vertical="center"/>
      <protection locked="0"/>
    </xf>
    <xf numFmtId="0" fontId="11" fillId="0" borderId="78" xfId="46" applyFont="1" applyBorder="1" applyAlignment="1" applyProtection="1">
      <alignment horizontal="left" vertical="center"/>
      <protection locked="0"/>
    </xf>
    <xf numFmtId="0" fontId="11" fillId="0" borderId="87" xfId="46" applyBorder="1" applyAlignment="1" applyProtection="1">
      <alignment horizontal="left" vertical="center"/>
      <protection locked="0"/>
    </xf>
    <xf numFmtId="0" fontId="11" fillId="0" borderId="49" xfId="46" applyBorder="1" applyAlignment="1" applyProtection="1">
      <alignment horizontal="left" vertical="center"/>
      <protection locked="0"/>
    </xf>
    <xf numFmtId="0" fontId="11" fillId="0" borderId="13" xfId="46" applyBorder="1" applyAlignment="1" applyProtection="1">
      <alignment horizontal="left" vertical="center"/>
      <protection locked="0"/>
    </xf>
    <xf numFmtId="0" fontId="11" fillId="0" borderId="33" xfId="46" applyBorder="1" applyAlignment="1" applyProtection="1">
      <alignment horizontal="left" vertical="center"/>
      <protection locked="0"/>
    </xf>
    <xf numFmtId="0" fontId="11" fillId="0" borderId="74" xfId="46" applyFont="1" applyBorder="1" applyAlignment="1" applyProtection="1">
      <alignment horizontal="left" vertical="center" wrapText="1"/>
      <protection locked="0"/>
    </xf>
    <xf numFmtId="0" fontId="11" fillId="0" borderId="13" xfId="46" applyBorder="1" applyAlignment="1" applyProtection="1">
      <alignment horizontal="left" vertical="center" wrapText="1"/>
      <protection locked="0"/>
    </xf>
    <xf numFmtId="0" fontId="11" fillId="0" borderId="33" xfId="46" applyBorder="1" applyAlignment="1" applyProtection="1">
      <alignment horizontal="left" vertical="center" wrapText="1"/>
      <protection locked="0"/>
    </xf>
    <xf numFmtId="0" fontId="11" fillId="0" borderId="10" xfId="46" applyFont="1" applyBorder="1" applyAlignment="1" applyProtection="1">
      <alignment horizontal="left" vertical="center"/>
      <protection locked="0"/>
    </xf>
    <xf numFmtId="0" fontId="11" fillId="0" borderId="10" xfId="46" applyBorder="1" applyAlignment="1" applyProtection="1">
      <alignment horizontal="left" vertical="center"/>
      <protection locked="0"/>
    </xf>
    <xf numFmtId="0" fontId="11" fillId="0" borderId="26" xfId="46" applyFont="1" applyBorder="1" applyAlignment="1" applyProtection="1">
      <alignment horizontal="left" vertical="center"/>
      <protection locked="0"/>
    </xf>
    <xf numFmtId="0" fontId="11" fillId="0" borderId="26" xfId="46" applyBorder="1" applyAlignment="1" applyProtection="1">
      <alignment horizontal="left" vertical="center"/>
      <protection locked="0"/>
    </xf>
    <xf numFmtId="0" fontId="14" fillId="0" borderId="27" xfId="46" applyFont="1" applyBorder="1" applyAlignment="1" applyProtection="1">
      <alignment horizontal="center" vertical="center"/>
      <protection locked="0"/>
    </xf>
    <xf numFmtId="0" fontId="14" fillId="0" borderId="28" xfId="46" applyFont="1" applyBorder="1" applyAlignment="1" applyProtection="1">
      <alignment horizontal="center" vertical="center"/>
      <protection locked="0"/>
    </xf>
    <xf numFmtId="0" fontId="11" fillId="0" borderId="72" xfId="46" applyBorder="1" applyAlignment="1" applyProtection="1">
      <alignment horizontal="center" vertical="center"/>
      <protection locked="0"/>
    </xf>
    <xf numFmtId="0" fontId="11" fillId="0" borderId="24" xfId="46" applyBorder="1" applyAlignment="1" applyProtection="1">
      <alignment horizontal="left" vertical="center"/>
      <protection locked="0"/>
    </xf>
    <xf numFmtId="0" fontId="11" fillId="0" borderId="49" xfId="46" applyFont="1" applyBorder="1" applyAlignment="1" applyProtection="1">
      <alignment horizontal="left" vertical="center"/>
      <protection locked="0"/>
    </xf>
    <xf numFmtId="0" fontId="11" fillId="0" borderId="74" xfId="46" applyBorder="1" applyAlignment="1" applyProtection="1">
      <alignment horizontal="left" vertical="center"/>
      <protection locked="0"/>
    </xf>
    <xf numFmtId="0" fontId="11" fillId="0" borderId="10" xfId="46" applyBorder="1" applyAlignment="1" applyProtection="1">
      <alignment horizontal="center" vertical="center"/>
      <protection locked="0"/>
    </xf>
    <xf numFmtId="0" fontId="11" fillId="0" borderId="10" xfId="46" applyFont="1" applyBorder="1" applyAlignment="1" applyProtection="1">
      <alignment horizontal="left"/>
      <protection locked="0"/>
    </xf>
    <xf numFmtId="0" fontId="11" fillId="0" borderId="105" xfId="46" applyFont="1" applyBorder="1" applyAlignment="1" applyProtection="1">
      <alignment horizontal="left"/>
      <protection locked="0"/>
    </xf>
    <xf numFmtId="0" fontId="11" fillId="0" borderId="82" xfId="46" applyFont="1" applyBorder="1" applyAlignment="1" applyProtection="1">
      <alignment horizontal="left"/>
      <protection locked="0"/>
    </xf>
    <xf numFmtId="0" fontId="11" fillId="0" borderId="18" xfId="46" applyFont="1" applyBorder="1" applyAlignment="1" applyProtection="1">
      <alignment horizontal="left"/>
      <protection locked="0"/>
    </xf>
    <xf numFmtId="0" fontId="11" fillId="0" borderId="24" xfId="46" applyFont="1" applyBorder="1" applyAlignment="1" applyProtection="1">
      <alignment horizontal="left" vertical="center"/>
      <protection locked="0"/>
    </xf>
    <xf numFmtId="0" fontId="11" fillId="0" borderId="24" xfId="46" applyFont="1" applyBorder="1" applyAlignment="1" applyProtection="1">
      <alignment horizontal="left"/>
      <protection locked="0"/>
    </xf>
    <xf numFmtId="0" fontId="11" fillId="0" borderId="13" xfId="46" applyFont="1" applyBorder="1" applyAlignment="1" applyProtection="1">
      <alignment horizontal="left"/>
      <protection locked="0"/>
    </xf>
    <xf numFmtId="0" fontId="12" fillId="0" borderId="0" xfId="36" applyAlignment="1" applyProtection="1">
      <alignment horizontal="left" vertical="top"/>
      <protection locked="0"/>
    </xf>
    <xf numFmtId="0" fontId="13" fillId="0" borderId="0" xfId="46" applyFont="1" applyAlignment="1" applyProtection="1">
      <alignment horizontal="right" vertical="top"/>
    </xf>
    <xf numFmtId="0" fontId="13" fillId="29" borderId="0" xfId="46" applyFont="1" applyFill="1" applyBorder="1" applyAlignment="1" applyProtection="1">
      <alignment horizontal="left" vertical="top"/>
      <protection locked="0"/>
    </xf>
    <xf numFmtId="0" fontId="13" fillId="29" borderId="0" xfId="46" applyFont="1" applyFill="1" applyAlignment="1" applyProtection="1">
      <alignment horizontal="left" vertical="top"/>
      <protection locked="0"/>
    </xf>
    <xf numFmtId="0" fontId="14" fillId="63" borderId="74" xfId="46" applyFont="1" applyFill="1" applyBorder="1" applyAlignment="1" applyProtection="1">
      <alignment horizontal="center" vertical="center"/>
      <protection locked="0"/>
    </xf>
    <xf numFmtId="0" fontId="18" fillId="0" borderId="0" xfId="46" applyFont="1" applyAlignment="1" applyProtection="1">
      <alignment horizontal="center" vertical="center"/>
      <protection locked="0"/>
    </xf>
    <xf numFmtId="0" fontId="18" fillId="0" borderId="0" xfId="46" applyFont="1" applyAlignment="1" applyProtection="1">
      <alignment horizontal="center" vertical="center" wrapText="1"/>
      <protection locked="0"/>
    </xf>
    <xf numFmtId="0" fontId="14" fillId="63" borderId="17" xfId="46" applyFont="1" applyFill="1" applyBorder="1" applyAlignment="1" applyProtection="1">
      <alignment horizontal="center" vertical="center"/>
      <protection locked="0"/>
    </xf>
    <xf numFmtId="0" fontId="14" fillId="0" borderId="92" xfId="46" applyFont="1" applyBorder="1" applyAlignment="1" applyProtection="1">
      <alignment horizontal="center" vertical="center"/>
      <protection locked="0"/>
    </xf>
    <xf numFmtId="0" fontId="14" fillId="0" borderId="108" xfId="46" applyFont="1" applyBorder="1" applyAlignment="1" applyProtection="1">
      <alignment horizontal="center" vertical="center"/>
      <protection locked="0"/>
    </xf>
    <xf numFmtId="0" fontId="11" fillId="0" borderId="24" xfId="46" applyBorder="1" applyAlignment="1" applyProtection="1">
      <alignment horizontal="center" vertical="center"/>
      <protection locked="0"/>
    </xf>
    <xf numFmtId="0" fontId="14" fillId="25" borderId="92" xfId="46" applyFont="1" applyFill="1" applyBorder="1" applyAlignment="1" applyProtection="1">
      <alignment vertical="center"/>
      <protection locked="0"/>
    </xf>
    <xf numFmtId="0" fontId="14" fillId="25" borderId="38" xfId="46" applyFont="1" applyFill="1" applyBorder="1" applyAlignment="1" applyProtection="1">
      <alignment vertical="center"/>
      <protection locked="0"/>
    </xf>
    <xf numFmtId="0" fontId="14" fillId="25" borderId="100" xfId="46" applyFont="1" applyFill="1" applyBorder="1" applyAlignment="1" applyProtection="1">
      <alignment vertical="center"/>
      <protection locked="0"/>
    </xf>
    <xf numFmtId="0" fontId="14" fillId="25" borderId="77" xfId="46" applyFont="1" applyFill="1" applyBorder="1" applyAlignment="1" applyProtection="1">
      <alignment vertical="center"/>
      <protection locked="0"/>
    </xf>
    <xf numFmtId="0" fontId="16" fillId="0" borderId="86" xfId="46" applyFont="1" applyBorder="1" applyAlignment="1" applyProtection="1">
      <alignment horizontal="center" vertical="center"/>
      <protection locked="0"/>
    </xf>
    <xf numFmtId="0" fontId="16" fillId="0" borderId="64" xfId="46" applyFont="1" applyBorder="1" applyAlignment="1" applyProtection="1">
      <alignment horizontal="center" vertical="center"/>
      <protection locked="0"/>
    </xf>
    <xf numFmtId="0" fontId="16" fillId="0" borderId="22" xfId="46" applyFont="1" applyBorder="1" applyAlignment="1" applyProtection="1">
      <alignment horizontal="center" vertical="center"/>
      <protection locked="0"/>
    </xf>
    <xf numFmtId="0" fontId="16" fillId="0" borderId="86" xfId="46" applyFont="1" applyBorder="1" applyAlignment="1" applyProtection="1">
      <alignment horizontal="center" wrapText="1"/>
      <protection locked="0"/>
    </xf>
    <xf numFmtId="0" fontId="16" fillId="0" borderId="64" xfId="46" applyFont="1" applyBorder="1" applyAlignment="1" applyProtection="1">
      <alignment horizontal="center" wrapText="1"/>
      <protection locked="0"/>
    </xf>
    <xf numFmtId="0" fontId="16" fillId="0" borderId="22" xfId="46" applyFont="1" applyBorder="1" applyAlignment="1" applyProtection="1">
      <alignment horizontal="center" wrapText="1"/>
      <protection locked="0"/>
    </xf>
    <xf numFmtId="0" fontId="11" fillId="0" borderId="33" xfId="46" applyFont="1" applyBorder="1" applyAlignment="1" applyProtection="1">
      <alignment horizontal="left" vertical="center" wrapText="1"/>
      <protection locked="0"/>
    </xf>
    <xf numFmtId="0" fontId="11" fillId="0" borderId="10" xfId="46" applyFont="1" applyBorder="1" applyAlignment="1" applyProtection="1">
      <alignment horizontal="left" vertical="center" wrapText="1"/>
      <protection locked="0"/>
    </xf>
    <xf numFmtId="0" fontId="18" fillId="0" borderId="0" xfId="46" applyFont="1" applyAlignment="1" applyProtection="1">
      <alignment horizontal="center"/>
      <protection locked="0"/>
    </xf>
    <xf numFmtId="0" fontId="14" fillId="0" borderId="74" xfId="46" applyFont="1" applyBorder="1" applyAlignment="1" applyProtection="1">
      <alignment horizontal="center" vertical="center"/>
      <protection locked="0"/>
    </xf>
    <xf numFmtId="0" fontId="14" fillId="0" borderId="33" xfId="46" applyFont="1" applyBorder="1" applyAlignment="1" applyProtection="1">
      <alignment horizontal="center" vertical="center"/>
      <protection locked="0"/>
    </xf>
    <xf numFmtId="0" fontId="14" fillId="0" borderId="10" xfId="46" applyFont="1" applyBorder="1" applyAlignment="1" applyProtection="1">
      <alignment horizontal="left" vertical="center" wrapText="1"/>
      <protection locked="0"/>
    </xf>
    <xf numFmtId="0" fontId="14" fillId="0" borderId="69" xfId="46" applyFont="1" applyFill="1" applyBorder="1" applyAlignment="1" applyProtection="1">
      <alignment vertical="center" wrapText="1"/>
      <protection locked="0"/>
    </xf>
    <xf numFmtId="0" fontId="14" fillId="0" borderId="47" xfId="46" applyFont="1" applyFill="1" applyBorder="1" applyAlignment="1" applyProtection="1">
      <alignment vertical="center" wrapText="1"/>
      <protection locked="0"/>
    </xf>
    <xf numFmtId="0" fontId="14" fillId="0" borderId="52" xfId="46" applyFont="1" applyFill="1" applyBorder="1" applyAlignment="1" applyProtection="1">
      <alignment vertical="center" wrapText="1"/>
      <protection locked="0"/>
    </xf>
    <xf numFmtId="0" fontId="14" fillId="0" borderId="43" xfId="46" applyFont="1" applyFill="1" applyBorder="1" applyAlignment="1" applyProtection="1">
      <alignment vertical="center" wrapText="1"/>
      <protection locked="0"/>
    </xf>
    <xf numFmtId="0" fontId="14" fillId="0" borderId="40" xfId="46" applyFont="1" applyFill="1" applyBorder="1" applyAlignment="1" applyProtection="1">
      <alignment vertical="center" wrapText="1"/>
      <protection locked="0"/>
    </xf>
    <xf numFmtId="0" fontId="14" fillId="0" borderId="91" xfId="46" applyFont="1" applyFill="1" applyBorder="1" applyAlignment="1" applyProtection="1">
      <alignment vertical="center" wrapText="1"/>
      <protection locked="0"/>
    </xf>
    <xf numFmtId="171" fontId="14" fillId="0" borderId="43" xfId="29" applyNumberFormat="1" applyFont="1" applyBorder="1" applyAlignment="1" applyProtection="1">
      <alignment horizontal="center" wrapText="1"/>
      <protection locked="0"/>
    </xf>
    <xf numFmtId="171" fontId="14" fillId="0" borderId="40" xfId="29" applyNumberFormat="1" applyFont="1" applyBorder="1" applyAlignment="1" applyProtection="1">
      <alignment horizontal="center" wrapText="1"/>
      <protection locked="0"/>
    </xf>
    <xf numFmtId="171" fontId="14" fillId="0" borderId="91" xfId="29" applyNumberFormat="1" applyFont="1" applyBorder="1" applyAlignment="1" applyProtection="1">
      <alignment horizontal="center" wrapText="1"/>
      <protection locked="0"/>
    </xf>
    <xf numFmtId="0" fontId="11" fillId="0" borderId="0" xfId="46" applyFont="1" applyFill="1" applyBorder="1" applyAlignment="1" applyProtection="1">
      <alignment horizontal="left" vertical="top" wrapText="1"/>
      <protection locked="0"/>
    </xf>
    <xf numFmtId="0" fontId="14" fillId="0" borderId="0" xfId="46" applyFont="1" applyAlignment="1" applyProtection="1">
      <alignment horizontal="center" vertical="top"/>
      <protection locked="0"/>
    </xf>
    <xf numFmtId="0" fontId="11" fillId="0" borderId="0" xfId="46" applyFont="1" applyAlignment="1" applyProtection="1">
      <alignment wrapText="1"/>
      <protection locked="0"/>
    </xf>
    <xf numFmtId="0" fontId="14" fillId="0" borderId="0" xfId="46" applyFont="1" applyAlignment="1" applyProtection="1">
      <alignment horizontal="center" vertical="top" wrapText="1"/>
      <protection locked="0"/>
    </xf>
    <xf numFmtId="0" fontId="50" fillId="0" borderId="13" xfId="47" applyFont="1" applyBorder="1" applyAlignment="1" applyProtection="1">
      <alignment horizontal="center"/>
      <protection locked="0"/>
    </xf>
    <xf numFmtId="0" fontId="50" fillId="0" borderId="33" xfId="47" applyFont="1" applyBorder="1" applyAlignment="1" applyProtection="1">
      <alignment horizontal="center"/>
      <protection locked="0"/>
    </xf>
    <xf numFmtId="0" fontId="11" fillId="0" borderId="0" xfId="46" applyAlignment="1" applyProtection="1">
      <alignment horizontal="center"/>
      <protection locked="0"/>
    </xf>
    <xf numFmtId="0" fontId="11" fillId="0" borderId="0" xfId="46" applyAlignment="1" applyProtection="1">
      <protection locked="0"/>
    </xf>
    <xf numFmtId="0" fontId="53" fillId="0" borderId="0" xfId="47" applyFont="1" applyAlignment="1" applyProtection="1">
      <alignment horizontal="center" vertical="center"/>
      <protection locked="0"/>
    </xf>
    <xf numFmtId="0" fontId="50" fillId="0" borderId="0" xfId="47" applyFont="1" applyAlignment="1" applyProtection="1">
      <alignment horizontal="left" wrapText="1"/>
      <protection locked="0"/>
    </xf>
    <xf numFmtId="0" fontId="50" fillId="0" borderId="0" xfId="47" applyFont="1" applyAlignment="1" applyProtection="1">
      <alignment horizontal="left" vertical="center" wrapText="1"/>
      <protection locked="0"/>
    </xf>
    <xf numFmtId="0" fontId="50" fillId="0" borderId="82" xfId="47" applyFont="1" applyBorder="1" applyAlignment="1" applyProtection="1">
      <alignment horizontal="center"/>
      <protection locked="0"/>
    </xf>
    <xf numFmtId="0" fontId="50" fillId="0" borderId="18" xfId="47" applyFont="1" applyBorder="1" applyAlignment="1" applyProtection="1">
      <alignment horizontal="center"/>
      <protection locked="0"/>
    </xf>
    <xf numFmtId="0" fontId="50" fillId="0" borderId="12" xfId="47" applyFont="1" applyBorder="1" applyAlignment="1" applyProtection="1">
      <alignment horizontal="center"/>
      <protection locked="0"/>
    </xf>
    <xf numFmtId="0" fontId="50" fillId="0" borderId="16" xfId="47" applyFont="1" applyBorder="1" applyAlignment="1" applyProtection="1">
      <alignment horizontal="center"/>
      <protection locked="0"/>
    </xf>
    <xf numFmtId="0" fontId="53" fillId="0" borderId="0" xfId="47" applyFont="1" applyAlignment="1" applyProtection="1">
      <alignment horizontal="right" wrapText="1"/>
      <protection locked="0"/>
    </xf>
    <xf numFmtId="172" fontId="50" fillId="29" borderId="125" xfId="28" applyNumberFormat="1" applyFont="1" applyFill="1" applyBorder="1" applyAlignment="1" applyProtection="1">
      <alignment horizontal="center"/>
      <protection locked="0"/>
    </xf>
    <xf numFmtId="172" fontId="50" fillId="29" borderId="99" xfId="28" applyNumberFormat="1" applyFont="1" applyFill="1" applyBorder="1" applyAlignment="1" applyProtection="1">
      <alignment horizontal="center"/>
      <protection locked="0"/>
    </xf>
    <xf numFmtId="0" fontId="50" fillId="0" borderId="0" xfId="47" applyFont="1" applyAlignment="1" applyProtection="1">
      <alignment horizontal="left" vertical="top" wrapText="1"/>
      <protection locked="0"/>
    </xf>
    <xf numFmtId="0" fontId="14" fillId="0" borderId="0" xfId="46" applyFont="1" applyAlignment="1" applyProtection="1">
      <alignment horizontal="left" vertical="center" wrapText="1"/>
      <protection locked="0"/>
    </xf>
    <xf numFmtId="0" fontId="50" fillId="0" borderId="74" xfId="47" applyFont="1" applyBorder="1" applyAlignment="1" applyProtection="1">
      <alignment horizontal="center"/>
      <protection locked="0"/>
    </xf>
    <xf numFmtId="0" fontId="50" fillId="0" borderId="105" xfId="47" applyFont="1" applyBorder="1" applyAlignment="1" applyProtection="1">
      <alignment horizontal="center"/>
      <protection locked="0"/>
    </xf>
    <xf numFmtId="0" fontId="50" fillId="0" borderId="76" xfId="47" applyFont="1" applyBorder="1" applyAlignment="1" applyProtection="1">
      <alignment horizontal="center"/>
      <protection locked="0"/>
    </xf>
    <xf numFmtId="0" fontId="11" fillId="0" borderId="0" xfId="0" applyFont="1" applyAlignment="1" applyProtection="1">
      <alignment horizontal="left" vertical="top"/>
    </xf>
    <xf numFmtId="0" fontId="11" fillId="0" borderId="0" xfId="0" applyFont="1" applyAlignment="1" applyProtection="1">
      <alignment horizontal="left" vertical="top" indent="2"/>
    </xf>
    <xf numFmtId="0" fontId="50" fillId="0" borderId="0" xfId="0" applyFont="1" applyFill="1" applyBorder="1" applyAlignment="1" applyProtection="1">
      <alignment horizontal="left" wrapText="1"/>
    </xf>
    <xf numFmtId="0" fontId="14" fillId="0" borderId="86" xfId="0" applyFont="1" applyBorder="1" applyAlignment="1" applyProtection="1">
      <alignment horizontal="center"/>
    </xf>
    <xf numFmtId="0" fontId="14" fillId="0" borderId="22" xfId="0" applyFont="1" applyBorder="1" applyAlignment="1" applyProtection="1">
      <alignment horizontal="center"/>
    </xf>
    <xf numFmtId="0" fontId="14" fillId="0" borderId="0" xfId="0" applyFont="1" applyFill="1" applyBorder="1" applyAlignment="1" applyProtection="1"/>
    <xf numFmtId="0" fontId="14" fillId="0" borderId="86" xfId="0" applyFont="1" applyBorder="1" applyAlignment="1" applyProtection="1">
      <alignment horizontal="center" vertical="center"/>
    </xf>
    <xf numFmtId="0" fontId="14" fillId="0" borderId="64" xfId="0" applyFont="1" applyBorder="1" applyAlignment="1" applyProtection="1">
      <alignment horizontal="center" vertical="center"/>
    </xf>
    <xf numFmtId="0" fontId="14" fillId="0" borderId="22" xfId="0" applyFont="1" applyBorder="1" applyAlignment="1" applyProtection="1">
      <alignment horizontal="center" vertical="center"/>
    </xf>
    <xf numFmtId="0" fontId="18" fillId="0" borderId="0" xfId="46" applyFont="1" applyAlignment="1" applyProtection="1">
      <alignment horizontal="center" vertical="center" wrapText="1"/>
    </xf>
    <xf numFmtId="9" fontId="99" fillId="0" borderId="0" xfId="28" applyNumberFormat="1" applyFont="1" applyFill="1" applyBorder="1" applyAlignment="1" applyProtection="1">
      <alignment horizontal="left" vertical="top"/>
    </xf>
    <xf numFmtId="0" fontId="14" fillId="0" borderId="64" xfId="0" applyFont="1" applyBorder="1" applyAlignment="1" applyProtection="1">
      <alignment horizontal="center"/>
    </xf>
    <xf numFmtId="0" fontId="53" fillId="0" borderId="0" xfId="0" applyFont="1" applyBorder="1" applyAlignment="1" applyProtection="1">
      <alignment horizontal="left" wrapText="1"/>
    </xf>
    <xf numFmtId="0" fontId="0" fillId="0" borderId="0" xfId="0" applyFill="1" applyBorder="1" applyAlignment="1" applyProtection="1"/>
    <xf numFmtId="9" fontId="99" fillId="0" borderId="0" xfId="28" applyNumberFormat="1" applyFont="1" applyFill="1" applyBorder="1" applyAlignment="1" applyProtection="1">
      <alignment horizontal="left"/>
    </xf>
    <xf numFmtId="9" fontId="99" fillId="0" borderId="0" xfId="28" applyNumberFormat="1" applyFont="1" applyFill="1" applyBorder="1" applyAlignment="1" applyProtection="1">
      <alignment horizontal="left" vertical="center" wrapText="1"/>
    </xf>
    <xf numFmtId="0" fontId="44" fillId="0" borderId="42" xfId="93" applyFont="1" applyBorder="1" applyAlignment="1" applyProtection="1">
      <alignment horizontal="center" vertical="center"/>
      <protection locked="0"/>
    </xf>
    <xf numFmtId="0" fontId="44" fillId="0" borderId="126" xfId="93" applyFont="1" applyBorder="1" applyAlignment="1" applyProtection="1">
      <alignment horizontal="center" vertical="center"/>
      <protection locked="0"/>
    </xf>
    <xf numFmtId="0" fontId="13" fillId="0" borderId="0" xfId="46" applyFont="1" applyAlignment="1" applyProtection="1">
      <alignment horizontal="left" vertical="top"/>
    </xf>
    <xf numFmtId="0" fontId="13" fillId="29" borderId="0" xfId="0" applyFont="1" applyFill="1" applyBorder="1" applyAlignment="1" applyProtection="1">
      <alignment horizontal="left" vertical="top"/>
      <protection locked="0"/>
    </xf>
    <xf numFmtId="0" fontId="13" fillId="29" borderId="0" xfId="0" applyFont="1" applyFill="1" applyAlignment="1" applyProtection="1">
      <alignment horizontal="left" vertical="top"/>
      <protection locked="0"/>
    </xf>
    <xf numFmtId="0" fontId="14" fillId="0" borderId="86" xfId="93" applyFont="1" applyBorder="1" applyAlignment="1" applyProtection="1">
      <alignment horizontal="center" vertical="center"/>
      <protection locked="0"/>
    </xf>
    <xf numFmtId="0" fontId="14" fillId="0" borderId="64" xfId="93" applyFont="1" applyBorder="1" applyAlignment="1" applyProtection="1">
      <alignment horizontal="center" vertical="center"/>
      <protection locked="0"/>
    </xf>
    <xf numFmtId="0" fontId="14" fillId="0" borderId="22" xfId="93" applyFont="1" applyBorder="1" applyAlignment="1" applyProtection="1">
      <alignment horizontal="center" vertical="center"/>
      <protection locked="0"/>
    </xf>
    <xf numFmtId="0" fontId="44" fillId="0" borderId="86" xfId="93" applyFont="1" applyBorder="1" applyAlignment="1" applyProtection="1">
      <alignment horizontal="left" vertical="center" wrapText="1"/>
      <protection locked="0"/>
    </xf>
    <xf numFmtId="0" fontId="44" fillId="0" borderId="64" xfId="93" applyFont="1" applyBorder="1" applyAlignment="1" applyProtection="1">
      <alignment horizontal="left" vertical="center" wrapText="1"/>
      <protection locked="0"/>
    </xf>
    <xf numFmtId="0" fontId="44" fillId="0" borderId="22" xfId="93" applyFont="1" applyBorder="1" applyAlignment="1" applyProtection="1">
      <alignment horizontal="left" vertical="center" wrapText="1"/>
      <protection locked="0"/>
    </xf>
    <xf numFmtId="0" fontId="8" fillId="70" borderId="31" xfId="93" applyFill="1" applyBorder="1" applyAlignment="1" applyProtection="1">
      <alignment horizontal="center"/>
      <protection locked="0"/>
    </xf>
    <xf numFmtId="0" fontId="8" fillId="70" borderId="41" xfId="93" applyFill="1" applyBorder="1" applyAlignment="1" applyProtection="1">
      <alignment horizontal="center"/>
      <protection locked="0"/>
    </xf>
    <xf numFmtId="0" fontId="8" fillId="70" borderId="22" xfId="93" applyFill="1" applyBorder="1" applyAlignment="1" applyProtection="1">
      <alignment horizontal="center"/>
      <protection locked="0"/>
    </xf>
    <xf numFmtId="0" fontId="8" fillId="70" borderId="44" xfId="93" applyFill="1" applyBorder="1" applyAlignment="1" applyProtection="1">
      <alignment horizontal="center"/>
      <protection locked="0"/>
    </xf>
    <xf numFmtId="0" fontId="72" fillId="0" borderId="30" xfId="0" applyFont="1" applyBorder="1" applyAlignment="1" applyProtection="1">
      <alignment horizontal="center"/>
      <protection locked="0"/>
    </xf>
    <xf numFmtId="0" fontId="16" fillId="0" borderId="0" xfId="46" applyFont="1" applyAlignment="1" applyProtection="1">
      <alignment horizontal="center"/>
      <protection locked="0"/>
    </xf>
    <xf numFmtId="0" fontId="56" fillId="0" borderId="0" xfId="93" applyFont="1" applyAlignment="1" applyProtection="1">
      <alignment horizontal="left"/>
      <protection locked="0"/>
    </xf>
    <xf numFmtId="170" fontId="9" fillId="0" borderId="74" xfId="90" applyNumberFormat="1" applyBorder="1" applyAlignment="1" applyProtection="1">
      <alignment horizontal="center" vertical="center"/>
      <protection locked="0"/>
    </xf>
    <xf numFmtId="170" fontId="9" fillId="0" borderId="33" xfId="90" applyNumberFormat="1" applyBorder="1" applyAlignment="1" applyProtection="1">
      <alignment horizontal="center" vertical="center"/>
      <protection locked="0"/>
    </xf>
    <xf numFmtId="0" fontId="44" fillId="0" borderId="86" xfId="93" applyFont="1" applyBorder="1" applyAlignment="1" applyProtection="1">
      <alignment horizontal="center" vertical="center" wrapText="1"/>
      <protection locked="0"/>
    </xf>
    <xf numFmtId="0" fontId="44" fillId="0" borderId="22" xfId="93" applyFont="1" applyBorder="1" applyAlignment="1" applyProtection="1">
      <alignment horizontal="center" vertical="center" wrapText="1"/>
      <protection locked="0"/>
    </xf>
    <xf numFmtId="170" fontId="9" fillId="0" borderId="78" xfId="90" applyNumberFormat="1" applyBorder="1" applyAlignment="1" applyProtection="1">
      <alignment horizontal="center" vertical="center"/>
      <protection locked="0"/>
    </xf>
    <xf numFmtId="170" fontId="9" fillId="0" borderId="49" xfId="90" applyNumberFormat="1" applyBorder="1" applyAlignment="1" applyProtection="1">
      <alignment horizontal="center" vertical="center"/>
      <protection locked="0"/>
    </xf>
    <xf numFmtId="170" fontId="9" fillId="0" borderId="79" xfId="90" applyNumberFormat="1" applyBorder="1" applyAlignment="1" applyProtection="1">
      <alignment horizontal="center" vertical="center"/>
      <protection locked="0"/>
    </xf>
    <xf numFmtId="170" fontId="9" fillId="0" borderId="80" xfId="90" applyNumberFormat="1" applyBorder="1" applyAlignment="1" applyProtection="1">
      <alignment horizontal="center" vertical="center"/>
      <protection locked="0"/>
    </xf>
    <xf numFmtId="0" fontId="72" fillId="0" borderId="48" xfId="90" applyFont="1" applyBorder="1" applyAlignment="1" applyProtection="1">
      <alignment horizontal="left" vertical="center"/>
      <protection locked="0"/>
    </xf>
    <xf numFmtId="0" fontId="72" fillId="0" borderId="87" xfId="90" applyFont="1" applyBorder="1" applyAlignment="1" applyProtection="1">
      <alignment horizontal="left" vertical="center"/>
      <protection locked="0"/>
    </xf>
    <xf numFmtId="0" fontId="72" fillId="0" borderId="49" xfId="90" applyFont="1" applyBorder="1" applyAlignment="1" applyProtection="1">
      <alignment horizontal="left" vertical="center"/>
      <protection locked="0"/>
    </xf>
    <xf numFmtId="0" fontId="72" fillId="0" borderId="53" xfId="90" applyFont="1" applyBorder="1" applyAlignment="1" applyProtection="1">
      <alignment horizontal="left" vertical="center"/>
      <protection locked="0"/>
    </xf>
    <xf numFmtId="0" fontId="72" fillId="0" borderId="13" xfId="90" applyFont="1" applyBorder="1" applyAlignment="1" applyProtection="1">
      <alignment horizontal="left" vertical="center"/>
      <protection locked="0"/>
    </xf>
    <xf numFmtId="0" fontId="72" fillId="0" borderId="33" xfId="90" applyFont="1" applyBorder="1" applyAlignment="1" applyProtection="1">
      <alignment horizontal="left" vertical="center"/>
      <protection locked="0"/>
    </xf>
    <xf numFmtId="0" fontId="72" fillId="0" borderId="90" xfId="90" applyFont="1" applyBorder="1" applyAlignment="1" applyProtection="1">
      <alignment horizontal="left" vertical="center"/>
      <protection locked="0"/>
    </xf>
    <xf numFmtId="0" fontId="72" fillId="0" borderId="102" xfId="90" applyFont="1" applyBorder="1" applyAlignment="1" applyProtection="1">
      <alignment horizontal="left" vertical="center"/>
      <protection locked="0"/>
    </xf>
    <xf numFmtId="0" fontId="72" fillId="0" borderId="80" xfId="90" applyFont="1" applyBorder="1" applyAlignment="1" applyProtection="1">
      <alignment horizontal="left" vertical="center"/>
      <protection locked="0"/>
    </xf>
    <xf numFmtId="0" fontId="0" fillId="29" borderId="27" xfId="0" applyFill="1" applyBorder="1" applyAlignment="1" applyProtection="1">
      <alignment horizontal="left"/>
      <protection locked="0"/>
    </xf>
    <xf numFmtId="0" fontId="0" fillId="29" borderId="10" xfId="0" applyFill="1" applyBorder="1" applyAlignment="1" applyProtection="1">
      <alignment horizontal="left"/>
      <protection locked="0"/>
    </xf>
    <xf numFmtId="0" fontId="0" fillId="26" borderId="27" xfId="0" applyFill="1" applyBorder="1" applyAlignment="1" applyProtection="1">
      <alignment horizontal="center"/>
    </xf>
    <xf numFmtId="0" fontId="0" fillId="26" borderId="10" xfId="0" applyFill="1" applyBorder="1" applyAlignment="1" applyProtection="1">
      <alignment horizontal="center"/>
    </xf>
    <xf numFmtId="0" fontId="0" fillId="26" borderId="74" xfId="0" applyFill="1" applyBorder="1" applyAlignment="1" applyProtection="1">
      <alignment horizontal="center"/>
    </xf>
    <xf numFmtId="0" fontId="0" fillId="26" borderId="25" xfId="0" applyFill="1" applyBorder="1" applyAlignment="1" applyProtection="1">
      <alignment horizontal="center"/>
    </xf>
    <xf numFmtId="0" fontId="14" fillId="0" borderId="27" xfId="0" applyFont="1" applyBorder="1" applyAlignment="1" applyProtection="1">
      <alignment horizontal="left"/>
    </xf>
    <xf numFmtId="0" fontId="14" fillId="0" borderId="10" xfId="0" applyFont="1" applyBorder="1" applyAlignment="1" applyProtection="1">
      <alignment horizontal="left"/>
    </xf>
    <xf numFmtId="0" fontId="11"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52" xfId="0" applyFill="1" applyBorder="1" applyAlignment="1" applyProtection="1">
      <alignment horizontal="left"/>
    </xf>
    <xf numFmtId="0" fontId="0" fillId="0" borderId="16" xfId="0" applyFill="1" applyBorder="1" applyAlignment="1" applyProtection="1">
      <alignment horizontal="left"/>
    </xf>
    <xf numFmtId="0" fontId="11" fillId="0" borderId="0" xfId="0" applyFont="1" applyAlignment="1" applyProtection="1">
      <alignment wrapText="1"/>
    </xf>
    <xf numFmtId="0" fontId="43" fillId="0" borderId="0" xfId="0" applyFont="1" applyAlignment="1" applyProtection="1">
      <alignment wrapText="1"/>
    </xf>
    <xf numFmtId="0" fontId="14" fillId="0" borderId="52"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46" xfId="0" applyFont="1" applyFill="1" applyBorder="1" applyAlignment="1" applyProtection="1">
      <alignment horizontal="left"/>
    </xf>
    <xf numFmtId="0" fontId="14" fillId="0" borderId="39" xfId="0" applyFont="1" applyFill="1" applyBorder="1" applyAlignment="1" applyProtection="1">
      <alignment horizontal="left"/>
    </xf>
    <xf numFmtId="0" fontId="0" fillId="0" borderId="53" xfId="0" applyFill="1" applyBorder="1" applyAlignment="1" applyProtection="1">
      <alignment horizontal="left"/>
    </xf>
    <xf numFmtId="0" fontId="0" fillId="0" borderId="33" xfId="0" applyFill="1" applyBorder="1" applyAlignment="1" applyProtection="1">
      <alignment horizontal="left"/>
    </xf>
    <xf numFmtId="0" fontId="0" fillId="0" borderId="27" xfId="0" applyFill="1" applyBorder="1" applyAlignment="1" applyProtection="1">
      <alignment horizontal="left"/>
    </xf>
    <xf numFmtId="0" fontId="0" fillId="0" borderId="10" xfId="0" applyFill="1" applyBorder="1" applyAlignment="1" applyProtection="1">
      <alignment horizontal="left"/>
    </xf>
    <xf numFmtId="0" fontId="14" fillId="0" borderId="71" xfId="0" applyFont="1" applyBorder="1" applyAlignment="1" applyProtection="1">
      <alignment horizontal="left"/>
    </xf>
    <xf numFmtId="0" fontId="14" fillId="0" borderId="36" xfId="0" applyFont="1" applyBorder="1" applyAlignment="1" applyProtection="1">
      <alignment horizontal="left"/>
    </xf>
    <xf numFmtId="0" fontId="14" fillId="0" borderId="38" xfId="0" applyFont="1" applyBorder="1" applyAlignment="1" applyProtection="1">
      <alignment horizontal="left"/>
    </xf>
    <xf numFmtId="0" fontId="14" fillId="0" borderId="34" xfId="0" applyFont="1" applyBorder="1" applyAlignment="1" applyProtection="1">
      <alignment horizontal="left"/>
    </xf>
    <xf numFmtId="0" fontId="17" fillId="0" borderId="0" xfId="0" applyFont="1" applyAlignment="1" applyProtection="1">
      <alignment horizontal="left"/>
    </xf>
    <xf numFmtId="0" fontId="14" fillId="0" borderId="109" xfId="0" applyFont="1" applyBorder="1" applyAlignment="1" applyProtection="1">
      <alignment horizontal="left" wrapText="1"/>
    </xf>
    <xf numFmtId="0" fontId="14" fillId="0" borderId="0" xfId="0" applyFont="1" applyBorder="1" applyAlignment="1" applyProtection="1">
      <alignment horizontal="left" wrapText="1"/>
    </xf>
    <xf numFmtId="0" fontId="0" fillId="29" borderId="53" xfId="0" applyFill="1" applyBorder="1" applyAlignment="1" applyProtection="1">
      <alignment horizontal="center"/>
      <protection locked="0"/>
    </xf>
    <xf numFmtId="0" fontId="0" fillId="29" borderId="33" xfId="0" applyFill="1" applyBorder="1" applyAlignment="1" applyProtection="1">
      <alignment horizontal="center"/>
      <protection locked="0"/>
    </xf>
    <xf numFmtId="0" fontId="0" fillId="29" borderId="53" xfId="0" applyFill="1" applyBorder="1" applyAlignment="1" applyProtection="1">
      <alignment horizontal="left"/>
      <protection locked="0"/>
    </xf>
    <xf numFmtId="0" fontId="0" fillId="29" borderId="33" xfId="0" applyFill="1" applyBorder="1" applyAlignment="1" applyProtection="1">
      <alignment horizontal="left"/>
      <protection locked="0"/>
    </xf>
    <xf numFmtId="0" fontId="46" fillId="0" borderId="0" xfId="0" applyFont="1" applyAlignment="1" applyProtection="1">
      <alignment horizontal="left" vertical="top" wrapText="1"/>
    </xf>
    <xf numFmtId="0" fontId="14" fillId="0" borderId="52" xfId="0" applyFont="1" applyBorder="1" applyAlignment="1" applyProtection="1">
      <alignment horizontal="left"/>
    </xf>
    <xf numFmtId="0" fontId="14" fillId="0" borderId="16" xfId="0" applyFont="1" applyBorder="1" applyAlignment="1" applyProtection="1">
      <alignment horizontal="left"/>
    </xf>
    <xf numFmtId="0" fontId="11" fillId="29" borderId="27" xfId="0" applyFont="1" applyFill="1" applyBorder="1" applyAlignment="1" applyProtection="1">
      <alignment horizontal="left"/>
      <protection locked="0"/>
    </xf>
    <xf numFmtId="0" fontId="14" fillId="0" borderId="46" xfId="0" applyFont="1" applyBorder="1" applyAlignment="1" applyProtection="1">
      <alignment horizontal="left"/>
    </xf>
    <xf numFmtId="0" fontId="14" fillId="0" borderId="39" xfId="0" applyFont="1" applyBorder="1" applyAlignment="1" applyProtection="1">
      <alignment horizontal="left"/>
    </xf>
    <xf numFmtId="0" fontId="11" fillId="29" borderId="10" xfId="0" applyFont="1" applyFill="1" applyBorder="1" applyAlignment="1" applyProtection="1">
      <alignment horizontal="left"/>
      <protection locked="0"/>
    </xf>
    <xf numFmtId="0" fontId="11" fillId="29" borderId="53" xfId="0" applyFont="1" applyFill="1" applyBorder="1" applyAlignment="1" applyProtection="1">
      <alignment horizontal="left"/>
      <protection locked="0"/>
    </xf>
    <xf numFmtId="0" fontId="11" fillId="29" borderId="33" xfId="0" applyFont="1" applyFill="1" applyBorder="1" applyAlignment="1" applyProtection="1">
      <alignment horizontal="left"/>
      <protection locked="0"/>
    </xf>
    <xf numFmtId="0" fontId="92" fillId="0" borderId="0" xfId="130" applyFont="1" applyFill="1" applyBorder="1" applyAlignment="1" applyProtection="1">
      <alignment horizontal="left" vertical="top" wrapText="1"/>
      <protection locked="0"/>
    </xf>
    <xf numFmtId="0" fontId="112" fillId="73" borderId="47" xfId="130" applyFont="1" applyFill="1" applyBorder="1" applyAlignment="1" applyProtection="1">
      <alignment horizontal="center" vertical="top"/>
      <protection locked="0"/>
    </xf>
    <xf numFmtId="0" fontId="112" fillId="73" borderId="0" xfId="130" applyFont="1" applyFill="1" applyBorder="1" applyAlignment="1" applyProtection="1">
      <alignment horizontal="center" vertical="top"/>
      <protection locked="0"/>
    </xf>
    <xf numFmtId="0" fontId="112" fillId="73" borderId="29" xfId="130" applyFont="1" applyFill="1" applyBorder="1" applyAlignment="1" applyProtection="1">
      <alignment horizontal="center" vertical="top"/>
      <protection locked="0"/>
    </xf>
    <xf numFmtId="0" fontId="112" fillId="73" borderId="53" xfId="130" applyFont="1" applyFill="1" applyBorder="1" applyAlignment="1" applyProtection="1">
      <alignment horizontal="center" vertical="center"/>
      <protection locked="0"/>
    </xf>
    <xf numFmtId="0" fontId="112" fillId="73" borderId="13" xfId="130" applyFont="1" applyFill="1" applyBorder="1" applyAlignment="1" applyProtection="1">
      <alignment horizontal="center" vertical="center"/>
      <protection locked="0"/>
    </xf>
    <xf numFmtId="0" fontId="112" fillId="73" borderId="50" xfId="130" applyFont="1" applyFill="1" applyBorder="1" applyAlignment="1" applyProtection="1">
      <alignment horizontal="center" vertical="center"/>
      <protection locked="0"/>
    </xf>
    <xf numFmtId="0" fontId="110" fillId="0" borderId="0" xfId="130" applyFont="1" applyFill="1" applyBorder="1" applyAlignment="1" applyProtection="1">
      <alignment horizontal="left" vertical="top" wrapText="1"/>
      <protection locked="0"/>
    </xf>
    <xf numFmtId="0" fontId="151"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vertical="top" wrapText="1"/>
      <protection locked="0"/>
    </xf>
    <xf numFmtId="0" fontId="106" fillId="0" borderId="0" xfId="130" applyFont="1" applyFill="1" applyBorder="1" applyAlignment="1" applyProtection="1">
      <alignment horizontal="left" vertical="top" wrapText="1"/>
      <protection locked="0"/>
    </xf>
    <xf numFmtId="0" fontId="119" fillId="0" borderId="0" xfId="130" applyFont="1" applyFill="1" applyBorder="1" applyAlignment="1" applyProtection="1">
      <alignment horizontal="center"/>
      <protection locked="0"/>
    </xf>
    <xf numFmtId="0" fontId="115" fillId="0" borderId="0" xfId="130" applyFont="1" applyFill="1" applyBorder="1" applyAlignment="1" applyProtection="1">
      <alignment horizontal="center" vertical="top" wrapText="1"/>
      <protection locked="0"/>
    </xf>
    <xf numFmtId="0" fontId="110" fillId="0" borderId="70" xfId="130" applyFont="1" applyFill="1" applyBorder="1" applyAlignment="1" applyProtection="1">
      <alignment horizontal="center" wrapText="1"/>
      <protection locked="0"/>
    </xf>
    <xf numFmtId="0" fontId="110" fillId="0" borderId="0" xfId="130" applyFont="1" applyFill="1" applyBorder="1" applyAlignment="1" applyProtection="1">
      <alignment horizontal="center" wrapText="1"/>
      <protection locked="0"/>
    </xf>
    <xf numFmtId="0" fontId="150" fillId="72" borderId="69" xfId="130" applyFont="1" applyFill="1" applyBorder="1" applyAlignment="1" applyProtection="1">
      <alignment horizontal="center" vertical="top"/>
      <protection locked="0"/>
    </xf>
    <xf numFmtId="0" fontId="150" fillId="72" borderId="70" xfId="130" applyFont="1" applyFill="1" applyBorder="1" applyAlignment="1" applyProtection="1">
      <alignment horizontal="center" vertical="top"/>
      <protection locked="0"/>
    </xf>
    <xf numFmtId="0" fontId="150" fillId="72" borderId="45" xfId="130" applyFont="1" applyFill="1" applyBorder="1" applyAlignment="1" applyProtection="1">
      <alignment horizontal="center" vertical="top"/>
      <protection locked="0"/>
    </xf>
    <xf numFmtId="178" fontId="106" fillId="71" borderId="47" xfId="131" applyNumberFormat="1" applyFont="1" applyFill="1" applyBorder="1" applyAlignment="1" applyProtection="1">
      <alignment horizontal="center" vertical="top"/>
      <protection locked="0"/>
    </xf>
    <xf numFmtId="178" fontId="106" fillId="71" borderId="0" xfId="131" applyNumberFormat="1" applyFont="1" applyFill="1" applyBorder="1" applyAlignment="1" applyProtection="1">
      <alignment horizontal="center" vertical="top"/>
      <protection locked="0"/>
    </xf>
    <xf numFmtId="178" fontId="106" fillId="71" borderId="29" xfId="131" applyNumberFormat="1" applyFont="1" applyFill="1" applyBorder="1" applyAlignment="1" applyProtection="1">
      <alignment horizontal="center" vertical="top"/>
      <protection locked="0"/>
    </xf>
    <xf numFmtId="0" fontId="149" fillId="0" borderId="0" xfId="46" applyFont="1" applyFill="1" applyBorder="1" applyAlignment="1" applyProtection="1">
      <alignment horizontal="center"/>
      <protection locked="0"/>
    </xf>
    <xf numFmtId="0" fontId="111" fillId="0" borderId="0" xfId="130" applyFont="1" applyFill="1" applyBorder="1" applyAlignment="1" applyProtection="1">
      <alignment horizontal="center" vertical="top"/>
      <protection locked="0"/>
    </xf>
    <xf numFmtId="0" fontId="122" fillId="0" borderId="0" xfId="130" applyFont="1" applyFill="1" applyBorder="1" applyAlignment="1" applyProtection="1">
      <alignment horizontal="left" vertical="top" wrapText="1"/>
      <protection locked="0"/>
    </xf>
    <xf numFmtId="0" fontId="112" fillId="73" borderId="69" xfId="130" applyFont="1" applyFill="1" applyBorder="1" applyAlignment="1" applyProtection="1">
      <alignment horizontal="center"/>
      <protection locked="0"/>
    </xf>
    <xf numFmtId="0" fontId="112" fillId="73" borderId="70" xfId="130" applyFont="1" applyFill="1" applyBorder="1" applyAlignment="1" applyProtection="1">
      <alignment horizontal="center"/>
      <protection locked="0"/>
    </xf>
    <xf numFmtId="0" fontId="112" fillId="73" borderId="45" xfId="130" applyFont="1" applyFill="1" applyBorder="1" applyAlignment="1" applyProtection="1">
      <alignment horizontal="center"/>
      <protection locked="0"/>
    </xf>
    <xf numFmtId="0" fontId="112" fillId="73" borderId="47" xfId="130" applyFont="1" applyFill="1" applyBorder="1" applyAlignment="1" applyProtection="1">
      <alignment horizontal="left" vertical="center"/>
      <protection locked="0"/>
    </xf>
    <xf numFmtId="0" fontId="112" fillId="73" borderId="0" xfId="130" applyFont="1" applyFill="1" applyBorder="1" applyAlignment="1" applyProtection="1">
      <alignment horizontal="left" vertical="center"/>
      <protection locked="0"/>
    </xf>
    <xf numFmtId="0" fontId="92" fillId="73" borderId="52" xfId="130" applyFont="1" applyFill="1" applyBorder="1" applyAlignment="1" applyProtection="1">
      <alignment vertical="top" wrapText="1"/>
      <protection locked="0"/>
    </xf>
    <xf numFmtId="0" fontId="110" fillId="73" borderId="12" xfId="130" applyFont="1" applyFill="1" applyBorder="1" applyAlignment="1" applyProtection="1">
      <alignment vertical="top" wrapText="1"/>
      <protection locked="0"/>
    </xf>
    <xf numFmtId="0" fontId="115" fillId="0" borderId="46" xfId="130" applyFont="1" applyFill="1" applyBorder="1" applyAlignment="1" applyProtection="1">
      <alignment vertical="top" wrapText="1"/>
      <protection locked="0"/>
    </xf>
    <xf numFmtId="0" fontId="115" fillId="0" borderId="30" xfId="130" applyFont="1" applyFill="1" applyBorder="1" applyAlignment="1" applyProtection="1">
      <alignment vertical="top" wrapText="1"/>
      <protection locked="0"/>
    </xf>
    <xf numFmtId="0" fontId="106" fillId="0" borderId="0" xfId="0" applyFont="1" applyAlignment="1" applyProtection="1">
      <alignment horizontal="left" vertical="top" wrapText="1"/>
    </xf>
    <xf numFmtId="0" fontId="14" fillId="0" borderId="48" xfId="0" applyFont="1" applyBorder="1" applyAlignment="1" applyProtection="1">
      <alignment horizontal="center" vertical="top" wrapText="1"/>
    </xf>
    <xf numFmtId="0" fontId="14" fillId="0" borderId="87" xfId="0" applyFont="1" applyBorder="1" applyAlignment="1" applyProtection="1">
      <alignment horizontal="center" vertical="top" wrapText="1"/>
    </xf>
    <xf numFmtId="0" fontId="14" fillId="0" borderId="151" xfId="0" applyFont="1" applyBorder="1" applyAlignment="1" applyProtection="1">
      <alignment horizontal="center" vertical="top" wrapText="1"/>
    </xf>
    <xf numFmtId="0" fontId="14" fillId="0" borderId="74" xfId="0" applyFont="1" applyBorder="1" applyAlignment="1" applyProtection="1">
      <alignment horizontal="center" vertical="top" wrapText="1"/>
    </xf>
    <xf numFmtId="0" fontId="14" fillId="0" borderId="13" xfId="0" applyFont="1" applyBorder="1" applyAlignment="1" applyProtection="1">
      <alignment horizontal="center" vertical="top" wrapText="1"/>
    </xf>
    <xf numFmtId="0" fontId="14" fillId="0" borderId="33" xfId="0" applyFont="1" applyBorder="1" applyAlignment="1" applyProtection="1">
      <alignment horizontal="center" vertical="top" wrapText="1"/>
    </xf>
    <xf numFmtId="0" fontId="14" fillId="0" borderId="30" xfId="0" applyFont="1" applyBorder="1" applyAlignment="1" applyProtection="1">
      <alignment horizontal="center" vertical="center"/>
    </xf>
    <xf numFmtId="0" fontId="14" fillId="0" borderId="31" xfId="0" applyFont="1" applyBorder="1" applyAlignment="1" applyProtection="1">
      <alignment horizontal="center" vertical="center"/>
    </xf>
    <xf numFmtId="0" fontId="14" fillId="0" borderId="30"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4" fillId="0" borderId="48" xfId="0" applyFont="1" applyBorder="1" applyAlignment="1" applyProtection="1">
      <alignment horizontal="center"/>
    </xf>
    <xf numFmtId="0" fontId="14" fillId="0" borderId="151" xfId="0" applyFont="1" applyBorder="1" applyAlignment="1" applyProtection="1">
      <alignment horizontal="center"/>
    </xf>
    <xf numFmtId="0" fontId="18" fillId="0" borderId="0" xfId="46" applyFont="1" applyAlignment="1" applyProtection="1">
      <alignment horizontal="center" vertical="top" wrapText="1"/>
    </xf>
    <xf numFmtId="0" fontId="11" fillId="29" borderId="74" xfId="0" applyFont="1" applyFill="1" applyBorder="1" applyAlignment="1">
      <alignment horizontal="left" vertical="top"/>
    </xf>
    <xf numFmtId="0" fontId="11" fillId="29" borderId="13" xfId="0" applyFont="1" applyFill="1" applyBorder="1" applyAlignment="1">
      <alignment horizontal="left" vertical="top"/>
    </xf>
    <xf numFmtId="0" fontId="11" fillId="29" borderId="33" xfId="0" applyFont="1" applyFill="1" applyBorder="1" applyAlignment="1">
      <alignment horizontal="left" vertical="top"/>
    </xf>
    <xf numFmtId="0" fontId="14" fillId="0" borderId="46" xfId="0" applyFont="1" applyBorder="1" applyAlignment="1">
      <alignment horizontal="center"/>
    </xf>
    <xf numFmtId="0" fontId="14" fillId="0" borderId="30" xfId="0" applyFont="1" applyBorder="1" applyAlignment="1">
      <alignment horizontal="center"/>
    </xf>
    <xf numFmtId="0" fontId="14" fillId="0" borderId="64" xfId="0" applyFont="1" applyBorder="1" applyAlignment="1">
      <alignment horizontal="center" vertical="center"/>
    </xf>
    <xf numFmtId="0" fontId="14" fillId="0" borderId="31" xfId="0" applyFont="1" applyBorder="1" applyAlignment="1">
      <alignment horizontal="center"/>
    </xf>
    <xf numFmtId="0" fontId="14" fillId="0" borderId="69" xfId="0" applyFont="1" applyFill="1" applyBorder="1" applyAlignment="1">
      <alignment horizontal="center" wrapText="1"/>
    </xf>
    <xf numFmtId="0" fontId="14" fillId="0" borderId="70" xfId="0" applyFont="1" applyFill="1" applyBorder="1" applyAlignment="1">
      <alignment horizontal="center" wrapText="1"/>
    </xf>
    <xf numFmtId="0" fontId="14" fillId="0" borderId="45" xfId="0" applyFont="1" applyFill="1" applyBorder="1" applyAlignment="1">
      <alignment horizontal="center" wrapText="1"/>
    </xf>
    <xf numFmtId="0" fontId="14" fillId="0" borderId="48" xfId="0" applyFont="1" applyBorder="1" applyAlignment="1">
      <alignment horizontal="center" vertical="top" wrapText="1"/>
    </xf>
    <xf numFmtId="0" fontId="14" fillId="0" borderId="87" xfId="0" applyFont="1" applyBorder="1" applyAlignment="1">
      <alignment horizontal="center" vertical="top" wrapText="1"/>
    </xf>
    <xf numFmtId="0" fontId="14" fillId="0" borderId="151" xfId="0" applyFont="1" applyBorder="1" applyAlignment="1">
      <alignment horizontal="center" vertical="top" wrapText="1"/>
    </xf>
    <xf numFmtId="0" fontId="14" fillId="0" borderId="48" xfId="0" applyFont="1" applyBorder="1" applyAlignment="1">
      <alignment horizontal="center"/>
    </xf>
    <xf numFmtId="0" fontId="14" fillId="0" borderId="87" xfId="0" applyFont="1" applyBorder="1" applyAlignment="1">
      <alignment horizontal="center"/>
    </xf>
    <xf numFmtId="0" fontId="14" fillId="0" borderId="151" xfId="0" applyFont="1" applyBorder="1" applyAlignment="1">
      <alignment horizontal="center"/>
    </xf>
    <xf numFmtId="0" fontId="14" fillId="28" borderId="69" xfId="0" applyFont="1" applyFill="1" applyBorder="1" applyAlignment="1">
      <alignment horizontal="center" wrapText="1"/>
    </xf>
    <xf numFmtId="0" fontId="14" fillId="28" borderId="70" xfId="0" applyFont="1" applyFill="1" applyBorder="1" applyAlignment="1">
      <alignment horizontal="center" wrapText="1"/>
    </xf>
    <xf numFmtId="0" fontId="14" fillId="28" borderId="45" xfId="0" applyFont="1" applyFill="1" applyBorder="1" applyAlignment="1">
      <alignment horizontal="center" wrapText="1"/>
    </xf>
    <xf numFmtId="0" fontId="11" fillId="65" borderId="0" xfId="0" applyFont="1" applyFill="1" applyAlignment="1">
      <alignment horizontal="left" vertical="top" wrapText="1"/>
    </xf>
    <xf numFmtId="0" fontId="18" fillId="0" borderId="0" xfId="46" applyFont="1" applyAlignment="1" applyProtection="1">
      <alignment horizontal="center" vertical="top" wrapText="1"/>
      <protection locked="0"/>
    </xf>
    <xf numFmtId="0" fontId="106" fillId="65" borderId="0" xfId="0" applyFont="1" applyFill="1" applyAlignment="1">
      <alignment horizontal="left" vertical="top" wrapText="1"/>
    </xf>
    <xf numFmtId="0" fontId="14" fillId="0" borderId="30" xfId="0" applyFont="1" applyFill="1" applyBorder="1" applyAlignment="1">
      <alignment horizontal="center"/>
    </xf>
    <xf numFmtId="0" fontId="106" fillId="0" borderId="0" xfId="0" applyFont="1" applyAlignment="1">
      <alignment horizontal="left" vertical="top"/>
    </xf>
    <xf numFmtId="0" fontId="11" fillId="0" borderId="0" xfId="0" applyFont="1" applyFill="1" applyAlignment="1" applyProtection="1">
      <alignment horizontal="left" vertical="top" wrapText="1"/>
    </xf>
    <xf numFmtId="0" fontId="18" fillId="0" borderId="0" xfId="0" applyFont="1" applyAlignment="1" applyProtection="1">
      <alignment horizontal="center" vertical="center"/>
    </xf>
    <xf numFmtId="0" fontId="57" fillId="0" borderId="0" xfId="46" applyFont="1" applyFill="1" applyBorder="1" applyAlignment="1" applyProtection="1">
      <alignment horizontal="center" vertical="center" wrapText="1"/>
    </xf>
    <xf numFmtId="0" fontId="18" fillId="0" borderId="0" xfId="0" applyFont="1" applyAlignment="1" applyProtection="1">
      <alignment horizontal="center"/>
      <protection locked="0"/>
    </xf>
    <xf numFmtId="0" fontId="18" fillId="0" borderId="0" xfId="0" applyFont="1" applyAlignment="1" applyProtection="1">
      <alignment horizontal="center" vertical="top"/>
      <protection locked="0"/>
    </xf>
    <xf numFmtId="3" fontId="11" fillId="0" borderId="0" xfId="0" applyNumberFormat="1" applyFont="1" applyAlignment="1" applyProtection="1">
      <alignment horizontal="left" vertical="top" wrapText="1"/>
      <protection locked="0"/>
    </xf>
    <xf numFmtId="0" fontId="127" fillId="0" borderId="0" xfId="46" applyFont="1" applyAlignment="1" applyProtection="1">
      <alignment horizontal="left"/>
    </xf>
    <xf numFmtId="0" fontId="11" fillId="0" borderId="0" xfId="0" quotePrefix="1" applyFont="1" applyAlignment="1" applyProtection="1">
      <alignment horizontal="left" vertical="top" wrapText="1"/>
    </xf>
    <xf numFmtId="0" fontId="14" fillId="27" borderId="74" xfId="0" applyFont="1" applyFill="1" applyBorder="1" applyAlignment="1" applyProtection="1">
      <alignment horizontal="left"/>
    </xf>
    <xf numFmtId="0" fontId="14" fillId="27" borderId="13" xfId="0" applyFont="1" applyFill="1" applyBorder="1" applyAlignment="1" applyProtection="1">
      <alignment horizontal="left"/>
    </xf>
    <xf numFmtId="0" fontId="14" fillId="27" borderId="33" xfId="0" applyFont="1" applyFill="1" applyBorder="1" applyAlignment="1" applyProtection="1">
      <alignment horizontal="left"/>
    </xf>
    <xf numFmtId="0" fontId="14" fillId="27" borderId="76" xfId="0" applyFont="1" applyFill="1" applyBorder="1" applyAlignment="1" applyProtection="1">
      <alignment horizontal="left"/>
    </xf>
    <xf numFmtId="0" fontId="14" fillId="27" borderId="12" xfId="0" applyFont="1" applyFill="1" applyBorder="1" applyAlignment="1" applyProtection="1">
      <alignment horizontal="left"/>
    </xf>
    <xf numFmtId="0" fontId="14" fillId="27" borderId="16" xfId="0" applyFont="1" applyFill="1" applyBorder="1" applyAlignment="1" applyProtection="1">
      <alignment horizontal="left"/>
    </xf>
    <xf numFmtId="0" fontId="14" fillId="0" borderId="0" xfId="0" applyFont="1" applyFill="1" applyBorder="1" applyAlignment="1" applyProtection="1">
      <alignment horizontal="left" vertical="top"/>
    </xf>
    <xf numFmtId="0" fontId="19" fillId="0" borderId="0" xfId="0" applyFont="1" applyFill="1" applyBorder="1" applyAlignment="1" applyProtection="1">
      <alignment horizontal="left"/>
    </xf>
    <xf numFmtId="0" fontId="11" fillId="0" borderId="0" xfId="0" applyFont="1" applyAlignment="1" applyProtection="1">
      <alignment horizontal="left" vertical="top"/>
      <protection locked="0"/>
    </xf>
    <xf numFmtId="0" fontId="0" fillId="0" borderId="0" xfId="0" applyAlignment="1" applyProtection="1">
      <alignment horizontal="left" vertical="top" wrapText="1"/>
      <protection locked="0"/>
    </xf>
    <xf numFmtId="0" fontId="14" fillId="0" borderId="53" xfId="0" quotePrefix="1" applyFont="1" applyBorder="1" applyAlignment="1" applyProtection="1">
      <alignment horizontal="left"/>
      <protection locked="0"/>
    </xf>
    <xf numFmtId="0" fontId="14" fillId="0" borderId="33"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14" fillId="0" borderId="53" xfId="0" quotePrefix="1" applyFont="1" applyBorder="1" applyAlignment="1" applyProtection="1">
      <alignment horizontal="left" vertical="top" wrapText="1"/>
      <protection locked="0"/>
    </xf>
    <xf numFmtId="0" fontId="14" fillId="0" borderId="33" xfId="0" quotePrefix="1" applyFont="1" applyBorder="1" applyAlignment="1" applyProtection="1">
      <alignment horizontal="left" vertical="top" wrapText="1"/>
      <protection locked="0"/>
    </xf>
    <xf numFmtId="0" fontId="14" fillId="0" borderId="52" xfId="0" applyFont="1" applyBorder="1" applyAlignment="1" applyProtection="1">
      <alignment horizontal="left"/>
      <protection locked="0"/>
    </xf>
    <xf numFmtId="0" fontId="14" fillId="0" borderId="16" xfId="0" applyFont="1" applyBorder="1" applyAlignment="1" applyProtection="1">
      <alignment horizontal="left"/>
      <protection locked="0"/>
    </xf>
    <xf numFmtId="0" fontId="78" fillId="0" borderId="86" xfId="0" applyFont="1" applyBorder="1" applyAlignment="1" applyProtection="1">
      <alignment horizontal="left" vertical="center"/>
      <protection locked="0"/>
    </xf>
    <xf numFmtId="0" fontId="78" fillId="0" borderId="23" xfId="0" applyFont="1" applyBorder="1" applyAlignment="1" applyProtection="1">
      <alignment horizontal="left" vertical="center"/>
      <protection locked="0"/>
    </xf>
    <xf numFmtId="0" fontId="14" fillId="0" borderId="48" xfId="0" applyFont="1" applyBorder="1" applyAlignment="1" applyProtection="1">
      <alignment horizontal="left" vertical="top" wrapText="1"/>
      <protection locked="0"/>
    </xf>
    <xf numFmtId="0" fontId="14" fillId="0" borderId="49" xfId="0" applyFont="1" applyBorder="1" applyAlignment="1" applyProtection="1">
      <alignment horizontal="left" vertical="top" wrapText="1"/>
      <protection locked="0"/>
    </xf>
    <xf numFmtId="0" fontId="11" fillId="0" borderId="0" xfId="0" applyFont="1" applyAlignment="1" applyProtection="1">
      <alignment horizontal="left"/>
      <protection locked="0"/>
    </xf>
    <xf numFmtId="0" fontId="0" fillId="0" borderId="0" xfId="0" applyAlignment="1" applyProtection="1">
      <alignment horizontal="left"/>
      <protection locked="0"/>
    </xf>
    <xf numFmtId="0" fontId="14" fillId="0" borderId="53"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14" fillId="0" borderId="86" xfId="0" applyFont="1" applyBorder="1" applyAlignment="1" applyProtection="1">
      <alignment horizontal="center"/>
      <protection locked="0"/>
    </xf>
    <xf numFmtId="0" fontId="14" fillId="0" borderId="64" xfId="0" applyFont="1" applyBorder="1" applyAlignment="1" applyProtection="1">
      <alignment horizontal="center"/>
      <protection locked="0"/>
    </xf>
    <xf numFmtId="0" fontId="14" fillId="0" borderId="22" xfId="0" applyFont="1" applyBorder="1" applyAlignment="1" applyProtection="1">
      <alignment horizontal="center"/>
      <protection locked="0"/>
    </xf>
    <xf numFmtId="0" fontId="14" fillId="0" borderId="88" xfId="0" quotePrefix="1" applyFont="1" applyBorder="1" applyAlignment="1" applyProtection="1">
      <alignment horizontal="center"/>
    </xf>
    <xf numFmtId="0" fontId="14" fillId="0" borderId="18" xfId="0" quotePrefix="1" applyFont="1" applyBorder="1" applyAlignment="1" applyProtection="1">
      <alignment horizontal="center"/>
    </xf>
    <xf numFmtId="0" fontId="14" fillId="0" borderId="32" xfId="0" applyFont="1" applyBorder="1" applyAlignment="1" applyProtection="1">
      <alignment horizontal="center" vertical="center"/>
    </xf>
    <xf numFmtId="0" fontId="14" fillId="0" borderId="24" xfId="0" applyFont="1" applyBorder="1" applyAlignment="1" applyProtection="1">
      <alignment horizontal="center" vertical="center"/>
    </xf>
    <xf numFmtId="0" fontId="0" fillId="0" borderId="27" xfId="0" quotePrefix="1" applyBorder="1" applyAlignment="1" applyProtection="1">
      <alignment horizontal="center"/>
    </xf>
    <xf numFmtId="0" fontId="0" fillId="0" borderId="10" xfId="0" quotePrefix="1" applyBorder="1" applyAlignment="1" applyProtection="1">
      <alignment horizontal="center"/>
    </xf>
    <xf numFmtId="0" fontId="14" fillId="0" borderId="53" xfId="0" quotePrefix="1" applyFont="1" applyBorder="1" applyAlignment="1" applyProtection="1">
      <alignment horizontal="center"/>
    </xf>
    <xf numFmtId="0" fontId="14" fillId="0" borderId="33" xfId="0" quotePrefix="1" applyFont="1" applyBorder="1" applyAlignment="1" applyProtection="1">
      <alignment horizontal="center"/>
    </xf>
    <xf numFmtId="0" fontId="14" fillId="25" borderId="32" xfId="0" applyFont="1" applyFill="1" applyBorder="1" applyAlignment="1" applyProtection="1">
      <alignment horizontal="center"/>
      <protection locked="0"/>
    </xf>
    <xf numFmtId="0" fontId="14" fillId="25" borderId="24" xfId="0" applyFont="1" applyFill="1" applyBorder="1" applyAlignment="1" applyProtection="1">
      <alignment horizontal="center"/>
      <protection locked="0"/>
    </xf>
    <xf numFmtId="0" fontId="14" fillId="25" borderId="72" xfId="0" applyFont="1" applyFill="1" applyBorder="1" applyAlignment="1" applyProtection="1">
      <alignment horizontal="center" vertical="center" wrapText="1"/>
      <protection locked="0"/>
    </xf>
    <xf numFmtId="0" fontId="14"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4" fillId="25" borderId="24" xfId="0" applyFont="1" applyFill="1" applyBorder="1" applyAlignment="1">
      <alignment horizontal="center" wrapText="1"/>
    </xf>
    <xf numFmtId="0" fontId="14" fillId="25" borderId="10" xfId="0" applyFont="1" applyFill="1" applyBorder="1" applyAlignment="1">
      <alignment horizontal="center" wrapText="1"/>
    </xf>
    <xf numFmtId="0" fontId="14" fillId="25" borderId="61" xfId="0" applyFont="1" applyFill="1" applyBorder="1" applyAlignment="1">
      <alignment horizontal="center" wrapText="1"/>
    </xf>
    <xf numFmtId="0" fontId="14" fillId="25" borderId="25" xfId="0" applyFont="1" applyFill="1" applyBorder="1" applyAlignment="1">
      <alignment horizontal="center" wrapText="1"/>
    </xf>
    <xf numFmtId="0" fontId="14" fillId="25" borderId="0" xfId="0" applyFont="1" applyFill="1" applyBorder="1" applyAlignment="1" applyProtection="1">
      <alignment horizontal="center" wrapText="1"/>
      <protection locked="0"/>
    </xf>
    <xf numFmtId="0" fontId="14" fillId="25" borderId="89" xfId="0" applyFont="1" applyFill="1" applyBorder="1" applyAlignment="1" applyProtection="1">
      <protection locked="0"/>
    </xf>
    <xf numFmtId="0" fontId="0" fillId="25" borderId="75" xfId="0" applyFill="1" applyBorder="1" applyAlignment="1" applyProtection="1">
      <protection locked="0"/>
    </xf>
    <xf numFmtId="0" fontId="14" fillId="25" borderId="17" xfId="0" applyFont="1" applyFill="1" applyBorder="1" applyAlignment="1" applyProtection="1">
      <protection locked="0"/>
    </xf>
    <xf numFmtId="0" fontId="0" fillId="25" borderId="19" xfId="0" applyFill="1" applyBorder="1" applyAlignment="1" applyProtection="1">
      <protection locked="0"/>
    </xf>
    <xf numFmtId="0" fontId="14" fillId="25" borderId="19" xfId="0" applyFont="1" applyFill="1" applyBorder="1" applyAlignment="1" applyProtection="1">
      <alignment horizontal="center" vertical="center" wrapText="1"/>
      <protection locked="0"/>
    </xf>
    <xf numFmtId="0" fontId="16" fillId="0" borderId="0" xfId="0" applyFont="1" applyAlignment="1" applyProtection="1">
      <alignment horizontal="center"/>
      <protection locked="0"/>
    </xf>
    <xf numFmtId="0" fontId="14" fillId="25" borderId="24" xfId="0" applyFont="1" applyFill="1" applyBorder="1" applyAlignment="1" applyProtection="1">
      <alignment horizontal="center" vertical="center" wrapText="1"/>
      <protection locked="0"/>
    </xf>
    <xf numFmtId="0" fontId="14"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4" fillId="25" borderId="27" xfId="0" applyFont="1" applyFill="1" applyBorder="1" applyAlignment="1" applyProtection="1">
      <protection locked="0"/>
    </xf>
    <xf numFmtId="0" fontId="0" fillId="25" borderId="27" xfId="0" applyFill="1" applyBorder="1" applyAlignment="1" applyProtection="1">
      <protection locked="0"/>
    </xf>
    <xf numFmtId="0" fontId="14" fillId="25" borderId="10" xfId="0" applyFont="1" applyFill="1" applyBorder="1" applyAlignment="1" applyProtection="1">
      <protection locked="0"/>
    </xf>
    <xf numFmtId="0" fontId="0" fillId="25" borderId="10" xfId="0" applyFill="1" applyBorder="1" applyAlignment="1" applyProtection="1">
      <protection locked="0"/>
    </xf>
    <xf numFmtId="0" fontId="14" fillId="25" borderId="24" xfId="0" applyFont="1" applyFill="1" applyBorder="1" applyAlignment="1" applyProtection="1">
      <alignment horizontal="center" wrapText="1"/>
      <protection locked="0"/>
    </xf>
    <xf numFmtId="0" fontId="14" fillId="25" borderId="10" xfId="0" applyFont="1" applyFill="1" applyBorder="1" applyAlignment="1" applyProtection="1">
      <alignment horizontal="center" wrapText="1"/>
      <protection locked="0"/>
    </xf>
    <xf numFmtId="0" fontId="14" fillId="25" borderId="61" xfId="0" applyFont="1" applyFill="1" applyBorder="1" applyAlignment="1" applyProtection="1">
      <alignment horizontal="center" wrapText="1"/>
      <protection locked="0"/>
    </xf>
    <xf numFmtId="0" fontId="14" fillId="25" borderId="25" xfId="0" applyFont="1" applyFill="1" applyBorder="1" applyAlignment="1" applyProtection="1">
      <alignment horizontal="center" wrapText="1"/>
      <protection locked="0"/>
    </xf>
    <xf numFmtId="0" fontId="14" fillId="25" borderId="74" xfId="0" applyFont="1" applyFill="1" applyBorder="1" applyAlignment="1" applyProtection="1">
      <alignment horizontal="center" wrapText="1"/>
      <protection locked="0"/>
    </xf>
    <xf numFmtId="0" fontId="14" fillId="25" borderId="33" xfId="0" applyFont="1" applyFill="1" applyBorder="1" applyAlignment="1" applyProtection="1">
      <alignment horizontal="center" wrapText="1"/>
      <protection locked="0"/>
    </xf>
    <xf numFmtId="0" fontId="14" fillId="25" borderId="78" xfId="0" applyFont="1" applyFill="1" applyBorder="1" applyAlignment="1" applyProtection="1">
      <alignment horizontal="center" wrapText="1"/>
      <protection locked="0"/>
    </xf>
    <xf numFmtId="0" fontId="14" fillId="25" borderId="49" xfId="0" applyFont="1" applyFill="1" applyBorder="1" applyAlignment="1" applyProtection="1">
      <alignment horizontal="center" wrapText="1"/>
      <protection locked="0"/>
    </xf>
    <xf numFmtId="0" fontId="14" fillId="25" borderId="72" xfId="0" applyFont="1" applyFill="1" applyBorder="1" applyAlignment="1" applyProtection="1">
      <alignment horizontal="center" wrapText="1"/>
      <protection locked="0"/>
    </xf>
    <xf numFmtId="0" fontId="14" fillId="25" borderId="19" xfId="0" applyFont="1" applyFill="1" applyBorder="1" applyAlignment="1" applyProtection="1">
      <alignment horizontal="center" wrapText="1"/>
      <protection locked="0"/>
    </xf>
    <xf numFmtId="0" fontId="14" fillId="0" borderId="0" xfId="0" applyFont="1" applyAlignment="1" applyProtection="1">
      <alignment horizontal="left" vertical="center" wrapText="1" indent="4"/>
      <protection locked="0"/>
    </xf>
    <xf numFmtId="0" fontId="14" fillId="0" borderId="0" xfId="0" applyFont="1" applyAlignment="1" applyProtection="1">
      <alignment horizontal="left" vertical="top" wrapText="1"/>
      <protection locked="0"/>
    </xf>
    <xf numFmtId="0" fontId="41" fillId="29" borderId="0" xfId="0" applyFont="1" applyFill="1" applyAlignment="1" applyProtection="1">
      <alignment horizontal="center"/>
      <protection locked="0"/>
    </xf>
    <xf numFmtId="0" fontId="18" fillId="0" borderId="0" xfId="46" applyFont="1" applyFill="1" applyAlignment="1" applyProtection="1">
      <alignment horizontal="center" vertical="center"/>
      <protection locked="0"/>
    </xf>
    <xf numFmtId="0" fontId="14" fillId="0" borderId="0" xfId="46" applyFont="1" applyBorder="1" applyAlignment="1" applyProtection="1">
      <alignment horizontal="right" wrapText="1"/>
      <protection locked="0"/>
    </xf>
    <xf numFmtId="0" fontId="11" fillId="0" borderId="12" xfId="46" applyBorder="1" applyAlignment="1" applyProtection="1">
      <alignment wrapText="1"/>
      <protection locked="0"/>
    </xf>
    <xf numFmtId="0" fontId="14" fillId="0" borderId="12" xfId="46" applyFont="1" applyBorder="1" applyAlignment="1" applyProtection="1">
      <alignment horizontal="center" vertical="center"/>
      <protection locked="0"/>
    </xf>
    <xf numFmtId="0" fontId="11" fillId="29" borderId="0" xfId="46" applyFill="1" applyAlignment="1" applyProtection="1">
      <protection locked="0"/>
    </xf>
    <xf numFmtId="0" fontId="14" fillId="0" borderId="0" xfId="46" applyFont="1" applyAlignment="1" applyProtection="1">
      <alignment horizontal="center" vertical="center"/>
      <protection locked="0"/>
    </xf>
    <xf numFmtId="0" fontId="17" fillId="0" borderId="0" xfId="46" applyFont="1" applyBorder="1" applyAlignment="1" applyProtection="1">
      <alignment horizontal="left"/>
      <protection locked="0"/>
    </xf>
    <xf numFmtId="0" fontId="14" fillId="0" borderId="0" xfId="0" applyFont="1" applyAlignment="1" applyProtection="1">
      <alignment horizontal="center" vertical="center"/>
      <protection locked="0"/>
    </xf>
    <xf numFmtId="0" fontId="14" fillId="0" borderId="0" xfId="0" applyFont="1" applyFill="1" applyAlignment="1" applyProtection="1">
      <alignment horizontal="left" vertical="center" wrapText="1"/>
      <protection locked="0"/>
    </xf>
    <xf numFmtId="0" fontId="11" fillId="29" borderId="0" xfId="0" applyFont="1" applyFill="1" applyBorder="1" applyAlignment="1" applyProtection="1">
      <alignment horizontal="left" vertical="center" wrapText="1"/>
      <protection locked="0"/>
    </xf>
    <xf numFmtId="0" fontId="11" fillId="24" borderId="0" xfId="0" applyFont="1" applyFill="1" applyBorder="1" applyAlignment="1" applyProtection="1">
      <alignment horizontal="left" vertical="center" wrapText="1"/>
      <protection locked="0"/>
    </xf>
    <xf numFmtId="0" fontId="11" fillId="0" borderId="43" xfId="0" applyFont="1" applyBorder="1" applyAlignment="1" applyProtection="1">
      <alignment wrapText="1"/>
      <protection locked="0"/>
    </xf>
    <xf numFmtId="0" fontId="11" fillId="0" borderId="41" xfId="0" applyFont="1" applyBorder="1" applyAlignment="1" applyProtection="1">
      <alignment wrapText="1"/>
      <protection locked="0"/>
    </xf>
    <xf numFmtId="0" fontId="103" fillId="0" borderId="0" xfId="0" applyFont="1" applyFill="1" applyAlignment="1" applyProtection="1">
      <alignment horizontal="center" vertical="center"/>
      <protection locked="0"/>
    </xf>
    <xf numFmtId="9" fontId="11" fillId="29" borderId="29" xfId="42" applyFont="1" applyFill="1" applyBorder="1" applyAlignment="1" applyProtection="1">
      <alignment wrapText="1"/>
      <protection locked="0"/>
    </xf>
    <xf numFmtId="9" fontId="11" fillId="24" borderId="31" xfId="42" applyFont="1" applyFill="1" applyBorder="1" applyAlignment="1" applyProtection="1">
      <alignment wrapText="1"/>
      <protection locked="0"/>
    </xf>
    <xf numFmtId="10" fontId="11" fillId="0" borderId="43" xfId="42" applyNumberFormat="1" applyFont="1" applyBorder="1" applyAlignment="1" applyProtection="1">
      <alignment horizontal="center" vertical="center"/>
      <protection locked="0"/>
    </xf>
    <xf numFmtId="10" fontId="11" fillId="0" borderId="41" xfId="42" applyNumberFormat="1" applyFont="1" applyBorder="1" applyAlignment="1" applyProtection="1">
      <alignment horizontal="center" vertical="center"/>
      <protection locked="0"/>
    </xf>
    <xf numFmtId="0" fontId="17" fillId="0" borderId="0" xfId="0" applyFont="1" applyAlignment="1" applyProtection="1">
      <alignment horizontal="center"/>
    </xf>
    <xf numFmtId="0" fontId="0" fillId="0" borderId="32" xfId="0" applyFill="1" applyBorder="1" applyAlignment="1" applyProtection="1">
      <alignment horizontal="center"/>
    </xf>
    <xf numFmtId="0" fontId="0" fillId="0" borderId="24" xfId="0" applyFill="1" applyBorder="1" applyAlignment="1" applyProtection="1">
      <alignment horizontal="center"/>
    </xf>
    <xf numFmtId="0" fontId="0" fillId="0" borderId="27" xfId="0" applyFill="1" applyBorder="1" applyAlignment="1" applyProtection="1">
      <alignment horizontal="center"/>
    </xf>
    <xf numFmtId="0" fontId="0" fillId="0" borderId="10" xfId="0" applyFill="1" applyBorder="1" applyAlignment="1" applyProtection="1">
      <alignment horizontal="center"/>
    </xf>
    <xf numFmtId="0" fontId="14" fillId="0" borderId="78" xfId="0" applyFont="1" applyFill="1" applyBorder="1" applyAlignment="1" applyProtection="1">
      <alignment horizontal="center"/>
    </xf>
    <xf numFmtId="0" fontId="14" fillId="0" borderId="87" xfId="0" applyFont="1" applyFill="1" applyBorder="1" applyAlignment="1" applyProtection="1">
      <alignment horizontal="center"/>
    </xf>
    <xf numFmtId="0" fontId="14" fillId="0" borderId="49" xfId="0" applyFont="1" applyFill="1" applyBorder="1" applyAlignment="1" applyProtection="1">
      <alignment horizontal="center"/>
    </xf>
    <xf numFmtId="0" fontId="14" fillId="0" borderId="73" xfId="0" applyFont="1" applyFill="1" applyBorder="1" applyAlignment="1" applyProtection="1">
      <alignment horizontal="center" vertical="center" wrapText="1"/>
    </xf>
    <xf numFmtId="0" fontId="0" fillId="0" borderId="63" xfId="0" applyFill="1" applyBorder="1" applyAlignment="1" applyProtection="1">
      <alignment horizontal="center" vertical="center" wrapText="1"/>
    </xf>
    <xf numFmtId="0" fontId="39" fillId="27" borderId="74" xfId="0" applyFont="1" applyFill="1" applyBorder="1" applyAlignment="1" applyProtection="1">
      <alignment horizontal="left"/>
    </xf>
    <xf numFmtId="0" fontId="39" fillId="27" borderId="13" xfId="0" applyFont="1" applyFill="1" applyBorder="1" applyAlignment="1" applyProtection="1">
      <alignment horizontal="left"/>
    </xf>
    <xf numFmtId="0" fontId="39" fillId="27" borderId="50" xfId="0" applyFont="1" applyFill="1" applyBorder="1" applyAlignment="1" applyProtection="1">
      <alignment horizontal="left"/>
    </xf>
    <xf numFmtId="0" fontId="39" fillId="27" borderId="74" xfId="0" applyFont="1" applyFill="1" applyBorder="1" applyAlignment="1" applyProtection="1">
      <alignment horizontal="left" vertical="top" wrapText="1"/>
    </xf>
    <xf numFmtId="0" fontId="39" fillId="27" borderId="13" xfId="0" applyFont="1" applyFill="1" applyBorder="1" applyAlignment="1" applyProtection="1">
      <alignment horizontal="left" vertical="top" wrapText="1"/>
    </xf>
    <xf numFmtId="0" fontId="39" fillId="27" borderId="50" xfId="0" applyFont="1" applyFill="1" applyBorder="1" applyAlignment="1" applyProtection="1">
      <alignment horizontal="left" vertical="top" wrapText="1"/>
    </xf>
    <xf numFmtId="0" fontId="33" fillId="0" borderId="0" xfId="0" applyFont="1" applyAlignment="1" applyProtection="1">
      <alignment vertical="top" wrapText="1"/>
    </xf>
    <xf numFmtId="0" fontId="11" fillId="0" borderId="0" xfId="0" applyFont="1" applyAlignment="1" applyProtection="1">
      <alignment vertical="top" wrapText="1"/>
    </xf>
    <xf numFmtId="0" fontId="33" fillId="0" borderId="0" xfId="0" applyFont="1" applyAlignment="1" applyProtection="1">
      <alignment horizontal="left"/>
    </xf>
    <xf numFmtId="0" fontId="38" fillId="0" borderId="0" xfId="0" applyFont="1" applyAlignment="1" applyProtection="1">
      <alignment horizontal="left"/>
    </xf>
    <xf numFmtId="0" fontId="11" fillId="0" borderId="0" xfId="0" applyFont="1" applyAlignment="1" applyProtection="1">
      <alignment horizontal="left"/>
    </xf>
    <xf numFmtId="0" fontId="0" fillId="0" borderId="0" xfId="0" applyAlignment="1" applyProtection="1">
      <alignment vertical="top" wrapText="1"/>
      <protection locked="0"/>
    </xf>
    <xf numFmtId="0" fontId="11" fillId="0" borderId="0" xfId="0" applyFont="1" applyAlignment="1" applyProtection="1">
      <alignment wrapText="1"/>
      <protection locked="0"/>
    </xf>
    <xf numFmtId="0" fontId="0" fillId="0" borderId="0" xfId="0" applyAlignment="1" applyProtection="1">
      <alignment wrapText="1"/>
      <protection locked="0"/>
    </xf>
    <xf numFmtId="0" fontId="39" fillId="0" borderId="0" xfId="0" applyFont="1" applyAlignment="1" applyProtection="1">
      <alignment vertical="top" wrapText="1"/>
      <protection locked="0"/>
    </xf>
    <xf numFmtId="0" fontId="38" fillId="0" borderId="0" xfId="0" applyFont="1" applyAlignment="1" applyProtection="1">
      <alignment vertical="top" wrapText="1"/>
      <protection locked="0"/>
    </xf>
    <xf numFmtId="0" fontId="11" fillId="0" borderId="0" xfId="0" applyFont="1" applyAlignment="1" applyProtection="1">
      <alignment vertical="top" wrapText="1"/>
      <protection locked="0"/>
    </xf>
    <xf numFmtId="0" fontId="11" fillId="0" borderId="53" xfId="46" applyBorder="1" applyAlignment="1" applyProtection="1">
      <alignment horizontal="left" wrapText="1"/>
      <protection locked="0"/>
    </xf>
    <xf numFmtId="0" fontId="11" fillId="0" borderId="13" xfId="46" applyBorder="1" applyAlignment="1" applyProtection="1">
      <alignment horizontal="left" wrapText="1"/>
      <protection locked="0"/>
    </xf>
    <xf numFmtId="0" fontId="11" fillId="0" borderId="50" xfId="46" applyBorder="1" applyAlignment="1" applyProtection="1">
      <alignment horizontal="left" wrapText="1"/>
      <protection locked="0"/>
    </xf>
    <xf numFmtId="171" fontId="11" fillId="29" borderId="53" xfId="29" applyNumberFormat="1" applyFill="1" applyBorder="1" applyAlignment="1" applyProtection="1">
      <protection locked="0"/>
    </xf>
    <xf numFmtId="0" fontId="11" fillId="29" borderId="13" xfId="46" applyFill="1" applyBorder="1" applyAlignment="1" applyProtection="1">
      <protection locked="0"/>
    </xf>
    <xf numFmtId="0" fontId="11" fillId="29" borderId="50" xfId="46" applyFill="1" applyBorder="1" applyAlignment="1" applyProtection="1">
      <protection locked="0"/>
    </xf>
    <xf numFmtId="0" fontId="11" fillId="0" borderId="47" xfId="46" applyBorder="1" applyAlignment="1" applyProtection="1">
      <alignment horizontal="left" wrapText="1"/>
      <protection locked="0"/>
    </xf>
    <xf numFmtId="0" fontId="11" fillId="0" borderId="0" xfId="46" applyBorder="1" applyAlignment="1" applyProtection="1">
      <alignment horizontal="left" wrapText="1"/>
      <protection locked="0"/>
    </xf>
    <xf numFmtId="0" fontId="11" fillId="0" borderId="29" xfId="46" applyBorder="1" applyAlignment="1" applyProtection="1">
      <alignment horizontal="left" wrapText="1"/>
      <protection locked="0"/>
    </xf>
    <xf numFmtId="0" fontId="11" fillId="29" borderId="88" xfId="46" applyFill="1" applyBorder="1" applyAlignment="1" applyProtection="1">
      <alignment horizontal="left" wrapText="1"/>
      <protection locked="0"/>
    </xf>
    <xf numFmtId="0" fontId="11" fillId="29" borderId="82" xfId="46" applyFill="1" applyBorder="1" applyAlignment="1" applyProtection="1">
      <alignment horizontal="left" wrapText="1"/>
      <protection locked="0"/>
    </xf>
    <xf numFmtId="0" fontId="11" fillId="29" borderId="58" xfId="46" applyFill="1" applyBorder="1" applyAlignment="1" applyProtection="1">
      <alignment horizontal="left" wrapText="1"/>
      <protection locked="0"/>
    </xf>
    <xf numFmtId="171" fontId="11" fillId="29" borderId="88" xfId="29" applyNumberFormat="1" applyFill="1" applyBorder="1" applyAlignment="1" applyProtection="1">
      <protection locked="0"/>
    </xf>
    <xf numFmtId="0" fontId="11" fillId="29" borderId="82" xfId="46" applyFill="1" applyBorder="1" applyAlignment="1" applyProtection="1">
      <protection locked="0"/>
    </xf>
    <xf numFmtId="0" fontId="11" fillId="29" borderId="58" xfId="46" applyFill="1" applyBorder="1" applyAlignment="1" applyProtection="1">
      <protection locked="0"/>
    </xf>
    <xf numFmtId="0" fontId="14" fillId="0" borderId="60" xfId="46" applyFont="1" applyBorder="1" applyAlignment="1" applyProtection="1">
      <alignment horizontal="left"/>
      <protection locked="0"/>
    </xf>
    <xf numFmtId="0" fontId="14" fillId="0" borderId="106" xfId="46" applyFont="1" applyBorder="1" applyAlignment="1" applyProtection="1">
      <alignment horizontal="left"/>
      <protection locked="0"/>
    </xf>
    <xf numFmtId="0" fontId="14" fillId="0" borderId="107" xfId="46" applyFont="1" applyBorder="1" applyAlignment="1" applyProtection="1">
      <alignment horizontal="left"/>
      <protection locked="0"/>
    </xf>
    <xf numFmtId="171" fontId="11" fillId="29" borderId="60" xfId="29" applyNumberFormat="1" applyFill="1" applyBorder="1" applyAlignment="1" applyProtection="1">
      <protection locked="0"/>
    </xf>
    <xf numFmtId="0" fontId="11" fillId="29" borderId="106" xfId="46" applyFill="1" applyBorder="1" applyAlignment="1" applyProtection="1">
      <protection locked="0"/>
    </xf>
    <xf numFmtId="0" fontId="11" fillId="29" borderId="107" xfId="46" applyFill="1" applyBorder="1" applyAlignment="1" applyProtection="1">
      <protection locked="0"/>
    </xf>
    <xf numFmtId="0" fontId="11" fillId="0" borderId="88" xfId="46" applyBorder="1" applyAlignment="1" applyProtection="1">
      <alignment horizontal="left" wrapText="1"/>
      <protection locked="0"/>
    </xf>
    <xf numFmtId="0" fontId="11" fillId="0" borderId="82" xfId="46" applyBorder="1" applyAlignment="1" applyProtection="1">
      <alignment horizontal="left" wrapText="1"/>
      <protection locked="0"/>
    </xf>
    <xf numFmtId="0" fontId="11" fillId="0" borderId="58" xfId="46" applyBorder="1" applyAlignment="1" applyProtection="1">
      <alignment horizontal="left" wrapText="1"/>
      <protection locked="0"/>
    </xf>
    <xf numFmtId="0" fontId="14" fillId="0" borderId="53" xfId="46" applyFont="1" applyBorder="1" applyAlignment="1" applyProtection="1">
      <alignment horizontal="left" wrapText="1"/>
      <protection locked="0"/>
    </xf>
    <xf numFmtId="0" fontId="14" fillId="0" borderId="13" xfId="46" applyFont="1" applyBorder="1" applyAlignment="1" applyProtection="1">
      <alignment horizontal="left" wrapText="1"/>
      <protection locked="0"/>
    </xf>
    <xf numFmtId="0" fontId="14" fillId="0" borderId="50" xfId="46" applyFont="1" applyBorder="1" applyAlignment="1" applyProtection="1">
      <alignment horizontal="left" wrapText="1"/>
      <protection locked="0"/>
    </xf>
    <xf numFmtId="171" fontId="11" fillId="29" borderId="53" xfId="29" quotePrefix="1" applyNumberFormat="1" applyFill="1" applyBorder="1" applyAlignment="1" applyProtection="1">
      <protection locked="0"/>
    </xf>
    <xf numFmtId="0" fontId="11" fillId="0" borderId="52" xfId="46" applyFont="1" applyFill="1" applyBorder="1" applyAlignment="1" applyProtection="1">
      <alignment horizontal="left" vertical="center" wrapText="1"/>
      <protection locked="0"/>
    </xf>
    <xf numFmtId="0" fontId="11" fillId="0" borderId="12" xfId="46" applyFont="1" applyFill="1" applyBorder="1" applyAlignment="1" applyProtection="1">
      <alignment horizontal="left" vertical="center" wrapText="1"/>
      <protection locked="0"/>
    </xf>
    <xf numFmtId="0" fontId="11" fillId="0" borderId="54" xfId="46" applyFont="1" applyFill="1" applyBorder="1" applyAlignment="1" applyProtection="1">
      <alignment horizontal="left" vertical="center" wrapText="1"/>
      <protection locked="0"/>
    </xf>
    <xf numFmtId="171" fontId="11" fillId="29" borderId="13" xfId="29" applyNumberFormat="1" applyFill="1" applyBorder="1" applyAlignment="1" applyProtection="1">
      <protection locked="0"/>
    </xf>
    <xf numFmtId="0" fontId="11" fillId="0" borderId="51" xfId="46" applyBorder="1" applyAlignment="1" applyProtection="1">
      <alignment horizontal="left" wrapText="1"/>
      <protection locked="0"/>
    </xf>
    <xf numFmtId="0" fontId="11" fillId="0" borderId="119" xfId="46" applyBorder="1" applyAlignment="1" applyProtection="1">
      <alignment horizontal="left" wrapText="1"/>
      <protection locked="0"/>
    </xf>
    <xf numFmtId="0" fontId="11" fillId="0" borderId="55" xfId="46" applyBorder="1" applyAlignment="1" applyProtection="1">
      <alignment horizontal="left" wrapText="1"/>
      <protection locked="0"/>
    </xf>
    <xf numFmtId="171" fontId="11" fillId="0" borderId="51" xfId="29" applyNumberFormat="1" applyFill="1" applyBorder="1" applyAlignment="1" applyProtection="1">
      <protection locked="0"/>
    </xf>
    <xf numFmtId="0" fontId="11" fillId="0" borderId="119" xfId="46" applyFill="1" applyBorder="1" applyAlignment="1" applyProtection="1">
      <protection locked="0"/>
    </xf>
    <xf numFmtId="0" fontId="11" fillId="0" borderId="55" xfId="46" applyFill="1" applyBorder="1" applyAlignment="1" applyProtection="1">
      <protection locked="0"/>
    </xf>
    <xf numFmtId="0" fontId="11" fillId="0" borderId="127" xfId="46" applyBorder="1" applyAlignment="1" applyProtection="1">
      <alignment horizontal="left" wrapText="1"/>
      <protection locked="0"/>
    </xf>
    <xf numFmtId="0" fontId="11" fillId="0" borderId="128" xfId="46" applyBorder="1" applyAlignment="1" applyProtection="1">
      <alignment horizontal="left" wrapText="1"/>
      <protection locked="0"/>
    </xf>
    <xf numFmtId="0" fontId="11" fillId="0" borderId="129" xfId="46" applyBorder="1" applyAlignment="1" applyProtection="1">
      <alignment horizontal="left" wrapText="1"/>
      <protection locked="0"/>
    </xf>
    <xf numFmtId="0" fontId="11" fillId="0" borderId="47" xfId="46" applyFont="1" applyFill="1" applyBorder="1" applyAlignment="1" applyProtection="1">
      <alignment horizontal="left" vertical="center" wrapText="1"/>
      <protection locked="0"/>
    </xf>
    <xf numFmtId="0" fontId="11" fillId="0" borderId="0" xfId="46" applyFont="1" applyFill="1" applyBorder="1" applyAlignment="1" applyProtection="1">
      <alignment horizontal="left" vertical="center" wrapText="1"/>
      <protection locked="0"/>
    </xf>
    <xf numFmtId="0" fontId="11" fillId="0" borderId="29" xfId="46" applyFont="1" applyFill="1" applyBorder="1" applyAlignment="1" applyProtection="1">
      <alignment horizontal="left" vertical="center" wrapText="1"/>
      <protection locked="0"/>
    </xf>
    <xf numFmtId="171" fontId="11" fillId="29" borderId="52" xfId="29" applyNumberFormat="1" applyFill="1" applyBorder="1" applyAlignment="1" applyProtection="1">
      <protection locked="0"/>
    </xf>
    <xf numFmtId="0" fontId="11" fillId="29" borderId="12" xfId="46" applyFill="1" applyBorder="1" applyAlignment="1" applyProtection="1">
      <protection locked="0"/>
    </xf>
    <xf numFmtId="0" fontId="11" fillId="29" borderId="54" xfId="46" applyFill="1" applyBorder="1" applyAlignment="1" applyProtection="1">
      <protection locked="0"/>
    </xf>
    <xf numFmtId="0" fontId="11" fillId="0" borderId="88" xfId="46" applyFont="1" applyFill="1" applyBorder="1" applyAlignment="1" applyProtection="1">
      <alignment horizontal="left" vertical="center" wrapText="1"/>
      <protection locked="0"/>
    </xf>
    <xf numFmtId="0" fontId="11" fillId="0" borderId="82" xfId="46" applyFont="1" applyFill="1" applyBorder="1" applyAlignment="1" applyProtection="1">
      <alignment horizontal="left" vertical="center" wrapText="1"/>
      <protection locked="0"/>
    </xf>
    <xf numFmtId="0" fontId="11" fillId="0" borderId="58" xfId="46" applyFont="1" applyFill="1" applyBorder="1" applyAlignment="1" applyProtection="1">
      <alignment horizontal="left" vertical="center" wrapText="1"/>
      <protection locked="0"/>
    </xf>
    <xf numFmtId="0" fontId="11" fillId="0" borderId="53" xfId="46" applyFont="1" applyFill="1" applyBorder="1" applyAlignment="1" applyProtection="1">
      <alignment horizontal="left" vertical="center" wrapText="1"/>
      <protection locked="0"/>
    </xf>
    <xf numFmtId="0" fontId="11" fillId="0" borderId="13" xfId="46" applyFont="1" applyFill="1" applyBorder="1" applyAlignment="1" applyProtection="1">
      <alignment horizontal="left" vertical="center" wrapText="1"/>
      <protection locked="0"/>
    </xf>
    <xf numFmtId="0" fontId="11" fillId="0" borderId="50" xfId="46" applyFont="1" applyFill="1" applyBorder="1" applyAlignment="1" applyProtection="1">
      <alignment horizontal="left" vertical="center" wrapText="1"/>
      <protection locked="0"/>
    </xf>
    <xf numFmtId="0" fontId="14" fillId="0" borderId="70" xfId="46" applyFont="1" applyFill="1" applyBorder="1" applyAlignment="1" applyProtection="1">
      <alignment vertical="center" wrapText="1"/>
      <protection locked="0"/>
    </xf>
    <xf numFmtId="0" fontId="14" fillId="0" borderId="45" xfId="46" applyFont="1" applyFill="1" applyBorder="1" applyAlignment="1" applyProtection="1">
      <alignment vertical="center" wrapText="1"/>
      <protection locked="0"/>
    </xf>
    <xf numFmtId="0" fontId="14" fillId="0" borderId="0" xfId="46" applyFont="1" applyFill="1" applyBorder="1" applyAlignment="1" applyProtection="1">
      <alignment vertical="center" wrapText="1"/>
      <protection locked="0"/>
    </xf>
    <xf numFmtId="0" fontId="14" fillId="0" borderId="29" xfId="46" applyFont="1" applyFill="1" applyBorder="1" applyAlignment="1" applyProtection="1">
      <alignment vertical="center" wrapText="1"/>
      <protection locked="0"/>
    </xf>
    <xf numFmtId="0" fontId="14" fillId="0" borderId="46" xfId="46" applyFont="1" applyFill="1" applyBorder="1" applyAlignment="1" applyProtection="1">
      <alignment vertical="center" wrapText="1"/>
      <protection locked="0"/>
    </xf>
    <xf numFmtId="0" fontId="14" fillId="0" borderId="30" xfId="46" applyFont="1" applyFill="1" applyBorder="1" applyAlignment="1" applyProtection="1">
      <alignment vertical="center" wrapText="1"/>
      <protection locked="0"/>
    </xf>
    <xf numFmtId="0" fontId="14" fillId="0" borderId="31" xfId="46" applyFont="1" applyFill="1" applyBorder="1" applyAlignment="1" applyProtection="1">
      <alignment vertical="center" wrapText="1"/>
      <protection locked="0"/>
    </xf>
    <xf numFmtId="0" fontId="14" fillId="0" borderId="69" xfId="46" applyFont="1" applyFill="1" applyBorder="1" applyAlignment="1" applyProtection="1">
      <alignment horizontal="center"/>
      <protection locked="0"/>
    </xf>
    <xf numFmtId="0" fontId="11" fillId="0" borderId="70" xfId="46" applyFill="1" applyBorder="1" applyAlignment="1" applyProtection="1">
      <protection locked="0"/>
    </xf>
    <xf numFmtId="0" fontId="11" fillId="0" borderId="45" xfId="46" applyFill="1" applyBorder="1" applyAlignment="1" applyProtection="1">
      <protection locked="0"/>
    </xf>
    <xf numFmtId="0" fontId="14" fillId="0" borderId="47" xfId="46" applyFont="1" applyFill="1" applyBorder="1" applyAlignment="1" applyProtection="1">
      <alignment horizontal="center"/>
      <protection locked="0"/>
    </xf>
    <xf numFmtId="0" fontId="11" fillId="0" borderId="0" xfId="46" applyFill="1" applyBorder="1" applyAlignment="1" applyProtection="1">
      <protection locked="0"/>
    </xf>
    <xf numFmtId="0" fontId="11" fillId="0" borderId="29" xfId="46" applyFill="1" applyBorder="1" applyAlignment="1" applyProtection="1">
      <protection locked="0"/>
    </xf>
    <xf numFmtId="0" fontId="11" fillId="0" borderId="0" xfId="46" applyFont="1" applyAlignment="1" applyProtection="1">
      <alignment horizontal="center" wrapText="1"/>
      <protection locked="0"/>
    </xf>
    <xf numFmtId="0" fontId="11" fillId="29" borderId="0" xfId="46" applyFill="1" applyAlignment="1" applyProtection="1">
      <alignment horizontal="left" vertical="top"/>
      <protection locked="0"/>
    </xf>
    <xf numFmtId="0" fontId="11" fillId="0" borderId="0" xfId="46" applyFont="1" applyAlignment="1" applyProtection="1">
      <alignment vertical="top" wrapText="1"/>
      <protection locked="0"/>
    </xf>
    <xf numFmtId="0" fontId="14" fillId="0" borderId="46" xfId="46" applyFont="1" applyBorder="1" applyAlignment="1" applyProtection="1">
      <alignment horizontal="left" wrapText="1"/>
      <protection locked="0"/>
    </xf>
    <xf numFmtId="0" fontId="14" fillId="0" borderId="30" xfId="46" applyFont="1" applyBorder="1" applyAlignment="1" applyProtection="1">
      <alignment horizontal="left" wrapText="1"/>
      <protection locked="0"/>
    </xf>
    <xf numFmtId="0" fontId="14" fillId="0" borderId="39" xfId="46" applyFont="1" applyBorder="1" applyAlignment="1" applyProtection="1">
      <alignment horizontal="left" wrapText="1"/>
      <protection locked="0"/>
    </xf>
    <xf numFmtId="0" fontId="11" fillId="0" borderId="53" xfId="46" applyBorder="1" applyAlignment="1" applyProtection="1">
      <alignment horizontal="left" vertical="center" wrapText="1"/>
      <protection locked="0"/>
    </xf>
    <xf numFmtId="0" fontId="11" fillId="0" borderId="47" xfId="46" applyBorder="1" applyAlignment="1" applyProtection="1">
      <alignment horizontal="left" vertical="center" wrapText="1"/>
      <protection locked="0"/>
    </xf>
    <xf numFmtId="0" fontId="11" fillId="0" borderId="0" xfId="46" applyBorder="1" applyAlignment="1" applyProtection="1">
      <alignment horizontal="left" vertical="center" wrapText="1"/>
      <protection locked="0"/>
    </xf>
    <xf numFmtId="0" fontId="11" fillId="0" borderId="15" xfId="46" applyBorder="1" applyAlignment="1" applyProtection="1">
      <alignment horizontal="left" vertical="center" wrapText="1"/>
      <protection locked="0"/>
    </xf>
    <xf numFmtId="0" fontId="11" fillId="0" borderId="88" xfId="46" applyBorder="1" applyAlignment="1" applyProtection="1">
      <alignment horizontal="left" vertical="center" wrapText="1"/>
      <protection locked="0"/>
    </xf>
    <xf numFmtId="0" fontId="11" fillId="0" borderId="82" xfId="46" applyBorder="1" applyAlignment="1" applyProtection="1">
      <alignment horizontal="left" vertical="center" wrapText="1"/>
      <protection locked="0"/>
    </xf>
    <xf numFmtId="0" fontId="11" fillId="0" borderId="18" xfId="46" applyBorder="1" applyAlignment="1" applyProtection="1">
      <alignment horizontal="left" vertical="center" wrapText="1"/>
      <protection locked="0"/>
    </xf>
    <xf numFmtId="0" fontId="11" fillId="29" borderId="47" xfId="46" applyFill="1" applyBorder="1" applyAlignment="1" applyProtection="1">
      <alignment horizontal="left" wrapText="1"/>
      <protection locked="0"/>
    </xf>
    <xf numFmtId="0" fontId="11" fillId="29" borderId="0" xfId="46" applyFill="1" applyBorder="1" applyAlignment="1" applyProtection="1">
      <alignment horizontal="left" wrapText="1"/>
      <protection locked="0"/>
    </xf>
    <xf numFmtId="0" fontId="11" fillId="29" borderId="15" xfId="46" applyFill="1" applyBorder="1" applyAlignment="1" applyProtection="1">
      <alignment horizontal="left" wrapText="1"/>
      <protection locked="0"/>
    </xf>
    <xf numFmtId="0" fontId="11" fillId="29" borderId="18" xfId="46" applyFill="1" applyBorder="1" applyAlignment="1" applyProtection="1">
      <alignment horizontal="left" wrapText="1"/>
      <protection locked="0"/>
    </xf>
    <xf numFmtId="0" fontId="11" fillId="0" borderId="33" xfId="46" applyBorder="1" applyAlignment="1" applyProtection="1">
      <alignment horizontal="left" wrapText="1"/>
      <protection locked="0"/>
    </xf>
    <xf numFmtId="0" fontId="11" fillId="29" borderId="57" xfId="46" applyFill="1" applyBorder="1" applyAlignment="1" applyProtection="1">
      <alignment horizontal="left" wrapText="1"/>
      <protection locked="0"/>
    </xf>
    <xf numFmtId="0" fontId="11" fillId="29" borderId="14" xfId="46" applyFill="1" applyBorder="1" applyAlignment="1" applyProtection="1">
      <alignment horizontal="left" wrapText="1"/>
      <protection locked="0"/>
    </xf>
    <xf numFmtId="0" fontId="11" fillId="29" borderId="85" xfId="46" applyFill="1" applyBorder="1" applyAlignment="1" applyProtection="1">
      <alignment horizontal="left" wrapText="1"/>
      <protection locked="0"/>
    </xf>
    <xf numFmtId="0" fontId="14" fillId="64" borderId="72" xfId="46" applyFont="1" applyFill="1" applyBorder="1" applyAlignment="1" applyProtection="1">
      <alignment horizontal="center" vertical="center"/>
      <protection locked="0"/>
    </xf>
    <xf numFmtId="0" fontId="14" fillId="64" borderId="11" xfId="46" applyFont="1" applyFill="1" applyBorder="1" applyAlignment="1" applyProtection="1">
      <alignment horizontal="center" vertical="center"/>
      <protection locked="0"/>
    </xf>
    <xf numFmtId="0" fontId="14" fillId="64" borderId="43" xfId="46" applyFont="1" applyFill="1" applyBorder="1" applyAlignment="1" applyProtection="1">
      <alignment horizontal="center" vertical="center" wrapText="1"/>
      <protection locked="0"/>
    </xf>
    <xf numFmtId="0" fontId="11" fillId="64" borderId="40" xfId="46" applyFill="1" applyBorder="1" applyAlignment="1" applyProtection="1">
      <alignment horizontal="center" vertical="center" wrapText="1"/>
      <protection locked="0"/>
    </xf>
    <xf numFmtId="0" fontId="11" fillId="64" borderId="91" xfId="46" applyFill="1" applyBorder="1" applyAlignment="1" applyProtection="1">
      <alignment horizontal="center" vertical="center" wrapText="1"/>
      <protection locked="0"/>
    </xf>
    <xf numFmtId="0" fontId="14" fillId="0" borderId="32" xfId="46" applyFont="1" applyFill="1" applyBorder="1" applyAlignment="1" applyProtection="1">
      <alignment vertical="center" wrapText="1"/>
      <protection locked="0"/>
    </xf>
    <xf numFmtId="0" fontId="14" fillId="0" borderId="24" xfId="46" applyFont="1" applyFill="1" applyBorder="1" applyAlignment="1" applyProtection="1">
      <alignment vertical="center" wrapText="1"/>
      <protection locked="0"/>
    </xf>
    <xf numFmtId="0" fontId="14" fillId="0" borderId="27" xfId="46" applyFont="1" applyFill="1" applyBorder="1" applyAlignment="1" applyProtection="1">
      <alignment vertical="center" wrapText="1"/>
      <protection locked="0"/>
    </xf>
    <xf numFmtId="0" fontId="14" fillId="0" borderId="10" xfId="46" applyFont="1" applyFill="1" applyBorder="1" applyAlignment="1" applyProtection="1">
      <alignment vertical="center" wrapText="1"/>
      <protection locked="0"/>
    </xf>
    <xf numFmtId="0" fontId="14" fillId="64" borderId="45" xfId="46" applyFont="1" applyFill="1" applyBorder="1" applyAlignment="1" applyProtection="1">
      <alignment horizontal="center" vertical="center" wrapText="1"/>
      <protection locked="0"/>
    </xf>
    <xf numFmtId="0" fontId="14" fillId="64" borderId="29" xfId="46" applyFont="1" applyFill="1" applyBorder="1" applyAlignment="1" applyProtection="1">
      <alignment horizontal="center" vertical="center" wrapText="1"/>
      <protection locked="0"/>
    </xf>
    <xf numFmtId="0" fontId="14" fillId="64" borderId="54" xfId="46" applyFont="1" applyFill="1" applyBorder="1" applyAlignment="1" applyProtection="1">
      <alignment horizontal="center" vertical="center" wrapText="1"/>
      <protection locked="0"/>
    </xf>
    <xf numFmtId="0" fontId="14" fillId="64" borderId="70" xfId="46" applyFont="1" applyFill="1" applyBorder="1" applyAlignment="1" applyProtection="1">
      <alignment horizontal="center" vertical="center"/>
      <protection locked="0"/>
    </xf>
    <xf numFmtId="0" fontId="14" fillId="64" borderId="0" xfId="46" applyFont="1" applyFill="1" applyBorder="1" applyAlignment="1" applyProtection="1">
      <alignment horizontal="center" vertical="center"/>
      <protection locked="0"/>
    </xf>
    <xf numFmtId="0" fontId="14" fillId="64" borderId="45" xfId="46" applyFont="1" applyFill="1" applyBorder="1" applyAlignment="1" applyProtection="1">
      <alignment horizontal="center" wrapText="1"/>
      <protection locked="0"/>
    </xf>
    <xf numFmtId="0" fontId="14" fillId="64" borderId="29" xfId="46" applyFont="1" applyFill="1" applyBorder="1" applyAlignment="1" applyProtection="1">
      <alignment horizontal="center" wrapText="1"/>
      <protection locked="0"/>
    </xf>
    <xf numFmtId="0" fontId="14" fillId="64" borderId="31" xfId="46" applyFont="1" applyFill="1" applyBorder="1" applyAlignment="1" applyProtection="1">
      <alignment horizontal="center" wrapText="1"/>
      <protection locked="0"/>
    </xf>
    <xf numFmtId="0" fontId="136" fillId="67" borderId="105" xfId="0" applyFont="1" applyFill="1" applyBorder="1" applyAlignment="1" applyProtection="1">
      <alignment horizontal="center"/>
    </xf>
    <xf numFmtId="0" fontId="136" fillId="67" borderId="18" xfId="0" applyFont="1" applyFill="1" applyBorder="1" applyAlignment="1" applyProtection="1">
      <alignment horizontal="center"/>
    </xf>
    <xf numFmtId="0" fontId="136" fillId="67" borderId="109" xfId="0" applyFont="1" applyFill="1" applyBorder="1" applyAlignment="1" applyProtection="1">
      <alignment horizontal="center"/>
    </xf>
    <xf numFmtId="0" fontId="136" fillId="67" borderId="15" xfId="0" applyFont="1" applyFill="1" applyBorder="1" applyAlignment="1" applyProtection="1">
      <alignment horizontal="center"/>
    </xf>
    <xf numFmtId="0" fontId="136" fillId="67" borderId="76" xfId="0" applyFont="1" applyFill="1" applyBorder="1" applyAlignment="1" applyProtection="1">
      <alignment horizontal="center"/>
    </xf>
    <xf numFmtId="0" fontId="136" fillId="67" borderId="16" xfId="0" applyFont="1" applyFill="1" applyBorder="1" applyAlignment="1" applyProtection="1">
      <alignment horizontal="center"/>
    </xf>
    <xf numFmtId="1" fontId="131" fillId="84" borderId="10" xfId="0" applyNumberFormat="1" applyFont="1" applyFill="1" applyBorder="1" applyAlignment="1" applyProtection="1">
      <alignment horizontal="center"/>
      <protection locked="0"/>
    </xf>
    <xf numFmtId="0" fontId="131" fillId="67" borderId="105" xfId="0" applyFont="1" applyFill="1" applyBorder="1" applyAlignment="1" applyProtection="1">
      <alignment horizontal="center"/>
    </xf>
    <xf numFmtId="0" fontId="131" fillId="67" borderId="18" xfId="0" applyFont="1" applyFill="1" applyBorder="1" applyAlignment="1" applyProtection="1">
      <alignment horizontal="center"/>
    </xf>
    <xf numFmtId="0" fontId="131" fillId="67" borderId="109" xfId="0" applyFont="1" applyFill="1" applyBorder="1" applyAlignment="1" applyProtection="1">
      <alignment horizontal="center"/>
    </xf>
    <xf numFmtId="0" fontId="131" fillId="67" borderId="15" xfId="0" applyFont="1" applyFill="1" applyBorder="1" applyAlignment="1" applyProtection="1">
      <alignment horizontal="center"/>
    </xf>
    <xf numFmtId="0" fontId="131" fillId="67" borderId="76" xfId="0" applyFont="1" applyFill="1" applyBorder="1" applyAlignment="1" applyProtection="1">
      <alignment horizontal="center"/>
    </xf>
    <xf numFmtId="0" fontId="131" fillId="67" borderId="16" xfId="0" applyFont="1" applyFill="1" applyBorder="1" applyAlignment="1" applyProtection="1">
      <alignment horizontal="center"/>
    </xf>
    <xf numFmtId="195" fontId="131" fillId="0" borderId="10" xfId="0" applyNumberFormat="1" applyFont="1" applyFill="1" applyBorder="1" applyAlignment="1" applyProtection="1">
      <alignment horizontal="left" vertical="center"/>
    </xf>
    <xf numFmtId="1" fontId="131" fillId="84" borderId="177" xfId="0" applyNumberFormat="1" applyFont="1" applyFill="1" applyBorder="1" applyAlignment="1" applyProtection="1">
      <alignment horizontal="center"/>
      <protection locked="0"/>
    </xf>
    <xf numFmtId="1" fontId="131" fillId="84" borderId="178" xfId="0" applyNumberFormat="1" applyFont="1" applyFill="1" applyBorder="1" applyAlignment="1" applyProtection="1">
      <alignment horizontal="center"/>
      <protection locked="0"/>
    </xf>
    <xf numFmtId="0" fontId="135" fillId="0" borderId="10" xfId="0" applyFont="1" applyFill="1" applyBorder="1" applyAlignment="1" applyProtection="1">
      <alignment horizontal="left" vertical="center" wrapText="1"/>
    </xf>
    <xf numFmtId="0" fontId="139" fillId="0" borderId="10" xfId="0" applyFont="1" applyFill="1" applyBorder="1" applyAlignment="1" applyProtection="1">
      <alignment horizontal="left" vertical="center"/>
    </xf>
    <xf numFmtId="0" fontId="136" fillId="0" borderId="10" xfId="0" applyFont="1" applyFill="1" applyBorder="1" applyAlignment="1" applyProtection="1">
      <alignment horizontal="left" vertical="center" wrapText="1"/>
    </xf>
    <xf numFmtId="0" fontId="136" fillId="67" borderId="105" xfId="0" applyFont="1" applyFill="1" applyBorder="1" applyAlignment="1" applyProtection="1">
      <alignment horizontal="center" wrapText="1"/>
    </xf>
    <xf numFmtId="0" fontId="136" fillId="67" borderId="109" xfId="0" applyFont="1" applyFill="1" applyBorder="1" applyAlignment="1" applyProtection="1">
      <alignment horizontal="center" wrapText="1"/>
    </xf>
    <xf numFmtId="0" fontId="136" fillId="67" borderId="76" xfId="0" applyFont="1" applyFill="1" applyBorder="1" applyAlignment="1" applyProtection="1">
      <alignment horizontal="center" wrapText="1"/>
    </xf>
    <xf numFmtId="0" fontId="135" fillId="0" borderId="10" xfId="0" applyFont="1" applyFill="1" applyBorder="1" applyAlignment="1" applyProtection="1">
      <alignment horizontal="left" vertical="center"/>
    </xf>
    <xf numFmtId="196" fontId="136" fillId="29" borderId="173" xfId="138" applyNumberFormat="1" applyFont="1" applyFill="1" applyBorder="1" applyAlignment="1" applyProtection="1">
      <alignment horizontal="center" vertical="center" wrapText="1"/>
      <protection locked="0"/>
    </xf>
    <xf numFmtId="196" fontId="131" fillId="0" borderId="173" xfId="138" applyNumberFormat="1" applyFont="1" applyFill="1" applyBorder="1" applyAlignment="1" applyProtection="1">
      <alignment horizontal="center" vertical="center" wrapText="1"/>
    </xf>
    <xf numFmtId="10" fontId="137" fillId="0" borderId="173" xfId="139" applyNumberFormat="1" applyFont="1" applyFill="1" applyBorder="1" applyAlignment="1" applyProtection="1">
      <alignment horizontal="right"/>
    </xf>
    <xf numFmtId="168" fontId="14" fillId="0" borderId="32" xfId="0" applyNumberFormat="1" applyFont="1" applyFill="1" applyBorder="1" applyAlignment="1" applyProtection="1">
      <alignment horizontal="center"/>
    </xf>
    <xf numFmtId="168" fontId="14" fillId="0" borderId="61" xfId="0" applyNumberFormat="1" applyFont="1" applyFill="1" applyBorder="1" applyAlignment="1" applyProtection="1">
      <alignment horizontal="center"/>
    </xf>
    <xf numFmtId="0" fontId="132" fillId="0" borderId="0" xfId="0" applyFont="1" applyBorder="1" applyAlignment="1" applyProtection="1">
      <alignment horizontal="center" vertical="top"/>
    </xf>
    <xf numFmtId="0" fontId="16" fillId="0" borderId="86" xfId="0" applyFont="1" applyBorder="1" applyAlignment="1" applyProtection="1">
      <alignment horizontal="center"/>
    </xf>
    <xf numFmtId="0" fontId="16" fillId="0" borderId="64" xfId="0" applyFont="1" applyBorder="1" applyAlignment="1" applyProtection="1">
      <alignment horizontal="center"/>
    </xf>
    <xf numFmtId="0" fontId="16" fillId="0" borderId="22" xfId="0" applyFont="1" applyBorder="1" applyAlignment="1" applyProtection="1">
      <alignment horizontal="center"/>
    </xf>
    <xf numFmtId="0" fontId="14" fillId="0" borderId="43" xfId="0" applyFont="1" applyBorder="1" applyAlignment="1" applyProtection="1">
      <alignment horizontal="center" vertical="top"/>
    </xf>
    <xf numFmtId="0" fontId="14" fillId="0" borderId="41" xfId="0" applyFont="1" applyBorder="1" applyAlignment="1" applyProtection="1">
      <alignment horizontal="center" vertical="top"/>
    </xf>
    <xf numFmtId="0" fontId="131" fillId="0" borderId="170" xfId="138" applyNumberFormat="1" applyFont="1" applyFill="1" applyBorder="1" applyAlignment="1" applyProtection="1">
      <alignment horizontal="center" vertical="center"/>
    </xf>
    <xf numFmtId="197" fontId="135" fillId="64" borderId="181" xfId="0" applyNumberFormat="1" applyFont="1" applyFill="1" applyBorder="1" applyAlignment="1" applyProtection="1">
      <alignment horizontal="center"/>
    </xf>
    <xf numFmtId="197" fontId="135" fillId="64" borderId="176" xfId="0" applyNumberFormat="1" applyFont="1" applyFill="1" applyBorder="1" applyAlignment="1" applyProtection="1">
      <alignment horizontal="center"/>
    </xf>
    <xf numFmtId="195" fontId="131" fillId="0" borderId="171" xfId="138" applyNumberFormat="1" applyFont="1" applyFill="1" applyBorder="1" applyAlignment="1" applyProtection="1">
      <alignment horizontal="center" vertical="center" wrapText="1"/>
    </xf>
    <xf numFmtId="195" fontId="131" fillId="0" borderId="172" xfId="138" applyNumberFormat="1" applyFont="1" applyFill="1" applyBorder="1" applyAlignment="1" applyProtection="1">
      <alignment horizontal="center" vertical="center" wrapText="1"/>
    </xf>
    <xf numFmtId="0" fontId="135" fillId="0" borderId="86" xfId="0" applyFont="1" applyFill="1" applyBorder="1" applyAlignment="1" applyProtection="1">
      <alignment horizontal="left" vertical="center"/>
    </xf>
    <xf numFmtId="0" fontId="135" fillId="0" borderId="64" xfId="0" applyFont="1" applyFill="1" applyBorder="1" applyAlignment="1" applyProtection="1">
      <alignment horizontal="left" vertical="center"/>
    </xf>
    <xf numFmtId="0" fontId="135" fillId="0" borderId="23" xfId="0" applyFont="1" applyFill="1" applyBorder="1" applyAlignment="1" applyProtection="1">
      <alignment horizontal="left" vertical="center"/>
    </xf>
    <xf numFmtId="0" fontId="135" fillId="64" borderId="109" xfId="0" applyFont="1" applyFill="1" applyBorder="1" applyAlignment="1" applyProtection="1">
      <alignment horizontal="center" vertical="center"/>
    </xf>
    <xf numFmtId="0" fontId="135" fillId="64" borderId="15" xfId="0" applyFont="1" applyFill="1" applyBorder="1" applyAlignment="1" applyProtection="1">
      <alignment horizontal="center" vertical="center"/>
    </xf>
    <xf numFmtId="168" fontId="135" fillId="29" borderId="102" xfId="29" applyNumberFormat="1" applyFont="1" applyFill="1" applyBorder="1" applyAlignment="1" applyProtection="1">
      <alignment horizontal="center" vertical="center"/>
      <protection locked="0"/>
    </xf>
    <xf numFmtId="168" fontId="135" fillId="29" borderId="81" xfId="29" applyNumberFormat="1" applyFont="1" applyFill="1" applyBorder="1" applyAlignment="1" applyProtection="1">
      <alignment horizontal="center" vertical="center"/>
      <protection locked="0"/>
    </xf>
    <xf numFmtId="168" fontId="14" fillId="0" borderId="86" xfId="29" applyFont="1" applyFill="1" applyBorder="1" applyAlignment="1" applyProtection="1">
      <alignment horizontal="center"/>
    </xf>
    <xf numFmtId="168" fontId="14" fillId="0" borderId="22" xfId="29" applyFont="1" applyFill="1" applyBorder="1" applyAlignment="1" applyProtection="1">
      <alignment horizontal="center"/>
    </xf>
    <xf numFmtId="0" fontId="44" fillId="64" borderId="43" xfId="0" applyFont="1" applyFill="1" applyBorder="1" applyAlignment="1" applyProtection="1">
      <alignment horizontal="center" vertical="top"/>
    </xf>
    <xf numFmtId="0" fontId="44" fillId="64" borderId="41" xfId="0" applyFont="1" applyFill="1" applyBorder="1" applyAlignment="1" applyProtection="1">
      <alignment horizontal="center" vertical="top"/>
    </xf>
    <xf numFmtId="194" fontId="131" fillId="0" borderId="171" xfId="138" applyFont="1" applyFill="1" applyBorder="1" applyAlignment="1" applyProtection="1">
      <alignment horizontal="center" vertical="center" wrapText="1"/>
    </xf>
    <xf numFmtId="194" fontId="131" fillId="0" borderId="175" xfId="138" applyFont="1" applyFill="1" applyBorder="1" applyAlignment="1" applyProtection="1">
      <alignment horizontal="center" vertical="center" wrapText="1"/>
    </xf>
    <xf numFmtId="194" fontId="131" fillId="0" borderId="172" xfId="138" applyFont="1" applyFill="1" applyBorder="1" applyAlignment="1" applyProtection="1">
      <alignment horizontal="center" vertical="center" wrapText="1"/>
    </xf>
  </cellXfs>
  <cellStyles count="140">
    <cellStyle name="$" xfId="103" xr:uid="{00000000-0005-0000-0000-000000000000}"/>
    <cellStyle name="$.00" xfId="104" xr:uid="{00000000-0005-0000-0000-000001000000}"/>
    <cellStyle name="$_9. Rev2Cost_GDPIPI" xfId="105" xr:uid="{00000000-0005-0000-0000-000002000000}"/>
    <cellStyle name="$_lists" xfId="106" xr:uid="{00000000-0005-0000-0000-000003000000}"/>
    <cellStyle name="$_lists_4. Current Monthly Fixed Charge" xfId="107" xr:uid="{00000000-0005-0000-0000-000004000000}"/>
    <cellStyle name="$_Sheet4" xfId="108" xr:uid="{00000000-0005-0000-0000-000005000000}"/>
    <cellStyle name="$M" xfId="109" xr:uid="{00000000-0005-0000-0000-000006000000}"/>
    <cellStyle name="$M.00" xfId="110" xr:uid="{00000000-0005-0000-0000-000007000000}"/>
    <cellStyle name="$M_9. Rev2Cost_GDPIPI" xfId="111" xr:uid="{00000000-0005-0000-0000-000008000000}"/>
    <cellStyle name="20% - Accent1" xfId="1" builtinId="30" customBuiltin="1"/>
    <cellStyle name="20% - Accent1 2" xfId="67" xr:uid="{00000000-0005-0000-0000-00000A000000}"/>
    <cellStyle name="20% - Accent2" xfId="2" builtinId="34" customBuiltin="1"/>
    <cellStyle name="20% - Accent2 2" xfId="71" xr:uid="{00000000-0005-0000-0000-00000C000000}"/>
    <cellStyle name="20% - Accent3" xfId="3" builtinId="38" customBuiltin="1"/>
    <cellStyle name="20% - Accent3 2" xfId="75" xr:uid="{00000000-0005-0000-0000-00000E000000}"/>
    <cellStyle name="20% - Accent4" xfId="4" builtinId="42" customBuiltin="1"/>
    <cellStyle name="20% - Accent4 2" xfId="79" xr:uid="{00000000-0005-0000-0000-000010000000}"/>
    <cellStyle name="20% - Accent5" xfId="5" builtinId="46" customBuiltin="1"/>
    <cellStyle name="20% - Accent5 2" xfId="83" xr:uid="{00000000-0005-0000-0000-000012000000}"/>
    <cellStyle name="20% - Accent6" xfId="6" builtinId="50" customBuiltin="1"/>
    <cellStyle name="20% - Accent6 2" xfId="87" xr:uid="{00000000-0005-0000-0000-000014000000}"/>
    <cellStyle name="40% - Accent1" xfId="7" builtinId="31" customBuiltin="1"/>
    <cellStyle name="40% - Accent1 2" xfId="68" xr:uid="{00000000-0005-0000-0000-000016000000}"/>
    <cellStyle name="40% - Accent2" xfId="8" builtinId="35" customBuiltin="1"/>
    <cellStyle name="40% - Accent2 2" xfId="72" xr:uid="{00000000-0005-0000-0000-000018000000}"/>
    <cellStyle name="40% - Accent3" xfId="9" builtinId="39" customBuiltin="1"/>
    <cellStyle name="40% - Accent3 2" xfId="76" xr:uid="{00000000-0005-0000-0000-00001A000000}"/>
    <cellStyle name="40% - Accent4" xfId="10" builtinId="43" customBuiltin="1"/>
    <cellStyle name="40% - Accent4 2" xfId="80" xr:uid="{00000000-0005-0000-0000-00001C000000}"/>
    <cellStyle name="40% - Accent5" xfId="11" builtinId="47" customBuiltin="1"/>
    <cellStyle name="40% - Accent5 2" xfId="84" xr:uid="{00000000-0005-0000-0000-00001E000000}"/>
    <cellStyle name="40% - Accent6" xfId="12" builtinId="51" customBuiltin="1"/>
    <cellStyle name="40% - Accent6 2" xfId="88" xr:uid="{00000000-0005-0000-0000-000020000000}"/>
    <cellStyle name="60% - Accent1" xfId="13" builtinId="32" customBuiltin="1"/>
    <cellStyle name="60% - Accent1 2" xfId="69" xr:uid="{00000000-0005-0000-0000-000022000000}"/>
    <cellStyle name="60% - Accent2" xfId="14" builtinId="36" customBuiltin="1"/>
    <cellStyle name="60% - Accent2 2" xfId="73" xr:uid="{00000000-0005-0000-0000-000024000000}"/>
    <cellStyle name="60% - Accent3" xfId="15" builtinId="40" customBuiltin="1"/>
    <cellStyle name="60% - Accent3 2" xfId="77" xr:uid="{00000000-0005-0000-0000-000026000000}"/>
    <cellStyle name="60% - Accent4" xfId="16" builtinId="44" customBuiltin="1"/>
    <cellStyle name="60% - Accent4 2" xfId="81" xr:uid="{00000000-0005-0000-0000-000028000000}"/>
    <cellStyle name="60% - Accent5" xfId="17" builtinId="48" customBuiltin="1"/>
    <cellStyle name="60% - Accent5 2" xfId="85" xr:uid="{00000000-0005-0000-0000-00002A000000}"/>
    <cellStyle name="60% - Accent6" xfId="18" builtinId="52" customBuiltin="1"/>
    <cellStyle name="60% - Accent6 2" xfId="89" xr:uid="{00000000-0005-0000-0000-00002C000000}"/>
    <cellStyle name="Accent1" xfId="19" builtinId="29" customBuiltin="1"/>
    <cellStyle name="Accent1 2" xfId="66" xr:uid="{00000000-0005-0000-0000-00002E000000}"/>
    <cellStyle name="Accent2" xfId="20" builtinId="33" customBuiltin="1"/>
    <cellStyle name="Accent2 2" xfId="70" xr:uid="{00000000-0005-0000-0000-000030000000}"/>
    <cellStyle name="Accent3" xfId="21" builtinId="37" customBuiltin="1"/>
    <cellStyle name="Accent3 2" xfId="74" xr:uid="{00000000-0005-0000-0000-000032000000}"/>
    <cellStyle name="Accent4" xfId="22" builtinId="41" customBuiltin="1"/>
    <cellStyle name="Accent4 2" xfId="78" xr:uid="{00000000-0005-0000-0000-000034000000}"/>
    <cellStyle name="Accent5" xfId="23" builtinId="45" customBuiltin="1"/>
    <cellStyle name="Accent5 2" xfId="82" xr:uid="{00000000-0005-0000-0000-000036000000}"/>
    <cellStyle name="Accent6" xfId="24" builtinId="49" customBuiltin="1"/>
    <cellStyle name="Accent6 2" xfId="86" xr:uid="{00000000-0005-0000-0000-000038000000}"/>
    <cellStyle name="Bad" xfId="25" builtinId="27" customBuiltin="1"/>
    <cellStyle name="Bad 2" xfId="55" xr:uid="{00000000-0005-0000-0000-00003A000000}"/>
    <cellStyle name="Calculation" xfId="26" builtinId="22" customBuiltin="1"/>
    <cellStyle name="Calculation 2" xfId="59" xr:uid="{00000000-0005-0000-0000-00003C000000}"/>
    <cellStyle name="Check Cell" xfId="27" builtinId="23" customBuiltin="1"/>
    <cellStyle name="Check Cell 2" xfId="61" xr:uid="{00000000-0005-0000-0000-00003E000000}"/>
    <cellStyle name="Comma" xfId="28" builtinId="3"/>
    <cellStyle name="Comma 2" xfId="91" xr:uid="{00000000-0005-0000-0000-000040000000}"/>
    <cellStyle name="Comma 3" xfId="94" xr:uid="{00000000-0005-0000-0000-000041000000}"/>
    <cellStyle name="Comma 3 2" xfId="127" xr:uid="{00000000-0005-0000-0000-000042000000}"/>
    <cellStyle name="Comma 3 2 2" xfId="131" xr:uid="{00000000-0005-0000-0000-000043000000}"/>
    <cellStyle name="Comma 4" xfId="102" xr:uid="{00000000-0005-0000-0000-000044000000}"/>
    <cellStyle name="Comma 5" xfId="135" xr:uid="{00000000-0005-0000-0000-000045000000}"/>
    <cellStyle name="Comma 6" xfId="138" xr:uid="{00000000-0005-0000-0000-000046000000}"/>
    <cellStyle name="Comma0" xfId="112" xr:uid="{00000000-0005-0000-0000-000047000000}"/>
    <cellStyle name="Currency" xfId="29" builtinId="4"/>
    <cellStyle name="Currency 2" xfId="101" xr:uid="{00000000-0005-0000-0000-000049000000}"/>
    <cellStyle name="Currency 2 2" xfId="137" xr:uid="{00000000-0005-0000-0000-00004A000000}"/>
    <cellStyle name="Currency 3" xfId="129" xr:uid="{00000000-0005-0000-0000-00004B000000}"/>
    <cellStyle name="Currency 4" xfId="134" xr:uid="{00000000-0005-0000-0000-00004C000000}"/>
    <cellStyle name="Currency0" xfId="113" xr:uid="{00000000-0005-0000-0000-00004D000000}"/>
    <cellStyle name="Date" xfId="114" xr:uid="{00000000-0005-0000-0000-00004E000000}"/>
    <cellStyle name="Explanatory Text" xfId="30" builtinId="53" customBuiltin="1"/>
    <cellStyle name="Explanatory Text 2" xfId="64" xr:uid="{00000000-0005-0000-0000-000050000000}"/>
    <cellStyle name="Fixed" xfId="115" xr:uid="{00000000-0005-0000-0000-000051000000}"/>
    <cellStyle name="Good" xfId="31" builtinId="26" customBuiltin="1"/>
    <cellStyle name="Good 2" xfId="54" xr:uid="{00000000-0005-0000-0000-000053000000}"/>
    <cellStyle name="Grey" xfId="116" xr:uid="{00000000-0005-0000-0000-000054000000}"/>
    <cellStyle name="Heading 1" xfId="32" builtinId="16" customBuiltin="1"/>
    <cellStyle name="Heading 1 2" xfId="50" xr:uid="{00000000-0005-0000-0000-000056000000}"/>
    <cellStyle name="Heading 2" xfId="33" builtinId="17" customBuiltin="1"/>
    <cellStyle name="Heading 2 2" xfId="49" xr:uid="{00000000-0005-0000-0000-000058000000}"/>
    <cellStyle name="Heading 3" xfId="34" builtinId="18" customBuiltin="1"/>
    <cellStyle name="Heading 3 2" xfId="52" xr:uid="{00000000-0005-0000-0000-00005A000000}"/>
    <cellStyle name="Heading 4" xfId="35" builtinId="19" customBuiltin="1"/>
    <cellStyle name="Heading 4 2" xfId="53" xr:uid="{00000000-0005-0000-0000-00005C000000}"/>
    <cellStyle name="Hyperlink" xfId="36" builtinId="8"/>
    <cellStyle name="Input" xfId="37" builtinId="20" customBuiltin="1"/>
    <cellStyle name="Input [yellow]" xfId="117" xr:uid="{00000000-0005-0000-0000-00005F000000}"/>
    <cellStyle name="Input 2" xfId="57" xr:uid="{00000000-0005-0000-0000-000060000000}"/>
    <cellStyle name="Linked Cell" xfId="38" builtinId="24" customBuiltin="1"/>
    <cellStyle name="Linked Cell 2" xfId="60" xr:uid="{00000000-0005-0000-0000-000062000000}"/>
    <cellStyle name="M" xfId="118" xr:uid="{00000000-0005-0000-0000-000063000000}"/>
    <cellStyle name="M.00" xfId="119" xr:uid="{00000000-0005-0000-0000-000064000000}"/>
    <cellStyle name="M_9. Rev2Cost_GDPIPI" xfId="120" xr:uid="{00000000-0005-0000-0000-000065000000}"/>
    <cellStyle name="M_lists" xfId="121" xr:uid="{00000000-0005-0000-0000-000066000000}"/>
    <cellStyle name="M_lists_4. Current Monthly Fixed Charge" xfId="122" xr:uid="{00000000-0005-0000-0000-000067000000}"/>
    <cellStyle name="M_Sheet4" xfId="123" xr:uid="{00000000-0005-0000-0000-000068000000}"/>
    <cellStyle name="Neutral" xfId="39" builtinId="28" customBuiltin="1"/>
    <cellStyle name="Neutral 2" xfId="56" xr:uid="{00000000-0005-0000-0000-00006A000000}"/>
    <cellStyle name="Normal" xfId="0" builtinId="0"/>
    <cellStyle name="Normal - Style1" xfId="124" xr:uid="{00000000-0005-0000-0000-00006C000000}"/>
    <cellStyle name="Normal 2" xfId="46" xr:uid="{00000000-0005-0000-0000-00006D000000}"/>
    <cellStyle name="Normal 3" xfId="51" xr:uid="{00000000-0005-0000-0000-00006E000000}"/>
    <cellStyle name="Normal 4" xfId="90" xr:uid="{00000000-0005-0000-0000-00006F000000}"/>
    <cellStyle name="Normal 5" xfId="93" xr:uid="{00000000-0005-0000-0000-000070000000}"/>
    <cellStyle name="Normal 5 2" xfId="126" xr:uid="{00000000-0005-0000-0000-000071000000}"/>
    <cellStyle name="Normal 5 2 2" xfId="130" xr:uid="{00000000-0005-0000-0000-000072000000}"/>
    <cellStyle name="Normal 6" xfId="99" xr:uid="{00000000-0005-0000-0000-000073000000}"/>
    <cellStyle name="Normal 7" xfId="133" xr:uid="{00000000-0005-0000-0000-000074000000}"/>
    <cellStyle name="Normal_PPE Deferral Account Schedule for 2013 MIFRS CoS applications (2)" xfId="47" xr:uid="{00000000-0005-0000-0000-000075000000}"/>
    <cellStyle name="Normal_Service Quality" xfId="96" xr:uid="{00000000-0005-0000-0000-000076000000}"/>
    <cellStyle name="Normal_Sheet2" xfId="97" xr:uid="{00000000-0005-0000-0000-000077000000}"/>
    <cellStyle name="Normal_Sheet3" xfId="98" xr:uid="{00000000-0005-0000-0000-000078000000}"/>
    <cellStyle name="Note" xfId="40" builtinId="10" customBuiltin="1"/>
    <cellStyle name="Note 2" xfId="63" xr:uid="{00000000-0005-0000-0000-00007A000000}"/>
    <cellStyle name="Output" xfId="41" builtinId="21" customBuiltin="1"/>
    <cellStyle name="Output 2" xfId="58" xr:uid="{00000000-0005-0000-0000-00007C000000}"/>
    <cellStyle name="Percent" xfId="42" builtinId="5"/>
    <cellStyle name="Percent [2]" xfId="125" xr:uid="{00000000-0005-0000-0000-00007E000000}"/>
    <cellStyle name="Percent 2" xfId="92" xr:uid="{00000000-0005-0000-0000-00007F000000}"/>
    <cellStyle name="Percent 3" xfId="95" xr:uid="{00000000-0005-0000-0000-000080000000}"/>
    <cellStyle name="Percent 3 2" xfId="128" xr:uid="{00000000-0005-0000-0000-000081000000}"/>
    <cellStyle name="Percent 3 2 2" xfId="132" xr:uid="{00000000-0005-0000-0000-000082000000}"/>
    <cellStyle name="Percent 4" xfId="100" xr:uid="{00000000-0005-0000-0000-000083000000}"/>
    <cellStyle name="Percent 5" xfId="136" xr:uid="{00000000-0005-0000-0000-000084000000}"/>
    <cellStyle name="Percent 6" xfId="139" xr:uid="{00000000-0005-0000-0000-000085000000}"/>
    <cellStyle name="Title" xfId="43" builtinId="15" customBuiltin="1"/>
    <cellStyle name="Title 2" xfId="48" xr:uid="{00000000-0005-0000-0000-000087000000}"/>
    <cellStyle name="Total" xfId="44" builtinId="25" customBuiltin="1"/>
    <cellStyle name="Total 2" xfId="65" xr:uid="{00000000-0005-0000-0000-000089000000}"/>
    <cellStyle name="Warning Text" xfId="45" builtinId="11" customBuiltin="1"/>
    <cellStyle name="Warning Text 2" xfId="62" xr:uid="{00000000-0005-0000-0000-00008B000000}"/>
  </cellStyles>
  <dxfs count="319">
    <dxf>
      <font>
        <b/>
        <i val="0"/>
        <condense val="0"/>
        <extend val="0"/>
        <color auto="1"/>
      </font>
      <fill>
        <patternFill>
          <bgColor indexed="10"/>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0000"/>
        </patternFill>
      </fill>
    </dxf>
    <dxf>
      <font>
        <color rgb="FF000000"/>
      </font>
    </dxf>
    <dxf>
      <font>
        <color rgb="FFFF0000"/>
      </font>
    </dxf>
    <dxf>
      <font>
        <color theme="0"/>
      </font>
    </dxf>
  </dxfs>
  <tableStyles count="0" defaultTableStyle="TableStyleMedium2" defaultPivotStyle="PivotStyleLight16"/>
  <colors>
    <mruColors>
      <color rgb="FFFED2F1"/>
      <color rgb="FFCCFFCC"/>
      <color rgb="FFED05AB"/>
      <color rgb="FF00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1.xml"/><Relationship Id="rId68" Type="http://schemas.openxmlformats.org/officeDocument/2006/relationships/externalLink" Target="externalLinks/externalLink16.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externalLink" Target="externalLinks/externalLink6.xml"/><Relationship Id="rId66" Type="http://schemas.openxmlformats.org/officeDocument/2006/relationships/externalLink" Target="externalLinks/externalLink14.xml"/><Relationship Id="rId74" Type="http://schemas.openxmlformats.org/officeDocument/2006/relationships/externalLink" Target="externalLinks/externalLink22.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64" Type="http://schemas.openxmlformats.org/officeDocument/2006/relationships/externalLink" Target="externalLinks/externalLink12.xml"/><Relationship Id="rId69" Type="http://schemas.openxmlformats.org/officeDocument/2006/relationships/externalLink" Target="externalLinks/externalLink17.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7.xml"/><Relationship Id="rId67" Type="http://schemas.openxmlformats.org/officeDocument/2006/relationships/externalLink" Target="externalLinks/externalLink1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externalLink" Target="externalLinks/externalLink10.xml"/><Relationship Id="rId70" Type="http://schemas.openxmlformats.org/officeDocument/2006/relationships/externalLink" Target="externalLinks/externalLink18.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8.xml"/><Relationship Id="rId65" Type="http://schemas.openxmlformats.org/officeDocument/2006/relationships/externalLink" Target="externalLinks/externalLink13.xml"/><Relationship Id="rId73" Type="http://schemas.openxmlformats.org/officeDocument/2006/relationships/externalLink" Target="externalLinks/externalLink21.xml"/><Relationship Id="rId78"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3.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9.xml"/><Relationship Id="rId2" Type="http://schemas.openxmlformats.org/officeDocument/2006/relationships/worksheet" Target="worksheets/sheet2.xml"/><Relationship Id="rId29" Type="http://schemas.openxmlformats.org/officeDocument/2006/relationships/worksheet" Target="worksheets/sheet2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8966</xdr:colOff>
      <xdr:row>0</xdr:row>
      <xdr:rowOff>0</xdr:rowOff>
    </xdr:from>
    <xdr:to>
      <xdr:col>10</xdr:col>
      <xdr:colOff>502025</xdr:colOff>
      <xdr:row>12</xdr:row>
      <xdr:rowOff>123261</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8966" y="0"/>
          <a:ext cx="8865534" cy="2066361"/>
          <a:chOff x="10970559" y="5479676"/>
          <a:chExt cx="8857420" cy="2005849"/>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359709</xdr:colOff>
      <xdr:row>9</xdr:row>
      <xdr:rowOff>113739</xdr:rowOff>
    </xdr:from>
    <xdr:to>
      <xdr:col>10</xdr:col>
      <xdr:colOff>580466</xdr:colOff>
      <xdr:row>11</xdr:row>
      <xdr:rowOff>37539</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697756" y="1646704"/>
          <a:ext cx="2506757"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2.6 (2020)</a:t>
          </a:r>
          <a:endParaRPr lang="en-CA" sz="1400"/>
        </a:p>
      </xdr:txBody>
    </xdr:sp>
    <xdr:clientData/>
  </xdr:twoCellAnchor>
  <xdr:twoCellAnchor>
    <xdr:from>
      <xdr:col>0</xdr:col>
      <xdr:colOff>66675</xdr:colOff>
      <xdr:row>60</xdr:row>
      <xdr:rowOff>9526</xdr:rowOff>
    </xdr:from>
    <xdr:to>
      <xdr:col>14</xdr:col>
      <xdr:colOff>600075</xdr:colOff>
      <xdr:row>67</xdr:row>
      <xdr:rowOff>114301</xdr:rowOff>
    </xdr:to>
    <xdr:sp macro="" textlink="">
      <xdr:nvSpPr>
        <xdr:cNvPr id="13" name="Text Box 50">
          <a:extLst>
            <a:ext uri="{FF2B5EF4-FFF2-40B4-BE49-F238E27FC236}">
              <a16:creationId xmlns:a16="http://schemas.microsoft.com/office/drawing/2014/main" id="{00000000-0008-0000-0000-00000D000000}"/>
            </a:ext>
          </a:extLst>
        </xdr:cNvPr>
        <xdr:cNvSpPr txBox="1">
          <a:spLocks noChangeArrowheads="1"/>
        </xdr:cNvSpPr>
      </xdr:nvSpPr>
      <xdr:spPr bwMode="auto">
        <a:xfrm>
          <a:off x="66675" y="11144251"/>
          <a:ext cx="9667875" cy="123825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5</xdr:col>
      <xdr:colOff>3247195</xdr:colOff>
      <xdr:row>12</xdr:row>
      <xdr:rowOff>24649</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28575"/>
          <a:ext cx="15058195" cy="2005849"/>
          <a:chOff x="10970559" y="5479676"/>
          <a:chExt cx="8857420" cy="2005849"/>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100-00000E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7</xdr:row>
      <xdr:rowOff>0</xdr:rowOff>
    </xdr:from>
    <xdr:to>
      <xdr:col>6</xdr:col>
      <xdr:colOff>495300</xdr:colOff>
      <xdr:row>38</xdr:row>
      <xdr:rowOff>114300</xdr:rowOff>
    </xdr:to>
    <xdr:pic>
      <xdr:nvPicPr>
        <xdr:cNvPr id="4098" name="Picture 1">
          <a:extLst>
            <a:ext uri="{FF2B5EF4-FFF2-40B4-BE49-F238E27FC236}">
              <a16:creationId xmlns:a16="http://schemas.microsoft.com/office/drawing/2014/main" id="{00000000-0008-0000-0200-00000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752600"/>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14</xdr:col>
      <xdr:colOff>403860</xdr:colOff>
      <xdr:row>55</xdr:row>
      <xdr:rowOff>129540</xdr:rowOff>
    </xdr:to>
    <xdr:sp macro="" textlink="">
      <xdr:nvSpPr>
        <xdr:cNvPr id="317441" name="Object 1" hidden="1">
          <a:extLst>
            <a:ext uri="{63B3BB69-23CF-44E3-9099-C40C66FF867C}">
              <a14:compatExt xmlns:a14="http://schemas.microsoft.com/office/drawing/2010/main" spid="_x0000_s317441"/>
            </a:ext>
            <a:ext uri="{FF2B5EF4-FFF2-40B4-BE49-F238E27FC236}">
              <a16:creationId xmlns:a16="http://schemas.microsoft.com/office/drawing/2014/main" id="{00000000-0008-0000-0300-000001D804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1</xdr:col>
          <xdr:colOff>257175</xdr:colOff>
          <xdr:row>6</xdr:row>
          <xdr:rowOff>133350</xdr:rowOff>
        </xdr:from>
        <xdr:to>
          <xdr:col>11</xdr:col>
          <xdr:colOff>161925</xdr:colOff>
          <xdr:row>54</xdr:row>
          <xdr:rowOff>38100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112644</xdr:colOff>
      <xdr:row>10</xdr:row>
      <xdr:rowOff>1</xdr:rowOff>
    </xdr:from>
    <xdr:to>
      <xdr:col>1</xdr:col>
      <xdr:colOff>295275</xdr:colOff>
      <xdr:row>18</xdr:row>
      <xdr:rowOff>1</xdr:rowOff>
    </xdr:to>
    <xdr:sp macro="" textlink="">
      <xdr:nvSpPr>
        <xdr:cNvPr id="2" name="Right Brace 1">
          <a:extLst>
            <a:ext uri="{FF2B5EF4-FFF2-40B4-BE49-F238E27FC236}">
              <a16:creationId xmlns:a16="http://schemas.microsoft.com/office/drawing/2014/main" id="{00000000-0008-0000-0900-000002000000}"/>
            </a:ext>
          </a:extLst>
        </xdr:cNvPr>
        <xdr:cNvSpPr/>
      </xdr:nvSpPr>
      <xdr:spPr>
        <a:xfrm>
          <a:off x="1106557" y="3140766"/>
          <a:ext cx="182631" cy="1490870"/>
        </a:xfrm>
        <a:prstGeom prst="rightBrace">
          <a:avLst>
            <a:gd name="adj1" fmla="val 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14</xdr:row>
          <xdr:rowOff>285750</xdr:rowOff>
        </xdr:from>
        <xdr:to>
          <xdr:col>1</xdr:col>
          <xdr:colOff>638175</xdr:colOff>
          <xdr:row>14</xdr:row>
          <xdr:rowOff>400050</xdr:rowOff>
        </xdr:to>
        <xdr:sp macro="" textlink="">
          <xdr:nvSpPr>
            <xdr:cNvPr id="271361" name="Check Box 1" hidden="1">
              <a:extLst>
                <a:ext uri="{63B3BB69-23CF-44E3-9099-C40C66FF867C}">
                  <a14:compatExt spid="_x0000_s271361"/>
                </a:ext>
                <a:ext uri="{FF2B5EF4-FFF2-40B4-BE49-F238E27FC236}">
                  <a16:creationId xmlns:a16="http://schemas.microsoft.com/office/drawing/2014/main" id="{00000000-0008-0000-0C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16</xdr:row>
          <xdr:rowOff>257175</xdr:rowOff>
        </xdr:from>
        <xdr:to>
          <xdr:col>1</xdr:col>
          <xdr:colOff>590550</xdr:colOff>
          <xdr:row>16</xdr:row>
          <xdr:rowOff>400050</xdr:rowOff>
        </xdr:to>
        <xdr:sp macro="" textlink="">
          <xdr:nvSpPr>
            <xdr:cNvPr id="271362" name="Check Box 2" hidden="1">
              <a:extLst>
                <a:ext uri="{63B3BB69-23CF-44E3-9099-C40C66FF867C}">
                  <a14:compatExt spid="_x0000_s271362"/>
                </a:ext>
                <a:ext uri="{FF2B5EF4-FFF2-40B4-BE49-F238E27FC236}">
                  <a16:creationId xmlns:a16="http://schemas.microsoft.com/office/drawing/2014/main" id="{00000000-0008-0000-0C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257175</xdr:rowOff>
        </xdr:from>
        <xdr:to>
          <xdr:col>1</xdr:col>
          <xdr:colOff>552450</xdr:colOff>
          <xdr:row>15</xdr:row>
          <xdr:rowOff>371475</xdr:rowOff>
        </xdr:to>
        <xdr:sp macro="" textlink="">
          <xdr:nvSpPr>
            <xdr:cNvPr id="271363" name="Check Box 3" hidden="1">
              <a:extLst>
                <a:ext uri="{63B3BB69-23CF-44E3-9099-C40C66FF867C}">
                  <a14:compatExt spid="_x0000_s271363"/>
                </a:ext>
                <a:ext uri="{FF2B5EF4-FFF2-40B4-BE49-F238E27FC236}">
                  <a16:creationId xmlns:a16="http://schemas.microsoft.com/office/drawing/2014/main" id="{00000000-0008-0000-0C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17</xdr:row>
          <xdr:rowOff>257175</xdr:rowOff>
        </xdr:from>
        <xdr:to>
          <xdr:col>1</xdr:col>
          <xdr:colOff>590550</xdr:colOff>
          <xdr:row>17</xdr:row>
          <xdr:rowOff>400050</xdr:rowOff>
        </xdr:to>
        <xdr:sp macro="" textlink="">
          <xdr:nvSpPr>
            <xdr:cNvPr id="271364" name="Check Box 4" hidden="1">
              <a:extLst>
                <a:ext uri="{63B3BB69-23CF-44E3-9099-C40C66FF867C}">
                  <a14:compatExt spid="_x0000_s271364"/>
                </a:ext>
                <a:ext uri="{FF2B5EF4-FFF2-40B4-BE49-F238E27FC236}">
                  <a16:creationId xmlns:a16="http://schemas.microsoft.com/office/drawing/2014/main" id="{00000000-0008-0000-0C00-000004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2LI0QYVT\Recent%20Drafts\Filing_Requirements_Chapter2_Appendices%20-%20Excel%20(May%203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FPS02\Groups\Applications%20Department\Department%20Applications\Rates\2020%20Electricity%20Rates\Cost%20of%20Service%20Models\Chapter%202%20Appendices\2020_Filing_Requirements_Chapter2_Appendices_main_BK.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ramoma\AppData\Local\Microsoft\Windows\Temporary%20Internet%20Files\Content.Outlook\UMPF09QB\2018_Filing_Requirements_Chapter2_Appendices_kcr_dk.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oeb/_Documents/2015EDR/2015%20Filing%20Requirements/Filing_Requirements_Chapter2_Appendices_for%202014_unprotected.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SXE2RETN\Appendices_remov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SXE2RETN\2018_Filing_Requirements_Chapter2_Appendices_kcr_dk.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nue\Documents\WPI%202018%20CoS\Models\WPI%20Oct%2020\WPI_Data%20Vault%20Oc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row r="28">
          <cell r="E28">
            <v>2013</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 Fix Asset Cont."/>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A_OldCGAAP_DepExp_2012"/>
      <sheetName val="App.2-CB_NewCGAAP_DepExp_2012"/>
      <sheetName val="App.2-CC_NewCGAAP_DepExp_2013"/>
      <sheetName val="App.2-CD NewCGAAP_DepExp_2014"/>
      <sheetName val="App.2-CE MIFRS_DepExp_2015"/>
      <sheetName val="App.2-CF_OldCGAAP_DepExp_2013"/>
      <sheetName val="App.2-CG_NewCGAAP_DepExp_2013"/>
      <sheetName val="App.2-CH_NewCGAAP_DepExp_2014"/>
      <sheetName val="App.2-CI MIFRS_DepExp_2015"/>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72" refreshError="1"/>
      <sheetData sheetId="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4 TB Var Analysis"/>
      <sheetName val="1.5 Cust Engagments"/>
      <sheetName val="Exhibit 2 -&gt;"/>
      <sheetName val="2.1. Rate Base Trend "/>
      <sheetName val="2.2 RateBase VarAnalysis"/>
      <sheetName val="2.3 Details of Capital Projects"/>
      <sheetName val="2.3 Summary of Capital Project"/>
      <sheetName val="2.4. Var Capital Expenditures"/>
      <sheetName val="2.5 DSP Input Tables"/>
      <sheetName val="FIXED ASSET CONTINUITY STMT -&gt;"/>
      <sheetName val="2.5 Service Life Comp"/>
      <sheetName val="2.7 Overhead"/>
      <sheetName val="2.6 Fixed Asset Cont Stmt"/>
      <sheetName val="DEPRECIATION EXPENSES -&gt;"/>
      <sheetName val="2.9 Depreciation Expenses"/>
      <sheetName val="2.10 DeprExp Bridge NewGAAP"/>
      <sheetName val="2.11 DeprExp Test NewGAAP"/>
      <sheetName val="2.12 Proposed REG Invest."/>
      <sheetName val="OEB App 2-CH"/>
      <sheetName val="2.13 SQI"/>
      <sheetName val="Exhibit 3 -&gt;"/>
      <sheetName val="OPERATING REVENUES -&gt;"/>
      <sheetName val="3.2 Other_Oper_Summary"/>
      <sheetName val="3.2 Other_Oper_Var Analysis"/>
      <sheetName val="PILs -&gt;"/>
      <sheetName val="3.3 PILs.TaxRate"/>
      <sheetName val="3.4 PILs.Sch 8 UCC"/>
      <sheetName val="3.5 PILs.Sch 10 CEC"/>
      <sheetName val="3.6 PILs Sch 7 LCF"/>
      <sheetName val="3.7 PILs.Reserves"/>
      <sheetName val="3.8 PILs.TxblIncome"/>
      <sheetName val="3.9 PILs.Final PILs"/>
      <sheetName val="3.2 Other_Oper_Work"/>
      <sheetName val="LOAD FORECAST -&gt;"/>
      <sheetName val="3.10 Load Forecast Inputs"/>
      <sheetName val="3.11 LoadForecast"/>
      <sheetName val="3.12 LF Analysis"/>
      <sheetName val="Exhibit 4 -&gt;"/>
      <sheetName val="OM&amp;A -&gt;"/>
      <sheetName val="4.1 OM&amp;A_Detailed_Analysis"/>
      <sheetName val="4.2 OM&amp;A_Summary_Analys"/>
      <sheetName val="4.3 OMA Programs"/>
      <sheetName val="4.5 Monthly Staff Lvl"/>
      <sheetName val="4.4 OM&amp;A_Cost _Drivers"/>
      <sheetName val="4.6 Yearly Staff Turnover"/>
      <sheetName val="4.7 Employee Cost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Suf (FS) "/>
      <sheetName val="6.3 Rev DefSuf (Rates)"/>
      <sheetName val="ROE Calcs -&gt;"/>
      <sheetName val="6.5 OEB Input Appendices"/>
      <sheetName val="6.6 OEB ROE Summary"/>
      <sheetName val="6.8 Over_Under-earning Drivers"/>
      <sheetName val="6.8 Scorecard"/>
      <sheetName val="Exhibit 8 -&gt;"/>
      <sheetName val="8.1 Loss Factors"/>
      <sheetName val="Rate Design"/>
      <sheetName val="A. Cost Allocation &amp; RevAllocn"/>
      <sheetName val="B. RateDesign"/>
      <sheetName val="C. Res Rate Design"/>
      <sheetName val="D. Rev_Reconciliation"/>
      <sheetName val="E. Revenues at Curr Rates"/>
      <sheetName val="F.Cost Allocation"/>
      <sheetName val="Intergrity Check"/>
      <sheetName val="Integrity Check"/>
      <sheetName val="Bill Impact"/>
      <sheetName val="Bill Impact - Res 10 Pct"/>
      <sheetName val="Bill Impact - Residential 500"/>
      <sheetName val="Bill Impact - Residential 750"/>
      <sheetName val="Bill Impact - Residential 1000"/>
      <sheetName val="Bill Impact - Residential 2000"/>
      <sheetName val="Bill Impact - GS&lt;50"/>
      <sheetName val="Bill Impact - GS&gt;50"/>
      <sheetName val="Bill Impact - USL"/>
      <sheetName val="Bill Impact - Sentinel Lights"/>
      <sheetName val="Bill Impact - StreetLight"/>
      <sheetName val="Intervener Tool"/>
      <sheetName val="Bill Impact Summary"/>
      <sheetName val="8.2 IFRS Transition Cost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row r="15">
          <cell r="E15">
            <v>0</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3:AA77"/>
  <sheetViews>
    <sheetView showGridLines="0" zoomScaleNormal="100" workbookViewId="0"/>
  </sheetViews>
  <sheetFormatPr defaultColWidth="9.140625" defaultRowHeight="12.75" x14ac:dyDescent="0.2"/>
  <cols>
    <col min="1" max="2" width="9.140625" style="1"/>
    <col min="3" max="3" width="13.5703125" style="1" customWidth="1"/>
    <col min="4" max="4" width="18.7109375" style="1" customWidth="1"/>
    <col min="5" max="5" width="14.28515625" style="1" bestFit="1" customWidth="1"/>
    <col min="6" max="8" width="9.140625" style="1"/>
    <col min="9" max="9" width="16.42578125" style="1" customWidth="1"/>
    <col min="10" max="10" width="16.85546875" style="1" customWidth="1"/>
    <col min="11" max="12" width="9.140625" style="1"/>
    <col min="13" max="13" width="3.7109375" style="1" customWidth="1"/>
    <col min="14" max="14" width="4.42578125" style="1" customWidth="1"/>
    <col min="15" max="25" width="9.140625" style="1"/>
    <col min="26" max="27" width="9.28515625" style="1" hidden="1" customWidth="1"/>
    <col min="28" max="31" width="9.28515625" style="1" customWidth="1"/>
    <col min="32" max="16384" width="9.140625" style="1"/>
  </cols>
  <sheetData>
    <row r="3" spans="4:27" x14ac:dyDescent="0.2">
      <c r="Z3" s="859">
        <v>1</v>
      </c>
      <c r="AA3" s="1451" t="s">
        <v>1344</v>
      </c>
    </row>
    <row r="4" spans="4:27" x14ac:dyDescent="0.2">
      <c r="Z4" s="859">
        <v>2</v>
      </c>
      <c r="AA4" s="1451" t="s">
        <v>1345</v>
      </c>
    </row>
    <row r="5" spans="4:27" x14ac:dyDescent="0.2">
      <c r="Z5" s="859">
        <v>3</v>
      </c>
      <c r="AA5" s="1451" t="s">
        <v>1346</v>
      </c>
    </row>
    <row r="6" spans="4:27" x14ac:dyDescent="0.2">
      <c r="Z6" s="859">
        <v>4</v>
      </c>
      <c r="AA6" s="1451" t="s">
        <v>1347</v>
      </c>
    </row>
    <row r="7" spans="4:27" x14ac:dyDescent="0.2">
      <c r="Z7" s="859">
        <v>5</v>
      </c>
      <c r="AA7" s="1451" t="s">
        <v>1379</v>
      </c>
    </row>
    <row r="8" spans="4:27" x14ac:dyDescent="0.2">
      <c r="Z8" s="859">
        <v>6</v>
      </c>
      <c r="AA8" s="1451" t="s">
        <v>282</v>
      </c>
    </row>
    <row r="9" spans="4:27" x14ac:dyDescent="0.2">
      <c r="Z9" s="859">
        <v>7</v>
      </c>
      <c r="AA9" s="1451" t="s">
        <v>283</v>
      </c>
    </row>
    <row r="10" spans="4:27" x14ac:dyDescent="0.2">
      <c r="Z10" s="859">
        <v>8</v>
      </c>
      <c r="AA10" s="1451" t="s">
        <v>653</v>
      </c>
    </row>
    <row r="11" spans="4:27" x14ac:dyDescent="0.2">
      <c r="Z11" s="859">
        <v>9</v>
      </c>
      <c r="AA11" s="1451" t="s">
        <v>284</v>
      </c>
    </row>
    <row r="12" spans="4:27" x14ac:dyDescent="0.2">
      <c r="Z12" s="859">
        <v>10</v>
      </c>
      <c r="AA12" s="1451" t="s">
        <v>285</v>
      </c>
    </row>
    <row r="13" spans="4:27" ht="13.5" thickBot="1" x14ac:dyDescent="0.25">
      <c r="Z13" s="859">
        <v>11</v>
      </c>
      <c r="AA13" s="1451" t="s">
        <v>1293</v>
      </c>
    </row>
    <row r="14" spans="4:27" ht="32.25" customHeight="1" thickTop="1" thickBot="1" x14ac:dyDescent="0.25">
      <c r="D14" s="13" t="s">
        <v>278</v>
      </c>
      <c r="E14" s="1841" t="s">
        <v>295</v>
      </c>
      <c r="F14" s="1842"/>
      <c r="G14" s="1842"/>
      <c r="H14" s="1842"/>
      <c r="I14" s="1842"/>
      <c r="J14" s="1842"/>
      <c r="K14" s="1843"/>
      <c r="Z14" s="859">
        <v>12</v>
      </c>
      <c r="AA14" s="1451" t="s">
        <v>286</v>
      </c>
    </row>
    <row r="15" spans="4:27" ht="13.5" thickBot="1" x14ac:dyDescent="0.25">
      <c r="D15" s="14"/>
      <c r="E15" s="4"/>
      <c r="F15" s="5"/>
      <c r="G15" s="4"/>
      <c r="H15" s="4"/>
      <c r="I15" s="4"/>
      <c r="Z15" s="859">
        <v>13</v>
      </c>
      <c r="AA15" s="1451" t="s">
        <v>287</v>
      </c>
    </row>
    <row r="16" spans="4:27" ht="16.5" thickTop="1" thickBot="1" x14ac:dyDescent="0.25">
      <c r="D16" s="15" t="s">
        <v>279</v>
      </c>
      <c r="E16" s="1844" t="s">
        <v>1387</v>
      </c>
      <c r="F16" s="1845"/>
      <c r="G16" s="1845"/>
      <c r="H16" s="1845"/>
      <c r="I16" s="1846"/>
      <c r="Z16" s="859">
        <v>14</v>
      </c>
      <c r="AA16" s="1451" t="s">
        <v>288</v>
      </c>
    </row>
    <row r="17" spans="1:27" ht="13.5" thickBot="1" x14ac:dyDescent="0.25">
      <c r="D17" s="10"/>
      <c r="Z17" s="859">
        <v>15</v>
      </c>
      <c r="AA17" s="1451" t="s">
        <v>289</v>
      </c>
    </row>
    <row r="18" spans="1:27" ht="16.5" thickTop="1" thickBot="1" x14ac:dyDescent="0.25">
      <c r="D18" s="15" t="s">
        <v>391</v>
      </c>
      <c r="E18" s="1838" t="s">
        <v>1724</v>
      </c>
      <c r="F18" s="1839"/>
      <c r="G18" s="1839"/>
      <c r="H18" s="1839"/>
      <c r="I18" s="1839"/>
      <c r="J18" s="1839"/>
      <c r="K18" s="1840"/>
      <c r="Z18" s="859">
        <v>16</v>
      </c>
      <c r="AA18" s="1451" t="s">
        <v>1380</v>
      </c>
    </row>
    <row r="19" spans="1:27" ht="14.25" thickTop="1" thickBot="1" x14ac:dyDescent="0.25">
      <c r="D19" s="14"/>
      <c r="E19" s="4"/>
      <c r="F19" s="5"/>
      <c r="G19" s="4"/>
      <c r="H19" s="4"/>
      <c r="I19" s="4"/>
      <c r="Z19" s="859">
        <v>17</v>
      </c>
      <c r="AA19" s="1451" t="s">
        <v>1381</v>
      </c>
    </row>
    <row r="20" spans="1:27" ht="16.5" thickTop="1" thickBot="1" x14ac:dyDescent="0.25">
      <c r="D20" s="13" t="s">
        <v>280</v>
      </c>
      <c r="E20" s="1844" t="s">
        <v>1472</v>
      </c>
      <c r="F20" s="1845"/>
      <c r="G20" s="1845"/>
      <c r="H20" s="1845"/>
      <c r="I20" s="1846"/>
      <c r="Z20" s="859">
        <v>18</v>
      </c>
      <c r="AA20" s="1451" t="s">
        <v>1348</v>
      </c>
    </row>
    <row r="21" spans="1:27" ht="13.5" thickBot="1" x14ac:dyDescent="0.25">
      <c r="D21" s="14"/>
      <c r="E21" s="4"/>
      <c r="F21" s="5"/>
      <c r="G21" s="4"/>
      <c r="H21" s="4"/>
      <c r="I21" s="4"/>
      <c r="Z21" s="859">
        <v>19</v>
      </c>
      <c r="AA21" s="1451" t="s">
        <v>1349</v>
      </c>
    </row>
    <row r="22" spans="1:27" ht="16.5" thickTop="1" thickBot="1" x14ac:dyDescent="0.25">
      <c r="D22" s="13" t="s">
        <v>281</v>
      </c>
      <c r="E22" s="1850" t="s">
        <v>1388</v>
      </c>
      <c r="F22" s="1851"/>
      <c r="G22" s="1851"/>
      <c r="H22" s="1851"/>
      <c r="I22" s="1852"/>
      <c r="Z22" s="859">
        <v>20</v>
      </c>
      <c r="AA22" s="1451" t="s">
        <v>1350</v>
      </c>
    </row>
    <row r="23" spans="1:27" ht="13.5" thickBot="1" x14ac:dyDescent="0.25">
      <c r="D23" s="14"/>
      <c r="E23" s="4"/>
      <c r="F23" s="5"/>
      <c r="G23" s="4"/>
      <c r="H23" s="4"/>
      <c r="I23" s="4"/>
      <c r="Z23" s="859">
        <v>21</v>
      </c>
      <c r="AA23" s="1451" t="s">
        <v>1351</v>
      </c>
    </row>
    <row r="24" spans="1:27" ht="16.5" thickTop="1" thickBot="1" x14ac:dyDescent="0.25">
      <c r="D24" s="15" t="s">
        <v>277</v>
      </c>
      <c r="E24" s="1832">
        <v>2020</v>
      </c>
      <c r="F24" s="1833"/>
      <c r="G24" s="1834"/>
      <c r="H24" s="4"/>
      <c r="I24" s="4"/>
      <c r="Z24" s="859">
        <v>22</v>
      </c>
      <c r="AA24" s="1451" t="s">
        <v>290</v>
      </c>
    </row>
    <row r="25" spans="1:27" ht="13.5" thickBot="1" x14ac:dyDescent="0.25">
      <c r="D25" s="10"/>
      <c r="Z25" s="859">
        <v>23</v>
      </c>
      <c r="AA25" s="1451" t="s">
        <v>1294</v>
      </c>
    </row>
    <row r="26" spans="1:27" ht="16.5" thickTop="1" thickBot="1" x14ac:dyDescent="0.25">
      <c r="D26" s="15" t="s">
        <v>276</v>
      </c>
      <c r="E26" s="1847">
        <f>IF(ISBLANK(E24), "", E24-1)</f>
        <v>2019</v>
      </c>
      <c r="F26" s="1848"/>
      <c r="G26" s="1849"/>
      <c r="Z26" s="859">
        <v>24</v>
      </c>
      <c r="AA26" s="1451" t="s">
        <v>1382</v>
      </c>
    </row>
    <row r="27" spans="1:27" ht="13.5" thickBot="1" x14ac:dyDescent="0.25">
      <c r="D27" s="861"/>
      <c r="Z27" s="859">
        <v>25</v>
      </c>
      <c r="AA27" s="1451" t="s">
        <v>1383</v>
      </c>
    </row>
    <row r="28" spans="1:27" ht="16.5" thickTop="1" thickBot="1" x14ac:dyDescent="0.25">
      <c r="D28" s="15" t="s">
        <v>275</v>
      </c>
      <c r="E28" s="1832">
        <v>2013</v>
      </c>
      <c r="F28" s="1833"/>
      <c r="G28" s="1834"/>
      <c r="Z28" s="859">
        <v>26</v>
      </c>
      <c r="AA28" s="1451" t="s">
        <v>291</v>
      </c>
    </row>
    <row r="29" spans="1:27" x14ac:dyDescent="0.2">
      <c r="Z29" s="859">
        <v>27</v>
      </c>
      <c r="AA29" s="1451" t="s">
        <v>292</v>
      </c>
    </row>
    <row r="30" spans="1:27" ht="14.25" customHeight="1" thickBot="1" x14ac:dyDescent="0.25">
      <c r="A30" s="1831" t="s">
        <v>397</v>
      </c>
      <c r="B30" s="1831"/>
      <c r="C30" s="1831"/>
      <c r="D30" s="1831"/>
      <c r="Z30" s="859">
        <v>28</v>
      </c>
      <c r="AA30" s="1451" t="s">
        <v>293</v>
      </c>
    </row>
    <row r="31" spans="1:27" ht="15.75" customHeight="1" thickTop="1" thickBot="1" x14ac:dyDescent="0.25">
      <c r="A31" s="1831"/>
      <c r="B31" s="1831"/>
      <c r="C31" s="1831"/>
      <c r="D31" s="1831"/>
      <c r="E31" s="1832" t="s">
        <v>92</v>
      </c>
      <c r="F31" s="1833"/>
      <c r="G31" s="1834"/>
      <c r="H31" s="862"/>
      <c r="I31" s="862"/>
      <c r="J31" s="862"/>
      <c r="Z31" s="859">
        <v>29</v>
      </c>
      <c r="AA31" s="1451" t="s">
        <v>294</v>
      </c>
    </row>
    <row r="32" spans="1:27" ht="15.75" customHeight="1" x14ac:dyDescent="0.2">
      <c r="A32" s="858"/>
      <c r="B32" s="858"/>
      <c r="C32" s="858"/>
      <c r="D32" s="858"/>
      <c r="Z32" s="859">
        <v>30</v>
      </c>
      <c r="AA32" s="1451" t="s">
        <v>295</v>
      </c>
    </row>
    <row r="33" spans="1:27" ht="30.75" customHeight="1" thickBot="1" x14ac:dyDescent="0.25">
      <c r="A33" s="1831" t="str">
        <f>"Did "&amp; E14 &amp;" update its depreciation and capitalization policies?"</f>
        <v>Did Greater Sudbury Hydro Inc. update its depreciation and capitalization policies?</v>
      </c>
      <c r="B33" s="1831"/>
      <c r="C33" s="1831"/>
      <c r="D33" s="1831"/>
      <c r="I33" s="1831"/>
      <c r="J33" s="1831"/>
      <c r="Z33" s="859">
        <v>31</v>
      </c>
      <c r="AA33" s="1451" t="s">
        <v>1295</v>
      </c>
    </row>
    <row r="34" spans="1:27" ht="15.75" customHeight="1" thickTop="1" thickBot="1" x14ac:dyDescent="0.25">
      <c r="A34" s="1831"/>
      <c r="B34" s="1831"/>
      <c r="C34" s="1831"/>
      <c r="D34" s="1831"/>
      <c r="E34" s="1832" t="s">
        <v>1389</v>
      </c>
      <c r="F34" s="1833"/>
      <c r="G34" s="1834"/>
      <c r="I34" s="1831"/>
      <c r="J34" s="1831"/>
      <c r="Z34" s="859">
        <v>32</v>
      </c>
      <c r="AA34" s="1451" t="s">
        <v>296</v>
      </c>
    </row>
    <row r="35" spans="1:27" ht="15.75" customHeight="1" x14ac:dyDescent="0.2">
      <c r="A35" s="1445"/>
      <c r="B35" s="1445"/>
      <c r="C35" s="1445"/>
      <c r="D35" s="1445"/>
      <c r="Z35" s="859">
        <v>33</v>
      </c>
      <c r="AA35" s="1451" t="s">
        <v>1296</v>
      </c>
    </row>
    <row r="36" spans="1:27" ht="15.75" customHeight="1" thickBot="1" x14ac:dyDescent="0.25">
      <c r="A36" s="1830" t="s">
        <v>1299</v>
      </c>
      <c r="B36" s="1830"/>
      <c r="C36" s="1830"/>
      <c r="D36" s="1830"/>
      <c r="Z36" s="859">
        <v>34</v>
      </c>
      <c r="AA36" s="1451" t="s">
        <v>297</v>
      </c>
    </row>
    <row r="37" spans="1:27" ht="15.6" customHeight="1" thickTop="1" thickBot="1" x14ac:dyDescent="0.25">
      <c r="A37" s="1830"/>
      <c r="B37" s="1830"/>
      <c r="C37" s="1830"/>
      <c r="D37" s="1830"/>
      <c r="E37" s="1832" t="s">
        <v>1389</v>
      </c>
      <c r="F37" s="1833"/>
      <c r="G37" s="1834"/>
      <c r="Z37" s="859">
        <v>35</v>
      </c>
      <c r="AA37" s="1451" t="s">
        <v>298</v>
      </c>
    </row>
    <row r="38" spans="1:27" ht="15.75" customHeight="1" x14ac:dyDescent="0.2">
      <c r="A38" s="858"/>
      <c r="B38" s="858"/>
      <c r="C38" s="858"/>
      <c r="D38" s="858"/>
      <c r="Z38" s="859">
        <v>36</v>
      </c>
      <c r="AA38" s="1451" t="s">
        <v>299</v>
      </c>
    </row>
    <row r="39" spans="1:27" ht="28.15" customHeight="1" thickBot="1" x14ac:dyDescent="0.25">
      <c r="A39" s="1831" t="str">
        <f>"When did "&amp;E14&amp;" update its actual depreciation and capitalization policies?"</f>
        <v>When did Greater Sudbury Hydro Inc. update its actual depreciation and capitalization policies?</v>
      </c>
      <c r="B39" s="1831"/>
      <c r="C39" s="1831"/>
      <c r="D39" s="1831"/>
      <c r="Z39" s="859">
        <v>37</v>
      </c>
      <c r="AA39" s="1451" t="s">
        <v>1352</v>
      </c>
    </row>
    <row r="40" spans="1:27" ht="15.4" customHeight="1" thickTop="1" thickBot="1" x14ac:dyDescent="0.25">
      <c r="A40" s="1831"/>
      <c r="B40" s="1831"/>
      <c r="C40" s="1831"/>
      <c r="D40" s="1831"/>
      <c r="E40" s="863">
        <v>36892</v>
      </c>
      <c r="F40" s="29">
        <v>2013</v>
      </c>
      <c r="Z40" s="859">
        <v>38</v>
      </c>
      <c r="AA40" s="1451" t="s">
        <v>1353</v>
      </c>
    </row>
    <row r="41" spans="1:27" ht="30.75" customHeight="1" x14ac:dyDescent="0.2">
      <c r="A41" s="858"/>
      <c r="B41" s="858"/>
      <c r="C41" s="858"/>
      <c r="Z41" s="859">
        <v>39</v>
      </c>
      <c r="AA41" s="1451" t="s">
        <v>1354</v>
      </c>
    </row>
    <row r="42" spans="1:27" ht="7.5" customHeight="1" thickBot="1" x14ac:dyDescent="0.25">
      <c r="A42" s="1831" t="s">
        <v>993</v>
      </c>
      <c r="B42" s="1831"/>
      <c r="C42" s="1831"/>
      <c r="D42" s="1831"/>
      <c r="Z42" s="859">
        <v>40</v>
      </c>
      <c r="AA42" s="1451" t="s">
        <v>1384</v>
      </c>
    </row>
    <row r="43" spans="1:27" ht="26.25" customHeight="1" thickTop="1" thickBot="1" x14ac:dyDescent="0.25">
      <c r="A43" s="1831"/>
      <c r="B43" s="1831"/>
      <c r="C43" s="1831"/>
      <c r="D43" s="1831"/>
      <c r="E43" s="1832">
        <v>2015</v>
      </c>
      <c r="F43" s="1833"/>
      <c r="G43" s="1834"/>
      <c r="Z43" s="859">
        <v>41</v>
      </c>
      <c r="AA43" s="1451" t="s">
        <v>300</v>
      </c>
    </row>
    <row r="44" spans="1:27" ht="12.75" customHeight="1" x14ac:dyDescent="0.2">
      <c r="A44" s="858"/>
      <c r="B44" s="858"/>
      <c r="C44" s="858"/>
      <c r="D44" s="858"/>
      <c r="Z44" s="859">
        <v>42</v>
      </c>
      <c r="AA44" s="1451" t="s">
        <v>1297</v>
      </c>
    </row>
    <row r="45" spans="1:27" ht="12.75" customHeight="1" x14ac:dyDescent="0.2">
      <c r="A45" s="858"/>
      <c r="B45" s="858"/>
      <c r="C45" s="858"/>
      <c r="D45" s="858"/>
      <c r="N45" s="860"/>
      <c r="Z45" s="859">
        <v>43</v>
      </c>
      <c r="AA45" s="1451" t="s">
        <v>301</v>
      </c>
    </row>
    <row r="46" spans="1:27" ht="21" customHeight="1" thickBot="1" x14ac:dyDescent="0.25">
      <c r="A46" s="1836" t="str">
        <f>"Is " &amp; E14 &amp; " applying for cost recovery for the test and/or future year(s) for Green Energy initiatives?"</f>
        <v>Is Greater Sudbury Hydro Inc. applying for cost recovery for the test and/or future year(s) for Green Energy initiatives?</v>
      </c>
      <c r="B46" s="1836"/>
      <c r="C46" s="1836"/>
      <c r="D46" s="1836"/>
      <c r="E46" s="864"/>
      <c r="Z46" s="859">
        <v>44</v>
      </c>
      <c r="AA46" s="1451" t="s">
        <v>302</v>
      </c>
    </row>
    <row r="47" spans="1:27" ht="23.25" customHeight="1" thickTop="1" x14ac:dyDescent="0.2">
      <c r="A47" s="1836"/>
      <c r="B47" s="1836"/>
      <c r="C47" s="1836"/>
      <c r="D47" s="1837"/>
      <c r="E47" s="597" t="s">
        <v>1725</v>
      </c>
      <c r="Z47" s="859">
        <v>45</v>
      </c>
      <c r="AA47" s="1451" t="s">
        <v>303</v>
      </c>
    </row>
    <row r="48" spans="1:27" ht="12.75" customHeight="1" thickBot="1" x14ac:dyDescent="0.25">
      <c r="B48" s="26"/>
      <c r="C48" s="26"/>
      <c r="D48" s="26"/>
      <c r="Z48" s="859">
        <v>46</v>
      </c>
      <c r="AA48" s="1451" t="s">
        <v>304</v>
      </c>
    </row>
    <row r="49" spans="1:27" ht="23.25" customHeight="1" thickTop="1" thickBot="1" x14ac:dyDescent="0.25">
      <c r="A49" s="1830" t="str">
        <f>"Is " &amp; E14 &amp; " an embedded distributor?"</f>
        <v>Is Greater Sudbury Hydro Inc. an embedded distributor?</v>
      </c>
      <c r="B49" s="1830"/>
      <c r="C49" s="1830"/>
      <c r="D49" s="1835"/>
      <c r="E49" s="442" t="s">
        <v>1389</v>
      </c>
      <c r="Z49" s="859">
        <v>47</v>
      </c>
      <c r="AA49" s="1451" t="s">
        <v>1355</v>
      </c>
    </row>
    <row r="50" spans="1:27" ht="12.75" customHeight="1" x14ac:dyDescent="0.2">
      <c r="B50" s="26"/>
      <c r="C50" s="26"/>
      <c r="D50" s="26"/>
      <c r="Z50" s="859">
        <v>48</v>
      </c>
      <c r="AA50" s="1451" t="s">
        <v>305</v>
      </c>
    </row>
    <row r="51" spans="1:27" ht="12.75" customHeight="1" x14ac:dyDescent="0.2">
      <c r="B51" s="26"/>
      <c r="C51" s="26"/>
      <c r="D51" s="26"/>
      <c r="Z51" s="859">
        <v>49</v>
      </c>
      <c r="AA51" s="1451" t="s">
        <v>306</v>
      </c>
    </row>
    <row r="52" spans="1:27" x14ac:dyDescent="0.2">
      <c r="B52" s="865" t="s">
        <v>274</v>
      </c>
      <c r="Z52" s="859">
        <v>50</v>
      </c>
      <c r="AA52" s="1451" t="s">
        <v>1356</v>
      </c>
    </row>
    <row r="53" spans="1:27" ht="13.5" thickBot="1" x14ac:dyDescent="0.25">
      <c r="Z53" s="859">
        <v>51</v>
      </c>
      <c r="AA53" s="1451" t="s">
        <v>1357</v>
      </c>
    </row>
    <row r="54" spans="1:27" ht="13.5" thickBot="1" x14ac:dyDescent="0.25">
      <c r="B54" s="866"/>
      <c r="C54" s="1452" t="s">
        <v>177</v>
      </c>
      <c r="D54" s="1452"/>
      <c r="E54" s="1452"/>
      <c r="F54" s="1452"/>
      <c r="G54" s="1452"/>
      <c r="H54" s="1452"/>
      <c r="I54" s="1452"/>
      <c r="J54" s="1452"/>
      <c r="K54" s="1452"/>
      <c r="Z54" s="859">
        <v>52</v>
      </c>
      <c r="AA54" s="1451" t="s">
        <v>307</v>
      </c>
    </row>
    <row r="55" spans="1:27" ht="13.5" thickBot="1" x14ac:dyDescent="0.25">
      <c r="Z55" s="859">
        <v>53</v>
      </c>
      <c r="AA55" s="1451" t="s">
        <v>308</v>
      </c>
    </row>
    <row r="56" spans="1:27" ht="13.9" customHeight="1" thickBot="1" x14ac:dyDescent="0.25">
      <c r="B56" s="867"/>
      <c r="C56" s="1453" t="s">
        <v>324</v>
      </c>
      <c r="D56" s="1454"/>
      <c r="E56" s="1454"/>
      <c r="F56" s="1454"/>
      <c r="G56" s="1454"/>
      <c r="H56" s="1454"/>
      <c r="I56" s="1454"/>
      <c r="J56" s="1454"/>
      <c r="K56" s="1454"/>
      <c r="N56" s="1454"/>
      <c r="Z56" s="859">
        <v>54</v>
      </c>
      <c r="AA56" s="1451" t="s">
        <v>309</v>
      </c>
    </row>
    <row r="57" spans="1:27" ht="13.5" thickBot="1" x14ac:dyDescent="0.25">
      <c r="B57" s="868"/>
      <c r="Z57" s="859">
        <v>55</v>
      </c>
      <c r="AA57" s="1451" t="s">
        <v>310</v>
      </c>
    </row>
    <row r="58" spans="1:27" ht="13.5" customHeight="1" thickBot="1" x14ac:dyDescent="0.25">
      <c r="B58" s="869"/>
      <c r="C58" s="1446" t="s">
        <v>392</v>
      </c>
      <c r="D58" s="868"/>
      <c r="E58" s="868"/>
      <c r="F58" s="868"/>
      <c r="G58" s="868"/>
      <c r="H58" s="868"/>
      <c r="I58" s="868"/>
      <c r="J58" s="868"/>
      <c r="K58" s="868"/>
      <c r="N58" s="1" t="str">
        <f t="shared" ref="N58:N77" si="0">IF(LEN($G58)&gt;1, (SUMPRODUCT(--($C$81:$C$1003=$C58),--($A$81:$A$1003=$D58), --($B$81:$B$1003=$B58&amp;"_TOTAL"), $L$1:$L$889)), "")</f>
        <v/>
      </c>
      <c r="O58" s="1" t="str">
        <f t="shared" ref="O58:O77" si="1">IF(LEN($G58)&gt;1, (SUMPRODUCT(--($C$81:$C$1003=$C58),--($A$81:$A$1003=$D58), --($B$81:$B$1003=$B58&amp;"_TOTAL"), $M$1:$M$889)), "")</f>
        <v/>
      </c>
      <c r="Z58" s="859">
        <v>56</v>
      </c>
      <c r="AA58" s="1451" t="s">
        <v>654</v>
      </c>
    </row>
    <row r="59" spans="1:27" x14ac:dyDescent="0.2">
      <c r="H59" s="870"/>
      <c r="I59" s="870"/>
      <c r="J59" s="870"/>
      <c r="K59" s="870"/>
      <c r="N59" s="1" t="str">
        <f t="shared" si="0"/>
        <v/>
      </c>
      <c r="O59" s="1" t="str">
        <f t="shared" si="1"/>
        <v/>
      </c>
      <c r="Z59" s="859">
        <v>57</v>
      </c>
      <c r="AA59" s="1451" t="s">
        <v>311</v>
      </c>
    </row>
    <row r="60" spans="1:27" x14ac:dyDescent="0.2">
      <c r="H60" s="870"/>
      <c r="I60" s="870"/>
      <c r="J60" s="870"/>
      <c r="K60" s="870"/>
      <c r="N60" s="1" t="str">
        <f t="shared" si="0"/>
        <v/>
      </c>
      <c r="O60" s="1" t="str">
        <f t="shared" si="1"/>
        <v/>
      </c>
      <c r="Z60" s="859">
        <v>58</v>
      </c>
      <c r="AA60" s="1451" t="s">
        <v>655</v>
      </c>
    </row>
    <row r="61" spans="1:27" x14ac:dyDescent="0.2">
      <c r="H61" s="870"/>
      <c r="I61" s="870"/>
      <c r="J61" s="870"/>
      <c r="K61" s="870"/>
      <c r="N61" s="1" t="str">
        <f t="shared" si="0"/>
        <v/>
      </c>
      <c r="O61" s="1" t="str">
        <f t="shared" si="1"/>
        <v/>
      </c>
      <c r="Z61" s="859">
        <v>59</v>
      </c>
      <c r="AA61" s="1451" t="s">
        <v>312</v>
      </c>
    </row>
    <row r="62" spans="1:27" x14ac:dyDescent="0.2">
      <c r="H62" s="870"/>
      <c r="I62" s="870"/>
      <c r="J62" s="870"/>
      <c r="K62" s="870"/>
      <c r="N62" s="1" t="str">
        <f t="shared" si="0"/>
        <v/>
      </c>
      <c r="O62" s="1" t="str">
        <f t="shared" si="1"/>
        <v/>
      </c>
      <c r="Z62" s="859">
        <v>60</v>
      </c>
      <c r="AA62" s="1451" t="s">
        <v>313</v>
      </c>
    </row>
    <row r="63" spans="1:27" x14ac:dyDescent="0.2">
      <c r="H63" s="870"/>
      <c r="I63" s="870"/>
      <c r="J63" s="870"/>
      <c r="K63" s="870"/>
      <c r="N63" s="1" t="str">
        <f t="shared" si="0"/>
        <v/>
      </c>
      <c r="O63" s="1" t="str">
        <f t="shared" si="1"/>
        <v/>
      </c>
      <c r="Z63" s="859">
        <v>61</v>
      </c>
      <c r="AA63" s="1451" t="s">
        <v>1298</v>
      </c>
    </row>
    <row r="64" spans="1:27" x14ac:dyDescent="0.2">
      <c r="H64" s="870"/>
      <c r="I64" s="870"/>
      <c r="J64" s="870"/>
      <c r="K64" s="870"/>
      <c r="N64" s="1" t="str">
        <f t="shared" si="0"/>
        <v/>
      </c>
      <c r="O64" s="1" t="str">
        <f t="shared" si="1"/>
        <v/>
      </c>
      <c r="Z64" s="859">
        <v>62</v>
      </c>
      <c r="AA64" s="1451" t="s">
        <v>314</v>
      </c>
    </row>
    <row r="65" spans="8:27" x14ac:dyDescent="0.2">
      <c r="H65" s="870"/>
      <c r="I65" s="870"/>
      <c r="J65" s="870"/>
      <c r="K65" s="870"/>
      <c r="N65" s="1" t="str">
        <f t="shared" si="0"/>
        <v/>
      </c>
      <c r="O65" s="1" t="str">
        <f t="shared" si="1"/>
        <v/>
      </c>
      <c r="Z65" s="859">
        <v>63</v>
      </c>
      <c r="AA65" s="1451" t="s">
        <v>315</v>
      </c>
    </row>
    <row r="66" spans="8:27" x14ac:dyDescent="0.2">
      <c r="H66" s="870"/>
      <c r="I66" s="870"/>
      <c r="J66" s="870"/>
      <c r="K66" s="870"/>
      <c r="N66" s="1" t="str">
        <f t="shared" si="0"/>
        <v/>
      </c>
      <c r="O66" s="1" t="str">
        <f t="shared" si="1"/>
        <v/>
      </c>
      <c r="Z66" s="859">
        <v>64</v>
      </c>
      <c r="AA66" s="1451" t="s">
        <v>316</v>
      </c>
    </row>
    <row r="67" spans="8:27" x14ac:dyDescent="0.2">
      <c r="H67" s="870"/>
      <c r="I67" s="870"/>
      <c r="J67" s="870"/>
      <c r="K67" s="870"/>
      <c r="N67" s="1" t="str">
        <f t="shared" si="0"/>
        <v/>
      </c>
      <c r="O67" s="1" t="str">
        <f t="shared" si="1"/>
        <v/>
      </c>
      <c r="Z67" s="859">
        <v>65</v>
      </c>
      <c r="AA67" s="1451" t="s">
        <v>317</v>
      </c>
    </row>
    <row r="68" spans="8:27" x14ac:dyDescent="0.2">
      <c r="H68" s="870"/>
      <c r="I68" s="870"/>
      <c r="J68" s="870"/>
      <c r="K68" s="870"/>
      <c r="N68" s="1" t="str">
        <f t="shared" si="0"/>
        <v/>
      </c>
      <c r="O68" s="1" t="str">
        <f t="shared" si="1"/>
        <v/>
      </c>
      <c r="Z68" s="859">
        <v>66</v>
      </c>
      <c r="AA68" s="1451" t="s">
        <v>1358</v>
      </c>
    </row>
    <row r="69" spans="8:27" x14ac:dyDescent="0.2">
      <c r="H69" s="870"/>
      <c r="I69" s="870"/>
      <c r="J69" s="870"/>
      <c r="K69" s="870"/>
      <c r="N69" s="1" t="str">
        <f t="shared" si="0"/>
        <v/>
      </c>
      <c r="O69" s="1" t="str">
        <f t="shared" si="1"/>
        <v/>
      </c>
      <c r="Z69" s="859">
        <v>67</v>
      </c>
      <c r="AA69" s="1451" t="s">
        <v>1385</v>
      </c>
    </row>
    <row r="70" spans="8:27" x14ac:dyDescent="0.2">
      <c r="H70" s="870"/>
      <c r="I70" s="870"/>
      <c r="J70" s="870"/>
      <c r="K70" s="870"/>
      <c r="N70" s="1" t="str">
        <f t="shared" si="0"/>
        <v/>
      </c>
      <c r="O70" s="1" t="str">
        <f t="shared" si="1"/>
        <v/>
      </c>
      <c r="Z70" s="859">
        <v>68</v>
      </c>
      <c r="AA70" s="1451" t="s">
        <v>318</v>
      </c>
    </row>
    <row r="71" spans="8:27" x14ac:dyDescent="0.2">
      <c r="H71" s="870"/>
      <c r="I71" s="870"/>
      <c r="J71" s="870"/>
      <c r="K71" s="870"/>
      <c r="N71" s="1" t="str">
        <f t="shared" si="0"/>
        <v/>
      </c>
      <c r="O71" s="1" t="str">
        <f t="shared" si="1"/>
        <v/>
      </c>
      <c r="Z71" s="859">
        <v>69</v>
      </c>
      <c r="AA71" s="1451" t="s">
        <v>319</v>
      </c>
    </row>
    <row r="72" spans="8:27" x14ac:dyDescent="0.2">
      <c r="H72" s="870"/>
      <c r="I72" s="870"/>
      <c r="J72" s="870"/>
      <c r="K72" s="870"/>
      <c r="N72" s="1" t="str">
        <f t="shared" si="0"/>
        <v/>
      </c>
      <c r="O72" s="1" t="str">
        <f t="shared" si="1"/>
        <v/>
      </c>
      <c r="Z72" s="859">
        <v>70</v>
      </c>
      <c r="AA72" s="1451" t="s">
        <v>320</v>
      </c>
    </row>
    <row r="73" spans="8:27" x14ac:dyDescent="0.2">
      <c r="H73" s="870"/>
      <c r="I73" s="870"/>
      <c r="J73" s="870"/>
      <c r="K73" s="870"/>
      <c r="N73" s="1" t="str">
        <f t="shared" si="0"/>
        <v/>
      </c>
      <c r="O73" s="1" t="str">
        <f t="shared" si="1"/>
        <v/>
      </c>
      <c r="Z73" s="859">
        <v>71</v>
      </c>
      <c r="AA73" s="1451" t="s">
        <v>321</v>
      </c>
    </row>
    <row r="74" spans="8:27" x14ac:dyDescent="0.2">
      <c r="H74" s="870"/>
      <c r="I74" s="870"/>
      <c r="J74" s="870"/>
      <c r="K74" s="870"/>
      <c r="N74" s="1" t="str">
        <f t="shared" si="0"/>
        <v/>
      </c>
      <c r="O74" s="1" t="str">
        <f t="shared" si="1"/>
        <v/>
      </c>
      <c r="Z74" s="859">
        <v>72</v>
      </c>
      <c r="AA74" s="1451" t="s">
        <v>656</v>
      </c>
    </row>
    <row r="75" spans="8:27" x14ac:dyDescent="0.2">
      <c r="H75" s="870"/>
      <c r="I75" s="870"/>
      <c r="J75" s="870"/>
      <c r="K75" s="870"/>
      <c r="N75" s="1" t="str">
        <f t="shared" si="0"/>
        <v/>
      </c>
      <c r="O75" s="1" t="str">
        <f t="shared" si="1"/>
        <v/>
      </c>
      <c r="Z75" s="859">
        <v>73</v>
      </c>
      <c r="AA75" s="1451" t="s">
        <v>322</v>
      </c>
    </row>
    <row r="76" spans="8:27" x14ac:dyDescent="0.2">
      <c r="H76" s="870"/>
      <c r="I76" s="870"/>
      <c r="J76" s="870"/>
      <c r="K76" s="870"/>
      <c r="N76" s="1" t="str">
        <f t="shared" si="0"/>
        <v/>
      </c>
      <c r="O76" s="1" t="str">
        <f t="shared" si="1"/>
        <v/>
      </c>
      <c r="Z76" s="859">
        <v>74</v>
      </c>
      <c r="AA76" s="1451" t="s">
        <v>323</v>
      </c>
    </row>
    <row r="77" spans="8:27" x14ac:dyDescent="0.2">
      <c r="H77" s="870"/>
      <c r="I77" s="870"/>
      <c r="J77" s="870"/>
      <c r="K77" s="870"/>
      <c r="N77" s="1" t="str">
        <f t="shared" si="0"/>
        <v/>
      </c>
      <c r="O77" s="1" t="str">
        <f t="shared" si="1"/>
        <v/>
      </c>
      <c r="Z77" s="859">
        <v>75</v>
      </c>
    </row>
  </sheetData>
  <sheetProtection algorithmName="SHA-512" hashValue="+0g8fV+g6qdREinRXqQih2M1kqM/EvryXDLVNRbVfEzI6k3ZI0ZLuXSk8q07QziwrUDGLBQy9Qg+I3N5NGFuZQ==" saltValue="xDFemNv4FfIZSMWIQiORyw==" spinCount="100000" sheet="1" objects="1" scenarios="1"/>
  <mergeCells count="20">
    <mergeCell ref="E18:K18"/>
    <mergeCell ref="E14:K14"/>
    <mergeCell ref="E16:I16"/>
    <mergeCell ref="E20:I20"/>
    <mergeCell ref="E26:G26"/>
    <mergeCell ref="E24:G24"/>
    <mergeCell ref="E22:I22"/>
    <mergeCell ref="A36:D37"/>
    <mergeCell ref="I33:J34"/>
    <mergeCell ref="E37:G37"/>
    <mergeCell ref="A49:D49"/>
    <mergeCell ref="E28:G28"/>
    <mergeCell ref="E31:G31"/>
    <mergeCell ref="A30:D31"/>
    <mergeCell ref="A46:D47"/>
    <mergeCell ref="A42:D43"/>
    <mergeCell ref="E43:G43"/>
    <mergeCell ref="A33:D34"/>
    <mergeCell ref="E34:G34"/>
    <mergeCell ref="A39:D40"/>
  </mergeCells>
  <phoneticPr fontId="13" type="noConversion"/>
  <dataValidations count="11">
    <dataValidation allowBlank="1" showErrorMessage="1" error="Use the following date format when inserting a date:_x000a__x000a_Eg:  &quot;January 1, 2013&quot;" prompt="Use the following format eg: January 1, 2013" sqref="E26:G26 F49:G49 K34:K37" xr:uid="{00000000-0002-0000-0000-000000000000}"/>
    <dataValidation type="list" allowBlank="1" showErrorMessage="1" error="Use the following date format when inserting a date:_x000a__x000a_Eg:  &quot;January 1, 2013&quot;" prompt="Use the following format eg: January 1, 2013" sqref="E31:G31" xr:uid="{00000000-0002-0000-0000-000001000000}">
      <formula1>"MIFRS,USGAAP, ASPE"</formula1>
    </dataValidation>
    <dataValidation type="list" allowBlank="1" showErrorMessage="1" prompt="Use the following format eg: January 1, 2013" sqref="E47" xr:uid="{00000000-0002-0000-0000-000002000000}">
      <formula1>"Yes, No"</formula1>
    </dataValidation>
    <dataValidation type="list" allowBlank="1" showErrorMessage="1" error="Use the following date format when inserting a date:_x000a__x000a_Eg:  &quot;January 1, 2013&quot;" prompt="Use the following format eg: January 1, 2013" sqref="E43:G43" xr:uid="{00000000-0002-0000-0000-000003000000}">
      <formula1>"2012,2013, 2014, 2015 "</formula1>
    </dataValidation>
    <dataValidation type="list" allowBlank="1" showErrorMessage="1" error="Use the following date format when inserting a date:_x000a__x000a_Eg:  &quot;January 1, 2013&quot;" prompt="Use the following format eg: January 1, 2013" sqref="E34:G36" xr:uid="{00000000-0002-0000-0000-000004000000}">
      <formula1>"Yes, No"</formula1>
    </dataValidation>
    <dataValidation type="list" allowBlank="1" showErrorMessage="1" error="Use the following date format when inserting a date:_x000a__x000a_Eg:  &quot;January 1, 2013&quot;" prompt="Use the following format eg: January 1, 2013" sqref="E28:G28" xr:uid="{00000000-0002-0000-0000-000005000000}">
      <formula1>"2008,2009,2010,2011,2012,2013, 2014,2015,2016,2017,2018"</formula1>
    </dataValidation>
    <dataValidation type="list" allowBlank="1" showErrorMessage="1" error="Use the following date format when inserting a date:_x000a__x000a_Eg:  &quot;January 1, 2013&quot;" prompt="Use the following format eg: January 1, 2013" sqref="E24:G24" xr:uid="{00000000-0002-0000-0000-000006000000}">
      <formula1>"2017,2018,2019,2020,2021,2022"</formula1>
    </dataValidation>
    <dataValidation type="list" allowBlank="1" showErrorMessage="1" error="Use the following date format when inserting a date:_x000a__x000a_Eg:  &quot;January 1, 2013&quot;" prompt="Use the following format eg: January 1, 2013" sqref="F40" xr:uid="{00000000-0002-0000-0000-000007000000}">
      <formula1>"2012, 2013"</formula1>
    </dataValidation>
    <dataValidation type="list" allowBlank="1" showErrorMessage="1" error="Use the following date format when inserting a date:_x000a__x000a_Eg:  &quot;January 1, 2013&quot;" prompt="Use the following format eg: January 1, 2013" sqref="E49" xr:uid="{00000000-0002-0000-0000-000008000000}">
      <formula1>"Yes, Partial, No"</formula1>
    </dataValidation>
    <dataValidation type="list" allowBlank="1" showErrorMessage="1" error="Use the following date format when inserting a date:_x000a__x000a_Eg:  &quot;January 1, 2013&quot;" prompt="Use the following format eg: January 1, 2013" sqref="E37:G37" xr:uid="{00000000-0002-0000-0000-000009000000}">
      <formula1>"Yes,No,N/A"</formula1>
    </dataValidation>
    <dataValidation type="list" allowBlank="1" showInputMessage="1" showErrorMessage="1" sqref="E14:K14" xr:uid="{00000000-0002-0000-0000-00000A000000}">
      <formula1>$AA$3:$AA$76</formula1>
    </dataValidation>
  </dataValidations>
  <pageMargins left="0.75" right="0.75" top="1" bottom="1" header="0.5" footer="0.5"/>
  <pageSetup scale="66" orientation="portrait" r:id="rId1"/>
  <headerFooter alignWithMargins="0"/>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FFC000"/>
    <pageSetUpPr fitToPage="1"/>
  </sheetPr>
  <dimension ref="A1:T111"/>
  <sheetViews>
    <sheetView showGridLines="0" zoomScaleNormal="100" workbookViewId="0">
      <selection activeCell="A22" sqref="A22:I22"/>
    </sheetView>
  </sheetViews>
  <sheetFormatPr defaultColWidth="9.28515625" defaultRowHeight="12.75" x14ac:dyDescent="0.2"/>
  <cols>
    <col min="1" max="1" width="14.42578125" style="893" customWidth="1"/>
    <col min="2" max="2" width="18" style="893" customWidth="1"/>
    <col min="3" max="3" width="13.28515625" style="893" bestFit="1" customWidth="1"/>
    <col min="4" max="4" width="2.5703125" style="893" customWidth="1"/>
    <col min="5" max="5" width="26" style="893" customWidth="1"/>
    <col min="6" max="6" width="25.7109375" style="893" customWidth="1"/>
    <col min="7" max="8" width="29.42578125" style="893" customWidth="1"/>
    <col min="9" max="16384" width="9.28515625" style="893"/>
  </cols>
  <sheetData>
    <row r="1" spans="1:11" ht="18" x14ac:dyDescent="0.25">
      <c r="A1" s="1916" t="s">
        <v>428</v>
      </c>
      <c r="B1" s="1916"/>
      <c r="C1" s="1916"/>
      <c r="D1" s="1916"/>
      <c r="E1" s="1916"/>
      <c r="F1" s="1916"/>
      <c r="G1" s="1916"/>
      <c r="H1" s="1916"/>
      <c r="I1" s="1916"/>
      <c r="J1" s="1916"/>
      <c r="K1" s="1916"/>
    </row>
    <row r="2" spans="1:11" ht="18" x14ac:dyDescent="0.25">
      <c r="A2" s="1916" t="s">
        <v>429</v>
      </c>
      <c r="B2" s="1916"/>
      <c r="C2" s="1916"/>
      <c r="D2" s="1916"/>
      <c r="E2" s="1916"/>
      <c r="F2" s="1916"/>
      <c r="G2" s="1916"/>
      <c r="H2" s="1916"/>
      <c r="I2" s="1916"/>
      <c r="J2" s="1916"/>
      <c r="K2" s="1916"/>
    </row>
    <row r="4" spans="1:11" x14ac:dyDescent="0.2">
      <c r="A4" s="894" t="s">
        <v>1219</v>
      </c>
      <c r="B4" s="894"/>
      <c r="C4" s="894"/>
      <c r="D4" s="894"/>
    </row>
    <row r="5" spans="1:11" x14ac:dyDescent="0.2">
      <c r="A5" s="894"/>
      <c r="B5" s="894"/>
      <c r="C5" s="894"/>
      <c r="D5" s="894"/>
    </row>
    <row r="6" spans="1:11" ht="68.25" customHeight="1" x14ac:dyDescent="0.2">
      <c r="A6" s="1917" t="s">
        <v>1320</v>
      </c>
      <c r="B6" s="1917"/>
      <c r="C6" s="1917"/>
      <c r="D6" s="1917"/>
      <c r="E6" s="1917"/>
      <c r="F6" s="1917"/>
      <c r="G6" s="1917"/>
      <c r="H6" s="1917"/>
      <c r="I6" s="1917"/>
      <c r="J6" s="1917"/>
      <c r="K6" s="1917"/>
    </row>
    <row r="7" spans="1:11" x14ac:dyDescent="0.2">
      <c r="A7" s="895"/>
      <c r="B7" s="895"/>
      <c r="C7" s="895"/>
      <c r="D7" s="895"/>
      <c r="E7" s="895"/>
      <c r="F7" s="895"/>
      <c r="G7" s="895"/>
      <c r="H7" s="895"/>
      <c r="I7" s="895"/>
      <c r="J7" s="895"/>
      <c r="K7" s="895"/>
    </row>
    <row r="8" spans="1:11" ht="13.5" thickBot="1" x14ac:dyDescent="0.25">
      <c r="A8" s="895"/>
      <c r="B8" s="895"/>
      <c r="C8" s="895"/>
      <c r="D8" s="895"/>
      <c r="E8" s="895"/>
      <c r="F8" s="895"/>
      <c r="G8" s="895"/>
      <c r="H8" s="895"/>
      <c r="I8" s="895"/>
      <c r="J8" s="895"/>
      <c r="K8" s="895"/>
    </row>
    <row r="9" spans="1:11" ht="39" customHeight="1" thickBot="1" x14ac:dyDescent="0.25">
      <c r="A9" s="895"/>
      <c r="B9" s="895"/>
      <c r="C9" s="895"/>
      <c r="D9" s="895"/>
      <c r="E9" s="1918" t="s">
        <v>895</v>
      </c>
      <c r="F9" s="1919"/>
      <c r="G9" s="896" t="s">
        <v>905</v>
      </c>
      <c r="H9" s="896" t="s">
        <v>1223</v>
      </c>
      <c r="I9" s="895"/>
      <c r="J9" s="895"/>
      <c r="K9" s="895"/>
    </row>
    <row r="10" spans="1:11" ht="39" thickBot="1" x14ac:dyDescent="0.25">
      <c r="A10" s="897"/>
      <c r="B10" s="897"/>
      <c r="C10" s="894"/>
      <c r="D10" s="894"/>
      <c r="E10" s="898" t="s">
        <v>863</v>
      </c>
      <c r="F10" s="898" t="s">
        <v>864</v>
      </c>
      <c r="G10" s="896" t="s">
        <v>972</v>
      </c>
      <c r="H10" s="896" t="s">
        <v>1222</v>
      </c>
    </row>
    <row r="11" spans="1:11" x14ac:dyDescent="0.2">
      <c r="A11" s="1920" t="s">
        <v>1075</v>
      </c>
      <c r="B11" s="899">
        <v>2020</v>
      </c>
      <c r="C11" s="900" t="s">
        <v>784</v>
      </c>
      <c r="D11" s="894"/>
      <c r="E11" s="901" t="s">
        <v>92</v>
      </c>
      <c r="F11" s="902" t="s">
        <v>92</v>
      </c>
      <c r="G11" s="902" t="s">
        <v>92</v>
      </c>
      <c r="H11" s="902" t="s">
        <v>92</v>
      </c>
    </row>
    <row r="12" spans="1:11" ht="15" customHeight="1" x14ac:dyDescent="0.2">
      <c r="A12" s="1920"/>
      <c r="B12" s="903">
        <v>2019</v>
      </c>
      <c r="C12" s="904" t="s">
        <v>785</v>
      </c>
      <c r="D12" s="894"/>
      <c r="E12" s="905" t="s">
        <v>92</v>
      </c>
      <c r="F12" s="906" t="s">
        <v>92</v>
      </c>
      <c r="G12" s="906" t="s">
        <v>92</v>
      </c>
      <c r="H12" s="906" t="s">
        <v>92</v>
      </c>
    </row>
    <row r="13" spans="1:11" ht="12.75" customHeight="1" x14ac:dyDescent="0.2">
      <c r="A13" s="1920"/>
      <c r="B13" s="903">
        <v>2018</v>
      </c>
      <c r="C13" s="904" t="s">
        <v>786</v>
      </c>
      <c r="D13" s="894"/>
      <c r="E13" s="905" t="s">
        <v>92</v>
      </c>
      <c r="F13" s="906" t="s">
        <v>92</v>
      </c>
      <c r="G13" s="906" t="s">
        <v>92</v>
      </c>
      <c r="H13" s="906" t="s">
        <v>92</v>
      </c>
    </row>
    <row r="14" spans="1:11" ht="12.75" customHeight="1" x14ac:dyDescent="0.2">
      <c r="A14" s="1920"/>
      <c r="B14" s="903">
        <v>2017</v>
      </c>
      <c r="C14" s="904" t="s">
        <v>786</v>
      </c>
      <c r="D14" s="894"/>
      <c r="E14" s="905" t="s">
        <v>92</v>
      </c>
      <c r="F14" s="906" t="s">
        <v>92</v>
      </c>
      <c r="G14" s="906" t="s">
        <v>92</v>
      </c>
      <c r="H14" s="906" t="s">
        <v>92</v>
      </c>
    </row>
    <row r="15" spans="1:11" ht="12.75" customHeight="1" x14ac:dyDescent="0.2">
      <c r="A15" s="1920"/>
      <c r="B15" s="903">
        <v>2016</v>
      </c>
      <c r="C15" s="904" t="s">
        <v>786</v>
      </c>
      <c r="D15" s="894"/>
      <c r="E15" s="907" t="s">
        <v>92</v>
      </c>
      <c r="F15" s="907" t="s">
        <v>92</v>
      </c>
      <c r="G15" s="907" t="s">
        <v>92</v>
      </c>
      <c r="H15" s="907" t="s">
        <v>92</v>
      </c>
    </row>
    <row r="16" spans="1:11" ht="17.25" x14ac:dyDescent="0.25">
      <c r="A16" s="1920"/>
      <c r="B16" s="903">
        <v>2015</v>
      </c>
      <c r="C16" s="904" t="s">
        <v>786</v>
      </c>
      <c r="D16" s="894"/>
      <c r="E16" s="908" t="s">
        <v>896</v>
      </c>
      <c r="F16" s="908" t="s">
        <v>896</v>
      </c>
      <c r="G16" s="908" t="s">
        <v>896</v>
      </c>
      <c r="H16" s="907" t="s">
        <v>235</v>
      </c>
    </row>
    <row r="17" spans="1:19" ht="17.25" x14ac:dyDescent="0.25">
      <c r="A17" s="1920"/>
      <c r="B17" s="903">
        <v>2014</v>
      </c>
      <c r="C17" s="904" t="s">
        <v>786</v>
      </c>
      <c r="D17" s="894"/>
      <c r="E17" s="909" t="s">
        <v>787</v>
      </c>
      <c r="F17" s="908" t="s">
        <v>897</v>
      </c>
      <c r="G17" s="910" t="s">
        <v>235</v>
      </c>
      <c r="H17" s="910" t="s">
        <v>235</v>
      </c>
    </row>
    <row r="18" spans="1:19" ht="18" thickBot="1" x14ac:dyDescent="0.3">
      <c r="A18" s="1920"/>
      <c r="B18" s="903">
        <v>2013</v>
      </c>
      <c r="C18" s="904" t="s">
        <v>786</v>
      </c>
      <c r="D18" s="894"/>
      <c r="E18" s="911" t="s">
        <v>897</v>
      </c>
      <c r="F18" s="912" t="s">
        <v>235</v>
      </c>
      <c r="G18" s="912" t="s">
        <v>235</v>
      </c>
      <c r="H18" s="912" t="s">
        <v>235</v>
      </c>
    </row>
    <row r="19" spans="1:19" x14ac:dyDescent="0.2">
      <c r="A19" s="897"/>
      <c r="B19" s="897"/>
      <c r="C19" s="894"/>
      <c r="D19" s="894"/>
    </row>
    <row r="20" spans="1:19" ht="25.5" customHeight="1" x14ac:dyDescent="0.2">
      <c r="A20" s="1911" t="s">
        <v>1220</v>
      </c>
      <c r="B20" s="1911"/>
      <c r="C20" s="1911"/>
      <c r="D20" s="1911"/>
      <c r="E20" s="1911"/>
      <c r="F20" s="1911"/>
      <c r="G20" s="1911"/>
      <c r="H20" s="1911"/>
      <c r="I20" s="1911"/>
      <c r="J20" s="1911"/>
      <c r="K20" s="913"/>
    </row>
    <row r="21" spans="1:19" ht="28.5" customHeight="1" x14ac:dyDescent="0.2">
      <c r="A21" s="1911" t="s">
        <v>987</v>
      </c>
      <c r="B21" s="1911"/>
      <c r="C21" s="1911"/>
      <c r="D21" s="1911"/>
      <c r="E21" s="1911"/>
      <c r="F21" s="1911"/>
      <c r="G21" s="1911"/>
      <c r="H21" s="1911"/>
      <c r="I21" s="1911"/>
      <c r="J21" s="914"/>
      <c r="K21" s="914"/>
    </row>
    <row r="22" spans="1:19" ht="28.5" customHeight="1" x14ac:dyDescent="0.2">
      <c r="A22" s="1911" t="s">
        <v>1019</v>
      </c>
      <c r="B22" s="1911"/>
      <c r="C22" s="1911"/>
      <c r="D22" s="1911"/>
      <c r="E22" s="1911"/>
      <c r="F22" s="1911"/>
      <c r="G22" s="1911"/>
      <c r="H22" s="1911"/>
      <c r="I22" s="1911"/>
      <c r="J22" s="914"/>
      <c r="K22" s="914"/>
    </row>
    <row r="23" spans="1:19" ht="28.5" customHeight="1" x14ac:dyDescent="0.2">
      <c r="A23" s="915"/>
      <c r="B23" s="915"/>
      <c r="C23" s="915"/>
      <c r="D23" s="915"/>
      <c r="E23" s="915"/>
      <c r="F23" s="915"/>
      <c r="G23" s="915"/>
      <c r="H23" s="915"/>
      <c r="I23" s="915"/>
      <c r="J23" s="914"/>
      <c r="K23" s="914"/>
    </row>
    <row r="24" spans="1:19" x14ac:dyDescent="0.2">
      <c r="A24" s="897"/>
      <c r="B24" s="897"/>
      <c r="C24" s="894"/>
      <c r="D24" s="894"/>
    </row>
    <row r="25" spans="1:19" x14ac:dyDescent="0.2">
      <c r="A25" s="916" t="s">
        <v>790</v>
      </c>
      <c r="B25" s="916"/>
      <c r="C25" s="916"/>
      <c r="D25" s="916"/>
      <c r="E25" s="916"/>
      <c r="F25" s="916"/>
      <c r="G25" s="916"/>
      <c r="H25" s="916"/>
      <c r="I25" s="916"/>
      <c r="J25" s="916"/>
      <c r="K25" s="916"/>
      <c r="L25" s="916"/>
      <c r="M25" s="916"/>
      <c r="N25" s="916"/>
      <c r="O25" s="916"/>
      <c r="P25" s="916"/>
      <c r="Q25" s="916"/>
      <c r="R25" s="916"/>
      <c r="S25" s="916"/>
    </row>
    <row r="26" spans="1:19" x14ac:dyDescent="0.2">
      <c r="A26" s="916"/>
      <c r="B26" s="916"/>
      <c r="C26" s="916"/>
      <c r="D26" s="916"/>
      <c r="E26" s="916"/>
      <c r="F26" s="916"/>
      <c r="G26" s="916"/>
      <c r="H26" s="916"/>
      <c r="I26" s="916"/>
      <c r="J26" s="916"/>
      <c r="K26" s="916"/>
      <c r="L26" s="916"/>
      <c r="M26" s="916"/>
      <c r="N26" s="916"/>
      <c r="O26" s="916"/>
      <c r="P26" s="916"/>
      <c r="Q26" s="916"/>
      <c r="R26" s="916"/>
      <c r="S26" s="916"/>
    </row>
    <row r="27" spans="1:19" x14ac:dyDescent="0.2">
      <c r="A27" s="917" t="s">
        <v>821</v>
      </c>
      <c r="B27" s="916"/>
      <c r="C27" s="916"/>
      <c r="D27" s="916"/>
      <c r="E27" s="916"/>
      <c r="F27" s="916"/>
      <c r="G27" s="916"/>
      <c r="H27" s="916"/>
      <c r="I27" s="916"/>
      <c r="J27" s="916"/>
      <c r="K27" s="916"/>
      <c r="L27" s="916"/>
      <c r="M27" s="916"/>
      <c r="N27" s="916"/>
      <c r="O27" s="916"/>
      <c r="P27" s="916"/>
      <c r="Q27" s="916"/>
      <c r="R27" s="916"/>
      <c r="S27" s="916"/>
    </row>
    <row r="28" spans="1:19" x14ac:dyDescent="0.2">
      <c r="A28" s="1912" t="s">
        <v>1232</v>
      </c>
      <c r="B28" s="1912"/>
      <c r="C28" s="1912"/>
      <c r="D28" s="1912"/>
      <c r="E28" s="1912"/>
      <c r="F28" s="1912"/>
      <c r="G28" s="1912"/>
      <c r="H28" s="1912"/>
      <c r="I28" s="1912"/>
      <c r="J28" s="1912"/>
      <c r="K28" s="1912"/>
      <c r="L28" s="916"/>
      <c r="M28" s="916"/>
      <c r="N28" s="916"/>
      <c r="O28" s="916"/>
      <c r="P28" s="916"/>
      <c r="Q28" s="916"/>
      <c r="R28" s="916"/>
      <c r="S28" s="916"/>
    </row>
    <row r="29" spans="1:19" x14ac:dyDescent="0.2">
      <c r="A29" s="1912"/>
      <c r="B29" s="1912"/>
      <c r="C29" s="1912"/>
      <c r="D29" s="1912"/>
      <c r="E29" s="1912"/>
      <c r="F29" s="1912"/>
      <c r="G29" s="1912"/>
      <c r="H29" s="1912"/>
      <c r="I29" s="1912"/>
      <c r="J29" s="1912"/>
      <c r="K29" s="1912"/>
      <c r="L29" s="916"/>
      <c r="M29" s="916"/>
      <c r="N29" s="916"/>
      <c r="O29" s="916"/>
      <c r="P29" s="916"/>
      <c r="Q29" s="916"/>
      <c r="R29" s="916"/>
      <c r="S29" s="916"/>
    </row>
    <row r="30" spans="1:19" x14ac:dyDescent="0.2">
      <c r="A30" s="1912"/>
      <c r="B30" s="1912"/>
      <c r="C30" s="1912"/>
      <c r="D30" s="1912"/>
      <c r="E30" s="1912"/>
      <c r="F30" s="1912"/>
      <c r="G30" s="1912"/>
      <c r="H30" s="1912"/>
      <c r="I30" s="1912"/>
      <c r="J30" s="1912"/>
      <c r="K30" s="1912"/>
      <c r="L30" s="916"/>
      <c r="M30" s="916"/>
      <c r="N30" s="916"/>
      <c r="O30" s="916"/>
      <c r="P30" s="916"/>
      <c r="Q30" s="916"/>
      <c r="R30" s="916"/>
      <c r="S30" s="916"/>
    </row>
    <row r="32" spans="1:19" ht="24" customHeight="1" x14ac:dyDescent="0.2">
      <c r="A32" s="1913" t="s">
        <v>1224</v>
      </c>
      <c r="B32" s="1913"/>
      <c r="C32" s="1913"/>
      <c r="D32" s="1913"/>
      <c r="E32" s="1913"/>
      <c r="F32" s="1913"/>
      <c r="G32" s="1913"/>
      <c r="H32" s="1913"/>
      <c r="I32" s="1913"/>
      <c r="J32" s="1913"/>
      <c r="L32" s="918"/>
      <c r="M32" s="918"/>
      <c r="N32" s="918"/>
      <c r="O32" s="918"/>
      <c r="P32" s="918"/>
      <c r="Q32" s="918"/>
      <c r="R32" s="918"/>
      <c r="S32" s="918"/>
    </row>
    <row r="33" spans="1:19" x14ac:dyDescent="0.2">
      <c r="L33" s="918"/>
      <c r="M33" s="918"/>
      <c r="N33" s="918"/>
      <c r="O33" s="918"/>
      <c r="P33" s="918"/>
      <c r="Q33" s="918"/>
      <c r="R33" s="918"/>
      <c r="S33" s="918"/>
    </row>
    <row r="35" spans="1:19" x14ac:dyDescent="0.2">
      <c r="A35" s="919" t="s">
        <v>973</v>
      </c>
      <c r="B35" s="920"/>
    </row>
    <row r="36" spans="1:19" x14ac:dyDescent="0.2">
      <c r="A36" s="919"/>
      <c r="B36" s="920"/>
    </row>
    <row r="37" spans="1:19" x14ac:dyDescent="0.2">
      <c r="A37" s="921" t="s">
        <v>1221</v>
      </c>
      <c r="B37" s="922"/>
      <c r="C37" s="923"/>
      <c r="D37" s="923"/>
      <c r="E37" s="923"/>
      <c r="F37" s="923"/>
      <c r="G37" s="923"/>
      <c r="H37" s="923"/>
      <c r="I37" s="923"/>
      <c r="J37" s="923"/>
      <c r="K37" s="923"/>
      <c r="L37" s="923"/>
      <c r="M37" s="923"/>
      <c r="N37" s="923"/>
    </row>
    <row r="38" spans="1:19" ht="25.5" customHeight="1" x14ac:dyDescent="0.2">
      <c r="A38" s="1914" t="s">
        <v>1233</v>
      </c>
      <c r="B38" s="1914"/>
      <c r="C38" s="1914"/>
      <c r="D38" s="1914"/>
      <c r="E38" s="1914"/>
      <c r="F38" s="1914"/>
      <c r="G38" s="1914"/>
      <c r="H38" s="1914"/>
      <c r="I38" s="1914"/>
      <c r="J38" s="1914"/>
      <c r="K38" s="1914"/>
      <c r="L38" s="1444"/>
      <c r="M38" s="923"/>
      <c r="N38" s="923"/>
    </row>
    <row r="39" spans="1:19" ht="54" customHeight="1" x14ac:dyDescent="0.2">
      <c r="A39" s="1915" t="s">
        <v>1339</v>
      </c>
      <c r="B39" s="1915"/>
      <c r="C39" s="1915"/>
      <c r="D39" s="1915"/>
      <c r="E39" s="1915"/>
      <c r="F39" s="1915"/>
      <c r="G39" s="1915"/>
      <c r="H39" s="1915"/>
      <c r="I39" s="1915"/>
      <c r="J39" s="1915"/>
      <c r="K39" s="1915"/>
      <c r="L39" s="1915"/>
      <c r="M39" s="923"/>
      <c r="N39" s="923"/>
    </row>
    <row r="40" spans="1:19" x14ac:dyDescent="0.2">
      <c r="A40" s="894"/>
      <c r="B40" s="897"/>
      <c r="C40" s="894"/>
      <c r="D40" s="894"/>
    </row>
    <row r="41" spans="1:19" s="923" customFormat="1" x14ac:dyDescent="0.2">
      <c r="A41" s="924" t="s">
        <v>1217</v>
      </c>
      <c r="B41" s="924"/>
      <c r="C41" s="924"/>
      <c r="D41" s="924"/>
      <c r="E41" s="924"/>
      <c r="F41" s="924"/>
      <c r="G41" s="924"/>
      <c r="H41" s="924"/>
      <c r="I41" s="924"/>
      <c r="J41" s="924"/>
      <c r="K41" s="924"/>
      <c r="L41" s="924"/>
      <c r="M41" s="924"/>
      <c r="N41" s="924"/>
      <c r="O41" s="924"/>
      <c r="P41" s="924"/>
      <c r="Q41" s="924"/>
      <c r="R41" s="924"/>
      <c r="S41" s="924"/>
    </row>
    <row r="42" spans="1:19" s="923" customFormat="1" x14ac:dyDescent="0.2">
      <c r="A42" s="924"/>
      <c r="B42" s="924"/>
      <c r="C42" s="924"/>
      <c r="D42" s="924"/>
      <c r="E42" s="924"/>
      <c r="F42" s="924"/>
      <c r="G42" s="924"/>
      <c r="H42" s="924"/>
      <c r="I42" s="924"/>
      <c r="J42" s="924"/>
      <c r="K42" s="924"/>
      <c r="L42" s="924"/>
      <c r="M42" s="924"/>
      <c r="N42" s="924"/>
      <c r="O42" s="924"/>
      <c r="P42" s="924"/>
      <c r="Q42" s="924"/>
      <c r="R42" s="924"/>
      <c r="S42" s="924"/>
    </row>
    <row r="43" spans="1:19" s="923" customFormat="1" x14ac:dyDescent="0.2">
      <c r="A43" s="925" t="s">
        <v>906</v>
      </c>
      <c r="B43" s="924"/>
      <c r="C43" s="924"/>
      <c r="D43" s="924"/>
      <c r="E43" s="924"/>
      <c r="F43" s="924"/>
      <c r="G43" s="924"/>
      <c r="H43" s="924"/>
      <c r="I43" s="924"/>
      <c r="J43" s="924"/>
      <c r="K43" s="924"/>
      <c r="L43" s="924"/>
      <c r="M43" s="924"/>
      <c r="N43" s="924"/>
      <c r="O43" s="924"/>
      <c r="P43" s="924"/>
      <c r="Q43" s="924"/>
      <c r="R43" s="924"/>
      <c r="S43" s="924"/>
    </row>
    <row r="44" spans="1:19" s="923" customFormat="1" x14ac:dyDescent="0.2">
      <c r="A44" s="926" t="s">
        <v>898</v>
      </c>
      <c r="B44" s="1911" t="s">
        <v>991</v>
      </c>
      <c r="C44" s="1921"/>
      <c r="D44" s="1921"/>
      <c r="E44" s="1921"/>
      <c r="F44" s="1921"/>
      <c r="G44" s="1921"/>
      <c r="H44" s="1921"/>
      <c r="I44" s="1921"/>
      <c r="J44" s="1921"/>
      <c r="K44" s="1921"/>
      <c r="L44" s="1921"/>
      <c r="M44" s="1921"/>
      <c r="N44" s="924"/>
      <c r="O44" s="924"/>
      <c r="P44" s="924"/>
      <c r="Q44" s="924"/>
      <c r="R44" s="924"/>
      <c r="S44" s="924"/>
    </row>
    <row r="45" spans="1:19" s="923" customFormat="1" x14ac:dyDescent="0.2">
      <c r="A45" s="926" t="s">
        <v>898</v>
      </c>
      <c r="B45" s="1911" t="s">
        <v>988</v>
      </c>
      <c r="C45" s="1921"/>
      <c r="D45" s="1921"/>
      <c r="E45" s="1921"/>
      <c r="F45" s="1921"/>
      <c r="G45" s="1921"/>
      <c r="H45" s="1921"/>
      <c r="I45" s="1921"/>
      <c r="J45" s="1921"/>
      <c r="K45" s="1921"/>
      <c r="L45" s="1921"/>
      <c r="M45" s="1921"/>
      <c r="N45" s="924"/>
      <c r="O45" s="924"/>
      <c r="P45" s="924"/>
      <c r="Q45" s="924"/>
      <c r="R45" s="924"/>
      <c r="S45" s="924"/>
    </row>
    <row r="46" spans="1:19" s="923" customFormat="1" x14ac:dyDescent="0.2">
      <c r="A46" s="924"/>
      <c r="B46" s="915"/>
      <c r="C46" s="914"/>
      <c r="D46" s="914"/>
      <c r="E46" s="914"/>
      <c r="F46" s="914"/>
      <c r="G46" s="914"/>
      <c r="H46" s="914"/>
      <c r="I46" s="914"/>
      <c r="J46" s="914"/>
      <c r="K46" s="914"/>
      <c r="L46" s="914"/>
      <c r="M46" s="914"/>
      <c r="N46" s="924"/>
      <c r="O46" s="924"/>
      <c r="P46" s="924"/>
      <c r="Q46" s="924"/>
      <c r="R46" s="924"/>
      <c r="S46" s="924"/>
    </row>
    <row r="47" spans="1:19" s="923" customFormat="1" x14ac:dyDescent="0.2">
      <c r="A47" s="925" t="s">
        <v>989</v>
      </c>
      <c r="B47" s="915"/>
      <c r="C47" s="914"/>
      <c r="D47" s="914"/>
      <c r="E47" s="914"/>
      <c r="F47" s="914"/>
      <c r="G47" s="914"/>
      <c r="H47" s="914"/>
      <c r="I47" s="914"/>
      <c r="J47" s="914"/>
      <c r="K47" s="914"/>
      <c r="L47" s="914"/>
      <c r="M47" s="914"/>
      <c r="N47" s="924"/>
      <c r="O47" s="924"/>
      <c r="P47" s="924"/>
      <c r="Q47" s="924"/>
      <c r="R47" s="924"/>
      <c r="S47" s="924"/>
    </row>
    <row r="48" spans="1:19" s="923" customFormat="1" x14ac:dyDescent="0.2">
      <c r="A48" s="926" t="s">
        <v>898</v>
      </c>
      <c r="B48" s="1911" t="s">
        <v>990</v>
      </c>
      <c r="C48" s="1911"/>
      <c r="D48" s="1911"/>
      <c r="E48" s="1911"/>
      <c r="F48" s="1911"/>
      <c r="G48" s="1911"/>
      <c r="H48" s="1911"/>
      <c r="I48" s="1911"/>
      <c r="J48" s="1911"/>
      <c r="K48" s="1911"/>
      <c r="L48" s="1911"/>
      <c r="M48" s="914"/>
      <c r="N48" s="924"/>
      <c r="O48" s="924"/>
      <c r="P48" s="924"/>
      <c r="Q48" s="924"/>
      <c r="R48" s="924"/>
      <c r="S48" s="924"/>
    </row>
    <row r="49" spans="1:20" s="923" customFormat="1" x14ac:dyDescent="0.2">
      <c r="A49" s="1917" t="s">
        <v>1321</v>
      </c>
      <c r="B49" s="1917"/>
      <c r="C49" s="1917"/>
      <c r="D49" s="1917"/>
      <c r="E49" s="1917"/>
      <c r="F49" s="1917"/>
      <c r="G49" s="1917"/>
      <c r="H49" s="1917"/>
      <c r="I49" s="1917"/>
      <c r="J49" s="1917"/>
      <c r="K49" s="1917"/>
      <c r="L49" s="1917"/>
      <c r="M49" s="1917"/>
      <c r="N49" s="924"/>
      <c r="O49" s="924"/>
      <c r="P49" s="924"/>
      <c r="Q49" s="924"/>
      <c r="R49" s="924"/>
      <c r="S49" s="924"/>
    </row>
    <row r="50" spans="1:20" s="923" customFormat="1" x14ac:dyDescent="0.2">
      <c r="A50" s="1917"/>
      <c r="B50" s="1917"/>
      <c r="C50" s="1917"/>
      <c r="D50" s="1917"/>
      <c r="E50" s="1917"/>
      <c r="F50" s="1917"/>
      <c r="G50" s="1917"/>
      <c r="H50" s="1917"/>
      <c r="I50" s="1917"/>
      <c r="J50" s="1917"/>
      <c r="K50" s="1917"/>
      <c r="L50" s="1917"/>
      <c r="M50" s="1917"/>
      <c r="N50" s="924"/>
      <c r="O50" s="924"/>
      <c r="P50" s="924"/>
      <c r="Q50" s="924"/>
      <c r="R50" s="924"/>
      <c r="S50" s="924"/>
    </row>
    <row r="51" spans="1:20" s="923" customFormat="1" ht="16.5" customHeight="1" x14ac:dyDescent="0.2">
      <c r="A51" s="915"/>
      <c r="B51" s="915"/>
      <c r="C51" s="915"/>
      <c r="D51" s="915"/>
      <c r="E51" s="915"/>
      <c r="F51" s="915"/>
      <c r="G51" s="915"/>
      <c r="H51" s="915"/>
      <c r="I51" s="915"/>
      <c r="J51" s="915"/>
      <c r="K51" s="915"/>
      <c r="L51" s="915"/>
      <c r="M51" s="915"/>
      <c r="N51" s="915"/>
      <c r="O51" s="915"/>
      <c r="P51" s="915"/>
      <c r="Q51" s="915"/>
      <c r="R51" s="915"/>
      <c r="S51" s="915"/>
      <c r="T51" s="927"/>
    </row>
    <row r="52" spans="1:20" s="923" customFormat="1" ht="16.5" customHeight="1" x14ac:dyDescent="0.2">
      <c r="A52" s="915"/>
      <c r="B52" s="915"/>
      <c r="C52" s="915"/>
      <c r="D52" s="915"/>
      <c r="E52" s="915"/>
      <c r="F52" s="915"/>
      <c r="G52" s="915"/>
      <c r="H52" s="915"/>
      <c r="I52" s="915"/>
      <c r="J52" s="915"/>
      <c r="K52" s="915"/>
      <c r="L52" s="915"/>
      <c r="M52" s="915"/>
      <c r="N52" s="915"/>
      <c r="O52" s="915"/>
      <c r="P52" s="915"/>
      <c r="Q52" s="915"/>
      <c r="R52" s="915"/>
      <c r="S52" s="915"/>
      <c r="T52" s="927"/>
    </row>
    <row r="53" spans="1:20" s="923" customFormat="1" x14ac:dyDescent="0.2">
      <c r="A53" s="928" t="s">
        <v>1218</v>
      </c>
      <c r="B53" s="921"/>
      <c r="C53" s="921"/>
      <c r="D53" s="921"/>
    </row>
    <row r="54" spans="1:20" s="923" customFormat="1" x14ac:dyDescent="0.2">
      <c r="A54" s="928"/>
      <c r="B54" s="921"/>
      <c r="C54" s="921"/>
      <c r="D54" s="921"/>
    </row>
    <row r="55" spans="1:20" ht="69" customHeight="1" x14ac:dyDescent="0.2">
      <c r="A55" s="1922" t="s">
        <v>1234</v>
      </c>
      <c r="B55" s="1922"/>
      <c r="C55" s="1922"/>
      <c r="D55" s="1922"/>
      <c r="E55" s="1922"/>
      <c r="F55" s="1922"/>
      <c r="G55" s="1922"/>
      <c r="H55" s="1922"/>
      <c r="I55" s="1922"/>
      <c r="J55" s="1922"/>
      <c r="K55" s="1922"/>
      <c r="L55" s="1922"/>
      <c r="M55" s="1922"/>
      <c r="N55" s="923"/>
      <c r="O55" s="923"/>
      <c r="P55" s="923"/>
      <c r="Q55" s="923"/>
      <c r="R55" s="923"/>
      <c r="S55" s="923"/>
    </row>
    <row r="56" spans="1:20" x14ac:dyDescent="0.2">
      <c r="A56" s="923"/>
      <c r="B56" s="923"/>
      <c r="C56" s="923"/>
      <c r="D56" s="923"/>
      <c r="E56" s="923"/>
      <c r="F56" s="923"/>
      <c r="G56" s="923"/>
      <c r="H56" s="923"/>
      <c r="I56" s="923"/>
      <c r="J56" s="923"/>
      <c r="K56" s="923"/>
      <c r="L56" s="923"/>
      <c r="M56" s="923"/>
      <c r="N56" s="923"/>
      <c r="O56" s="923"/>
      <c r="P56" s="923"/>
      <c r="Q56" s="923"/>
      <c r="R56" s="923"/>
      <c r="S56" s="923"/>
    </row>
    <row r="57" spans="1:20" x14ac:dyDescent="0.2">
      <c r="A57" s="923"/>
      <c r="B57" s="923"/>
      <c r="C57" s="923"/>
      <c r="D57" s="923"/>
      <c r="E57" s="923"/>
      <c r="F57" s="923"/>
      <c r="G57" s="923"/>
      <c r="H57" s="923"/>
      <c r="I57" s="923"/>
      <c r="J57" s="923"/>
      <c r="K57" s="923"/>
      <c r="L57" s="923"/>
      <c r="M57" s="923"/>
      <c r="N57" s="923"/>
      <c r="O57" s="923"/>
      <c r="P57" s="923"/>
      <c r="Q57" s="923"/>
      <c r="R57" s="923"/>
      <c r="S57" s="923"/>
    </row>
    <row r="58" spans="1:20" x14ac:dyDescent="0.2">
      <c r="A58" s="1911"/>
      <c r="B58" s="1911"/>
      <c r="C58" s="1911"/>
      <c r="D58" s="1911"/>
      <c r="E58" s="1911"/>
      <c r="F58" s="1911"/>
      <c r="G58" s="1911"/>
      <c r="H58" s="1911"/>
      <c r="I58" s="1911"/>
      <c r="J58" s="1911"/>
      <c r="K58" s="1911"/>
      <c r="L58" s="1911"/>
      <c r="M58" s="1911"/>
      <c r="N58" s="1911"/>
      <c r="O58" s="1911"/>
      <c r="P58" s="1911"/>
      <c r="Q58" s="1911"/>
      <c r="R58" s="1911"/>
      <c r="S58" s="1911"/>
    </row>
    <row r="59" spans="1:20" x14ac:dyDescent="0.2">
      <c r="A59" s="1911"/>
      <c r="B59" s="1911"/>
      <c r="C59" s="1911"/>
      <c r="D59" s="1911"/>
      <c r="E59" s="1911"/>
      <c r="F59" s="1911"/>
      <c r="G59" s="1911"/>
      <c r="H59" s="1911"/>
      <c r="I59" s="1911"/>
      <c r="J59" s="1911"/>
      <c r="K59" s="1911"/>
      <c r="L59" s="1911"/>
      <c r="M59" s="1911"/>
      <c r="N59" s="1911"/>
      <c r="O59" s="1911"/>
      <c r="P59" s="1911"/>
      <c r="Q59" s="1911"/>
      <c r="R59" s="1911"/>
      <c r="S59" s="1911"/>
    </row>
    <row r="60" spans="1:20" x14ac:dyDescent="0.2">
      <c r="A60" s="1911"/>
      <c r="B60" s="1911"/>
      <c r="C60" s="1911"/>
      <c r="D60" s="1911"/>
      <c r="E60" s="1911"/>
      <c r="F60" s="1911"/>
      <c r="G60" s="1911"/>
      <c r="H60" s="1911"/>
      <c r="I60" s="1911"/>
      <c r="J60" s="1911"/>
      <c r="K60" s="1911"/>
      <c r="L60" s="1911"/>
      <c r="M60" s="1911"/>
      <c r="N60" s="1911"/>
      <c r="O60" s="1911"/>
      <c r="P60" s="1911"/>
      <c r="Q60" s="1911"/>
      <c r="R60" s="1911"/>
      <c r="S60" s="1911"/>
    </row>
    <row r="61" spans="1:20" x14ac:dyDescent="0.2">
      <c r="L61" s="1911"/>
      <c r="M61" s="1911"/>
      <c r="N61" s="1911"/>
      <c r="O61" s="1911"/>
      <c r="P61" s="1911"/>
      <c r="Q61" s="1911"/>
      <c r="R61" s="1911"/>
      <c r="S61" s="1911"/>
    </row>
    <row r="62" spans="1:20" x14ac:dyDescent="0.2">
      <c r="A62" s="1911"/>
      <c r="B62" s="1911"/>
      <c r="C62" s="1911"/>
      <c r="D62" s="1911"/>
      <c r="E62" s="1911"/>
      <c r="F62" s="1911"/>
      <c r="G62" s="1911"/>
      <c r="H62" s="1911"/>
      <c r="I62" s="1911"/>
      <c r="J62" s="1911"/>
      <c r="K62" s="1911"/>
      <c r="L62" s="1911"/>
      <c r="M62" s="1911"/>
      <c r="N62" s="1911"/>
      <c r="O62" s="1911"/>
      <c r="P62" s="1911"/>
      <c r="Q62" s="1911"/>
      <c r="R62" s="1911"/>
      <c r="S62" s="1911"/>
    </row>
    <row r="63" spans="1:20" x14ac:dyDescent="0.2">
      <c r="A63" s="1911"/>
      <c r="B63" s="1911"/>
      <c r="C63" s="1911"/>
      <c r="D63" s="1911"/>
      <c r="E63" s="1911"/>
      <c r="F63" s="1911"/>
      <c r="G63" s="1911"/>
      <c r="H63" s="1911"/>
      <c r="I63" s="1911"/>
      <c r="J63" s="1911"/>
      <c r="K63" s="1911"/>
      <c r="L63" s="1911"/>
      <c r="M63" s="1911"/>
      <c r="N63" s="1911"/>
      <c r="O63" s="1911"/>
      <c r="P63" s="1911"/>
      <c r="Q63" s="1911"/>
      <c r="R63" s="1911"/>
      <c r="S63" s="1911"/>
    </row>
    <row r="64" spans="1:20" x14ac:dyDescent="0.2">
      <c r="A64" s="1911"/>
      <c r="B64" s="1911"/>
      <c r="C64" s="1911"/>
      <c r="D64" s="1911"/>
      <c r="E64" s="1911"/>
      <c r="F64" s="1911"/>
      <c r="G64" s="1911"/>
      <c r="H64" s="1911"/>
      <c r="I64" s="1911"/>
      <c r="J64" s="1911"/>
      <c r="K64" s="1911"/>
      <c r="L64" s="1911"/>
      <c r="M64" s="1911"/>
      <c r="N64" s="1911"/>
      <c r="O64" s="1911"/>
      <c r="P64" s="1911"/>
      <c r="Q64" s="1911"/>
      <c r="R64" s="1911"/>
      <c r="S64" s="1911"/>
    </row>
    <row r="65" spans="1:19" x14ac:dyDescent="0.2">
      <c r="A65" s="1911"/>
      <c r="B65" s="1911"/>
      <c r="C65" s="1911"/>
      <c r="D65" s="1911"/>
      <c r="E65" s="1911"/>
      <c r="F65" s="1911"/>
      <c r="G65" s="1911"/>
      <c r="H65" s="1911"/>
      <c r="I65" s="1911"/>
      <c r="J65" s="1911"/>
      <c r="K65" s="1911"/>
      <c r="L65" s="1911"/>
      <c r="M65" s="1911"/>
      <c r="N65" s="1911"/>
      <c r="O65" s="1911"/>
      <c r="P65" s="1911"/>
      <c r="Q65" s="1911"/>
      <c r="R65" s="1911"/>
      <c r="S65" s="1911"/>
    </row>
    <row r="66" spans="1:19" x14ac:dyDescent="0.2">
      <c r="A66" s="1911"/>
      <c r="B66" s="1911"/>
      <c r="C66" s="1911"/>
      <c r="D66" s="1911"/>
      <c r="E66" s="1911"/>
      <c r="F66" s="1911"/>
      <c r="G66" s="1911"/>
      <c r="H66" s="1911"/>
      <c r="I66" s="1911"/>
      <c r="J66" s="1911"/>
      <c r="K66" s="1911"/>
      <c r="L66" s="1911"/>
      <c r="M66" s="1911"/>
      <c r="N66" s="1911"/>
      <c r="O66" s="1911"/>
      <c r="P66" s="1911"/>
      <c r="Q66" s="1911"/>
      <c r="R66" s="1911"/>
      <c r="S66" s="1911"/>
    </row>
    <row r="67" spans="1:19" x14ac:dyDescent="0.2">
      <c r="A67" s="1911"/>
      <c r="B67" s="1911"/>
      <c r="C67" s="1911"/>
      <c r="D67" s="1911"/>
      <c r="E67" s="1911"/>
      <c r="F67" s="1911"/>
      <c r="G67" s="1911"/>
      <c r="H67" s="1911"/>
      <c r="I67" s="1911"/>
      <c r="J67" s="1911"/>
      <c r="K67" s="1911"/>
      <c r="L67" s="1911"/>
      <c r="M67" s="1911"/>
      <c r="N67" s="1911"/>
      <c r="O67" s="1911"/>
      <c r="P67" s="1911"/>
      <c r="Q67" s="1911"/>
      <c r="R67" s="1911"/>
      <c r="S67" s="1911"/>
    </row>
    <row r="68" spans="1:19" x14ac:dyDescent="0.2">
      <c r="A68" s="1911"/>
      <c r="B68" s="1911"/>
      <c r="C68" s="1911"/>
      <c r="D68" s="1911"/>
      <c r="E68" s="1911"/>
      <c r="F68" s="1911"/>
      <c r="G68" s="1911"/>
      <c r="H68" s="1911"/>
      <c r="I68" s="1911"/>
      <c r="J68" s="1911"/>
      <c r="K68" s="1911"/>
      <c r="L68" s="1911"/>
      <c r="M68" s="1911"/>
      <c r="N68" s="1911"/>
      <c r="O68" s="1911"/>
      <c r="P68" s="1911"/>
      <c r="Q68" s="1911"/>
      <c r="R68" s="1911"/>
      <c r="S68" s="1911"/>
    </row>
    <row r="69" spans="1:19" x14ac:dyDescent="0.2">
      <c r="A69" s="1911"/>
      <c r="B69" s="1911"/>
      <c r="C69" s="1911"/>
      <c r="D69" s="1911"/>
      <c r="E69" s="1911"/>
      <c r="F69" s="1911"/>
      <c r="G69" s="1911"/>
      <c r="H69" s="1911"/>
      <c r="I69" s="1911"/>
      <c r="J69" s="1911"/>
      <c r="K69" s="1911"/>
      <c r="L69" s="1911"/>
      <c r="M69" s="1911"/>
      <c r="N69" s="1911"/>
      <c r="O69" s="1911"/>
      <c r="P69" s="1911"/>
      <c r="Q69" s="1911"/>
      <c r="R69" s="1911"/>
      <c r="S69" s="1911"/>
    </row>
    <row r="70" spans="1:19" x14ac:dyDescent="0.2">
      <c r="A70" s="1911"/>
      <c r="B70" s="1911"/>
      <c r="C70" s="1911"/>
      <c r="D70" s="1911"/>
      <c r="E70" s="1911"/>
      <c r="F70" s="1911"/>
      <c r="G70" s="1911"/>
      <c r="H70" s="1911"/>
      <c r="I70" s="1911"/>
      <c r="J70" s="1911"/>
      <c r="K70" s="1911"/>
      <c r="L70" s="1911"/>
      <c r="M70" s="1911"/>
      <c r="N70" s="1911"/>
      <c r="O70" s="1911"/>
      <c r="P70" s="1911"/>
      <c r="Q70" s="1911"/>
      <c r="R70" s="1911"/>
      <c r="S70" s="1911"/>
    </row>
    <row r="71" spans="1:19" x14ac:dyDescent="0.2">
      <c r="A71" s="1911"/>
      <c r="B71" s="1911"/>
      <c r="C71" s="1911"/>
      <c r="D71" s="1911"/>
      <c r="E71" s="1911"/>
      <c r="F71" s="1911"/>
      <c r="G71" s="1911"/>
      <c r="H71" s="1911"/>
      <c r="I71" s="1911"/>
      <c r="J71" s="1911"/>
      <c r="K71" s="1911"/>
      <c r="L71" s="1911"/>
      <c r="M71" s="1911"/>
      <c r="N71" s="1911"/>
      <c r="O71" s="1911"/>
      <c r="P71" s="1911"/>
      <c r="Q71" s="1911"/>
      <c r="R71" s="1911"/>
      <c r="S71" s="1911"/>
    </row>
    <row r="72" spans="1:19" x14ac:dyDescent="0.2">
      <c r="A72" s="1911"/>
      <c r="B72" s="1911"/>
      <c r="C72" s="1911"/>
      <c r="D72" s="1911"/>
      <c r="E72" s="1911"/>
      <c r="F72" s="1911"/>
      <c r="G72" s="1911"/>
      <c r="H72" s="1911"/>
      <c r="I72" s="1911"/>
      <c r="J72" s="1911"/>
      <c r="K72" s="1911"/>
      <c r="L72" s="1911"/>
      <c r="M72" s="1911"/>
      <c r="N72" s="1911"/>
      <c r="O72" s="1911"/>
      <c r="P72" s="1911"/>
      <c r="Q72" s="1911"/>
      <c r="R72" s="1911"/>
      <c r="S72" s="1911"/>
    </row>
    <row r="73" spans="1:19" x14ac:dyDescent="0.2">
      <c r="A73" s="1911"/>
      <c r="B73" s="1911"/>
      <c r="C73" s="1911"/>
      <c r="D73" s="1911"/>
      <c r="E73" s="1911"/>
      <c r="F73" s="1911"/>
      <c r="G73" s="1911"/>
      <c r="H73" s="1911"/>
      <c r="I73" s="1911"/>
      <c r="J73" s="1911"/>
      <c r="K73" s="1911"/>
      <c r="L73" s="1911"/>
      <c r="M73" s="1911"/>
      <c r="N73" s="1911"/>
      <c r="O73" s="1911"/>
      <c r="P73" s="1911"/>
      <c r="Q73" s="1911"/>
      <c r="R73" s="1911"/>
      <c r="S73" s="1911"/>
    </row>
    <row r="74" spans="1:19" x14ac:dyDescent="0.2">
      <c r="A74" s="1911"/>
      <c r="B74" s="1911"/>
      <c r="C74" s="1911"/>
      <c r="D74" s="1911"/>
      <c r="E74" s="1911"/>
      <c r="F74" s="1911"/>
      <c r="G74" s="1911"/>
      <c r="H74" s="1911"/>
      <c r="I74" s="1911"/>
      <c r="J74" s="1911"/>
      <c r="K74" s="1911"/>
      <c r="L74" s="1911"/>
      <c r="M74" s="1911"/>
      <c r="N74" s="1911"/>
      <c r="O74" s="1911"/>
      <c r="P74" s="1911"/>
      <c r="Q74" s="1911"/>
      <c r="R74" s="1911"/>
      <c r="S74" s="1911"/>
    </row>
    <row r="75" spans="1:19" x14ac:dyDescent="0.2">
      <c r="A75" s="1923"/>
      <c r="B75" s="1923"/>
      <c r="C75" s="1923"/>
      <c r="D75" s="1923"/>
      <c r="E75" s="1923"/>
      <c r="F75" s="1923"/>
      <c r="G75" s="1923"/>
      <c r="H75" s="1923"/>
      <c r="I75" s="1923"/>
      <c r="J75" s="1923"/>
      <c r="K75" s="1923"/>
      <c r="L75" s="1911"/>
      <c r="M75" s="1911"/>
      <c r="N75" s="1911"/>
      <c r="O75" s="1911"/>
      <c r="P75" s="1911"/>
      <c r="Q75" s="1911"/>
      <c r="R75" s="1911"/>
      <c r="S75" s="1911"/>
    </row>
    <row r="76" spans="1:19" x14ac:dyDescent="0.2">
      <c r="A76" s="1923"/>
      <c r="B76" s="1923"/>
      <c r="C76" s="1923"/>
      <c r="D76" s="1923"/>
      <c r="E76" s="1923"/>
      <c r="F76" s="1923"/>
      <c r="G76" s="1923"/>
      <c r="H76" s="1923"/>
      <c r="I76" s="1923"/>
      <c r="J76" s="1923"/>
      <c r="K76" s="1923"/>
      <c r="L76" s="1911"/>
      <c r="M76" s="1911"/>
      <c r="N76" s="1911"/>
      <c r="O76" s="1911"/>
      <c r="P76" s="1911"/>
      <c r="Q76" s="1911"/>
      <c r="R76" s="1911"/>
      <c r="S76" s="1911"/>
    </row>
    <row r="77" spans="1:19" x14ac:dyDescent="0.2">
      <c r="A77" s="1911"/>
      <c r="B77" s="1911"/>
      <c r="C77" s="1911"/>
      <c r="D77" s="1911"/>
      <c r="E77" s="1911"/>
      <c r="F77" s="1911"/>
      <c r="G77" s="1911"/>
      <c r="H77" s="1911"/>
      <c r="I77" s="1911"/>
      <c r="J77" s="1911"/>
      <c r="K77" s="1911"/>
      <c r="L77" s="1911"/>
      <c r="M77" s="1911"/>
      <c r="N77" s="1911"/>
      <c r="O77" s="1911"/>
      <c r="P77" s="1911"/>
      <c r="Q77" s="1911"/>
      <c r="R77" s="1911"/>
      <c r="S77" s="1911"/>
    </row>
    <row r="78" spans="1:19" x14ac:dyDescent="0.2">
      <c r="L78" s="1911"/>
      <c r="M78" s="1911"/>
      <c r="N78" s="1911"/>
      <c r="O78" s="1911"/>
      <c r="P78" s="1911"/>
      <c r="Q78" s="1911"/>
      <c r="R78" s="1911"/>
      <c r="S78" s="1911"/>
    </row>
    <row r="79" spans="1:19" x14ac:dyDescent="0.2">
      <c r="A79" s="1911"/>
      <c r="B79" s="1911"/>
      <c r="C79" s="1911"/>
      <c r="D79" s="1911"/>
      <c r="E79" s="1911"/>
      <c r="F79" s="1911"/>
      <c r="G79" s="1911"/>
      <c r="H79" s="1911"/>
      <c r="I79" s="1911"/>
      <c r="J79" s="1911"/>
      <c r="K79" s="1911"/>
      <c r="L79" s="1911"/>
      <c r="M79" s="1911"/>
      <c r="N79" s="1911"/>
      <c r="O79" s="1911"/>
      <c r="P79" s="1911"/>
      <c r="Q79" s="1911"/>
      <c r="R79" s="1911"/>
      <c r="S79" s="1911"/>
    </row>
    <row r="80" spans="1:19" x14ac:dyDescent="0.2">
      <c r="A80" s="1911"/>
      <c r="B80" s="1911"/>
      <c r="C80" s="1911"/>
      <c r="D80" s="1911"/>
      <c r="E80" s="1911"/>
      <c r="F80" s="1911"/>
      <c r="G80" s="1911"/>
      <c r="H80" s="1911"/>
      <c r="I80" s="1911"/>
      <c r="J80" s="1911"/>
      <c r="K80" s="1911"/>
      <c r="L80" s="1911"/>
      <c r="M80" s="1911"/>
      <c r="N80" s="1911"/>
      <c r="O80" s="1911"/>
      <c r="P80" s="1911"/>
      <c r="Q80" s="1911"/>
      <c r="R80" s="1911"/>
      <c r="S80" s="1911"/>
    </row>
    <row r="81" spans="1:19" x14ac:dyDescent="0.2">
      <c r="A81" s="1911"/>
      <c r="B81" s="1911"/>
      <c r="C81" s="1911"/>
      <c r="D81" s="1911"/>
      <c r="E81" s="1911"/>
      <c r="F81" s="1911"/>
      <c r="G81" s="1911"/>
      <c r="H81" s="1911"/>
      <c r="I81" s="1911"/>
      <c r="J81" s="1911"/>
      <c r="K81" s="1911"/>
      <c r="L81" s="1911"/>
      <c r="M81" s="1911"/>
      <c r="N81" s="1911"/>
      <c r="O81" s="1911"/>
      <c r="P81" s="1911"/>
      <c r="Q81" s="1911"/>
      <c r="R81" s="1911"/>
      <c r="S81" s="1911"/>
    </row>
    <row r="82" spans="1:19" x14ac:dyDescent="0.2">
      <c r="A82" s="1911"/>
      <c r="B82" s="1911"/>
      <c r="C82" s="1911"/>
      <c r="D82" s="1911"/>
      <c r="E82" s="1911"/>
      <c r="F82" s="1911"/>
      <c r="G82" s="1911"/>
      <c r="H82" s="1911"/>
      <c r="I82" s="1911"/>
      <c r="J82" s="1911"/>
      <c r="K82" s="1911"/>
      <c r="L82" s="1911"/>
      <c r="M82" s="1911"/>
      <c r="N82" s="1911"/>
      <c r="O82" s="1911"/>
      <c r="P82" s="1911"/>
      <c r="Q82" s="1911"/>
      <c r="R82" s="1911"/>
      <c r="S82" s="1911"/>
    </row>
    <row r="83" spans="1:19" x14ac:dyDescent="0.2">
      <c r="A83" s="1911"/>
      <c r="B83" s="1911"/>
      <c r="C83" s="1911"/>
      <c r="D83" s="1911"/>
      <c r="E83" s="1911"/>
      <c r="F83" s="1911"/>
      <c r="G83" s="1911"/>
      <c r="H83" s="1911"/>
      <c r="I83" s="1911"/>
      <c r="J83" s="1911"/>
      <c r="K83" s="1911"/>
      <c r="L83" s="1911"/>
      <c r="M83" s="1911"/>
      <c r="N83" s="1911"/>
      <c r="O83" s="1911"/>
      <c r="P83" s="1911"/>
      <c r="Q83" s="1911"/>
      <c r="R83" s="1911"/>
      <c r="S83" s="1911"/>
    </row>
    <row r="84" spans="1:19" x14ac:dyDescent="0.2">
      <c r="A84" s="1911"/>
      <c r="B84" s="1911"/>
      <c r="C84" s="1911"/>
      <c r="D84" s="1911"/>
      <c r="E84" s="1911"/>
      <c r="F84" s="1911"/>
      <c r="G84" s="1911"/>
      <c r="H84" s="1911"/>
      <c r="I84" s="1911"/>
      <c r="J84" s="1911"/>
      <c r="K84" s="1911"/>
      <c r="L84" s="1911"/>
      <c r="M84" s="1911"/>
      <c r="N84" s="1911"/>
      <c r="O84" s="1911"/>
      <c r="P84" s="1911"/>
      <c r="Q84" s="1911"/>
      <c r="R84" s="1911"/>
      <c r="S84" s="1911"/>
    </row>
    <row r="85" spans="1:19" x14ac:dyDescent="0.2">
      <c r="A85" s="1911"/>
      <c r="B85" s="1911"/>
      <c r="C85" s="1911"/>
      <c r="D85" s="1911"/>
      <c r="E85" s="1911"/>
      <c r="F85" s="1911"/>
      <c r="G85" s="1911"/>
      <c r="H85" s="1911"/>
      <c r="I85" s="1911"/>
      <c r="J85" s="1911"/>
      <c r="K85" s="1911"/>
      <c r="L85" s="1911"/>
      <c r="M85" s="1911"/>
      <c r="N85" s="1911"/>
      <c r="O85" s="1911"/>
      <c r="P85" s="1911"/>
      <c r="Q85" s="1911"/>
      <c r="R85" s="1911"/>
      <c r="S85" s="1911"/>
    </row>
    <row r="86" spans="1:19" x14ac:dyDescent="0.2">
      <c r="A86" s="1911"/>
      <c r="B86" s="1911"/>
      <c r="C86" s="1911"/>
      <c r="D86" s="1911"/>
      <c r="E86" s="1911"/>
      <c r="F86" s="1911"/>
      <c r="G86" s="1911"/>
      <c r="H86" s="1911"/>
      <c r="I86" s="1911"/>
      <c r="J86" s="1911"/>
      <c r="K86" s="1911"/>
      <c r="L86" s="1911"/>
      <c r="M86" s="1911"/>
      <c r="N86" s="1911"/>
      <c r="O86" s="1911"/>
      <c r="P86" s="1911"/>
      <c r="Q86" s="1911"/>
      <c r="R86" s="1911"/>
      <c r="S86" s="1911"/>
    </row>
    <row r="87" spans="1:19" x14ac:dyDescent="0.2">
      <c r="A87" s="1911"/>
      <c r="B87" s="1911"/>
      <c r="C87" s="1911"/>
      <c r="D87" s="1911"/>
      <c r="E87" s="1911"/>
      <c r="F87" s="1911"/>
      <c r="G87" s="1911"/>
      <c r="H87" s="1911"/>
      <c r="I87" s="1911"/>
      <c r="J87" s="1911"/>
      <c r="K87" s="1911"/>
      <c r="L87" s="1911"/>
      <c r="M87" s="1911"/>
      <c r="N87" s="1911"/>
      <c r="O87" s="1911"/>
      <c r="P87" s="1911"/>
      <c r="Q87" s="1911"/>
      <c r="R87" s="1911"/>
      <c r="S87" s="1911"/>
    </row>
    <row r="88" spans="1:19" x14ac:dyDescent="0.2">
      <c r="A88" s="1911"/>
      <c r="B88" s="1911"/>
      <c r="C88" s="1911"/>
      <c r="D88" s="1911"/>
      <c r="E88" s="1911"/>
      <c r="F88" s="1911"/>
      <c r="G88" s="1911"/>
      <c r="H88" s="1911"/>
      <c r="I88" s="1911"/>
      <c r="J88" s="1911"/>
      <c r="K88" s="1911"/>
      <c r="L88" s="1911"/>
      <c r="M88" s="1911"/>
      <c r="N88" s="1911"/>
      <c r="O88" s="1911"/>
      <c r="P88" s="1911"/>
      <c r="Q88" s="1911"/>
      <c r="R88" s="1911"/>
      <c r="S88" s="1911"/>
    </row>
    <row r="89" spans="1:19" x14ac:dyDescent="0.2">
      <c r="A89" s="1911"/>
      <c r="B89" s="1911"/>
      <c r="C89" s="1911"/>
      <c r="D89" s="1911"/>
      <c r="E89" s="1911"/>
      <c r="F89" s="1911"/>
      <c r="G89" s="1911"/>
      <c r="H89" s="1911"/>
      <c r="I89" s="1911"/>
      <c r="J89" s="1911"/>
      <c r="K89" s="1911"/>
      <c r="L89" s="1911"/>
      <c r="M89" s="1911"/>
      <c r="N89" s="1911"/>
      <c r="O89" s="1911"/>
      <c r="P89" s="1911"/>
      <c r="Q89" s="1911"/>
      <c r="R89" s="1911"/>
      <c r="S89" s="1911"/>
    </row>
    <row r="90" spans="1:19" x14ac:dyDescent="0.2">
      <c r="A90" s="1911"/>
      <c r="B90" s="1911"/>
      <c r="C90" s="1911"/>
      <c r="D90" s="1911"/>
      <c r="E90" s="1911"/>
      <c r="F90" s="1911"/>
      <c r="G90" s="1911"/>
      <c r="H90" s="1911"/>
      <c r="I90" s="1911"/>
      <c r="J90" s="1911"/>
      <c r="K90" s="1911"/>
      <c r="L90" s="1911"/>
      <c r="M90" s="1911"/>
      <c r="N90" s="1911"/>
      <c r="O90" s="1911"/>
      <c r="P90" s="1911"/>
      <c r="Q90" s="1911"/>
      <c r="R90" s="1911"/>
      <c r="S90" s="1911"/>
    </row>
    <row r="91" spans="1:19" x14ac:dyDescent="0.2">
      <c r="A91" s="1911"/>
      <c r="B91" s="1911"/>
      <c r="C91" s="1911"/>
      <c r="D91" s="1911"/>
      <c r="E91" s="1911"/>
      <c r="F91" s="1911"/>
      <c r="G91" s="1911"/>
      <c r="H91" s="1911"/>
      <c r="I91" s="1911"/>
      <c r="J91" s="1911"/>
      <c r="K91" s="1911"/>
      <c r="L91" s="1911"/>
      <c r="M91" s="1911"/>
      <c r="N91" s="1911"/>
      <c r="O91" s="1911"/>
      <c r="P91" s="1911"/>
      <c r="Q91" s="1911"/>
      <c r="R91" s="1911"/>
      <c r="S91" s="1911"/>
    </row>
    <row r="92" spans="1:19" x14ac:dyDescent="0.2">
      <c r="A92" s="1911"/>
      <c r="B92" s="1911"/>
      <c r="C92" s="1911"/>
      <c r="D92" s="1911"/>
      <c r="E92" s="1911"/>
      <c r="F92" s="1911"/>
      <c r="G92" s="1911"/>
      <c r="H92" s="1911"/>
      <c r="I92" s="1911"/>
      <c r="J92" s="1911"/>
      <c r="K92" s="1911"/>
      <c r="L92" s="1911"/>
      <c r="M92" s="1911"/>
      <c r="N92" s="1911"/>
      <c r="O92" s="1911"/>
      <c r="P92" s="1911"/>
      <c r="Q92" s="1911"/>
      <c r="R92" s="1911"/>
      <c r="S92" s="1911"/>
    </row>
    <row r="93" spans="1:19" x14ac:dyDescent="0.2">
      <c r="A93" s="1911"/>
      <c r="B93" s="1911"/>
      <c r="C93" s="1911"/>
      <c r="D93" s="1911"/>
      <c r="E93" s="1911"/>
      <c r="F93" s="1911"/>
      <c r="G93" s="1911"/>
      <c r="H93" s="1911"/>
      <c r="I93" s="1911"/>
      <c r="J93" s="1911"/>
      <c r="K93" s="1911"/>
      <c r="L93" s="1911"/>
      <c r="M93" s="1911"/>
      <c r="N93" s="1911"/>
      <c r="O93" s="1911"/>
      <c r="P93" s="1911"/>
      <c r="Q93" s="1911"/>
      <c r="R93" s="1911"/>
      <c r="S93" s="1911"/>
    </row>
    <row r="94" spans="1:19" x14ac:dyDescent="0.2">
      <c r="A94" s="1911"/>
      <c r="B94" s="1911"/>
      <c r="C94" s="1911"/>
      <c r="D94" s="1911"/>
      <c r="E94" s="1911"/>
      <c r="F94" s="1911"/>
      <c r="G94" s="1911"/>
      <c r="H94" s="1911"/>
      <c r="I94" s="1911"/>
      <c r="J94" s="1911"/>
      <c r="K94" s="1911"/>
      <c r="L94" s="1911"/>
      <c r="M94" s="1911"/>
      <c r="N94" s="1911"/>
      <c r="O94" s="1911"/>
      <c r="P94" s="1911"/>
      <c r="Q94" s="1911"/>
      <c r="R94" s="1911"/>
      <c r="S94" s="1911"/>
    </row>
    <row r="95" spans="1:19" x14ac:dyDescent="0.2">
      <c r="A95" s="1911"/>
      <c r="B95" s="1911"/>
      <c r="C95" s="1911"/>
      <c r="D95" s="1911"/>
      <c r="E95" s="1911"/>
      <c r="F95" s="1911"/>
      <c r="G95" s="1911"/>
      <c r="H95" s="1911"/>
      <c r="I95" s="1911"/>
      <c r="J95" s="1911"/>
      <c r="K95" s="1911"/>
      <c r="L95" s="1911"/>
      <c r="M95" s="1911"/>
      <c r="N95" s="1911"/>
      <c r="O95" s="1911"/>
      <c r="P95" s="1911"/>
      <c r="Q95" s="1911"/>
      <c r="R95" s="1911"/>
      <c r="S95" s="1911"/>
    </row>
    <row r="96" spans="1:19" x14ac:dyDescent="0.2">
      <c r="A96" s="1911"/>
      <c r="B96" s="1911"/>
      <c r="C96" s="1911"/>
      <c r="D96" s="1911"/>
      <c r="E96" s="1911"/>
      <c r="F96" s="1911"/>
      <c r="G96" s="1911"/>
      <c r="H96" s="1911"/>
      <c r="I96" s="1911"/>
      <c r="J96" s="1911"/>
      <c r="K96" s="1911"/>
      <c r="L96" s="1911"/>
      <c r="M96" s="1911"/>
      <c r="N96" s="1911"/>
      <c r="O96" s="1911"/>
      <c r="P96" s="1911"/>
      <c r="Q96" s="1911"/>
      <c r="R96" s="1911"/>
      <c r="S96" s="1911"/>
    </row>
    <row r="97" spans="1:19" x14ac:dyDescent="0.2">
      <c r="A97" s="1911"/>
      <c r="B97" s="1911"/>
      <c r="C97" s="1911"/>
      <c r="D97" s="1911"/>
      <c r="E97" s="1911"/>
      <c r="F97" s="1911"/>
      <c r="G97" s="1911"/>
      <c r="H97" s="1911"/>
      <c r="I97" s="1911"/>
      <c r="J97" s="1911"/>
      <c r="K97" s="1911"/>
      <c r="L97" s="1911"/>
      <c r="M97" s="1911"/>
      <c r="N97" s="1911"/>
      <c r="O97" s="1911"/>
      <c r="P97" s="1911"/>
      <c r="Q97" s="1911"/>
      <c r="R97" s="1911"/>
      <c r="S97" s="1911"/>
    </row>
    <row r="98" spans="1:19" x14ac:dyDescent="0.2">
      <c r="A98" s="1911"/>
      <c r="B98" s="1911"/>
      <c r="C98" s="1911"/>
      <c r="D98" s="1911"/>
      <c r="E98" s="1911"/>
      <c r="F98" s="1911"/>
      <c r="G98" s="1911"/>
      <c r="H98" s="1911"/>
      <c r="I98" s="1911"/>
      <c r="J98" s="1911"/>
      <c r="K98" s="1911"/>
      <c r="L98" s="1911"/>
      <c r="M98" s="1911"/>
      <c r="N98" s="1911"/>
      <c r="O98" s="1911"/>
      <c r="P98" s="1911"/>
      <c r="Q98" s="1911"/>
      <c r="R98" s="1911"/>
      <c r="S98" s="1911"/>
    </row>
    <row r="99" spans="1:19" x14ac:dyDescent="0.2">
      <c r="A99" s="1911"/>
      <c r="B99" s="1911"/>
      <c r="C99" s="1911"/>
      <c r="D99" s="1911"/>
      <c r="E99" s="1911"/>
      <c r="F99" s="1911"/>
      <c r="G99" s="1911"/>
      <c r="H99" s="1911"/>
      <c r="I99" s="1911"/>
      <c r="J99" s="1911"/>
      <c r="K99" s="1911"/>
      <c r="L99" s="1911"/>
      <c r="M99" s="1911"/>
      <c r="N99" s="1911"/>
      <c r="O99" s="1911"/>
      <c r="P99" s="1911"/>
      <c r="Q99" s="1911"/>
      <c r="R99" s="1911"/>
      <c r="S99" s="1911"/>
    </row>
    <row r="100" spans="1:19" x14ac:dyDescent="0.2">
      <c r="A100" s="1911"/>
      <c r="B100" s="1911"/>
      <c r="C100" s="1911"/>
      <c r="D100" s="1911"/>
      <c r="E100" s="1911"/>
      <c r="F100" s="1911"/>
      <c r="G100" s="1911"/>
      <c r="H100" s="1911"/>
      <c r="I100" s="1911"/>
      <c r="J100" s="1911"/>
      <c r="K100" s="1911"/>
      <c r="L100" s="1911"/>
      <c r="M100" s="1911"/>
      <c r="N100" s="1911"/>
      <c r="O100" s="1911"/>
      <c r="P100" s="1911"/>
      <c r="Q100" s="1911"/>
      <c r="R100" s="1911"/>
      <c r="S100" s="1911"/>
    </row>
    <row r="101" spans="1:19" x14ac:dyDescent="0.2">
      <c r="A101" s="1911"/>
      <c r="B101" s="1911"/>
      <c r="C101" s="1911"/>
      <c r="D101" s="1911"/>
      <c r="E101" s="1911"/>
      <c r="F101" s="1911"/>
      <c r="G101" s="1911"/>
      <c r="H101" s="1911"/>
      <c r="I101" s="1911"/>
      <c r="J101" s="1911"/>
      <c r="K101" s="1911"/>
      <c r="L101" s="1911"/>
      <c r="M101" s="1911"/>
      <c r="N101" s="1911"/>
      <c r="O101" s="1911"/>
      <c r="P101" s="1911"/>
      <c r="Q101" s="1911"/>
      <c r="R101" s="1911"/>
      <c r="S101" s="1911"/>
    </row>
    <row r="102" spans="1:19" x14ac:dyDescent="0.2">
      <c r="A102" s="1911"/>
      <c r="B102" s="1911"/>
      <c r="C102" s="1911"/>
      <c r="D102" s="1911"/>
      <c r="E102" s="1911"/>
      <c r="F102" s="1911"/>
      <c r="G102" s="1911"/>
      <c r="H102" s="1911"/>
      <c r="I102" s="1911"/>
      <c r="J102" s="1911"/>
      <c r="K102" s="1911"/>
      <c r="L102" s="1911"/>
      <c r="M102" s="1911"/>
      <c r="N102" s="1911"/>
      <c r="O102" s="1911"/>
      <c r="P102" s="1911"/>
      <c r="Q102" s="1911"/>
      <c r="R102" s="1911"/>
      <c r="S102" s="1911"/>
    </row>
    <row r="103" spans="1:19" x14ac:dyDescent="0.2">
      <c r="A103" s="1911"/>
      <c r="B103" s="1911"/>
      <c r="C103" s="1911"/>
      <c r="D103" s="1911"/>
      <c r="E103" s="1911"/>
      <c r="F103" s="1911"/>
      <c r="G103" s="1911"/>
      <c r="H103" s="1911"/>
      <c r="I103" s="1911"/>
      <c r="J103" s="1911"/>
      <c r="K103" s="1911"/>
      <c r="L103" s="1911"/>
      <c r="M103" s="1911"/>
      <c r="N103" s="1911"/>
      <c r="O103" s="1911"/>
      <c r="P103" s="1911"/>
      <c r="Q103" s="1911"/>
      <c r="R103" s="1911"/>
      <c r="S103" s="1911"/>
    </row>
    <row r="104" spans="1:19" x14ac:dyDescent="0.2">
      <c r="A104" s="1911"/>
      <c r="B104" s="1911"/>
      <c r="C104" s="1911"/>
      <c r="D104" s="1911"/>
      <c r="E104" s="1911"/>
      <c r="F104" s="1911"/>
      <c r="G104" s="1911"/>
      <c r="H104" s="1911"/>
      <c r="I104" s="1911"/>
      <c r="J104" s="1911"/>
      <c r="K104" s="1911"/>
      <c r="L104" s="1911"/>
      <c r="M104" s="1911"/>
      <c r="N104" s="1911"/>
      <c r="O104" s="1911"/>
      <c r="P104" s="1911"/>
      <c r="Q104" s="1911"/>
      <c r="R104" s="1911"/>
      <c r="S104" s="1911"/>
    </row>
    <row r="105" spans="1:19" x14ac:dyDescent="0.2">
      <c r="A105" s="1911"/>
      <c r="B105" s="1911"/>
      <c r="C105" s="1911"/>
      <c r="D105" s="1911"/>
      <c r="E105" s="1911"/>
      <c r="F105" s="1911"/>
      <c r="G105" s="1911"/>
      <c r="H105" s="1911"/>
      <c r="I105" s="1911"/>
      <c r="J105" s="1911"/>
      <c r="K105" s="1911"/>
      <c r="L105" s="1911"/>
      <c r="M105" s="1911"/>
      <c r="N105" s="1911"/>
      <c r="O105" s="1911"/>
      <c r="P105" s="1911"/>
      <c r="Q105" s="1911"/>
      <c r="R105" s="1911"/>
      <c r="S105" s="1911"/>
    </row>
    <row r="106" spans="1:19" x14ac:dyDescent="0.2">
      <c r="A106" s="1911"/>
      <c r="B106" s="1911"/>
      <c r="C106" s="1911"/>
      <c r="D106" s="1911"/>
      <c r="E106" s="1911"/>
      <c r="F106" s="1911"/>
      <c r="G106" s="1911"/>
      <c r="H106" s="1911"/>
      <c r="I106" s="1911"/>
      <c r="J106" s="1911"/>
      <c r="K106" s="1911"/>
      <c r="L106" s="1911"/>
      <c r="M106" s="1911"/>
      <c r="N106" s="1911"/>
      <c r="O106" s="1911"/>
      <c r="P106" s="1911"/>
      <c r="Q106" s="1911"/>
      <c r="R106" s="1911"/>
      <c r="S106" s="1911"/>
    </row>
    <row r="107" spans="1:19" x14ac:dyDescent="0.2">
      <c r="A107" s="1911"/>
      <c r="B107" s="1911"/>
      <c r="C107" s="1911"/>
      <c r="D107" s="1911"/>
      <c r="E107" s="1911"/>
      <c r="F107" s="1911"/>
      <c r="G107" s="1911"/>
      <c r="H107" s="1911"/>
      <c r="I107" s="1911"/>
      <c r="J107" s="1911"/>
      <c r="K107" s="1911"/>
      <c r="L107" s="1911"/>
      <c r="M107" s="1911"/>
      <c r="N107" s="1911"/>
      <c r="O107" s="1911"/>
      <c r="P107" s="1911"/>
      <c r="Q107" s="1911"/>
      <c r="R107" s="1911"/>
      <c r="S107" s="1911"/>
    </row>
    <row r="108" spans="1:19" x14ac:dyDescent="0.2">
      <c r="A108" s="1911"/>
      <c r="B108" s="1911"/>
      <c r="C108" s="1911"/>
      <c r="D108" s="1911"/>
      <c r="E108" s="1911"/>
      <c r="F108" s="1911"/>
      <c r="G108" s="1911"/>
      <c r="H108" s="1911"/>
      <c r="I108" s="1911"/>
      <c r="J108" s="1911"/>
      <c r="K108" s="1911"/>
      <c r="L108" s="1911"/>
      <c r="M108" s="1911"/>
      <c r="N108" s="1911"/>
      <c r="O108" s="1911"/>
      <c r="P108" s="1911"/>
      <c r="Q108" s="1911"/>
      <c r="R108" s="1911"/>
      <c r="S108" s="1911"/>
    </row>
    <row r="109" spans="1:19" x14ac:dyDescent="0.2">
      <c r="A109" s="1911"/>
      <c r="B109" s="1911"/>
      <c r="C109" s="1911"/>
      <c r="D109" s="1911"/>
      <c r="E109" s="1911"/>
      <c r="F109" s="1911"/>
      <c r="G109" s="1911"/>
      <c r="H109" s="1911"/>
      <c r="I109" s="1911"/>
      <c r="J109" s="1911"/>
      <c r="K109" s="1911"/>
      <c r="L109" s="1911"/>
      <c r="M109" s="1911"/>
      <c r="N109" s="1911"/>
      <c r="O109" s="1911"/>
      <c r="P109" s="1911"/>
      <c r="Q109" s="1911"/>
      <c r="R109" s="1911"/>
      <c r="S109" s="1911"/>
    </row>
    <row r="110" spans="1:19" x14ac:dyDescent="0.2">
      <c r="A110" s="1911"/>
      <c r="B110" s="1911"/>
      <c r="C110" s="1911"/>
      <c r="D110" s="1911"/>
      <c r="E110" s="1911"/>
      <c r="F110" s="1911"/>
      <c r="G110" s="1911"/>
      <c r="H110" s="1911"/>
      <c r="I110" s="1911"/>
      <c r="J110" s="1911"/>
      <c r="K110" s="1911"/>
      <c r="L110" s="1911"/>
      <c r="M110" s="1911"/>
      <c r="N110" s="1911"/>
      <c r="O110" s="1911"/>
      <c r="P110" s="1911"/>
      <c r="Q110" s="1911"/>
      <c r="R110" s="1911"/>
      <c r="S110" s="1911"/>
    </row>
    <row r="111" spans="1:19" x14ac:dyDescent="0.2">
      <c r="A111" s="1911"/>
      <c r="B111" s="1911"/>
      <c r="C111" s="1911"/>
      <c r="D111" s="1911"/>
      <c r="E111" s="1911"/>
      <c r="F111" s="1911"/>
      <c r="G111" s="1911"/>
      <c r="H111" s="1911"/>
      <c r="I111" s="1911"/>
      <c r="J111" s="1911"/>
      <c r="K111" s="1911"/>
      <c r="L111" s="1911"/>
      <c r="M111" s="1911"/>
      <c r="N111" s="1911"/>
      <c r="O111" s="1911"/>
      <c r="P111" s="1911"/>
      <c r="Q111" s="1911"/>
      <c r="R111" s="1911"/>
      <c r="S111" s="1911"/>
    </row>
  </sheetData>
  <sheetProtection algorithmName="SHA-512" hashValue="aNO8DYk9js1e8Psuxg8nlV1JnChy4jEphxoMftP0ZLOjnfCaBJmzw/UQXoy/W7eOkQNn2wOMg7NZQP1qo6DC9Q==" saltValue="gHOWFAhCdYu4W42dpSrJIQ==" spinCount="100000" sheet="1" objects="1" scenarios="1"/>
  <mergeCells count="123">
    <mergeCell ref="A109:K109"/>
    <mergeCell ref="L109:S109"/>
    <mergeCell ref="A110:K110"/>
    <mergeCell ref="L110:S110"/>
    <mergeCell ref="A111:K111"/>
    <mergeCell ref="L111:S111"/>
    <mergeCell ref="A106:K106"/>
    <mergeCell ref="L106:S106"/>
    <mergeCell ref="A107:K107"/>
    <mergeCell ref="L107:S107"/>
    <mergeCell ref="A108:K108"/>
    <mergeCell ref="L108:S108"/>
    <mergeCell ref="A103:K103"/>
    <mergeCell ref="L103:S103"/>
    <mergeCell ref="A104:K104"/>
    <mergeCell ref="L104:S104"/>
    <mergeCell ref="A105:K105"/>
    <mergeCell ref="L105:S105"/>
    <mergeCell ref="A100:K100"/>
    <mergeCell ref="L100:S100"/>
    <mergeCell ref="A101:K101"/>
    <mergeCell ref="L101:S101"/>
    <mergeCell ref="A102:K102"/>
    <mergeCell ref="L102:S102"/>
    <mergeCell ref="A97:K97"/>
    <mergeCell ref="L97:S97"/>
    <mergeCell ref="A98:K98"/>
    <mergeCell ref="L98:S98"/>
    <mergeCell ref="A99:K99"/>
    <mergeCell ref="L99:S99"/>
    <mergeCell ref="A94:K94"/>
    <mergeCell ref="L94:S94"/>
    <mergeCell ref="A95:K95"/>
    <mergeCell ref="L95:S95"/>
    <mergeCell ref="A96:K96"/>
    <mergeCell ref="L96:S96"/>
    <mergeCell ref="A91:K91"/>
    <mergeCell ref="L91:S91"/>
    <mergeCell ref="A92:K92"/>
    <mergeCell ref="L92:S92"/>
    <mergeCell ref="A93:K93"/>
    <mergeCell ref="L93:S93"/>
    <mergeCell ref="A88:K88"/>
    <mergeCell ref="L88:S88"/>
    <mergeCell ref="A89:K89"/>
    <mergeCell ref="L89:S89"/>
    <mergeCell ref="A90:K90"/>
    <mergeCell ref="L90:S90"/>
    <mergeCell ref="A85:K85"/>
    <mergeCell ref="L85:S85"/>
    <mergeCell ref="A86:K86"/>
    <mergeCell ref="L86:S86"/>
    <mergeCell ref="A87:K87"/>
    <mergeCell ref="L87:S87"/>
    <mergeCell ref="A82:K82"/>
    <mergeCell ref="L82:S82"/>
    <mergeCell ref="A83:K83"/>
    <mergeCell ref="L83:S83"/>
    <mergeCell ref="A84:K84"/>
    <mergeCell ref="L84:S84"/>
    <mergeCell ref="L78:S78"/>
    <mergeCell ref="A79:K79"/>
    <mergeCell ref="L79:S79"/>
    <mergeCell ref="A80:K80"/>
    <mergeCell ref="L80:S80"/>
    <mergeCell ref="A81:K81"/>
    <mergeCell ref="L81:S81"/>
    <mergeCell ref="A75:K75"/>
    <mergeCell ref="L75:S75"/>
    <mergeCell ref="A76:K76"/>
    <mergeCell ref="L76:S76"/>
    <mergeCell ref="A77:K77"/>
    <mergeCell ref="L77:S77"/>
    <mergeCell ref="A72:K72"/>
    <mergeCell ref="L72:S72"/>
    <mergeCell ref="A73:K73"/>
    <mergeCell ref="L73:S73"/>
    <mergeCell ref="A74:K74"/>
    <mergeCell ref="L74:S74"/>
    <mergeCell ref="A69:K69"/>
    <mergeCell ref="L69:S69"/>
    <mergeCell ref="A70:K70"/>
    <mergeCell ref="L70:S70"/>
    <mergeCell ref="A71:K71"/>
    <mergeCell ref="L71:S71"/>
    <mergeCell ref="A66:K66"/>
    <mergeCell ref="L66:S66"/>
    <mergeCell ref="A67:K67"/>
    <mergeCell ref="L67:S67"/>
    <mergeCell ref="A68:K68"/>
    <mergeCell ref="L68:S68"/>
    <mergeCell ref="A63:K63"/>
    <mergeCell ref="L63:S63"/>
    <mergeCell ref="A64:K64"/>
    <mergeCell ref="L64:S64"/>
    <mergeCell ref="A65:K65"/>
    <mergeCell ref="L65:S65"/>
    <mergeCell ref="A59:K59"/>
    <mergeCell ref="L59:S59"/>
    <mergeCell ref="A60:K60"/>
    <mergeCell ref="L60:S60"/>
    <mergeCell ref="L61:S61"/>
    <mergeCell ref="A62:K62"/>
    <mergeCell ref="L62:S62"/>
    <mergeCell ref="B44:M44"/>
    <mergeCell ref="B45:M45"/>
    <mergeCell ref="B48:L48"/>
    <mergeCell ref="A49:M50"/>
    <mergeCell ref="A55:M55"/>
    <mergeCell ref="A58:K58"/>
    <mergeCell ref="L58:S58"/>
    <mergeCell ref="A21:I21"/>
    <mergeCell ref="A22:I22"/>
    <mergeCell ref="A28:K30"/>
    <mergeCell ref="A32:J32"/>
    <mergeCell ref="A38:K38"/>
    <mergeCell ref="A39:L39"/>
    <mergeCell ref="A1:K1"/>
    <mergeCell ref="A2:K2"/>
    <mergeCell ref="A6:K6"/>
    <mergeCell ref="E9:F9"/>
    <mergeCell ref="A20:J20"/>
    <mergeCell ref="A11:A18"/>
  </mergeCells>
  <pageMargins left="0.7" right="0.7" top="0.75" bottom="0.75" header="0.3" footer="0.3"/>
  <pageSetup scale="60" fitToHeight="0" orientation="landscape" horizontalDpi="200" verticalDpi="200" r:id="rId1"/>
  <rowBreaks count="1" manualBreakCount="1">
    <brk id="39" max="12"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6">
    <tabColor rgb="FF00B0F0"/>
  </sheetPr>
  <dimension ref="A1:U541"/>
  <sheetViews>
    <sheetView showGridLines="0" topLeftCell="B1" zoomScale="85" zoomScaleNormal="85" zoomScaleSheetLayoutView="40" workbookViewId="0">
      <selection activeCell="H465" sqref="H465:J505"/>
    </sheetView>
  </sheetViews>
  <sheetFormatPr defaultColWidth="9.28515625" defaultRowHeight="12.75" x14ac:dyDescent="0.2"/>
  <cols>
    <col min="1" max="1" width="7.7109375" style="430" customWidth="1"/>
    <col min="2" max="2" width="10.28515625" style="430" customWidth="1"/>
    <col min="3" max="3" width="37.7109375" style="34" customWidth="1"/>
    <col min="4" max="4" width="14.140625" style="34" bestFit="1" customWidth="1"/>
    <col min="5" max="5" width="19.7109375" style="34" bestFit="1" customWidth="1"/>
    <col min="6" max="6" width="13.140625" style="34" customWidth="1"/>
    <col min="7" max="7" width="13.85546875" style="34" bestFit="1" customWidth="1"/>
    <col min="8" max="8" width="15.7109375" style="83" customWidth="1"/>
    <col min="9" max="9" width="24.7109375" style="34" bestFit="1" customWidth="1"/>
    <col min="10" max="10" width="13.140625" style="34" customWidth="1"/>
    <col min="11" max="11" width="14.140625" style="34" bestFit="1" customWidth="1"/>
    <col min="12" max="12" width="13.5703125" style="34" bestFit="1" customWidth="1"/>
    <col min="13" max="13" width="14.140625" style="34" bestFit="1" customWidth="1"/>
    <col min="14" max="14" width="15.5703125" style="34" customWidth="1"/>
    <col min="15" max="15" width="13.140625" style="34" bestFit="1" customWidth="1"/>
    <col min="16" max="16" width="11.42578125" style="34" bestFit="1" customWidth="1"/>
    <col min="17" max="17" width="13.140625" style="34" bestFit="1" customWidth="1"/>
    <col min="18" max="18" width="9.28515625" style="34"/>
    <col min="19" max="19" width="14.140625" style="34" bestFit="1" customWidth="1"/>
    <col min="20" max="16384" width="9.28515625" style="34"/>
  </cols>
  <sheetData>
    <row r="1" spans="1:14" x14ac:dyDescent="0.2">
      <c r="L1" s="79" t="s">
        <v>264</v>
      </c>
      <c r="M1" s="875" t="str">
        <f>EBNUMBER</f>
        <v>EB-2019-0037</v>
      </c>
    </row>
    <row r="2" spans="1:14" x14ac:dyDescent="0.2">
      <c r="L2" s="79" t="s">
        <v>265</v>
      </c>
      <c r="M2" s="33"/>
    </row>
    <row r="3" spans="1:14" x14ac:dyDescent="0.2">
      <c r="L3" s="79" t="s">
        <v>266</v>
      </c>
      <c r="M3" s="33"/>
    </row>
    <row r="4" spans="1:14" x14ac:dyDescent="0.2">
      <c r="L4" s="79" t="s">
        <v>267</v>
      </c>
      <c r="M4" s="33"/>
    </row>
    <row r="5" spans="1:14" x14ac:dyDescent="0.2">
      <c r="L5" s="79" t="s">
        <v>268</v>
      </c>
      <c r="M5" s="441"/>
    </row>
    <row r="6" spans="1:14" ht="9" customHeight="1" x14ac:dyDescent="0.2">
      <c r="L6" s="79"/>
      <c r="M6" s="440"/>
    </row>
    <row r="7" spans="1:14" x14ac:dyDescent="0.2">
      <c r="L7" s="79" t="s">
        <v>269</v>
      </c>
      <c r="M7" s="1697"/>
    </row>
    <row r="8" spans="1:14" ht="9" customHeight="1" x14ac:dyDescent="0.2"/>
    <row r="9" spans="1:14" ht="20.25" customHeight="1" x14ac:dyDescent="0.2">
      <c r="A9" s="1924" t="s">
        <v>398</v>
      </c>
      <c r="B9" s="1924"/>
      <c r="C9" s="1924"/>
      <c r="D9" s="1924"/>
      <c r="E9" s="1924"/>
      <c r="F9" s="1924"/>
      <c r="G9" s="1924"/>
      <c r="H9" s="1924"/>
      <c r="I9" s="1924"/>
      <c r="J9" s="1924"/>
      <c r="K9" s="1924"/>
      <c r="L9" s="1924"/>
      <c r="M9" s="1924"/>
    </row>
    <row r="10" spans="1:14" ht="21" x14ac:dyDescent="0.2">
      <c r="A10" s="1924" t="s">
        <v>866</v>
      </c>
      <c r="B10" s="1924"/>
      <c r="C10" s="1924"/>
      <c r="D10" s="1924"/>
      <c r="E10" s="1924"/>
      <c r="F10" s="1924"/>
      <c r="G10" s="1924"/>
      <c r="H10" s="1924"/>
      <c r="I10" s="1924"/>
      <c r="J10" s="1924"/>
      <c r="K10" s="1924"/>
      <c r="L10" s="1924"/>
      <c r="M10" s="1924"/>
    </row>
    <row r="11" spans="1:14" x14ac:dyDescent="0.2">
      <c r="H11" s="34"/>
    </row>
    <row r="12" spans="1:14" x14ac:dyDescent="0.2">
      <c r="E12" s="70" t="s">
        <v>778</v>
      </c>
      <c r="F12" s="30" t="s">
        <v>91</v>
      </c>
      <c r="H12" s="34"/>
    </row>
    <row r="13" spans="1:14" ht="15" x14ac:dyDescent="0.25">
      <c r="C13" s="38"/>
      <c r="E13" s="70" t="s">
        <v>89</v>
      </c>
      <c r="F13" s="84">
        <v>2013</v>
      </c>
      <c r="G13" s="85"/>
    </row>
    <row r="15" spans="1:14" x14ac:dyDescent="0.2">
      <c r="D15" s="1926" t="s">
        <v>233</v>
      </c>
      <c r="E15" s="1927"/>
      <c r="F15" s="1927"/>
      <c r="G15" s="1927"/>
      <c r="H15" s="1928"/>
      <c r="I15" s="1926" t="s">
        <v>234</v>
      </c>
      <c r="J15" s="1927"/>
      <c r="K15" s="1927"/>
      <c r="L15" s="1927"/>
      <c r="M15" s="1928"/>
      <c r="N15" s="83"/>
    </row>
    <row r="16" spans="1:14" ht="39.6" customHeight="1" x14ac:dyDescent="0.2">
      <c r="A16" s="89" t="s">
        <v>867</v>
      </c>
      <c r="B16" s="89" t="s">
        <v>869</v>
      </c>
      <c r="C16" s="90" t="s">
        <v>870</v>
      </c>
      <c r="D16" s="89" t="s">
        <v>206</v>
      </c>
      <c r="E16" s="89" t="s">
        <v>1648</v>
      </c>
      <c r="F16" s="91" t="s">
        <v>868</v>
      </c>
      <c r="G16" s="91" t="s">
        <v>929</v>
      </c>
      <c r="H16" s="89" t="s">
        <v>232</v>
      </c>
      <c r="I16" s="92" t="s">
        <v>206</v>
      </c>
      <c r="J16" s="92" t="s">
        <v>1649</v>
      </c>
      <c r="K16" s="93" t="s">
        <v>207</v>
      </c>
      <c r="L16" s="93" t="s">
        <v>929</v>
      </c>
      <c r="M16" s="94" t="s">
        <v>232</v>
      </c>
      <c r="N16" s="89" t="s">
        <v>263</v>
      </c>
    </row>
    <row r="17" spans="1:14" ht="25.5" hidden="1" customHeight="1" x14ac:dyDescent="0.2">
      <c r="A17" s="89"/>
      <c r="B17" s="1545">
        <v>1609</v>
      </c>
      <c r="C17" s="95" t="s">
        <v>1073</v>
      </c>
      <c r="D17" s="96"/>
      <c r="E17" s="96"/>
      <c r="F17" s="96"/>
      <c r="G17" s="96"/>
      <c r="H17" s="1372">
        <f>D17+E17+F17+G17</f>
        <v>0</v>
      </c>
      <c r="I17" s="98"/>
      <c r="J17" s="98"/>
      <c r="K17" s="96"/>
      <c r="L17" s="96"/>
      <c r="M17" s="1372">
        <f>I17+K17+L17</f>
        <v>0</v>
      </c>
      <c r="N17" s="1374">
        <f t="shared" ref="N17:N60" si="0">H17+M17</f>
        <v>0</v>
      </c>
    </row>
    <row r="18" spans="1:14" ht="25.5" hidden="1" customHeight="1" x14ac:dyDescent="0.2">
      <c r="A18" s="89"/>
      <c r="B18" s="1659">
        <v>1610</v>
      </c>
      <c r="C18" s="95" t="s">
        <v>1527</v>
      </c>
      <c r="D18" s="96"/>
      <c r="E18" s="96"/>
      <c r="F18" s="96"/>
      <c r="G18" s="96"/>
      <c r="H18" s="1372">
        <f t="shared" ref="H18:H60" si="1">D18+E18+F18+G18</f>
        <v>0</v>
      </c>
      <c r="I18" s="98"/>
      <c r="J18" s="98"/>
      <c r="K18" s="96"/>
      <c r="L18" s="96"/>
      <c r="M18" s="1372"/>
      <c r="N18" s="1374">
        <f t="shared" si="0"/>
        <v>0</v>
      </c>
    </row>
    <row r="19" spans="1:14" ht="25.5" x14ac:dyDescent="0.2">
      <c r="A19" s="35">
        <v>12</v>
      </c>
      <c r="B19" s="1545">
        <v>1611</v>
      </c>
      <c r="C19" s="95" t="s">
        <v>325</v>
      </c>
      <c r="D19" s="96">
        <v>2651922.5900000003</v>
      </c>
      <c r="E19" s="96">
        <v>244892</v>
      </c>
      <c r="F19" s="96">
        <v>144772.57</v>
      </c>
      <c r="G19" s="96"/>
      <c r="H19" s="1372">
        <f t="shared" si="1"/>
        <v>3041587.16</v>
      </c>
      <c r="I19" s="98">
        <v>-2124828.7959999996</v>
      </c>
      <c r="J19" s="98">
        <v>-83269</v>
      </c>
      <c r="K19" s="96">
        <v>-291999.28899999999</v>
      </c>
      <c r="L19" s="96"/>
      <c r="M19" s="1372">
        <f>I19+J19+K19+L19</f>
        <v>-2500097.0849999995</v>
      </c>
      <c r="N19" s="1374">
        <f t="shared" si="0"/>
        <v>541490.07500000065</v>
      </c>
    </row>
    <row r="20" spans="1:14" ht="25.5" x14ac:dyDescent="0.2">
      <c r="A20" s="35" t="s">
        <v>243</v>
      </c>
      <c r="B20" s="1545">
        <v>1612</v>
      </c>
      <c r="C20" s="95" t="s">
        <v>360</v>
      </c>
      <c r="D20" s="96"/>
      <c r="E20" s="96"/>
      <c r="F20" s="96">
        <v>9044.52</v>
      </c>
      <c r="G20" s="96"/>
      <c r="H20" s="1372">
        <f t="shared" si="1"/>
        <v>9044.52</v>
      </c>
      <c r="I20" s="98"/>
      <c r="J20" s="98"/>
      <c r="K20" s="96"/>
      <c r="L20" s="96"/>
      <c r="M20" s="1372">
        <f t="shared" ref="M20:M60" si="2">I20+J20+K20+L20</f>
        <v>0</v>
      </c>
      <c r="N20" s="1374">
        <f t="shared" si="0"/>
        <v>9044.52</v>
      </c>
    </row>
    <row r="21" spans="1:14" x14ac:dyDescent="0.2">
      <c r="A21" s="35" t="s">
        <v>235</v>
      </c>
      <c r="B21" s="99">
        <v>1805</v>
      </c>
      <c r="C21" s="100" t="s">
        <v>236</v>
      </c>
      <c r="D21" s="96">
        <v>858551.45999999985</v>
      </c>
      <c r="E21" s="96"/>
      <c r="F21" s="96">
        <v>26005.55</v>
      </c>
      <c r="G21" s="96"/>
      <c r="H21" s="1372">
        <f t="shared" si="1"/>
        <v>884557.00999999989</v>
      </c>
      <c r="I21" s="98"/>
      <c r="J21" s="98"/>
      <c r="K21" s="96"/>
      <c r="L21" s="96"/>
      <c r="M21" s="1372">
        <f t="shared" si="2"/>
        <v>0</v>
      </c>
      <c r="N21" s="1374">
        <f t="shared" si="0"/>
        <v>884557.00999999989</v>
      </c>
    </row>
    <row r="22" spans="1:14" x14ac:dyDescent="0.2">
      <c r="A22" s="35">
        <v>47</v>
      </c>
      <c r="B22" s="99">
        <v>1808</v>
      </c>
      <c r="C22" s="101" t="s">
        <v>237</v>
      </c>
      <c r="D22" s="96">
        <v>10129356.539999999</v>
      </c>
      <c r="E22" s="96"/>
      <c r="F22" s="96">
        <v>227203.47999999998</v>
      </c>
      <c r="G22" s="96"/>
      <c r="H22" s="1372">
        <f t="shared" si="1"/>
        <v>10356560.02</v>
      </c>
      <c r="I22" s="98">
        <v>-4624660.5143232271</v>
      </c>
      <c r="J22" s="98"/>
      <c r="K22" s="96">
        <v>-250763.0863549381</v>
      </c>
      <c r="L22" s="96"/>
      <c r="M22" s="1372">
        <f t="shared" si="2"/>
        <v>-4875423.6006781654</v>
      </c>
      <c r="N22" s="1374">
        <f t="shared" si="0"/>
        <v>5481136.4193218341</v>
      </c>
    </row>
    <row r="23" spans="1:14" hidden="1" x14ac:dyDescent="0.2">
      <c r="A23" s="35">
        <v>13</v>
      </c>
      <c r="B23" s="99">
        <v>1810</v>
      </c>
      <c r="C23" s="101" t="s">
        <v>262</v>
      </c>
      <c r="D23" s="96"/>
      <c r="E23" s="96"/>
      <c r="F23" s="96"/>
      <c r="G23" s="96"/>
      <c r="H23" s="1372">
        <f t="shared" si="1"/>
        <v>0</v>
      </c>
      <c r="I23" s="98"/>
      <c r="J23" s="98"/>
      <c r="K23" s="96"/>
      <c r="L23" s="96"/>
      <c r="M23" s="1372">
        <f t="shared" si="2"/>
        <v>0</v>
      </c>
      <c r="N23" s="1374">
        <f t="shared" si="0"/>
        <v>0</v>
      </c>
    </row>
    <row r="24" spans="1:14" hidden="1" x14ac:dyDescent="0.2">
      <c r="A24" s="35">
        <v>47</v>
      </c>
      <c r="B24" s="99">
        <v>1815</v>
      </c>
      <c r="C24" s="101" t="s">
        <v>238</v>
      </c>
      <c r="D24" s="96"/>
      <c r="E24" s="96"/>
      <c r="F24" s="96"/>
      <c r="G24" s="96"/>
      <c r="H24" s="1372">
        <f t="shared" si="1"/>
        <v>0</v>
      </c>
      <c r="I24" s="98"/>
      <c r="J24" s="98"/>
      <c r="K24" s="96"/>
      <c r="L24" s="96"/>
      <c r="M24" s="1372">
        <f t="shared" si="2"/>
        <v>0</v>
      </c>
      <c r="N24" s="1374">
        <f t="shared" si="0"/>
        <v>0</v>
      </c>
    </row>
    <row r="25" spans="1:14" x14ac:dyDescent="0.2">
      <c r="A25" s="35">
        <v>47</v>
      </c>
      <c r="B25" s="99">
        <v>1820</v>
      </c>
      <c r="C25" s="95" t="s">
        <v>178</v>
      </c>
      <c r="D25" s="96">
        <v>17547705.690000001</v>
      </c>
      <c r="E25" s="96"/>
      <c r="F25" s="96">
        <v>359532.43000000005</v>
      </c>
      <c r="G25" s="96"/>
      <c r="H25" s="1372">
        <f t="shared" si="1"/>
        <v>17907238.120000001</v>
      </c>
      <c r="I25" s="98">
        <v>-11226788</v>
      </c>
      <c r="J25" s="98"/>
      <c r="K25" s="96">
        <v>-218937.92870123943</v>
      </c>
      <c r="L25" s="96"/>
      <c r="M25" s="1372">
        <f t="shared" si="2"/>
        <v>-11445725.928701239</v>
      </c>
      <c r="N25" s="1374">
        <f t="shared" si="0"/>
        <v>6461512.1912987623</v>
      </c>
    </row>
    <row r="26" spans="1:14" hidden="1" x14ac:dyDescent="0.2">
      <c r="A26" s="35">
        <v>47</v>
      </c>
      <c r="B26" s="99">
        <v>1825</v>
      </c>
      <c r="C26" s="101" t="s">
        <v>239</v>
      </c>
      <c r="D26" s="96"/>
      <c r="E26" s="96"/>
      <c r="F26" s="96"/>
      <c r="G26" s="96"/>
      <c r="H26" s="1372">
        <f t="shared" si="1"/>
        <v>0</v>
      </c>
      <c r="I26" s="98"/>
      <c r="J26" s="98"/>
      <c r="K26" s="96"/>
      <c r="L26" s="96"/>
      <c r="M26" s="1372">
        <f t="shared" si="2"/>
        <v>0</v>
      </c>
      <c r="N26" s="1374">
        <f t="shared" si="0"/>
        <v>0</v>
      </c>
    </row>
    <row r="27" spans="1:14" x14ac:dyDescent="0.2">
      <c r="A27" s="35">
        <v>47</v>
      </c>
      <c r="B27" s="99">
        <v>1830</v>
      </c>
      <c r="C27" s="101" t="s">
        <v>240</v>
      </c>
      <c r="D27" s="96">
        <v>19238774.109999999</v>
      </c>
      <c r="E27" s="96"/>
      <c r="F27" s="96">
        <v>1205309.4999999991</v>
      </c>
      <c r="G27" s="96"/>
      <c r="H27" s="1372">
        <f t="shared" si="1"/>
        <v>20444083.609999999</v>
      </c>
      <c r="I27" s="98">
        <v>-9065588.3328476083</v>
      </c>
      <c r="J27" s="98"/>
      <c r="K27" s="96">
        <v>-362173.91966002068</v>
      </c>
      <c r="L27" s="96"/>
      <c r="M27" s="1372">
        <f t="shared" si="2"/>
        <v>-9427762.2525076289</v>
      </c>
      <c r="N27" s="1374">
        <f t="shared" si="0"/>
        <v>11016321.357492371</v>
      </c>
    </row>
    <row r="28" spans="1:14" x14ac:dyDescent="0.2">
      <c r="A28" s="35">
        <v>47</v>
      </c>
      <c r="B28" s="99">
        <v>1835</v>
      </c>
      <c r="C28" s="101" t="s">
        <v>179</v>
      </c>
      <c r="D28" s="96">
        <v>42056154.019999996</v>
      </c>
      <c r="E28" s="96"/>
      <c r="F28" s="96">
        <v>1001409.4199999999</v>
      </c>
      <c r="G28" s="96"/>
      <c r="H28" s="1372">
        <f t="shared" si="1"/>
        <v>43057563.439999998</v>
      </c>
      <c r="I28" s="98">
        <v>-28314245.019583322</v>
      </c>
      <c r="J28" s="98"/>
      <c r="K28" s="96">
        <v>-553772.32817297359</v>
      </c>
      <c r="L28" s="96"/>
      <c r="M28" s="1372">
        <f t="shared" si="2"/>
        <v>-28868017.347756296</v>
      </c>
      <c r="N28" s="1374">
        <f t="shared" si="0"/>
        <v>14189546.092243701</v>
      </c>
    </row>
    <row r="29" spans="1:14" x14ac:dyDescent="0.2">
      <c r="A29" s="35">
        <v>47</v>
      </c>
      <c r="B29" s="99">
        <v>1840</v>
      </c>
      <c r="C29" s="101" t="s">
        <v>180</v>
      </c>
      <c r="D29" s="96">
        <v>20841499.539999999</v>
      </c>
      <c r="E29" s="96"/>
      <c r="F29" s="96">
        <v>670006.09000000008</v>
      </c>
      <c r="G29" s="96"/>
      <c r="H29" s="1372">
        <f t="shared" si="1"/>
        <v>21511505.629999999</v>
      </c>
      <c r="I29" s="98">
        <v>-12176064.896733059</v>
      </c>
      <c r="J29" s="98"/>
      <c r="K29" s="96">
        <v>-233875.36065558996</v>
      </c>
      <c r="L29" s="96"/>
      <c r="M29" s="1372">
        <f t="shared" si="2"/>
        <v>-12409940.257388648</v>
      </c>
      <c r="N29" s="1374">
        <f t="shared" si="0"/>
        <v>9101565.3726113513</v>
      </c>
    </row>
    <row r="30" spans="1:14" x14ac:dyDescent="0.2">
      <c r="A30" s="35">
        <v>47</v>
      </c>
      <c r="B30" s="99">
        <v>1845</v>
      </c>
      <c r="C30" s="101" t="s">
        <v>181</v>
      </c>
      <c r="D30" s="96">
        <v>21270551.890000004</v>
      </c>
      <c r="E30" s="96"/>
      <c r="F30" s="96">
        <v>615323.20000000007</v>
      </c>
      <c r="G30" s="96"/>
      <c r="H30" s="1372">
        <f t="shared" si="1"/>
        <v>21885875.090000004</v>
      </c>
      <c r="I30" s="98">
        <v>-11662374.440973222</v>
      </c>
      <c r="J30" s="98"/>
      <c r="K30" s="96">
        <v>-412720.53287507233</v>
      </c>
      <c r="L30" s="96"/>
      <c r="M30" s="1372">
        <f t="shared" si="2"/>
        <v>-12075094.973848294</v>
      </c>
      <c r="N30" s="1374">
        <f t="shared" si="0"/>
        <v>9810780.1161517091</v>
      </c>
    </row>
    <row r="31" spans="1:14" x14ac:dyDescent="0.2">
      <c r="A31" s="35">
        <v>47</v>
      </c>
      <c r="B31" s="99">
        <v>1850</v>
      </c>
      <c r="C31" s="101" t="s">
        <v>241</v>
      </c>
      <c r="D31" s="96">
        <v>29393619.989999991</v>
      </c>
      <c r="E31" s="96"/>
      <c r="F31" s="96">
        <v>1030063.1900000002</v>
      </c>
      <c r="G31" s="96"/>
      <c r="H31" s="1372">
        <f t="shared" si="1"/>
        <v>30423683.179999992</v>
      </c>
      <c r="I31" s="98">
        <v>-17956843.743688975</v>
      </c>
      <c r="J31" s="98"/>
      <c r="K31" s="96">
        <v>-464862.28812664998</v>
      </c>
      <c r="L31" s="96"/>
      <c r="M31" s="1372">
        <f t="shared" si="2"/>
        <v>-18421706.031815626</v>
      </c>
      <c r="N31" s="1374">
        <f t="shared" si="0"/>
        <v>12001977.148184367</v>
      </c>
    </row>
    <row r="32" spans="1:14" x14ac:dyDescent="0.2">
      <c r="A32" s="35">
        <v>47</v>
      </c>
      <c r="B32" s="99">
        <v>1855</v>
      </c>
      <c r="C32" s="101" t="s">
        <v>182</v>
      </c>
      <c r="D32" s="96">
        <v>12342929.799999999</v>
      </c>
      <c r="E32" s="96"/>
      <c r="F32" s="96">
        <v>1068304.96</v>
      </c>
      <c r="G32" s="96"/>
      <c r="H32" s="1372">
        <f t="shared" si="1"/>
        <v>13411234.759999998</v>
      </c>
      <c r="I32" s="98">
        <v>-6500462.1358982157</v>
      </c>
      <c r="J32" s="98"/>
      <c r="K32" s="96">
        <v>-213035.76438475255</v>
      </c>
      <c r="L32" s="96"/>
      <c r="M32" s="1372">
        <f t="shared" si="2"/>
        <v>-6713497.9002829678</v>
      </c>
      <c r="N32" s="1374">
        <f t="shared" si="0"/>
        <v>6697736.8597170301</v>
      </c>
    </row>
    <row r="33" spans="1:14" x14ac:dyDescent="0.2">
      <c r="A33" s="35">
        <v>47</v>
      </c>
      <c r="B33" s="99">
        <v>1860</v>
      </c>
      <c r="C33" s="101" t="s">
        <v>1646</v>
      </c>
      <c r="D33" s="96">
        <v>8935155.4499999993</v>
      </c>
      <c r="E33" s="96">
        <v>6519180.4199999999</v>
      </c>
      <c r="F33" s="96">
        <v>107883.42</v>
      </c>
      <c r="G33" s="96"/>
      <c r="H33" s="1372">
        <f t="shared" si="1"/>
        <v>15562219.289999999</v>
      </c>
      <c r="I33" s="98">
        <v>-6817799.92275065</v>
      </c>
      <c r="J33" s="98">
        <v>-1047669</v>
      </c>
      <c r="K33" s="96">
        <v>-485966.90200836584</v>
      </c>
      <c r="L33" s="96"/>
      <c r="M33" s="1372">
        <f t="shared" si="2"/>
        <v>-8351435.8247590158</v>
      </c>
      <c r="N33" s="1374">
        <f t="shared" si="0"/>
        <v>7210783.4652409833</v>
      </c>
    </row>
    <row r="34" spans="1:14" x14ac:dyDescent="0.2">
      <c r="A34" s="35">
        <v>47</v>
      </c>
      <c r="B34" s="99">
        <v>1860</v>
      </c>
      <c r="C34" s="100" t="s">
        <v>1647</v>
      </c>
      <c r="D34" s="96"/>
      <c r="E34" s="96">
        <v>-7076701.297600002</v>
      </c>
      <c r="F34" s="96"/>
      <c r="G34" s="96"/>
      <c r="H34" s="1372">
        <f t="shared" si="1"/>
        <v>-7076701.297600002</v>
      </c>
      <c r="I34" s="98"/>
      <c r="J34" s="96">
        <v>5868347</v>
      </c>
      <c r="K34" s="96"/>
      <c r="L34" s="96"/>
      <c r="M34" s="1372">
        <f t="shared" si="2"/>
        <v>5868347</v>
      </c>
      <c r="N34" s="1374">
        <f t="shared" si="0"/>
        <v>-1208354.297600002</v>
      </c>
    </row>
    <row r="35" spans="1:14" hidden="1" x14ac:dyDescent="0.2">
      <c r="A35" s="35" t="s">
        <v>235</v>
      </c>
      <c r="B35" s="99">
        <v>1905</v>
      </c>
      <c r="C35" s="100" t="s">
        <v>236</v>
      </c>
      <c r="D35" s="96"/>
      <c r="E35" s="96"/>
      <c r="F35" s="96"/>
      <c r="G35" s="96"/>
      <c r="H35" s="1372">
        <f t="shared" si="1"/>
        <v>0</v>
      </c>
      <c r="I35" s="98"/>
      <c r="J35" s="98"/>
      <c r="K35" s="96"/>
      <c r="L35" s="96"/>
      <c r="M35" s="1372">
        <f t="shared" si="2"/>
        <v>0</v>
      </c>
      <c r="N35" s="1374">
        <f t="shared" si="0"/>
        <v>0</v>
      </c>
    </row>
    <row r="36" spans="1:14" hidden="1" x14ac:dyDescent="0.2">
      <c r="A36" s="35">
        <v>47</v>
      </c>
      <c r="B36" s="99">
        <v>1908</v>
      </c>
      <c r="C36" s="101" t="s">
        <v>244</v>
      </c>
      <c r="D36" s="96"/>
      <c r="E36" s="96"/>
      <c r="F36" s="96"/>
      <c r="G36" s="96"/>
      <c r="H36" s="1372">
        <f t="shared" si="1"/>
        <v>0</v>
      </c>
      <c r="I36" s="98"/>
      <c r="J36" s="98"/>
      <c r="K36" s="96"/>
      <c r="L36" s="96"/>
      <c r="M36" s="1372">
        <f t="shared" si="2"/>
        <v>0</v>
      </c>
      <c r="N36" s="1374">
        <f t="shared" si="0"/>
        <v>0</v>
      </c>
    </row>
    <row r="37" spans="1:14" hidden="1" x14ac:dyDescent="0.2">
      <c r="A37" s="35">
        <v>13</v>
      </c>
      <c r="B37" s="99">
        <v>1910</v>
      </c>
      <c r="C37" s="101" t="s">
        <v>262</v>
      </c>
      <c r="D37" s="96"/>
      <c r="E37" s="96"/>
      <c r="F37" s="96"/>
      <c r="G37" s="96"/>
      <c r="H37" s="1372">
        <f t="shared" si="1"/>
        <v>0</v>
      </c>
      <c r="I37" s="98"/>
      <c r="J37" s="98"/>
      <c r="K37" s="96"/>
      <c r="L37" s="96"/>
      <c r="M37" s="1372">
        <f t="shared" si="2"/>
        <v>0</v>
      </c>
      <c r="N37" s="1374">
        <f t="shared" si="0"/>
        <v>0</v>
      </c>
    </row>
    <row r="38" spans="1:14" x14ac:dyDescent="0.2">
      <c r="A38" s="35">
        <v>8</v>
      </c>
      <c r="B38" s="99">
        <v>1915</v>
      </c>
      <c r="C38" s="101" t="s">
        <v>184</v>
      </c>
      <c r="D38" s="96">
        <v>44314.559999999998</v>
      </c>
      <c r="E38" s="96"/>
      <c r="F38" s="96">
        <v>31740</v>
      </c>
      <c r="G38" s="96"/>
      <c r="H38" s="1372">
        <f t="shared" si="1"/>
        <v>76054.559999999998</v>
      </c>
      <c r="I38" s="98">
        <v>-41713.569499999991</v>
      </c>
      <c r="J38" s="98"/>
      <c r="K38" s="96">
        <v>-2525.5184999999992</v>
      </c>
      <c r="L38" s="96"/>
      <c r="M38" s="1372">
        <f t="shared" si="2"/>
        <v>-44239.087999999989</v>
      </c>
      <c r="N38" s="1374">
        <f t="shared" si="0"/>
        <v>31815.472000000009</v>
      </c>
    </row>
    <row r="39" spans="1:14" hidden="1" x14ac:dyDescent="0.2">
      <c r="A39" s="35">
        <v>8</v>
      </c>
      <c r="B39" s="99">
        <v>1915</v>
      </c>
      <c r="C39" s="101" t="s">
        <v>185</v>
      </c>
      <c r="D39" s="96"/>
      <c r="E39" s="96"/>
      <c r="F39" s="96"/>
      <c r="G39" s="96"/>
      <c r="H39" s="1372">
        <f t="shared" si="1"/>
        <v>0</v>
      </c>
      <c r="I39" s="98"/>
      <c r="J39" s="98"/>
      <c r="K39" s="96"/>
      <c r="L39" s="96"/>
      <c r="M39" s="1372">
        <f t="shared" si="2"/>
        <v>0</v>
      </c>
      <c r="N39" s="1374">
        <f t="shared" si="0"/>
        <v>0</v>
      </c>
    </row>
    <row r="40" spans="1:14" x14ac:dyDescent="0.2">
      <c r="A40" s="35">
        <v>10</v>
      </c>
      <c r="B40" s="99">
        <v>1920</v>
      </c>
      <c r="C40" s="101" t="s">
        <v>186</v>
      </c>
      <c r="D40" s="96">
        <v>162987.72</v>
      </c>
      <c r="E40" s="96">
        <v>204815</v>
      </c>
      <c r="F40" s="96">
        <v>341012.65</v>
      </c>
      <c r="G40" s="96"/>
      <c r="H40" s="1372">
        <f t="shared" si="1"/>
        <v>708815.37</v>
      </c>
      <c r="I40" s="98">
        <v>-47096.116000000002</v>
      </c>
      <c r="J40" s="98">
        <v>-101801</v>
      </c>
      <c r="K40" s="96">
        <v>-107661.80899999999</v>
      </c>
      <c r="L40" s="96"/>
      <c r="M40" s="1372">
        <f t="shared" si="2"/>
        <v>-256558.92499999999</v>
      </c>
      <c r="N40" s="1374">
        <f t="shared" si="0"/>
        <v>452256.44500000001</v>
      </c>
    </row>
    <row r="41" spans="1:14" ht="25.5" hidden="1" x14ac:dyDescent="0.2">
      <c r="A41" s="35">
        <v>45</v>
      </c>
      <c r="B41" s="102">
        <v>1920</v>
      </c>
      <c r="C41" s="95" t="s">
        <v>188</v>
      </c>
      <c r="D41" s="96"/>
      <c r="E41" s="96"/>
      <c r="F41" s="96"/>
      <c r="G41" s="96"/>
      <c r="H41" s="1372">
        <f t="shared" si="1"/>
        <v>0</v>
      </c>
      <c r="I41" s="98"/>
      <c r="J41" s="98"/>
      <c r="K41" s="96"/>
      <c r="L41" s="96"/>
      <c r="M41" s="1372">
        <f t="shared" si="2"/>
        <v>0</v>
      </c>
      <c r="N41" s="1374">
        <f t="shared" si="0"/>
        <v>0</v>
      </c>
    </row>
    <row r="42" spans="1:14" ht="25.5" hidden="1" x14ac:dyDescent="0.2">
      <c r="A42" s="35">
        <v>45.1</v>
      </c>
      <c r="B42" s="102">
        <v>1920</v>
      </c>
      <c r="C42" s="95" t="s">
        <v>187</v>
      </c>
      <c r="D42" s="96"/>
      <c r="E42" s="96"/>
      <c r="F42" s="96"/>
      <c r="G42" s="96"/>
      <c r="H42" s="1372">
        <f t="shared" si="1"/>
        <v>0</v>
      </c>
      <c r="I42" s="98"/>
      <c r="J42" s="98"/>
      <c r="K42" s="96"/>
      <c r="L42" s="96"/>
      <c r="M42" s="1372">
        <f t="shared" si="2"/>
        <v>0</v>
      </c>
      <c r="N42" s="1374">
        <f t="shared" si="0"/>
        <v>0</v>
      </c>
    </row>
    <row r="43" spans="1:14" x14ac:dyDescent="0.2">
      <c r="A43" s="35">
        <v>10</v>
      </c>
      <c r="B43" s="1545">
        <v>1930</v>
      </c>
      <c r="C43" s="101" t="s">
        <v>250</v>
      </c>
      <c r="D43" s="96">
        <v>5258637.3600000003</v>
      </c>
      <c r="E43" s="96"/>
      <c r="F43" s="96">
        <v>533800</v>
      </c>
      <c r="G43" s="96">
        <v>-72016.180000000008</v>
      </c>
      <c r="H43" s="1372">
        <f t="shared" si="1"/>
        <v>5720421.1800000006</v>
      </c>
      <c r="I43" s="98">
        <v>-3864504.7662976189</v>
      </c>
      <c r="J43" s="98"/>
      <c r="K43" s="96">
        <v>-159278.07039375906</v>
      </c>
      <c r="L43" s="96"/>
      <c r="M43" s="1372">
        <f t="shared" si="2"/>
        <v>-4023782.8366913777</v>
      </c>
      <c r="N43" s="1374">
        <f t="shared" si="0"/>
        <v>1696638.3433086229</v>
      </c>
    </row>
    <row r="44" spans="1:14" hidden="1" x14ac:dyDescent="0.2">
      <c r="A44" s="35">
        <v>8</v>
      </c>
      <c r="B44" s="1545">
        <v>1935</v>
      </c>
      <c r="C44" s="101" t="s">
        <v>251</v>
      </c>
      <c r="D44" s="96"/>
      <c r="E44" s="96"/>
      <c r="F44" s="96"/>
      <c r="G44" s="96"/>
      <c r="H44" s="1372">
        <f t="shared" si="1"/>
        <v>0</v>
      </c>
      <c r="I44" s="98"/>
      <c r="J44" s="98"/>
      <c r="K44" s="96"/>
      <c r="L44" s="96"/>
      <c r="M44" s="1372">
        <f t="shared" si="2"/>
        <v>0</v>
      </c>
      <c r="N44" s="1374">
        <f t="shared" si="0"/>
        <v>0</v>
      </c>
    </row>
    <row r="45" spans="1:14" x14ac:dyDescent="0.2">
      <c r="A45" s="35">
        <v>8</v>
      </c>
      <c r="B45" s="1545">
        <v>1940</v>
      </c>
      <c r="C45" s="101" t="s">
        <v>252</v>
      </c>
      <c r="D45" s="96">
        <v>1961496.07</v>
      </c>
      <c r="E45" s="96">
        <v>16502</v>
      </c>
      <c r="F45" s="96">
        <v>77672.09</v>
      </c>
      <c r="G45" s="96"/>
      <c r="H45" s="1372">
        <f t="shared" si="1"/>
        <v>2055670.1600000001</v>
      </c>
      <c r="I45" s="98">
        <v>-1467290.8274999999</v>
      </c>
      <c r="J45" s="98">
        <v>-4125</v>
      </c>
      <c r="K45" s="96">
        <v>-88606.423500000004</v>
      </c>
      <c r="L45" s="96"/>
      <c r="M45" s="1372">
        <f t="shared" si="2"/>
        <v>-1560022.2509999999</v>
      </c>
      <c r="N45" s="1374">
        <f t="shared" si="0"/>
        <v>495647.90900000022</v>
      </c>
    </row>
    <row r="46" spans="1:14" hidden="1" x14ac:dyDescent="0.2">
      <c r="A46" s="35">
        <v>8</v>
      </c>
      <c r="B46" s="1545">
        <v>1945</v>
      </c>
      <c r="C46" s="101" t="s">
        <v>253</v>
      </c>
      <c r="D46" s="96"/>
      <c r="E46" s="96"/>
      <c r="F46" s="96"/>
      <c r="G46" s="96"/>
      <c r="H46" s="1372">
        <f t="shared" si="1"/>
        <v>0</v>
      </c>
      <c r="I46" s="98"/>
      <c r="J46" s="98"/>
      <c r="K46" s="96"/>
      <c r="L46" s="96"/>
      <c r="M46" s="1372">
        <f t="shared" si="2"/>
        <v>0</v>
      </c>
      <c r="N46" s="1374">
        <f t="shared" si="0"/>
        <v>0</v>
      </c>
    </row>
    <row r="47" spans="1:14" hidden="1" x14ac:dyDescent="0.2">
      <c r="A47" s="35">
        <v>8</v>
      </c>
      <c r="B47" s="1545">
        <v>1950</v>
      </c>
      <c r="C47" s="101" t="s">
        <v>189</v>
      </c>
      <c r="D47" s="96"/>
      <c r="E47" s="96"/>
      <c r="F47" s="96"/>
      <c r="G47" s="96"/>
      <c r="H47" s="1372">
        <f t="shared" si="1"/>
        <v>0</v>
      </c>
      <c r="I47" s="103"/>
      <c r="J47" s="103"/>
      <c r="K47" s="96"/>
      <c r="L47" s="96"/>
      <c r="M47" s="1372">
        <f t="shared" si="2"/>
        <v>0</v>
      </c>
      <c r="N47" s="1374">
        <f t="shared" si="0"/>
        <v>0</v>
      </c>
    </row>
    <row r="48" spans="1:14" x14ac:dyDescent="0.2">
      <c r="A48" s="35">
        <v>8</v>
      </c>
      <c r="B48" s="1545">
        <v>1955</v>
      </c>
      <c r="C48" s="101" t="s">
        <v>254</v>
      </c>
      <c r="D48" s="96">
        <v>2262458.79</v>
      </c>
      <c r="E48" s="96"/>
      <c r="F48" s="96">
        <v>912</v>
      </c>
      <c r="G48" s="96"/>
      <c r="H48" s="1372">
        <f t="shared" si="1"/>
        <v>2263370.79</v>
      </c>
      <c r="I48" s="98">
        <v>-1307813.078</v>
      </c>
      <c r="J48" s="98"/>
      <c r="K48" s="96">
        <v>-82180.066699999996</v>
      </c>
      <c r="L48" s="96"/>
      <c r="M48" s="1372">
        <f t="shared" si="2"/>
        <v>-1389993.1447000001</v>
      </c>
      <c r="N48" s="1374">
        <f t="shared" si="0"/>
        <v>873377.64529999997</v>
      </c>
    </row>
    <row r="49" spans="1:14" hidden="1" x14ac:dyDescent="0.2">
      <c r="A49" s="1559">
        <v>8</v>
      </c>
      <c r="B49" s="102">
        <v>1955</v>
      </c>
      <c r="C49" s="104" t="s">
        <v>190</v>
      </c>
      <c r="D49" s="96"/>
      <c r="E49" s="96"/>
      <c r="F49" s="96"/>
      <c r="G49" s="96"/>
      <c r="H49" s="1372">
        <f t="shared" si="1"/>
        <v>0</v>
      </c>
      <c r="I49" s="98"/>
      <c r="J49" s="98"/>
      <c r="K49" s="96"/>
      <c r="L49" s="96"/>
      <c r="M49" s="1372">
        <f t="shared" si="2"/>
        <v>0</v>
      </c>
      <c r="N49" s="1374">
        <f t="shared" si="0"/>
        <v>0</v>
      </c>
    </row>
    <row r="50" spans="1:14" hidden="1" x14ac:dyDescent="0.2">
      <c r="A50" s="1559">
        <v>8</v>
      </c>
      <c r="B50" s="105">
        <v>1960</v>
      </c>
      <c r="C50" s="95" t="s">
        <v>191</v>
      </c>
      <c r="D50" s="96"/>
      <c r="E50" s="96"/>
      <c r="F50" s="96"/>
      <c r="G50" s="96"/>
      <c r="H50" s="1372">
        <f t="shared" si="1"/>
        <v>0</v>
      </c>
      <c r="I50" s="98"/>
      <c r="J50" s="98"/>
      <c r="K50" s="96"/>
      <c r="L50" s="96"/>
      <c r="M50" s="1372">
        <f t="shared" si="2"/>
        <v>0</v>
      </c>
      <c r="N50" s="1374">
        <f t="shared" si="0"/>
        <v>0</v>
      </c>
    </row>
    <row r="51" spans="1:14" ht="25.5" hidden="1" x14ac:dyDescent="0.2">
      <c r="A51" s="1560">
        <v>47</v>
      </c>
      <c r="B51" s="105">
        <v>1970</v>
      </c>
      <c r="C51" s="101" t="s">
        <v>410</v>
      </c>
      <c r="D51" s="96"/>
      <c r="E51" s="96"/>
      <c r="F51" s="96"/>
      <c r="G51" s="96"/>
      <c r="H51" s="1372">
        <f t="shared" si="1"/>
        <v>0</v>
      </c>
      <c r="I51" s="98"/>
      <c r="J51" s="98"/>
      <c r="K51" s="96"/>
      <c r="L51" s="96"/>
      <c r="M51" s="1372">
        <f t="shared" si="2"/>
        <v>0</v>
      </c>
      <c r="N51" s="1374">
        <f t="shared" si="0"/>
        <v>0</v>
      </c>
    </row>
    <row r="52" spans="1:14" ht="25.5" hidden="1" x14ac:dyDescent="0.2">
      <c r="A52" s="35">
        <v>47</v>
      </c>
      <c r="B52" s="1545">
        <v>1975</v>
      </c>
      <c r="C52" s="101" t="s">
        <v>255</v>
      </c>
      <c r="D52" s="96"/>
      <c r="E52" s="96"/>
      <c r="F52" s="96"/>
      <c r="G52" s="96"/>
      <c r="H52" s="1372">
        <f t="shared" si="1"/>
        <v>0</v>
      </c>
      <c r="I52" s="98"/>
      <c r="J52" s="98"/>
      <c r="K52" s="96"/>
      <c r="L52" s="96"/>
      <c r="M52" s="1372">
        <f t="shared" si="2"/>
        <v>0</v>
      </c>
      <c r="N52" s="1374">
        <f t="shared" si="0"/>
        <v>0</v>
      </c>
    </row>
    <row r="53" spans="1:14" x14ac:dyDescent="0.2">
      <c r="A53" s="35">
        <v>47</v>
      </c>
      <c r="B53" s="1545">
        <v>1980</v>
      </c>
      <c r="C53" s="101" t="s">
        <v>256</v>
      </c>
      <c r="D53" s="96">
        <v>1573528.65</v>
      </c>
      <c r="E53" s="96"/>
      <c r="F53" s="96">
        <v>59389.240000000013</v>
      </c>
      <c r="G53" s="96"/>
      <c r="H53" s="1372">
        <f t="shared" si="1"/>
        <v>1632917.89</v>
      </c>
      <c r="I53" s="98">
        <v>-1274629.6876041666</v>
      </c>
      <c r="J53" s="98"/>
      <c r="K53" s="96">
        <v>-26377.489898295094</v>
      </c>
      <c r="L53" s="96"/>
      <c r="M53" s="1372">
        <f t="shared" si="2"/>
        <v>-1301007.1775024617</v>
      </c>
      <c r="N53" s="1374">
        <f t="shared" si="0"/>
        <v>331910.71249753819</v>
      </c>
    </row>
    <row r="54" spans="1:14" x14ac:dyDescent="0.2">
      <c r="A54" s="35">
        <v>47</v>
      </c>
      <c r="B54" s="1545">
        <v>1985</v>
      </c>
      <c r="C54" s="101" t="s">
        <v>257</v>
      </c>
      <c r="D54" s="96">
        <v>42116.86</v>
      </c>
      <c r="E54" s="96"/>
      <c r="F54" s="96"/>
      <c r="G54" s="96"/>
      <c r="H54" s="1372">
        <f t="shared" si="1"/>
        <v>42116.86</v>
      </c>
      <c r="I54" s="98">
        <v>-42116.858000000007</v>
      </c>
      <c r="J54" s="98"/>
      <c r="K54" s="96"/>
      <c r="L54" s="96"/>
      <c r="M54" s="1372">
        <f t="shared" si="2"/>
        <v>-42116.858000000007</v>
      </c>
      <c r="N54" s="1374">
        <f t="shared" si="0"/>
        <v>1.999999993131496E-3</v>
      </c>
    </row>
    <row r="55" spans="1:14" hidden="1" x14ac:dyDescent="0.2">
      <c r="A55" s="1560">
        <v>47</v>
      </c>
      <c r="B55" s="1545">
        <v>1990</v>
      </c>
      <c r="C55" s="1546" t="s">
        <v>411</v>
      </c>
      <c r="D55" s="96"/>
      <c r="E55" s="96"/>
      <c r="F55" s="96"/>
      <c r="G55" s="96"/>
      <c r="H55" s="1372">
        <f t="shared" si="1"/>
        <v>0</v>
      </c>
      <c r="I55" s="98"/>
      <c r="J55" s="98"/>
      <c r="K55" s="96"/>
      <c r="L55" s="96"/>
      <c r="M55" s="1372">
        <f t="shared" si="2"/>
        <v>0</v>
      </c>
      <c r="N55" s="1374">
        <f t="shared" si="0"/>
        <v>0</v>
      </c>
    </row>
    <row r="56" spans="1:14" x14ac:dyDescent="0.2">
      <c r="A56" s="35">
        <v>47</v>
      </c>
      <c r="B56" s="1545">
        <v>1995</v>
      </c>
      <c r="C56" s="101" t="s">
        <v>258</v>
      </c>
      <c r="D56" s="96">
        <v>-15309085.01</v>
      </c>
      <c r="E56" s="96"/>
      <c r="F56" s="96">
        <v>-1247332.0699999998</v>
      </c>
      <c r="G56" s="96"/>
      <c r="H56" s="1372">
        <f t="shared" si="1"/>
        <v>-16556417.08</v>
      </c>
      <c r="I56" s="98">
        <v>4003411.2224000003</v>
      </c>
      <c r="J56" s="98"/>
      <c r="K56" s="96">
        <v>364313.26470476121</v>
      </c>
      <c r="L56" s="96"/>
      <c r="M56" s="1372">
        <f t="shared" si="2"/>
        <v>4367724.4871047614</v>
      </c>
      <c r="N56" s="1374">
        <f t="shared" si="0"/>
        <v>-12188692.59289524</v>
      </c>
    </row>
    <row r="57" spans="1:14" ht="14.25" hidden="1" x14ac:dyDescent="0.2">
      <c r="A57" s="35">
        <v>47</v>
      </c>
      <c r="B57" s="1545">
        <v>2440</v>
      </c>
      <c r="C57" s="101" t="s">
        <v>835</v>
      </c>
      <c r="D57" s="96">
        <v>0</v>
      </c>
      <c r="E57" s="96"/>
      <c r="F57" s="96"/>
      <c r="G57" s="96"/>
      <c r="H57" s="1372">
        <f t="shared" si="1"/>
        <v>0</v>
      </c>
      <c r="I57" s="96">
        <v>0</v>
      </c>
      <c r="J57" s="96"/>
      <c r="K57" s="96"/>
      <c r="L57" s="96"/>
      <c r="M57" s="1372">
        <f t="shared" si="2"/>
        <v>0</v>
      </c>
      <c r="N57" s="1374">
        <f t="shared" si="0"/>
        <v>0</v>
      </c>
    </row>
    <row r="58" spans="1:14" x14ac:dyDescent="0.2">
      <c r="A58" s="99"/>
      <c r="B58" s="1545">
        <v>1330</v>
      </c>
      <c r="C58" s="1561" t="s">
        <v>1441</v>
      </c>
      <c r="D58" s="96">
        <v>1127820</v>
      </c>
      <c r="E58" s="96"/>
      <c r="F58" s="96">
        <v>616758</v>
      </c>
      <c r="G58" s="96"/>
      <c r="H58" s="1372">
        <f t="shared" si="1"/>
        <v>1744578</v>
      </c>
      <c r="I58" s="96"/>
      <c r="J58" s="96"/>
      <c r="K58" s="96"/>
      <c r="L58" s="96"/>
      <c r="M58" s="1372">
        <f t="shared" si="2"/>
        <v>0</v>
      </c>
      <c r="N58" s="1374">
        <f t="shared" si="0"/>
        <v>1744578</v>
      </c>
    </row>
    <row r="59" spans="1:14" x14ac:dyDescent="0.2">
      <c r="A59" s="99"/>
      <c r="B59" s="1545">
        <v>2055</v>
      </c>
      <c r="C59" s="1562" t="s">
        <v>1442</v>
      </c>
      <c r="D59" s="96">
        <v>544624.93999999994</v>
      </c>
      <c r="E59" s="96"/>
      <c r="F59" s="96">
        <v>381029</v>
      </c>
      <c r="G59" s="96">
        <v>-573625</v>
      </c>
      <c r="H59" s="1372">
        <f t="shared" si="1"/>
        <v>352028.93999999994</v>
      </c>
      <c r="I59" s="96"/>
      <c r="J59" s="96"/>
      <c r="K59" s="96"/>
      <c r="L59" s="96"/>
      <c r="M59" s="1372">
        <f t="shared" si="2"/>
        <v>0</v>
      </c>
      <c r="N59" s="1374">
        <f t="shared" si="0"/>
        <v>352028.93999999994</v>
      </c>
    </row>
    <row r="60" spans="1:14" hidden="1" x14ac:dyDescent="0.2">
      <c r="A60" s="106"/>
      <c r="B60" s="106"/>
      <c r="C60" s="107"/>
      <c r="D60" s="108"/>
      <c r="E60" s="108"/>
      <c r="F60" s="108"/>
      <c r="G60" s="108"/>
      <c r="H60" s="1372">
        <f t="shared" si="1"/>
        <v>0</v>
      </c>
      <c r="I60" s="108"/>
      <c r="J60" s="108"/>
      <c r="K60" s="108"/>
      <c r="L60" s="108"/>
      <c r="M60" s="1372">
        <f t="shared" si="2"/>
        <v>0</v>
      </c>
      <c r="N60" s="1374">
        <f t="shared" si="0"/>
        <v>0</v>
      </c>
    </row>
    <row r="61" spans="1:14" x14ac:dyDescent="0.2">
      <c r="A61" s="106"/>
      <c r="B61" s="106"/>
      <c r="C61" s="109" t="s">
        <v>175</v>
      </c>
      <c r="D61" s="1373">
        <f>SUM(D17:D60)</f>
        <v>182935121.02000001</v>
      </c>
      <c r="E61" s="1373">
        <f>SUM(E17:E60)</f>
        <v>-91311.877600002103</v>
      </c>
      <c r="F61" s="1373">
        <f>SUM(F17:F60)</f>
        <v>7259839.2400000002</v>
      </c>
      <c r="G61" s="1373">
        <f>SUM(G17:G60)</f>
        <v>-645641.18000000005</v>
      </c>
      <c r="H61" s="1373">
        <f>SUM(H17:H60)</f>
        <v>189458007.20239994</v>
      </c>
      <c r="I61" s="1373">
        <f t="shared" ref="I61:N61" si="3">SUM(I17:I60)</f>
        <v>-114511409.48330006</v>
      </c>
      <c r="J61" s="1373">
        <f t="shared" si="3"/>
        <v>4631483</v>
      </c>
      <c r="K61" s="1373">
        <f t="shared" si="3"/>
        <v>-3590423.5132268947</v>
      </c>
      <c r="L61" s="1373">
        <f t="shared" si="3"/>
        <v>0</v>
      </c>
      <c r="M61" s="1373">
        <f>SUM(M17:M60)</f>
        <v>-113470349.99652699</v>
      </c>
      <c r="N61" s="1373">
        <f t="shared" si="3"/>
        <v>75987657.205873013</v>
      </c>
    </row>
    <row r="62" spans="1:14" ht="37.5" x14ac:dyDescent="0.2">
      <c r="A62" s="106"/>
      <c r="B62" s="106"/>
      <c r="C62" s="111" t="s">
        <v>503</v>
      </c>
      <c r="D62" s="108"/>
      <c r="E62" s="108"/>
      <c r="F62" s="108"/>
      <c r="G62" s="108"/>
      <c r="H62" s="1372">
        <f>D62+F62+G62</f>
        <v>0</v>
      </c>
      <c r="I62" s="108"/>
      <c r="J62" s="108"/>
      <c r="K62" s="108"/>
      <c r="L62" s="108"/>
      <c r="M62" s="1372">
        <f>I62+K62+L62</f>
        <v>0</v>
      </c>
      <c r="N62" s="1374">
        <f>H62+M62</f>
        <v>0</v>
      </c>
    </row>
    <row r="63" spans="1:14" ht="25.5" x14ac:dyDescent="0.2">
      <c r="A63" s="106"/>
      <c r="B63" s="106"/>
      <c r="C63" s="112" t="s">
        <v>502</v>
      </c>
      <c r="D63" s="1563">
        <v>-129739</v>
      </c>
      <c r="E63" s="1563"/>
      <c r="F63" s="108"/>
      <c r="G63" s="108"/>
      <c r="H63" s="1372">
        <f>D63+F63+G63</f>
        <v>-129739</v>
      </c>
      <c r="I63" s="1563">
        <v>64281</v>
      </c>
      <c r="J63" s="1563"/>
      <c r="K63" s="1563">
        <v>25948</v>
      </c>
      <c r="L63" s="108"/>
      <c r="M63" s="1372">
        <f>I63+K63+L63</f>
        <v>90229</v>
      </c>
      <c r="N63" s="1374">
        <f>H63+M63</f>
        <v>-39510</v>
      </c>
    </row>
    <row r="64" spans="1:14" x14ac:dyDescent="0.2">
      <c r="A64" s="106"/>
      <c r="B64" s="106"/>
      <c r="C64" s="109" t="s">
        <v>412</v>
      </c>
      <c r="D64" s="1373">
        <f t="shared" ref="D64:I64" si="4">SUM(D61:D63)</f>
        <v>182805382.02000001</v>
      </c>
      <c r="E64" s="1373">
        <f t="shared" si="4"/>
        <v>-91311.877600002103</v>
      </c>
      <c r="F64" s="1373">
        <f t="shared" si="4"/>
        <v>7259839.2400000002</v>
      </c>
      <c r="G64" s="1373">
        <f t="shared" si="4"/>
        <v>-645641.18000000005</v>
      </c>
      <c r="H64" s="1373">
        <f t="shared" si="4"/>
        <v>189328268.20239994</v>
      </c>
      <c r="I64" s="1373">
        <f t="shared" si="4"/>
        <v>-114447128.48330006</v>
      </c>
      <c r="J64" s="1373">
        <f>SUM(J61:J63)</f>
        <v>4631483</v>
      </c>
      <c r="K64" s="1373">
        <f>SUM(K61:K63)</f>
        <v>-3564475.5132268947</v>
      </c>
      <c r="L64" s="1373">
        <f>SUM(L61:L63)</f>
        <v>0</v>
      </c>
      <c r="M64" s="1373">
        <f>SUM(M61:M63)</f>
        <v>-113380120.99652699</v>
      </c>
      <c r="N64" s="1373">
        <f>SUM(N61:N63)</f>
        <v>75948147.205873013</v>
      </c>
    </row>
    <row r="65" spans="1:14" ht="14.25" x14ac:dyDescent="0.2">
      <c r="A65" s="106"/>
      <c r="B65" s="106"/>
      <c r="C65" s="1651" t="s">
        <v>801</v>
      </c>
      <c r="D65" s="1652"/>
      <c r="E65" s="1652"/>
      <c r="F65" s="1652"/>
      <c r="G65" s="1652"/>
      <c r="H65" s="1652"/>
      <c r="I65" s="108"/>
      <c r="J65" s="113"/>
      <c r="K65" s="114"/>
      <c r="L65" s="115"/>
    </row>
    <row r="66" spans="1:14" x14ac:dyDescent="0.2">
      <c r="A66" s="106"/>
      <c r="B66" s="106"/>
      <c r="C66" s="1651" t="s">
        <v>259</v>
      </c>
      <c r="D66" s="1652"/>
      <c r="E66" s="1652"/>
      <c r="F66" s="1652"/>
      <c r="G66" s="1652"/>
      <c r="H66" s="1652"/>
      <c r="I66" s="1373">
        <f>K64+I65</f>
        <v>-3564475.5132268947</v>
      </c>
      <c r="J66" s="113"/>
      <c r="K66" s="114"/>
      <c r="L66" s="115"/>
    </row>
    <row r="67" spans="1:14" x14ac:dyDescent="0.2">
      <c r="A67" s="267"/>
      <c r="B67" s="267"/>
      <c r="C67" s="1669" t="s">
        <v>1530</v>
      </c>
      <c r="D67" s="1670">
        <f>D64-D59-D58</f>
        <v>181132937.08000001</v>
      </c>
      <c r="E67" s="1670">
        <f>E64-E59-E58</f>
        <v>-91311.877600002103</v>
      </c>
      <c r="F67" s="1669"/>
      <c r="G67" s="1669"/>
      <c r="H67" s="1670">
        <f>H64-H59-H58</f>
        <v>187231661.26239994</v>
      </c>
      <c r="I67" s="1670">
        <f>I64-I59-I58</f>
        <v>-114447128.48330006</v>
      </c>
      <c r="J67" s="1670">
        <f>J64-J59-J58</f>
        <v>4631483</v>
      </c>
      <c r="K67" s="114"/>
      <c r="L67" s="115"/>
      <c r="N67" s="1670">
        <f>N64-N59-N58</f>
        <v>73851540.265873015</v>
      </c>
    </row>
    <row r="69" spans="1:14" x14ac:dyDescent="0.2">
      <c r="H69" s="116" t="s">
        <v>343</v>
      </c>
      <c r="I69" s="431"/>
      <c r="N69" s="1671"/>
    </row>
    <row r="70" spans="1:14" x14ac:dyDescent="0.2">
      <c r="A70" s="106">
        <v>10</v>
      </c>
      <c r="B70" s="106"/>
      <c r="C70" s="1436" t="s">
        <v>260</v>
      </c>
      <c r="D70" s="1437"/>
      <c r="E70" s="1437"/>
      <c r="F70" s="1437"/>
      <c r="G70" s="1437"/>
      <c r="H70" s="1438" t="s">
        <v>260</v>
      </c>
      <c r="I70" s="1438"/>
      <c r="J70" s="1564">
        <f>K43</f>
        <v>-159278.07039375906</v>
      </c>
    </row>
    <row r="71" spans="1:14" x14ac:dyDescent="0.2">
      <c r="A71" s="106">
        <v>8</v>
      </c>
      <c r="B71" s="106"/>
      <c r="C71" s="1436" t="s">
        <v>251</v>
      </c>
      <c r="D71" s="1437"/>
      <c r="E71" s="1437"/>
      <c r="F71" s="1437"/>
      <c r="G71" s="1437"/>
      <c r="H71" s="1438" t="s">
        <v>251</v>
      </c>
      <c r="I71" s="1438"/>
      <c r="J71" s="1565">
        <f>K45</f>
        <v>-88606.423500000004</v>
      </c>
    </row>
    <row r="72" spans="1:14" x14ac:dyDescent="0.2">
      <c r="H72" s="117" t="s">
        <v>261</v>
      </c>
      <c r="J72" s="1439">
        <f>I66-J70-J71</f>
        <v>-3316591.0193331358</v>
      </c>
    </row>
    <row r="73" spans="1:14" x14ac:dyDescent="0.2">
      <c r="A73" s="1654"/>
      <c r="B73" s="1654"/>
      <c r="H73" s="117"/>
      <c r="J73" s="1566"/>
    </row>
    <row r="74" spans="1:14" x14ac:dyDescent="0.2">
      <c r="N74" s="118"/>
    </row>
    <row r="75" spans="1:14" x14ac:dyDescent="0.2">
      <c r="A75" s="1547"/>
      <c r="B75" s="1547"/>
      <c r="E75" s="70" t="s">
        <v>778</v>
      </c>
      <c r="F75" s="30" t="s">
        <v>91</v>
      </c>
      <c r="H75" s="34"/>
    </row>
    <row r="76" spans="1:14" ht="15" x14ac:dyDescent="0.25">
      <c r="A76" s="1547"/>
      <c r="B76" s="1547"/>
      <c r="C76" s="38"/>
      <c r="E76" s="70" t="s">
        <v>89</v>
      </c>
      <c r="F76" s="84">
        <v>2014</v>
      </c>
      <c r="G76" s="85"/>
      <c r="H76" s="34"/>
    </row>
    <row r="77" spans="1:14" x14ac:dyDescent="0.2">
      <c r="A77" s="1547"/>
      <c r="B77" s="1547"/>
      <c r="H77" s="34"/>
    </row>
    <row r="78" spans="1:14" x14ac:dyDescent="0.2">
      <c r="A78" s="1547"/>
      <c r="B78" s="1547"/>
      <c r="D78" s="1926" t="s">
        <v>233</v>
      </c>
      <c r="E78" s="1927"/>
      <c r="F78" s="1927"/>
      <c r="G78" s="1928"/>
      <c r="H78" s="1926" t="s">
        <v>234</v>
      </c>
      <c r="I78" s="1927"/>
      <c r="J78" s="1927"/>
      <c r="K78" s="1928"/>
      <c r="L78" s="1656"/>
      <c r="M78" s="1657"/>
    </row>
    <row r="79" spans="1:14" ht="30" customHeight="1" x14ac:dyDescent="0.2">
      <c r="A79" s="89" t="s">
        <v>867</v>
      </c>
      <c r="B79" s="89" t="s">
        <v>869</v>
      </c>
      <c r="C79" s="90" t="s">
        <v>870</v>
      </c>
      <c r="D79" s="89" t="s">
        <v>206</v>
      </c>
      <c r="E79" s="89" t="s">
        <v>1526</v>
      </c>
      <c r="F79" s="91" t="s">
        <v>868</v>
      </c>
      <c r="G79" s="91" t="s">
        <v>929</v>
      </c>
      <c r="H79" s="89" t="s">
        <v>232</v>
      </c>
      <c r="I79" s="92" t="s">
        <v>206</v>
      </c>
      <c r="J79" s="92" t="s">
        <v>1526</v>
      </c>
      <c r="K79" s="93" t="s">
        <v>207</v>
      </c>
      <c r="L79" s="93" t="s">
        <v>929</v>
      </c>
      <c r="M79" s="94" t="s">
        <v>232</v>
      </c>
      <c r="N79" s="89" t="s">
        <v>263</v>
      </c>
    </row>
    <row r="80" spans="1:14" ht="25.5" hidden="1" customHeight="1" x14ac:dyDescent="0.2">
      <c r="A80" s="89"/>
      <c r="B80" s="1545">
        <v>1609</v>
      </c>
      <c r="C80" s="95" t="s">
        <v>1073</v>
      </c>
      <c r="D80" s="96">
        <f t="shared" ref="D80:D123" si="5">H17</f>
        <v>0</v>
      </c>
      <c r="E80" s="96"/>
      <c r="F80" s="96"/>
      <c r="G80" s="96"/>
      <c r="H80" s="1372">
        <f t="shared" ref="H80:H88" si="6">D80+F80+G80+E80</f>
        <v>0</v>
      </c>
      <c r="I80" s="98">
        <f>M17</f>
        <v>0</v>
      </c>
      <c r="J80" s="98"/>
      <c r="K80" s="96"/>
      <c r="L80" s="96"/>
      <c r="M80" s="1372">
        <f>I80+K80+L80</f>
        <v>0</v>
      </c>
      <c r="N80" s="1374">
        <f>H80+M80</f>
        <v>0</v>
      </c>
    </row>
    <row r="81" spans="1:14" ht="25.5" hidden="1" customHeight="1" x14ac:dyDescent="0.2">
      <c r="A81" s="89"/>
      <c r="B81" s="1659">
        <v>1610</v>
      </c>
      <c r="C81" s="95" t="s">
        <v>1527</v>
      </c>
      <c r="D81" s="96">
        <f t="shared" si="5"/>
        <v>0</v>
      </c>
      <c r="E81" s="96"/>
      <c r="F81" s="96"/>
      <c r="G81" s="96"/>
      <c r="H81" s="1372">
        <f t="shared" si="6"/>
        <v>0</v>
      </c>
      <c r="I81" s="98"/>
      <c r="J81" s="98"/>
      <c r="K81" s="96"/>
      <c r="L81" s="96"/>
      <c r="M81" s="1372"/>
      <c r="N81" s="1374">
        <f>H81+M81</f>
        <v>0</v>
      </c>
    </row>
    <row r="82" spans="1:14" ht="25.5" x14ac:dyDescent="0.2">
      <c r="A82" s="35">
        <v>12</v>
      </c>
      <c r="B82" s="1545">
        <v>1611</v>
      </c>
      <c r="C82" s="95" t="s">
        <v>325</v>
      </c>
      <c r="D82" s="96">
        <v>3041587.16</v>
      </c>
      <c r="E82" s="96"/>
      <c r="F82" s="96">
        <v>48679.240000000005</v>
      </c>
      <c r="G82" s="96"/>
      <c r="H82" s="1372">
        <f t="shared" si="6"/>
        <v>3090266.4000000004</v>
      </c>
      <c r="I82" s="98">
        <v>-2500097.0849999995</v>
      </c>
      <c r="J82" s="98"/>
      <c r="K82" s="96">
        <v>-274849.13699999999</v>
      </c>
      <c r="L82" s="96"/>
      <c r="M82" s="1372">
        <f>I82+J82+K82+L82</f>
        <v>-2774946.2219999996</v>
      </c>
      <c r="N82" s="1374">
        <f t="shared" ref="N82:N123" si="7">H82+M82</f>
        <v>315320.17800000077</v>
      </c>
    </row>
    <row r="83" spans="1:14" ht="25.5" x14ac:dyDescent="0.2">
      <c r="A83" s="35" t="s">
        <v>243</v>
      </c>
      <c r="B83" s="1545">
        <v>1612</v>
      </c>
      <c r="C83" s="95" t="s">
        <v>360</v>
      </c>
      <c r="D83" s="96">
        <v>9044.52</v>
      </c>
      <c r="E83" s="96"/>
      <c r="F83" s="96">
        <v>13654.66</v>
      </c>
      <c r="G83" s="96"/>
      <c r="H83" s="1372">
        <f t="shared" si="6"/>
        <v>22699.18</v>
      </c>
      <c r="I83" s="98">
        <v>0</v>
      </c>
      <c r="J83" s="98"/>
      <c r="K83" s="96"/>
      <c r="L83" s="96"/>
      <c r="M83" s="1372">
        <f t="shared" ref="M83:M123" si="8">I83+J83+K83+L83</f>
        <v>0</v>
      </c>
      <c r="N83" s="1374">
        <f t="shared" si="7"/>
        <v>22699.18</v>
      </c>
    </row>
    <row r="84" spans="1:14" x14ac:dyDescent="0.2">
      <c r="A84" s="35" t="s">
        <v>235</v>
      </c>
      <c r="B84" s="99">
        <v>1805</v>
      </c>
      <c r="C84" s="100" t="s">
        <v>236</v>
      </c>
      <c r="D84" s="96">
        <v>884557.00999999989</v>
      </c>
      <c r="E84" s="96"/>
      <c r="F84" s="96">
        <v>23467.199999999997</v>
      </c>
      <c r="G84" s="96"/>
      <c r="H84" s="1372">
        <f t="shared" si="6"/>
        <v>908024.20999999985</v>
      </c>
      <c r="I84" s="98">
        <v>0</v>
      </c>
      <c r="J84" s="98"/>
      <c r="K84" s="96"/>
      <c r="L84" s="96"/>
      <c r="M84" s="1372">
        <f t="shared" si="8"/>
        <v>0</v>
      </c>
      <c r="N84" s="1374">
        <f t="shared" si="7"/>
        <v>908024.20999999985</v>
      </c>
    </row>
    <row r="85" spans="1:14" x14ac:dyDescent="0.2">
      <c r="A85" s="35">
        <v>47</v>
      </c>
      <c r="B85" s="99">
        <v>1808</v>
      </c>
      <c r="C85" s="101" t="s">
        <v>237</v>
      </c>
      <c r="D85" s="96">
        <v>10356560.02</v>
      </c>
      <c r="E85" s="96"/>
      <c r="F85" s="96">
        <v>1483777.61</v>
      </c>
      <c r="G85" s="96"/>
      <c r="H85" s="1372">
        <f t="shared" si="6"/>
        <v>11840337.629999999</v>
      </c>
      <c r="I85" s="98">
        <v>-4875423.6006781654</v>
      </c>
      <c r="J85" s="98"/>
      <c r="K85" s="96">
        <v>-307418.87344584719</v>
      </c>
      <c r="L85" s="96"/>
      <c r="M85" s="1372">
        <f t="shared" si="8"/>
        <v>-5182842.4741240125</v>
      </c>
      <c r="N85" s="1374">
        <f t="shared" si="7"/>
        <v>6657495.1558759864</v>
      </c>
    </row>
    <row r="86" spans="1:14" hidden="1" x14ac:dyDescent="0.2">
      <c r="A86" s="35">
        <v>13</v>
      </c>
      <c r="B86" s="99">
        <v>1810</v>
      </c>
      <c r="C86" s="101" t="s">
        <v>262</v>
      </c>
      <c r="D86" s="96">
        <v>0</v>
      </c>
      <c r="E86" s="96"/>
      <c r="F86" s="96"/>
      <c r="G86" s="96"/>
      <c r="H86" s="1372">
        <f t="shared" si="6"/>
        <v>0</v>
      </c>
      <c r="I86" s="98">
        <v>0</v>
      </c>
      <c r="J86" s="98"/>
      <c r="K86" s="96"/>
      <c r="L86" s="96"/>
      <c r="M86" s="1372">
        <f t="shared" si="8"/>
        <v>0</v>
      </c>
      <c r="N86" s="1374">
        <f t="shared" si="7"/>
        <v>0</v>
      </c>
    </row>
    <row r="87" spans="1:14" hidden="1" x14ac:dyDescent="0.2">
      <c r="A87" s="35">
        <v>47</v>
      </c>
      <c r="B87" s="99">
        <v>1815</v>
      </c>
      <c r="C87" s="101" t="s">
        <v>238</v>
      </c>
      <c r="D87" s="96">
        <v>0</v>
      </c>
      <c r="E87" s="96"/>
      <c r="F87" s="96"/>
      <c r="G87" s="96"/>
      <c r="H87" s="1372">
        <f t="shared" si="6"/>
        <v>0</v>
      </c>
      <c r="I87" s="98">
        <v>0</v>
      </c>
      <c r="J87" s="98"/>
      <c r="K87" s="96"/>
      <c r="L87" s="96"/>
      <c r="M87" s="1372">
        <f t="shared" si="8"/>
        <v>0</v>
      </c>
      <c r="N87" s="1374">
        <f t="shared" si="7"/>
        <v>0</v>
      </c>
    </row>
    <row r="88" spans="1:14" x14ac:dyDescent="0.2">
      <c r="A88" s="35">
        <v>47</v>
      </c>
      <c r="B88" s="99">
        <v>1820</v>
      </c>
      <c r="C88" s="95" t="s">
        <v>178</v>
      </c>
      <c r="D88" s="96">
        <v>17907238.120000001</v>
      </c>
      <c r="E88" s="96"/>
      <c r="F88" s="96">
        <v>404330.35000000003</v>
      </c>
      <c r="G88" s="96"/>
      <c r="H88" s="1372">
        <f t="shared" si="6"/>
        <v>18311568.470000003</v>
      </c>
      <c r="I88" s="98">
        <v>-11445725.928701239</v>
      </c>
      <c r="J88" s="98"/>
      <c r="K88" s="96">
        <v>-222693.15528379902</v>
      </c>
      <c r="L88" s="96"/>
      <c r="M88" s="1372">
        <f t="shared" si="8"/>
        <v>-11668419.083985038</v>
      </c>
      <c r="N88" s="1374">
        <f t="shared" si="7"/>
        <v>6643149.3860149644</v>
      </c>
    </row>
    <row r="89" spans="1:14" hidden="1" x14ac:dyDescent="0.2">
      <c r="A89" s="35">
        <v>47</v>
      </c>
      <c r="B89" s="99">
        <v>1825</v>
      </c>
      <c r="C89" s="101" t="s">
        <v>239</v>
      </c>
      <c r="D89" s="96">
        <v>0</v>
      </c>
      <c r="E89" s="96"/>
      <c r="F89" s="96"/>
      <c r="G89" s="96"/>
      <c r="H89" s="1372">
        <f t="shared" ref="H89:H123" si="9">D89+F89+G89+E89</f>
        <v>0</v>
      </c>
      <c r="I89" s="98">
        <v>0</v>
      </c>
      <c r="J89" s="98"/>
      <c r="K89" s="96"/>
      <c r="L89" s="96"/>
      <c r="M89" s="1372">
        <f t="shared" si="8"/>
        <v>0</v>
      </c>
      <c r="N89" s="1374">
        <f t="shared" si="7"/>
        <v>0</v>
      </c>
    </row>
    <row r="90" spans="1:14" x14ac:dyDescent="0.2">
      <c r="A90" s="35">
        <v>47</v>
      </c>
      <c r="B90" s="99">
        <v>1830</v>
      </c>
      <c r="C90" s="101" t="s">
        <v>240</v>
      </c>
      <c r="D90" s="96">
        <v>20444083.609999999</v>
      </c>
      <c r="E90" s="96"/>
      <c r="F90" s="96">
        <v>1247407.6099999999</v>
      </c>
      <c r="G90" s="96"/>
      <c r="H90" s="1372">
        <f t="shared" si="9"/>
        <v>21691491.219999999</v>
      </c>
      <c r="I90" s="98">
        <v>-9427762.2525076289</v>
      </c>
      <c r="J90" s="98"/>
      <c r="K90" s="96">
        <v>-392464.6537850207</v>
      </c>
      <c r="L90" s="96"/>
      <c r="M90" s="1372">
        <f t="shared" si="8"/>
        <v>-9820226.906292649</v>
      </c>
      <c r="N90" s="1374">
        <f t="shared" si="7"/>
        <v>11871264.31370735</v>
      </c>
    </row>
    <row r="91" spans="1:14" x14ac:dyDescent="0.2">
      <c r="A91" s="35">
        <v>47</v>
      </c>
      <c r="B91" s="99">
        <v>1835</v>
      </c>
      <c r="C91" s="101" t="s">
        <v>179</v>
      </c>
      <c r="D91" s="96">
        <v>43057563.439999998</v>
      </c>
      <c r="E91" s="96">
        <v>-4174040.17</v>
      </c>
      <c r="F91" s="96">
        <v>761569.38</v>
      </c>
      <c r="G91" s="96"/>
      <c r="H91" s="1372">
        <f t="shared" si="9"/>
        <v>39645092.649999999</v>
      </c>
      <c r="I91" s="98">
        <v>-28868017.347756296</v>
      </c>
      <c r="J91" s="98">
        <v>1073729.630131183</v>
      </c>
      <c r="K91" s="96">
        <v>-470865.51257297333</v>
      </c>
      <c r="L91" s="96"/>
      <c r="M91" s="1372">
        <f t="shared" si="8"/>
        <v>-28265153.230198089</v>
      </c>
      <c r="N91" s="1374">
        <f t="shared" si="7"/>
        <v>11379939.419801909</v>
      </c>
    </row>
    <row r="92" spans="1:14" x14ac:dyDescent="0.2">
      <c r="A92" s="35">
        <v>47</v>
      </c>
      <c r="B92" s="99">
        <v>1840</v>
      </c>
      <c r="C92" s="101" t="s">
        <v>180</v>
      </c>
      <c r="D92" s="96">
        <v>21511505.629999999</v>
      </c>
      <c r="E92" s="96"/>
      <c r="F92" s="96">
        <v>634436.62</v>
      </c>
      <c r="G92" s="96"/>
      <c r="H92" s="1372">
        <f t="shared" si="9"/>
        <v>22145942.25</v>
      </c>
      <c r="I92" s="98">
        <v>-12409940.257388648</v>
      </c>
      <c r="J92" s="98"/>
      <c r="K92" s="96">
        <v>-246919.53775558996</v>
      </c>
      <c r="L92" s="96"/>
      <c r="M92" s="1372">
        <f>I92+J92+K92+L92</f>
        <v>-12656859.795144238</v>
      </c>
      <c r="N92" s="1374">
        <f t="shared" si="7"/>
        <v>9489082.4548557624</v>
      </c>
    </row>
    <row r="93" spans="1:14" x14ac:dyDescent="0.2">
      <c r="A93" s="35">
        <v>47</v>
      </c>
      <c r="B93" s="99">
        <v>1845</v>
      </c>
      <c r="C93" s="101" t="s">
        <v>181</v>
      </c>
      <c r="D93" s="96">
        <v>21885875.090000004</v>
      </c>
      <c r="E93" s="96">
        <v>-7654665.96</v>
      </c>
      <c r="F93" s="96">
        <v>676224.89</v>
      </c>
      <c r="G93" s="96"/>
      <c r="H93" s="1372">
        <f t="shared" si="9"/>
        <v>14907434.020000003</v>
      </c>
      <c r="I93" s="98">
        <v>-12075094.973848294</v>
      </c>
      <c r="J93" s="98">
        <v>2103983.7372854613</v>
      </c>
      <c r="K93" s="96">
        <v>-258623.3686250723</v>
      </c>
      <c r="L93" s="96"/>
      <c r="M93" s="1372">
        <f>I93+J93+K93+L93</f>
        <v>-10229734.605187906</v>
      </c>
      <c r="N93" s="1374">
        <f t="shared" si="7"/>
        <v>4677699.4148120973</v>
      </c>
    </row>
    <row r="94" spans="1:14" x14ac:dyDescent="0.2">
      <c r="A94" s="35">
        <v>47</v>
      </c>
      <c r="B94" s="99">
        <v>1850</v>
      </c>
      <c r="C94" s="101" t="s">
        <v>241</v>
      </c>
      <c r="D94" s="96">
        <v>30423683.179999992</v>
      </c>
      <c r="E94" s="96">
        <v>-4664179.63</v>
      </c>
      <c r="F94" s="96">
        <v>1397762.8500000003</v>
      </c>
      <c r="G94" s="96"/>
      <c r="H94" s="1372">
        <f t="shared" si="9"/>
        <v>27157266.399999995</v>
      </c>
      <c r="I94" s="98">
        <v>-18421706.031815626</v>
      </c>
      <c r="J94" s="98">
        <v>1162596.4090881178</v>
      </c>
      <c r="K94" s="96">
        <v>-389939.86362664995</v>
      </c>
      <c r="L94" s="96"/>
      <c r="M94" s="1372">
        <f>I94+J94+K94+L94</f>
        <v>-17649049.486354161</v>
      </c>
      <c r="N94" s="1374">
        <f t="shared" si="7"/>
        <v>9508216.9136458337</v>
      </c>
    </row>
    <row r="95" spans="1:14" x14ac:dyDescent="0.2">
      <c r="A95" s="35">
        <v>47</v>
      </c>
      <c r="B95" s="99">
        <v>1855</v>
      </c>
      <c r="C95" s="101" t="s">
        <v>182</v>
      </c>
      <c r="D95" s="96">
        <v>13411234.759999998</v>
      </c>
      <c r="E95" s="96"/>
      <c r="F95" s="96">
        <v>1078440.8</v>
      </c>
      <c r="G95" s="96"/>
      <c r="H95" s="1372">
        <f t="shared" si="9"/>
        <v>14489675.559999999</v>
      </c>
      <c r="I95" s="98">
        <v>-6713497.9002829678</v>
      </c>
      <c r="J95" s="98"/>
      <c r="K95" s="96">
        <v>-239870.08638475253</v>
      </c>
      <c r="L95" s="96"/>
      <c r="M95" s="1372">
        <f t="shared" si="8"/>
        <v>-6953367.9866677206</v>
      </c>
      <c r="N95" s="1374">
        <f t="shared" si="7"/>
        <v>7536307.5733322781</v>
      </c>
    </row>
    <row r="96" spans="1:14" x14ac:dyDescent="0.2">
      <c r="A96" s="35">
        <v>47</v>
      </c>
      <c r="B96" s="99">
        <v>1860</v>
      </c>
      <c r="C96" s="101" t="s">
        <v>242</v>
      </c>
      <c r="D96" s="96">
        <v>8485517.992399998</v>
      </c>
      <c r="E96" s="96">
        <v>-63531.32</v>
      </c>
      <c r="F96" s="1498">
        <v>81419.98</v>
      </c>
      <c r="G96" s="96"/>
      <c r="H96" s="1372">
        <f t="shared" si="9"/>
        <v>8503406.6523999982</v>
      </c>
      <c r="I96" s="98">
        <v>-2483088.8247590158</v>
      </c>
      <c r="J96" s="98">
        <v>27414.710600000006</v>
      </c>
      <c r="K96" s="96">
        <v>-489325.60616303247</v>
      </c>
      <c r="L96" s="96"/>
      <c r="M96" s="1372">
        <f t="shared" si="8"/>
        <v>-2944999.7203220483</v>
      </c>
      <c r="N96" s="1374">
        <f t="shared" si="7"/>
        <v>5558406.9320779499</v>
      </c>
    </row>
    <row r="97" spans="1:14" ht="15.6" hidden="1" customHeight="1" x14ac:dyDescent="0.2">
      <c r="A97" s="35">
        <v>47</v>
      </c>
      <c r="B97" s="99">
        <v>1860</v>
      </c>
      <c r="C97" s="100" t="s">
        <v>183</v>
      </c>
      <c r="D97" s="96"/>
      <c r="E97" s="96"/>
      <c r="F97" s="96"/>
      <c r="G97" s="96"/>
      <c r="H97" s="1372">
        <f t="shared" si="9"/>
        <v>0</v>
      </c>
      <c r="I97" s="98"/>
      <c r="J97" s="98"/>
      <c r="K97" s="96"/>
      <c r="L97" s="96"/>
      <c r="M97" s="1372">
        <f t="shared" si="8"/>
        <v>0</v>
      </c>
      <c r="N97" s="1374">
        <f t="shared" si="7"/>
        <v>0</v>
      </c>
    </row>
    <row r="98" spans="1:14" ht="8.4499999999999993" hidden="1" customHeight="1" x14ac:dyDescent="0.2">
      <c r="A98" s="35" t="s">
        <v>235</v>
      </c>
      <c r="B98" s="99">
        <v>1905</v>
      </c>
      <c r="C98" s="100" t="s">
        <v>236</v>
      </c>
      <c r="D98" s="96">
        <v>0</v>
      </c>
      <c r="E98" s="96"/>
      <c r="F98" s="96"/>
      <c r="G98" s="96"/>
      <c r="H98" s="1372">
        <f t="shared" si="9"/>
        <v>0</v>
      </c>
      <c r="I98" s="98">
        <v>0</v>
      </c>
      <c r="J98" s="98"/>
      <c r="K98" s="96"/>
      <c r="L98" s="96"/>
      <c r="M98" s="1372">
        <f t="shared" si="8"/>
        <v>0</v>
      </c>
      <c r="N98" s="1374">
        <f t="shared" si="7"/>
        <v>0</v>
      </c>
    </row>
    <row r="99" spans="1:14" ht="9" hidden="1" customHeight="1" x14ac:dyDescent="0.2">
      <c r="A99" s="35">
        <v>47</v>
      </c>
      <c r="B99" s="99">
        <v>1908</v>
      </c>
      <c r="C99" s="101" t="s">
        <v>244</v>
      </c>
      <c r="D99" s="96">
        <v>0</v>
      </c>
      <c r="E99" s="96"/>
      <c r="F99" s="96"/>
      <c r="G99" s="96"/>
      <c r="H99" s="1372">
        <f t="shared" si="9"/>
        <v>0</v>
      </c>
      <c r="I99" s="98">
        <v>0</v>
      </c>
      <c r="J99" s="98"/>
      <c r="K99" s="96"/>
      <c r="L99" s="96"/>
      <c r="M99" s="1372">
        <f t="shared" si="8"/>
        <v>0</v>
      </c>
      <c r="N99" s="1374">
        <f t="shared" si="7"/>
        <v>0</v>
      </c>
    </row>
    <row r="100" spans="1:14" ht="7.9" hidden="1" customHeight="1" x14ac:dyDescent="0.2">
      <c r="A100" s="35">
        <v>13</v>
      </c>
      <c r="B100" s="99">
        <v>1910</v>
      </c>
      <c r="C100" s="101" t="s">
        <v>262</v>
      </c>
      <c r="D100" s="96">
        <v>0</v>
      </c>
      <c r="E100" s="96"/>
      <c r="F100" s="96"/>
      <c r="G100" s="96"/>
      <c r="H100" s="1372">
        <f t="shared" si="9"/>
        <v>0</v>
      </c>
      <c r="I100" s="98">
        <v>0</v>
      </c>
      <c r="J100" s="98"/>
      <c r="K100" s="96"/>
      <c r="L100" s="96"/>
      <c r="M100" s="1372">
        <f t="shared" si="8"/>
        <v>0</v>
      </c>
      <c r="N100" s="1374">
        <f t="shared" si="7"/>
        <v>0</v>
      </c>
    </row>
    <row r="101" spans="1:14" x14ac:dyDescent="0.2">
      <c r="A101" s="35">
        <v>8</v>
      </c>
      <c r="B101" s="99">
        <v>1915</v>
      </c>
      <c r="C101" s="101" t="s">
        <v>184</v>
      </c>
      <c r="D101" s="96">
        <v>76054.559999999998</v>
      </c>
      <c r="E101" s="96"/>
      <c r="F101" s="96"/>
      <c r="G101" s="96"/>
      <c r="H101" s="1372">
        <f t="shared" si="9"/>
        <v>76054.559999999998</v>
      </c>
      <c r="I101" s="98">
        <v>-44239.087999999989</v>
      </c>
      <c r="J101" s="98"/>
      <c r="K101" s="96">
        <v>-4005.2359999999999</v>
      </c>
      <c r="L101" s="96"/>
      <c r="M101" s="1372">
        <f t="shared" si="8"/>
        <v>-48244.323999999986</v>
      </c>
      <c r="N101" s="1374">
        <f t="shared" si="7"/>
        <v>27810.236000000012</v>
      </c>
    </row>
    <row r="102" spans="1:14" hidden="1" x14ac:dyDescent="0.2">
      <c r="A102" s="35">
        <v>8</v>
      </c>
      <c r="B102" s="99">
        <v>1915</v>
      </c>
      <c r="C102" s="101" t="s">
        <v>185</v>
      </c>
      <c r="D102" s="96">
        <v>0</v>
      </c>
      <c r="E102" s="96"/>
      <c r="F102" s="96"/>
      <c r="G102" s="96"/>
      <c r="H102" s="1372">
        <f t="shared" si="9"/>
        <v>0</v>
      </c>
      <c r="I102" s="98">
        <v>0</v>
      </c>
      <c r="J102" s="98"/>
      <c r="K102" s="96"/>
      <c r="L102" s="96"/>
      <c r="M102" s="1372">
        <f t="shared" si="8"/>
        <v>0</v>
      </c>
      <c r="N102" s="1374">
        <f t="shared" si="7"/>
        <v>0</v>
      </c>
    </row>
    <row r="103" spans="1:14" x14ac:dyDescent="0.2">
      <c r="A103" s="35">
        <v>10</v>
      </c>
      <c r="B103" s="99">
        <v>1920</v>
      </c>
      <c r="C103" s="101" t="s">
        <v>186</v>
      </c>
      <c r="D103" s="96">
        <v>708815.37</v>
      </c>
      <c r="E103" s="96"/>
      <c r="F103" s="96">
        <v>29499.09</v>
      </c>
      <c r="G103" s="96"/>
      <c r="H103" s="1372">
        <f t="shared" si="9"/>
        <v>738314.46</v>
      </c>
      <c r="I103" s="98">
        <v>-256558.92499999999</v>
      </c>
      <c r="J103" s="98"/>
      <c r="K103" s="96">
        <v>-138699.57499999995</v>
      </c>
      <c r="L103" s="96"/>
      <c r="M103" s="1372">
        <f t="shared" si="8"/>
        <v>-395258.49999999994</v>
      </c>
      <c r="N103" s="1374">
        <f t="shared" si="7"/>
        <v>343055.96</v>
      </c>
    </row>
    <row r="104" spans="1:14" ht="25.5" hidden="1" x14ac:dyDescent="0.2">
      <c r="A104" s="35">
        <v>45</v>
      </c>
      <c r="B104" s="102">
        <v>1920</v>
      </c>
      <c r="C104" s="95" t="s">
        <v>188</v>
      </c>
      <c r="D104" s="96">
        <v>0</v>
      </c>
      <c r="E104" s="96"/>
      <c r="F104" s="96"/>
      <c r="G104" s="96"/>
      <c r="H104" s="1372">
        <f t="shared" si="9"/>
        <v>0</v>
      </c>
      <c r="I104" s="98">
        <v>0</v>
      </c>
      <c r="J104" s="98"/>
      <c r="K104" s="96"/>
      <c r="L104" s="96"/>
      <c r="M104" s="1372">
        <f t="shared" si="8"/>
        <v>0</v>
      </c>
      <c r="N104" s="1374">
        <f t="shared" si="7"/>
        <v>0</v>
      </c>
    </row>
    <row r="105" spans="1:14" ht="25.5" hidden="1" x14ac:dyDescent="0.2">
      <c r="A105" s="35">
        <v>45.1</v>
      </c>
      <c r="B105" s="102">
        <v>1920</v>
      </c>
      <c r="C105" s="95" t="s">
        <v>187</v>
      </c>
      <c r="D105" s="96">
        <v>0</v>
      </c>
      <c r="E105" s="96"/>
      <c r="F105" s="96"/>
      <c r="G105" s="96"/>
      <c r="H105" s="1372">
        <f t="shared" si="9"/>
        <v>0</v>
      </c>
      <c r="I105" s="98">
        <v>0</v>
      </c>
      <c r="J105" s="98"/>
      <c r="K105" s="96"/>
      <c r="L105" s="96"/>
      <c r="M105" s="1372">
        <f t="shared" si="8"/>
        <v>0</v>
      </c>
      <c r="N105" s="1374">
        <f t="shared" si="7"/>
        <v>0</v>
      </c>
    </row>
    <row r="106" spans="1:14" x14ac:dyDescent="0.2">
      <c r="A106" s="35">
        <v>10</v>
      </c>
      <c r="B106" s="1545">
        <v>1930</v>
      </c>
      <c r="C106" s="101" t="s">
        <v>250</v>
      </c>
      <c r="D106" s="96">
        <v>5720421.1800000006</v>
      </c>
      <c r="E106" s="96"/>
      <c r="F106" s="96">
        <v>225666.97000000003</v>
      </c>
      <c r="G106" s="96">
        <v>-273292.32</v>
      </c>
      <c r="H106" s="1372">
        <f t="shared" si="9"/>
        <v>5672795.8300000001</v>
      </c>
      <c r="I106" s="98">
        <v>-4023782.8366913777</v>
      </c>
      <c r="J106" s="98"/>
      <c r="K106" s="96">
        <v>-221239.19154906209</v>
      </c>
      <c r="L106" s="96">
        <v>345308.5</v>
      </c>
      <c r="M106" s="1372">
        <f t="shared" si="8"/>
        <v>-3899713.5282404395</v>
      </c>
      <c r="N106" s="1374">
        <f t="shared" si="7"/>
        <v>1773082.3017595606</v>
      </c>
    </row>
    <row r="107" spans="1:14" hidden="1" x14ac:dyDescent="0.2">
      <c r="A107" s="35">
        <v>8</v>
      </c>
      <c r="B107" s="1545">
        <v>1935</v>
      </c>
      <c r="C107" s="101" t="s">
        <v>251</v>
      </c>
      <c r="D107" s="96">
        <v>0</v>
      </c>
      <c r="E107" s="96"/>
      <c r="F107" s="96"/>
      <c r="G107" s="96"/>
      <c r="H107" s="1372">
        <f t="shared" si="9"/>
        <v>0</v>
      </c>
      <c r="I107" s="98">
        <v>0</v>
      </c>
      <c r="J107" s="98"/>
      <c r="K107" s="96"/>
      <c r="L107" s="96"/>
      <c r="M107" s="1372">
        <f t="shared" si="8"/>
        <v>0</v>
      </c>
      <c r="N107" s="1374">
        <f t="shared" si="7"/>
        <v>0</v>
      </c>
    </row>
    <row r="108" spans="1:14" x14ac:dyDescent="0.2">
      <c r="A108" s="35">
        <v>8</v>
      </c>
      <c r="B108" s="1545">
        <v>1940</v>
      </c>
      <c r="C108" s="101" t="s">
        <v>252</v>
      </c>
      <c r="D108" s="96">
        <v>2055670.1600000001</v>
      </c>
      <c r="E108" s="96"/>
      <c r="F108" s="96">
        <v>85031.51</v>
      </c>
      <c r="G108" s="96"/>
      <c r="H108" s="1372">
        <f t="shared" si="9"/>
        <v>2140701.67</v>
      </c>
      <c r="I108" s="98">
        <v>-1560022.2509999999</v>
      </c>
      <c r="J108" s="98"/>
      <c r="K108" s="96">
        <v>-94957.102500000008</v>
      </c>
      <c r="L108" s="96"/>
      <c r="M108" s="1372">
        <f t="shared" si="8"/>
        <v>-1654979.3535</v>
      </c>
      <c r="N108" s="1374">
        <f t="shared" si="7"/>
        <v>485722.31649999996</v>
      </c>
    </row>
    <row r="109" spans="1:14" hidden="1" x14ac:dyDescent="0.2">
      <c r="A109" s="35">
        <v>8</v>
      </c>
      <c r="B109" s="1545">
        <v>1945</v>
      </c>
      <c r="C109" s="101" t="s">
        <v>253</v>
      </c>
      <c r="D109" s="96">
        <v>0</v>
      </c>
      <c r="E109" s="96"/>
      <c r="F109" s="96"/>
      <c r="G109" s="96"/>
      <c r="H109" s="1372">
        <f t="shared" si="9"/>
        <v>0</v>
      </c>
      <c r="I109" s="98">
        <v>0</v>
      </c>
      <c r="J109" s="98"/>
      <c r="K109" s="96"/>
      <c r="L109" s="96"/>
      <c r="M109" s="1372">
        <f t="shared" si="8"/>
        <v>0</v>
      </c>
      <c r="N109" s="1374">
        <f t="shared" si="7"/>
        <v>0</v>
      </c>
    </row>
    <row r="110" spans="1:14" hidden="1" x14ac:dyDescent="0.2">
      <c r="A110" s="35">
        <v>8</v>
      </c>
      <c r="B110" s="1545">
        <v>1950</v>
      </c>
      <c r="C110" s="101" t="s">
        <v>189</v>
      </c>
      <c r="D110" s="96">
        <v>0</v>
      </c>
      <c r="E110" s="96"/>
      <c r="F110" s="96"/>
      <c r="G110" s="96"/>
      <c r="H110" s="1372">
        <f t="shared" si="9"/>
        <v>0</v>
      </c>
      <c r="I110" s="98">
        <v>0</v>
      </c>
      <c r="J110" s="98"/>
      <c r="K110" s="96"/>
      <c r="L110" s="96"/>
      <c r="M110" s="1372">
        <f t="shared" si="8"/>
        <v>0</v>
      </c>
      <c r="N110" s="1374">
        <f t="shared" si="7"/>
        <v>0</v>
      </c>
    </row>
    <row r="111" spans="1:14" x14ac:dyDescent="0.2">
      <c r="A111" s="35">
        <v>8</v>
      </c>
      <c r="B111" s="1545">
        <v>1955</v>
      </c>
      <c r="C111" s="101" t="s">
        <v>254</v>
      </c>
      <c r="D111" s="96">
        <v>2263370.79</v>
      </c>
      <c r="E111" s="96"/>
      <c r="F111" s="96">
        <v>64352.36</v>
      </c>
      <c r="G111" s="96"/>
      <c r="H111" s="1372">
        <f t="shared" si="9"/>
        <v>2327723.15</v>
      </c>
      <c r="I111" s="98">
        <v>-1389993.1447000001</v>
      </c>
      <c r="J111" s="98"/>
      <c r="K111" s="96">
        <v>-81422.524699999994</v>
      </c>
      <c r="L111" s="96"/>
      <c r="M111" s="1372">
        <f t="shared" si="8"/>
        <v>-1471415.6694</v>
      </c>
      <c r="N111" s="1374">
        <f t="shared" si="7"/>
        <v>856307.48059999989</v>
      </c>
    </row>
    <row r="112" spans="1:14" hidden="1" x14ac:dyDescent="0.2">
      <c r="A112" s="1559">
        <v>8</v>
      </c>
      <c r="B112" s="102">
        <v>1955</v>
      </c>
      <c r="C112" s="104" t="s">
        <v>190</v>
      </c>
      <c r="D112" s="96">
        <v>0</v>
      </c>
      <c r="E112" s="96"/>
      <c r="F112" s="96"/>
      <c r="G112" s="96"/>
      <c r="H112" s="1372">
        <f t="shared" si="9"/>
        <v>0</v>
      </c>
      <c r="I112" s="98">
        <v>0</v>
      </c>
      <c r="J112" s="98"/>
      <c r="K112" s="96"/>
      <c r="L112" s="96"/>
      <c r="M112" s="1372">
        <f t="shared" si="8"/>
        <v>0</v>
      </c>
      <c r="N112" s="1374">
        <f t="shared" si="7"/>
        <v>0</v>
      </c>
    </row>
    <row r="113" spans="1:14" hidden="1" x14ac:dyDescent="0.2">
      <c r="A113" s="1559">
        <v>8</v>
      </c>
      <c r="B113" s="105">
        <v>1960</v>
      </c>
      <c r="C113" s="95" t="s">
        <v>191</v>
      </c>
      <c r="D113" s="96">
        <v>0</v>
      </c>
      <c r="E113" s="96"/>
      <c r="F113" s="96"/>
      <c r="G113" s="96"/>
      <c r="H113" s="1372">
        <f t="shared" si="9"/>
        <v>0</v>
      </c>
      <c r="I113" s="98">
        <v>0</v>
      </c>
      <c r="J113" s="98"/>
      <c r="K113" s="96"/>
      <c r="L113" s="96"/>
      <c r="M113" s="1372">
        <f t="shared" si="8"/>
        <v>0</v>
      </c>
      <c r="N113" s="1374">
        <f t="shared" si="7"/>
        <v>0</v>
      </c>
    </row>
    <row r="114" spans="1:14" ht="25.5" hidden="1" x14ac:dyDescent="0.2">
      <c r="A114" s="1560">
        <v>47</v>
      </c>
      <c r="B114" s="105">
        <v>1970</v>
      </c>
      <c r="C114" s="101" t="s">
        <v>410</v>
      </c>
      <c r="D114" s="96">
        <v>0</v>
      </c>
      <c r="E114" s="96"/>
      <c r="F114" s="96"/>
      <c r="G114" s="96"/>
      <c r="H114" s="1372">
        <f t="shared" si="9"/>
        <v>0</v>
      </c>
      <c r="I114" s="98">
        <v>0</v>
      </c>
      <c r="J114" s="98"/>
      <c r="K114" s="96"/>
      <c r="L114" s="96"/>
      <c r="M114" s="1372">
        <f t="shared" si="8"/>
        <v>0</v>
      </c>
      <c r="N114" s="1374">
        <f t="shared" si="7"/>
        <v>0</v>
      </c>
    </row>
    <row r="115" spans="1:14" ht="25.5" hidden="1" x14ac:dyDescent="0.2">
      <c r="A115" s="35">
        <v>47</v>
      </c>
      <c r="B115" s="1545">
        <v>1975</v>
      </c>
      <c r="C115" s="101" t="s">
        <v>255</v>
      </c>
      <c r="D115" s="96">
        <v>0</v>
      </c>
      <c r="E115" s="96"/>
      <c r="F115" s="96"/>
      <c r="G115" s="96"/>
      <c r="H115" s="1372">
        <f t="shared" si="9"/>
        <v>0</v>
      </c>
      <c r="I115" s="98">
        <v>0</v>
      </c>
      <c r="J115" s="98"/>
      <c r="K115" s="96"/>
      <c r="L115" s="96"/>
      <c r="M115" s="1372">
        <f t="shared" si="8"/>
        <v>0</v>
      </c>
      <c r="N115" s="1374">
        <f t="shared" si="7"/>
        <v>0</v>
      </c>
    </row>
    <row r="116" spans="1:14" x14ac:dyDescent="0.2">
      <c r="A116" s="35">
        <v>47</v>
      </c>
      <c r="B116" s="1545">
        <v>1980</v>
      </c>
      <c r="C116" s="101" t="s">
        <v>256</v>
      </c>
      <c r="D116" s="96">
        <v>1632917.89</v>
      </c>
      <c r="E116" s="96"/>
      <c r="F116" s="96">
        <v>94893.969999999972</v>
      </c>
      <c r="G116" s="96"/>
      <c r="H116" s="1372">
        <f t="shared" si="9"/>
        <v>1727811.8599999999</v>
      </c>
      <c r="I116" s="98">
        <v>-1301007.1775024617</v>
      </c>
      <c r="J116" s="98"/>
      <c r="K116" s="96">
        <v>-28749.839148295094</v>
      </c>
      <c r="L116" s="96"/>
      <c r="M116" s="1372">
        <f t="shared" si="8"/>
        <v>-1329757.0166507568</v>
      </c>
      <c r="N116" s="1374">
        <f t="shared" si="7"/>
        <v>398054.84334924305</v>
      </c>
    </row>
    <row r="117" spans="1:14" x14ac:dyDescent="0.2">
      <c r="A117" s="35">
        <v>47</v>
      </c>
      <c r="B117" s="1545">
        <v>1985</v>
      </c>
      <c r="C117" s="101" t="s">
        <v>257</v>
      </c>
      <c r="D117" s="96">
        <v>42116.86</v>
      </c>
      <c r="E117" s="96"/>
      <c r="F117" s="96"/>
      <c r="G117" s="96"/>
      <c r="H117" s="1372">
        <f t="shared" si="9"/>
        <v>42116.86</v>
      </c>
      <c r="I117" s="98">
        <v>-42116.858000000007</v>
      </c>
      <c r="J117" s="98"/>
      <c r="K117" s="96"/>
      <c r="L117" s="96"/>
      <c r="M117" s="1372">
        <f t="shared" si="8"/>
        <v>-42116.858000000007</v>
      </c>
      <c r="N117" s="1374">
        <f t="shared" si="7"/>
        <v>1.999999993131496E-3</v>
      </c>
    </row>
    <row r="118" spans="1:14" hidden="1" x14ac:dyDescent="0.2">
      <c r="A118" s="1560">
        <v>47</v>
      </c>
      <c r="B118" s="1545">
        <v>1990</v>
      </c>
      <c r="C118" s="1546" t="s">
        <v>411</v>
      </c>
      <c r="D118" s="96">
        <v>0</v>
      </c>
      <c r="E118" s="96"/>
      <c r="F118" s="96"/>
      <c r="G118" s="96"/>
      <c r="H118" s="1372">
        <f t="shared" si="9"/>
        <v>0</v>
      </c>
      <c r="I118" s="98">
        <v>0</v>
      </c>
      <c r="J118" s="98"/>
      <c r="K118" s="96"/>
      <c r="L118" s="96"/>
      <c r="M118" s="1372">
        <f t="shared" si="8"/>
        <v>0</v>
      </c>
      <c r="N118" s="1374">
        <f t="shared" si="7"/>
        <v>0</v>
      </c>
    </row>
    <row r="119" spans="1:14" x14ac:dyDescent="0.2">
      <c r="A119" s="35">
        <v>47</v>
      </c>
      <c r="B119" s="1545">
        <v>1995</v>
      </c>
      <c r="C119" s="101" t="s">
        <v>258</v>
      </c>
      <c r="D119" s="96">
        <v>-16556417.08</v>
      </c>
      <c r="E119" s="96">
        <v>16556417.08</v>
      </c>
      <c r="F119" s="96"/>
      <c r="G119" s="96"/>
      <c r="H119" s="1372">
        <f t="shared" si="9"/>
        <v>0</v>
      </c>
      <c r="I119" s="98">
        <v>4367724.4871047614</v>
      </c>
      <c r="J119" s="98">
        <v>-4367724.4871047623</v>
      </c>
      <c r="K119" s="96">
        <v>-4.4895238766912371E-2</v>
      </c>
      <c r="L119" s="96"/>
      <c r="M119" s="1372">
        <f t="shared" si="8"/>
        <v>-4.4895239698234946E-2</v>
      </c>
      <c r="N119" s="1374">
        <f t="shared" si="7"/>
        <v>-4.4895239698234946E-2</v>
      </c>
    </row>
    <row r="120" spans="1:14" ht="14.25" x14ac:dyDescent="0.2">
      <c r="A120" s="35">
        <v>47</v>
      </c>
      <c r="B120" s="1545">
        <v>2440</v>
      </c>
      <c r="C120" s="101" t="s">
        <v>835</v>
      </c>
      <c r="D120" s="96">
        <v>0</v>
      </c>
      <c r="E120" s="96"/>
      <c r="F120" s="96">
        <v>-898556.67</v>
      </c>
      <c r="G120" s="96"/>
      <c r="H120" s="1372">
        <f t="shared" si="9"/>
        <v>-898556.67</v>
      </c>
      <c r="I120" s="98">
        <v>0</v>
      </c>
      <c r="J120" s="98"/>
      <c r="K120" s="96"/>
      <c r="L120" s="96"/>
      <c r="M120" s="1372">
        <f t="shared" si="8"/>
        <v>0</v>
      </c>
      <c r="N120" s="1374">
        <f t="shared" si="7"/>
        <v>-898556.67</v>
      </c>
    </row>
    <row r="121" spans="1:14" x14ac:dyDescent="0.2">
      <c r="A121" s="99"/>
      <c r="B121" s="1545">
        <v>1330</v>
      </c>
      <c r="C121" s="1561" t="s">
        <v>1441</v>
      </c>
      <c r="D121" s="96">
        <v>1744578</v>
      </c>
      <c r="E121" s="96"/>
      <c r="F121" s="96"/>
      <c r="G121" s="96">
        <v>-388438</v>
      </c>
      <c r="H121" s="1372">
        <f t="shared" si="9"/>
        <v>1356140</v>
      </c>
      <c r="I121" s="98">
        <v>0</v>
      </c>
      <c r="J121" s="98"/>
      <c r="K121" s="96"/>
      <c r="L121" s="96"/>
      <c r="M121" s="1372">
        <f t="shared" si="8"/>
        <v>0</v>
      </c>
      <c r="N121" s="1374">
        <f t="shared" si="7"/>
        <v>1356140</v>
      </c>
    </row>
    <row r="122" spans="1:14" x14ac:dyDescent="0.2">
      <c r="A122" s="99"/>
      <c r="B122" s="1545">
        <v>2055</v>
      </c>
      <c r="C122" s="1562" t="s">
        <v>1442</v>
      </c>
      <c r="D122" s="96">
        <v>352028.93999999994</v>
      </c>
      <c r="E122" s="96"/>
      <c r="F122" s="96">
        <v>334789</v>
      </c>
      <c r="G122" s="96">
        <v>-378423</v>
      </c>
      <c r="H122" s="1372">
        <f t="shared" si="9"/>
        <v>308394.93999999994</v>
      </c>
      <c r="I122" s="98">
        <v>0</v>
      </c>
      <c r="J122" s="98"/>
      <c r="K122" s="96"/>
      <c r="L122" s="96"/>
      <c r="M122" s="1372">
        <f t="shared" si="8"/>
        <v>0</v>
      </c>
      <c r="N122" s="1374">
        <f t="shared" si="7"/>
        <v>308394.93999999994</v>
      </c>
    </row>
    <row r="123" spans="1:14" hidden="1" x14ac:dyDescent="0.2">
      <c r="A123" s="106"/>
      <c r="B123" s="106"/>
      <c r="C123" s="107"/>
      <c r="D123" s="96">
        <f t="shared" si="5"/>
        <v>0</v>
      </c>
      <c r="E123" s="96"/>
      <c r="F123" s="108"/>
      <c r="G123" s="108"/>
      <c r="H123" s="1372">
        <f t="shared" si="9"/>
        <v>0</v>
      </c>
      <c r="I123" s="98">
        <f t="shared" ref="I123" si="10">M60</f>
        <v>0</v>
      </c>
      <c r="J123" s="98"/>
      <c r="K123" s="108"/>
      <c r="L123" s="108"/>
      <c r="M123" s="1372">
        <f t="shared" si="8"/>
        <v>0</v>
      </c>
      <c r="N123" s="1374">
        <f t="shared" si="7"/>
        <v>0</v>
      </c>
    </row>
    <row r="124" spans="1:14" x14ac:dyDescent="0.2">
      <c r="A124" s="106"/>
      <c r="B124" s="106"/>
      <c r="C124" s="109" t="s">
        <v>175</v>
      </c>
      <c r="D124" s="1373">
        <f t="shared" ref="D124:N124" si="11">SUM(D80:D123)</f>
        <v>189458007.20239994</v>
      </c>
      <c r="E124" s="1373">
        <f>SUM(E80:E123)</f>
        <v>0</v>
      </c>
      <c r="F124" s="1373">
        <f t="shared" si="11"/>
        <v>7786847.4199999999</v>
      </c>
      <c r="G124" s="1373">
        <f t="shared" si="11"/>
        <v>-1040153.3200000001</v>
      </c>
      <c r="H124" s="1373">
        <f t="shared" si="11"/>
        <v>196204701.30240005</v>
      </c>
      <c r="I124" s="1373">
        <f t="shared" si="11"/>
        <v>-113470349.99652699</v>
      </c>
      <c r="J124" s="1373">
        <f>SUM(J80:J123)</f>
        <v>0</v>
      </c>
      <c r="K124" s="1373">
        <f>SUM(K80:K123)</f>
        <v>-3862043.308435333</v>
      </c>
      <c r="L124" s="1373">
        <f t="shared" si="11"/>
        <v>345308.5</v>
      </c>
      <c r="M124" s="1373">
        <f t="shared" si="11"/>
        <v>-116987084.80496228</v>
      </c>
      <c r="N124" s="1373">
        <f t="shared" si="11"/>
        <v>79217616.497437671</v>
      </c>
    </row>
    <row r="125" spans="1:14" ht="37.5" x14ac:dyDescent="0.2">
      <c r="A125" s="106"/>
      <c r="B125" s="106"/>
      <c r="C125" s="111" t="s">
        <v>503</v>
      </c>
      <c r="D125" s="108"/>
      <c r="E125" s="108"/>
      <c r="F125" s="108"/>
      <c r="G125" s="108"/>
      <c r="H125" s="1372">
        <f>D125+F125+G125</f>
        <v>0</v>
      </c>
      <c r="I125" s="108"/>
      <c r="J125" s="108"/>
      <c r="K125" s="108"/>
      <c r="L125" s="108"/>
      <c r="M125" s="1372">
        <f>I125+K125+L125</f>
        <v>0</v>
      </c>
      <c r="N125" s="1374">
        <f>H125+M125</f>
        <v>0</v>
      </c>
    </row>
    <row r="126" spans="1:14" ht="25.5" x14ac:dyDescent="0.2">
      <c r="A126" s="106"/>
      <c r="B126" s="106"/>
      <c r="C126" s="112" t="s">
        <v>502</v>
      </c>
      <c r="D126" s="1563">
        <f>H63</f>
        <v>-129739</v>
      </c>
      <c r="E126" s="1563"/>
      <c r="F126" s="108"/>
      <c r="G126" s="108"/>
      <c r="H126" s="1372">
        <f>D126+F126+G126</f>
        <v>-129739</v>
      </c>
      <c r="I126" s="1567">
        <f>M63</f>
        <v>90229</v>
      </c>
      <c r="J126" s="1567"/>
      <c r="K126" s="1563">
        <v>25948</v>
      </c>
      <c r="L126" s="108"/>
      <c r="M126" s="1372">
        <f>I126+K126+L126</f>
        <v>116177</v>
      </c>
      <c r="N126" s="1374">
        <f>H126+M126</f>
        <v>-13562</v>
      </c>
    </row>
    <row r="127" spans="1:14" x14ac:dyDescent="0.2">
      <c r="A127" s="106"/>
      <c r="B127" s="106"/>
      <c r="C127" s="109" t="s">
        <v>412</v>
      </c>
      <c r="D127" s="1373">
        <f t="shared" ref="D127:N127" si="12">SUM(D124:D126)</f>
        <v>189328268.20239994</v>
      </c>
      <c r="E127" s="1373"/>
      <c r="F127" s="1373">
        <f t="shared" si="12"/>
        <v>7786847.4199999999</v>
      </c>
      <c r="G127" s="1373">
        <f t="shared" si="12"/>
        <v>-1040153.3200000001</v>
      </c>
      <c r="H127" s="1373">
        <f t="shared" si="12"/>
        <v>196074962.30240005</v>
      </c>
      <c r="I127" s="1373">
        <f t="shared" si="12"/>
        <v>-113380120.99652699</v>
      </c>
      <c r="J127" s="1373"/>
      <c r="K127" s="1373">
        <f t="shared" si="12"/>
        <v>-3836095.308435333</v>
      </c>
      <c r="L127" s="1373">
        <f t="shared" si="12"/>
        <v>345308.5</v>
      </c>
      <c r="M127" s="1373">
        <f t="shared" si="12"/>
        <v>-116870907.80496228</v>
      </c>
      <c r="N127" s="1373">
        <f t="shared" si="12"/>
        <v>79204054.497437671</v>
      </c>
    </row>
    <row r="128" spans="1:14" ht="14.25" x14ac:dyDescent="0.2">
      <c r="A128" s="106"/>
      <c r="B128" s="106"/>
      <c r="C128" s="1651" t="s">
        <v>801</v>
      </c>
      <c r="D128" s="1652"/>
      <c r="E128" s="1652"/>
      <c r="F128" s="1652"/>
      <c r="G128" s="1652"/>
      <c r="H128" s="1653"/>
      <c r="I128" s="108"/>
      <c r="J128" s="113"/>
      <c r="K128" s="114"/>
      <c r="L128" s="115"/>
    </row>
    <row r="129" spans="1:14" x14ac:dyDescent="0.2">
      <c r="A129" s="106"/>
      <c r="B129" s="106"/>
      <c r="C129" s="1651" t="s">
        <v>259</v>
      </c>
      <c r="D129" s="1652"/>
      <c r="E129" s="1652"/>
      <c r="F129" s="1652"/>
      <c r="G129" s="1652"/>
      <c r="H129" s="1653"/>
      <c r="I129" s="1373">
        <f>K127+I128</f>
        <v>-3836095.308435333</v>
      </c>
      <c r="J129" s="113"/>
      <c r="K129" s="114"/>
      <c r="L129" s="115"/>
    </row>
    <row r="130" spans="1:14" x14ac:dyDescent="0.2">
      <c r="A130" s="267"/>
      <c r="B130" s="267"/>
      <c r="C130" s="1669" t="s">
        <v>1530</v>
      </c>
      <c r="D130" s="1670">
        <f>D127-D122-D121</f>
        <v>187231661.26239994</v>
      </c>
      <c r="E130" s="1669"/>
      <c r="F130" s="1669"/>
      <c r="G130" s="1669"/>
      <c r="H130" s="1670">
        <f>H127-H122-H121</f>
        <v>194410427.36240005</v>
      </c>
      <c r="I130" s="1625"/>
      <c r="J130" s="113"/>
      <c r="K130" s="114"/>
      <c r="L130" s="115"/>
      <c r="N130" s="1670">
        <f>N127-N122-N121</f>
        <v>77539519.557437673</v>
      </c>
    </row>
    <row r="131" spans="1:14" x14ac:dyDescent="0.2">
      <c r="A131" s="1547"/>
      <c r="B131" s="1547"/>
      <c r="H131" s="34"/>
    </row>
    <row r="132" spans="1:14" x14ac:dyDescent="0.2">
      <c r="A132" s="1547"/>
      <c r="B132" s="1547"/>
      <c r="H132" s="116" t="s">
        <v>343</v>
      </c>
      <c r="I132" s="1548"/>
    </row>
    <row r="133" spans="1:14" x14ac:dyDescent="0.2">
      <c r="A133" s="106">
        <v>10</v>
      </c>
      <c r="B133" s="106"/>
      <c r="C133" s="1436" t="s">
        <v>260</v>
      </c>
      <c r="D133" s="1437"/>
      <c r="E133" s="1437"/>
      <c r="F133" s="1437"/>
      <c r="G133" s="1437"/>
      <c r="H133" s="1438" t="s">
        <v>260</v>
      </c>
      <c r="I133" s="1438"/>
      <c r="J133" s="1564">
        <f>K106</f>
        <v>-221239.19154906209</v>
      </c>
    </row>
    <row r="134" spans="1:14" x14ac:dyDescent="0.2">
      <c r="A134" s="106">
        <v>8</v>
      </c>
      <c r="B134" s="106"/>
      <c r="C134" s="1436" t="s">
        <v>251</v>
      </c>
      <c r="D134" s="1437"/>
      <c r="E134" s="1437"/>
      <c r="F134" s="1437"/>
      <c r="G134" s="1437"/>
      <c r="H134" s="1438" t="s">
        <v>251</v>
      </c>
      <c r="I134" s="1438"/>
      <c r="J134" s="1565">
        <f>K108</f>
        <v>-94957.102500000008</v>
      </c>
    </row>
    <row r="135" spans="1:14" x14ac:dyDescent="0.2">
      <c r="A135" s="1547"/>
      <c r="B135" s="1547"/>
      <c r="H135" s="117" t="s">
        <v>261</v>
      </c>
      <c r="J135" s="1439">
        <f>I129-J133-J134</f>
        <v>-3519899.0143862707</v>
      </c>
    </row>
    <row r="136" spans="1:14" x14ac:dyDescent="0.2">
      <c r="A136" s="1547"/>
      <c r="B136" s="1547"/>
      <c r="I136" s="117"/>
      <c r="K136" s="1566"/>
    </row>
    <row r="137" spans="1:14" x14ac:dyDescent="0.2">
      <c r="A137" s="1547"/>
      <c r="B137" s="1547"/>
      <c r="I137" s="117"/>
      <c r="K137" s="1566"/>
    </row>
    <row r="138" spans="1:14" x14ac:dyDescent="0.2">
      <c r="A138" s="1547"/>
      <c r="B138" s="1547"/>
      <c r="E138" s="70" t="s">
        <v>778</v>
      </c>
      <c r="F138" s="30" t="s">
        <v>92</v>
      </c>
      <c r="H138" s="34"/>
    </row>
    <row r="139" spans="1:14" ht="15" x14ac:dyDescent="0.25">
      <c r="A139" s="1547"/>
      <c r="B139" s="1547"/>
      <c r="C139" s="38"/>
      <c r="E139" s="70" t="s">
        <v>89</v>
      </c>
      <c r="F139" s="84">
        <v>2015</v>
      </c>
      <c r="G139" s="85"/>
    </row>
    <row r="140" spans="1:14" x14ac:dyDescent="0.2">
      <c r="A140" s="1547"/>
      <c r="B140" s="1547"/>
    </row>
    <row r="141" spans="1:14" ht="19.149999999999999" customHeight="1" x14ac:dyDescent="0.2">
      <c r="A141" s="1547"/>
      <c r="B141" s="1547"/>
      <c r="D141" s="1926" t="s">
        <v>233</v>
      </c>
      <c r="E141" s="1927"/>
      <c r="F141" s="1927"/>
      <c r="G141" s="1928"/>
      <c r="H141" s="86"/>
      <c r="I141" s="87" t="s">
        <v>234</v>
      </c>
      <c r="J141" s="87"/>
      <c r="K141" s="87"/>
      <c r="L141" s="88"/>
      <c r="M141" s="83"/>
    </row>
    <row r="142" spans="1:14" ht="30" customHeight="1" x14ac:dyDescent="0.2">
      <c r="A142" s="89" t="s">
        <v>867</v>
      </c>
      <c r="B142" s="89" t="s">
        <v>869</v>
      </c>
      <c r="C142" s="90" t="s">
        <v>870</v>
      </c>
      <c r="D142" s="89" t="s">
        <v>206</v>
      </c>
      <c r="E142" s="91" t="s">
        <v>868</v>
      </c>
      <c r="F142" s="91" t="s">
        <v>929</v>
      </c>
      <c r="G142" s="94" t="s">
        <v>1443</v>
      </c>
      <c r="H142" s="89" t="s">
        <v>232</v>
      </c>
      <c r="I142" s="92" t="s">
        <v>206</v>
      </c>
      <c r="J142" s="93" t="s">
        <v>207</v>
      </c>
      <c r="K142" s="93" t="s">
        <v>929</v>
      </c>
      <c r="L142" s="94" t="s">
        <v>1443</v>
      </c>
      <c r="M142" s="94" t="s">
        <v>232</v>
      </c>
      <c r="N142" s="89" t="s">
        <v>263</v>
      </c>
    </row>
    <row r="143" spans="1:14" ht="15" hidden="1" customHeight="1" x14ac:dyDescent="0.2">
      <c r="A143" s="89"/>
      <c r="B143" s="1545">
        <v>1609</v>
      </c>
      <c r="C143" s="95" t="s">
        <v>1073</v>
      </c>
      <c r="D143" s="96">
        <f t="shared" ref="D143:D186" si="13">H80</f>
        <v>0</v>
      </c>
      <c r="E143" s="96"/>
      <c r="F143" s="96"/>
      <c r="G143" s="96"/>
      <c r="H143" s="1372">
        <f>D143+E143+F143</f>
        <v>0</v>
      </c>
      <c r="I143" s="98">
        <f>M80</f>
        <v>0</v>
      </c>
      <c r="J143" s="96"/>
      <c r="K143" s="96"/>
      <c r="L143" s="96"/>
      <c r="M143" s="1372">
        <f>I143+J143+K143+L143</f>
        <v>0</v>
      </c>
      <c r="N143" s="1374">
        <f t="shared" ref="N143:N186" si="14">H143+M143</f>
        <v>0</v>
      </c>
    </row>
    <row r="144" spans="1:14" ht="14.45" hidden="1" customHeight="1" x14ac:dyDescent="0.2">
      <c r="A144" s="89"/>
      <c r="B144" s="1659">
        <v>1610</v>
      </c>
      <c r="C144" s="95" t="s">
        <v>1527</v>
      </c>
      <c r="D144" s="96">
        <f t="shared" si="13"/>
        <v>0</v>
      </c>
      <c r="E144" s="96"/>
      <c r="F144" s="96"/>
      <c r="G144" s="96"/>
      <c r="H144" s="1372">
        <f>D144+E144+F144</f>
        <v>0</v>
      </c>
      <c r="I144" s="98"/>
      <c r="J144" s="96"/>
      <c r="K144" s="96"/>
      <c r="L144" s="96"/>
      <c r="M144" s="1372"/>
      <c r="N144" s="1374">
        <f t="shared" si="14"/>
        <v>0</v>
      </c>
    </row>
    <row r="145" spans="1:14" ht="25.5" x14ac:dyDescent="0.2">
      <c r="A145" s="35">
        <v>12</v>
      </c>
      <c r="B145" s="1545">
        <v>1611</v>
      </c>
      <c r="C145" s="95" t="s">
        <v>325</v>
      </c>
      <c r="D145" s="96">
        <v>3090266.4000000004</v>
      </c>
      <c r="E145" s="96">
        <v>114872.93</v>
      </c>
      <c r="F145" s="96"/>
      <c r="G145" s="96"/>
      <c r="H145" s="1372">
        <f>D145+E145+F145+G145</f>
        <v>3205139.3300000005</v>
      </c>
      <c r="I145" s="98">
        <v>-2774946.2219999996</v>
      </c>
      <c r="J145" s="96">
        <v>-189312.84000000003</v>
      </c>
      <c r="K145" s="96"/>
      <c r="L145" s="96"/>
      <c r="M145" s="1372">
        <f t="shared" ref="M145:M186" si="15">I145+J145+K145+L145</f>
        <v>-2964259.0619999995</v>
      </c>
      <c r="N145" s="1374">
        <f t="shared" si="14"/>
        <v>240880.26800000109</v>
      </c>
    </row>
    <row r="146" spans="1:14" ht="25.5" x14ac:dyDescent="0.2">
      <c r="A146" s="35" t="s">
        <v>243</v>
      </c>
      <c r="B146" s="1545">
        <v>1612</v>
      </c>
      <c r="C146" s="95" t="s">
        <v>360</v>
      </c>
      <c r="D146" s="96">
        <v>22699.18</v>
      </c>
      <c r="E146" s="96">
        <v>13433.49</v>
      </c>
      <c r="F146" s="96"/>
      <c r="G146" s="96"/>
      <c r="H146" s="1372">
        <f t="shared" ref="H146:H185" si="16">D146+E146+F146+G146</f>
        <v>36132.67</v>
      </c>
      <c r="I146" s="98">
        <v>0</v>
      </c>
      <c r="J146" s="96"/>
      <c r="K146" s="96"/>
      <c r="L146" s="96"/>
      <c r="M146" s="1372">
        <f t="shared" si="15"/>
        <v>0</v>
      </c>
      <c r="N146" s="1374">
        <f t="shared" si="14"/>
        <v>36132.67</v>
      </c>
    </row>
    <row r="147" spans="1:14" ht="16.149999999999999" customHeight="1" x14ac:dyDescent="0.2">
      <c r="A147" s="35" t="s">
        <v>235</v>
      </c>
      <c r="B147" s="99">
        <v>1805</v>
      </c>
      <c r="C147" s="100" t="s">
        <v>236</v>
      </c>
      <c r="D147" s="96">
        <v>908024.20999999985</v>
      </c>
      <c r="E147" s="96">
        <v>32054.59</v>
      </c>
      <c r="F147" s="96"/>
      <c r="G147" s="96"/>
      <c r="H147" s="1372">
        <f t="shared" si="16"/>
        <v>940078.79999999981</v>
      </c>
      <c r="I147" s="98">
        <v>0</v>
      </c>
      <c r="J147" s="96"/>
      <c r="K147" s="96"/>
      <c r="L147" s="96"/>
      <c r="M147" s="1372">
        <f t="shared" si="15"/>
        <v>0</v>
      </c>
      <c r="N147" s="1374">
        <f t="shared" si="14"/>
        <v>940078.79999999981</v>
      </c>
    </row>
    <row r="148" spans="1:14" x14ac:dyDescent="0.2">
      <c r="A148" s="35">
        <v>47</v>
      </c>
      <c r="B148" s="99">
        <v>1808</v>
      </c>
      <c r="C148" s="101" t="s">
        <v>237</v>
      </c>
      <c r="D148" s="96">
        <v>11840337.629999999</v>
      </c>
      <c r="E148" s="96">
        <v>1320993.71</v>
      </c>
      <c r="F148" s="96"/>
      <c r="G148" s="96">
        <v>-183692.47</v>
      </c>
      <c r="H148" s="1372">
        <f t="shared" si="16"/>
        <v>12977638.869999999</v>
      </c>
      <c r="I148" s="98">
        <v>-5182842.4741240125</v>
      </c>
      <c r="J148" s="96">
        <v>-378626.45538609161</v>
      </c>
      <c r="K148" s="96"/>
      <c r="L148" s="96">
        <v>-86242.644260869565</v>
      </c>
      <c r="M148" s="1372">
        <f t="shared" si="15"/>
        <v>-5647711.5737709738</v>
      </c>
      <c r="N148" s="1374">
        <f t="shared" si="14"/>
        <v>7329927.2962290253</v>
      </c>
    </row>
    <row r="149" spans="1:14" hidden="1" x14ac:dyDescent="0.2">
      <c r="A149" s="35">
        <v>13</v>
      </c>
      <c r="B149" s="99">
        <v>1810</v>
      </c>
      <c r="C149" s="101" t="s">
        <v>262</v>
      </c>
      <c r="D149" s="96">
        <v>0</v>
      </c>
      <c r="E149" s="96"/>
      <c r="F149" s="96"/>
      <c r="G149" s="96"/>
      <c r="H149" s="1372">
        <f t="shared" si="16"/>
        <v>0</v>
      </c>
      <c r="I149" s="98">
        <v>0</v>
      </c>
      <c r="J149" s="96"/>
      <c r="K149" s="96"/>
      <c r="L149" s="96"/>
      <c r="M149" s="1372">
        <f t="shared" si="15"/>
        <v>0</v>
      </c>
      <c r="N149" s="1374">
        <f t="shared" si="14"/>
        <v>0</v>
      </c>
    </row>
    <row r="150" spans="1:14" hidden="1" x14ac:dyDescent="0.2">
      <c r="A150" s="35">
        <v>47</v>
      </c>
      <c r="B150" s="99">
        <v>1815</v>
      </c>
      <c r="C150" s="101" t="s">
        <v>238</v>
      </c>
      <c r="D150" s="96">
        <v>0</v>
      </c>
      <c r="E150" s="96"/>
      <c r="F150" s="96"/>
      <c r="G150" s="96"/>
      <c r="H150" s="1372">
        <f t="shared" si="16"/>
        <v>0</v>
      </c>
      <c r="I150" s="98">
        <v>0</v>
      </c>
      <c r="J150" s="96"/>
      <c r="K150" s="96"/>
      <c r="L150" s="96"/>
      <c r="M150" s="1372">
        <f t="shared" si="15"/>
        <v>0</v>
      </c>
      <c r="N150" s="1374">
        <f t="shared" si="14"/>
        <v>0</v>
      </c>
    </row>
    <row r="151" spans="1:14" x14ac:dyDescent="0.2">
      <c r="A151" s="35">
        <v>47</v>
      </c>
      <c r="B151" s="99">
        <v>1820</v>
      </c>
      <c r="C151" s="95" t="s">
        <v>178</v>
      </c>
      <c r="D151" s="96">
        <v>18311568.470000003</v>
      </c>
      <c r="E151" s="96">
        <v>163382.27000000002</v>
      </c>
      <c r="F151" s="96"/>
      <c r="G151" s="96">
        <v>-1431637.0899999999</v>
      </c>
      <c r="H151" s="1372">
        <f t="shared" si="16"/>
        <v>17043313.650000002</v>
      </c>
      <c r="I151" s="98">
        <v>-11668419.083985038</v>
      </c>
      <c r="J151" s="96">
        <v>-371810.8158681799</v>
      </c>
      <c r="K151" s="96"/>
      <c r="L151" s="96">
        <v>755572.66505469289</v>
      </c>
      <c r="M151" s="1372">
        <f t="shared" si="15"/>
        <v>-11284657.234798525</v>
      </c>
      <c r="N151" s="1374">
        <f t="shared" si="14"/>
        <v>5758656.4152014777</v>
      </c>
    </row>
    <row r="152" spans="1:14" hidden="1" x14ac:dyDescent="0.2">
      <c r="A152" s="35">
        <v>47</v>
      </c>
      <c r="B152" s="99">
        <v>1825</v>
      </c>
      <c r="C152" s="101" t="s">
        <v>239</v>
      </c>
      <c r="D152" s="96">
        <v>0</v>
      </c>
      <c r="E152" s="96"/>
      <c r="F152" s="96"/>
      <c r="G152" s="96"/>
      <c r="H152" s="1372">
        <f t="shared" si="16"/>
        <v>0</v>
      </c>
      <c r="I152" s="98">
        <v>0</v>
      </c>
      <c r="J152" s="96"/>
      <c r="K152" s="96"/>
      <c r="L152" s="96"/>
      <c r="M152" s="1372">
        <f t="shared" si="15"/>
        <v>0</v>
      </c>
      <c r="N152" s="1374">
        <f t="shared" si="14"/>
        <v>0</v>
      </c>
    </row>
    <row r="153" spans="1:14" x14ac:dyDescent="0.2">
      <c r="A153" s="35">
        <v>47</v>
      </c>
      <c r="B153" s="99">
        <v>1830</v>
      </c>
      <c r="C153" s="101" t="s">
        <v>240</v>
      </c>
      <c r="D153" s="96">
        <v>21691491.219999999</v>
      </c>
      <c r="E153" s="96">
        <v>1620239.1800000006</v>
      </c>
      <c r="F153" s="96">
        <v>-254178.83</v>
      </c>
      <c r="G153" s="96"/>
      <c r="H153" s="1372">
        <f t="shared" si="16"/>
        <v>23057551.57</v>
      </c>
      <c r="I153" s="98">
        <v>-9820226.906292649</v>
      </c>
      <c r="J153" s="96">
        <v>-428839.50285478774</v>
      </c>
      <c r="K153" s="96">
        <v>188408.68</v>
      </c>
      <c r="L153" s="96"/>
      <c r="M153" s="1372">
        <f t="shared" si="15"/>
        <v>-10060657.729147438</v>
      </c>
      <c r="N153" s="1374">
        <f t="shared" si="14"/>
        <v>12996893.840852562</v>
      </c>
    </row>
    <row r="154" spans="1:14" x14ac:dyDescent="0.2">
      <c r="A154" s="35">
        <v>47</v>
      </c>
      <c r="B154" s="99">
        <v>1835</v>
      </c>
      <c r="C154" s="101" t="s">
        <v>179</v>
      </c>
      <c r="D154" s="96">
        <v>39645092.649999999</v>
      </c>
      <c r="E154" s="96">
        <v>723791.35000000021</v>
      </c>
      <c r="F154" s="96">
        <v>-617562.55000000005</v>
      </c>
      <c r="G154" s="96"/>
      <c r="H154" s="1372">
        <f t="shared" si="16"/>
        <v>39751321.450000003</v>
      </c>
      <c r="I154" s="98">
        <v>-28265153.230198089</v>
      </c>
      <c r="J154" s="96">
        <v>-486604.74451819627</v>
      </c>
      <c r="K154" s="1498">
        <v>504083.1100000001</v>
      </c>
      <c r="L154" s="1498"/>
      <c r="M154" s="1372">
        <f t="shared" si="15"/>
        <v>-28247674.864716288</v>
      </c>
      <c r="N154" s="1374">
        <f t="shared" si="14"/>
        <v>11503646.585283715</v>
      </c>
    </row>
    <row r="155" spans="1:14" x14ac:dyDescent="0.2">
      <c r="A155" s="35">
        <v>47</v>
      </c>
      <c r="B155" s="99">
        <v>1840</v>
      </c>
      <c r="C155" s="101" t="s">
        <v>180</v>
      </c>
      <c r="D155" s="96">
        <v>22145942.25</v>
      </c>
      <c r="E155" s="96">
        <v>576755.81000000017</v>
      </c>
      <c r="F155" s="96">
        <v>-25317.649999999998</v>
      </c>
      <c r="G155" s="96"/>
      <c r="H155" s="1372">
        <f t="shared" si="16"/>
        <v>22697380.41</v>
      </c>
      <c r="I155" s="98">
        <v>-12656859.795144238</v>
      </c>
      <c r="J155" s="96">
        <v>-259530.24452565666</v>
      </c>
      <c r="K155" s="96">
        <v>17605.599999999999</v>
      </c>
      <c r="L155" s="96"/>
      <c r="M155" s="1372">
        <f t="shared" si="15"/>
        <v>-12898784.439669894</v>
      </c>
      <c r="N155" s="1374">
        <f t="shared" si="14"/>
        <v>9798595.9703301061</v>
      </c>
    </row>
    <row r="156" spans="1:14" x14ac:dyDescent="0.2">
      <c r="A156" s="35">
        <v>47</v>
      </c>
      <c r="B156" s="99">
        <v>1845</v>
      </c>
      <c r="C156" s="101" t="s">
        <v>181</v>
      </c>
      <c r="D156" s="96">
        <v>14907434.020000003</v>
      </c>
      <c r="E156" s="96">
        <v>615640.23999999987</v>
      </c>
      <c r="F156" s="96">
        <v>-236725.78</v>
      </c>
      <c r="G156" s="96"/>
      <c r="H156" s="1372">
        <f t="shared" si="16"/>
        <v>15286348.480000004</v>
      </c>
      <c r="I156" s="98">
        <v>-10229734.605187906</v>
      </c>
      <c r="J156" s="96">
        <v>-278978.26878267783</v>
      </c>
      <c r="K156" s="96">
        <v>163290.03000000003</v>
      </c>
      <c r="L156" s="96"/>
      <c r="M156" s="1372">
        <f t="shared" si="15"/>
        <v>-10345422.843970584</v>
      </c>
      <c r="N156" s="1374">
        <f t="shared" si="14"/>
        <v>4940925.6360294204</v>
      </c>
    </row>
    <row r="157" spans="1:14" x14ac:dyDescent="0.2">
      <c r="A157" s="35">
        <v>47</v>
      </c>
      <c r="B157" s="99">
        <v>1850</v>
      </c>
      <c r="C157" s="101" t="s">
        <v>241</v>
      </c>
      <c r="D157" s="96">
        <v>27157266.399999995</v>
      </c>
      <c r="E157" s="96">
        <v>1362816.6400000008</v>
      </c>
      <c r="F157" s="96">
        <v>-1006677.05</v>
      </c>
      <c r="G157" s="96"/>
      <c r="H157" s="1372">
        <f t="shared" si="16"/>
        <v>27513405.989999995</v>
      </c>
      <c r="I157" s="98">
        <v>-17649049.486354161</v>
      </c>
      <c r="J157" s="96">
        <v>-416435.29568125348</v>
      </c>
      <c r="K157" s="96">
        <v>772801.84</v>
      </c>
      <c r="L157" s="96"/>
      <c r="M157" s="1372">
        <f t="shared" si="15"/>
        <v>-17292682.942035414</v>
      </c>
      <c r="N157" s="1374">
        <f t="shared" si="14"/>
        <v>10220723.04796458</v>
      </c>
    </row>
    <row r="158" spans="1:14" x14ac:dyDescent="0.2">
      <c r="A158" s="35">
        <v>47</v>
      </c>
      <c r="B158" s="99">
        <v>1855</v>
      </c>
      <c r="C158" s="101" t="s">
        <v>182</v>
      </c>
      <c r="D158" s="96">
        <v>14489675.559999999</v>
      </c>
      <c r="E158" s="96">
        <v>1147044.9399999997</v>
      </c>
      <c r="F158" s="96">
        <v>-155181.51</v>
      </c>
      <c r="G158" s="96"/>
      <c r="H158" s="1372">
        <f t="shared" si="16"/>
        <v>15481538.989999998</v>
      </c>
      <c r="I158" s="98">
        <v>-6953367.9866677206</v>
      </c>
      <c r="J158" s="96">
        <v>-268102.70870702591</v>
      </c>
      <c r="K158" s="96">
        <v>111440.37</v>
      </c>
      <c r="L158" s="96"/>
      <c r="M158" s="1372">
        <f t="shared" si="15"/>
        <v>-7110030.3253747467</v>
      </c>
      <c r="N158" s="1374">
        <f t="shared" si="14"/>
        <v>8371508.6646252517</v>
      </c>
    </row>
    <row r="159" spans="1:14" x14ac:dyDescent="0.2">
      <c r="A159" s="35">
        <v>47</v>
      </c>
      <c r="B159" s="99">
        <v>1860</v>
      </c>
      <c r="C159" s="101" t="s">
        <v>242</v>
      </c>
      <c r="D159" s="96">
        <v>8503406.6523999982</v>
      </c>
      <c r="E159" s="96">
        <v>161684.28</v>
      </c>
      <c r="F159" s="96"/>
      <c r="G159" s="96"/>
      <c r="H159" s="1372">
        <f t="shared" si="16"/>
        <v>8665090.9323999975</v>
      </c>
      <c r="I159" s="98">
        <v>-2944999.7203220483</v>
      </c>
      <c r="J159" s="96">
        <v>-494932.93420747691</v>
      </c>
      <c r="K159" s="96"/>
      <c r="L159" s="96"/>
      <c r="M159" s="1372">
        <f t="shared" si="15"/>
        <v>-3439932.654529525</v>
      </c>
      <c r="N159" s="1374">
        <f t="shared" si="14"/>
        <v>5225158.2778704725</v>
      </c>
    </row>
    <row r="160" spans="1:14" ht="12.6" hidden="1" customHeight="1" x14ac:dyDescent="0.2">
      <c r="A160" s="35">
        <v>47</v>
      </c>
      <c r="B160" s="99">
        <v>1860</v>
      </c>
      <c r="C160" s="100" t="s">
        <v>183</v>
      </c>
      <c r="D160" s="96"/>
      <c r="E160" s="96"/>
      <c r="F160" s="96"/>
      <c r="G160" s="96"/>
      <c r="H160" s="1372">
        <f t="shared" si="16"/>
        <v>0</v>
      </c>
      <c r="I160" s="98"/>
      <c r="J160" s="96"/>
      <c r="K160" s="96"/>
      <c r="L160" s="96"/>
      <c r="M160" s="1372">
        <f t="shared" si="15"/>
        <v>0</v>
      </c>
      <c r="N160" s="1374">
        <f t="shared" si="14"/>
        <v>0</v>
      </c>
    </row>
    <row r="161" spans="1:14" ht="10.9" hidden="1" customHeight="1" x14ac:dyDescent="0.2">
      <c r="A161" s="35" t="s">
        <v>235</v>
      </c>
      <c r="B161" s="99">
        <v>1905</v>
      </c>
      <c r="C161" s="100" t="s">
        <v>236</v>
      </c>
      <c r="D161" s="96">
        <v>0</v>
      </c>
      <c r="E161" s="96"/>
      <c r="F161" s="96"/>
      <c r="G161" s="96"/>
      <c r="H161" s="1372">
        <f t="shared" si="16"/>
        <v>0</v>
      </c>
      <c r="I161" s="98">
        <v>0</v>
      </c>
      <c r="J161" s="96"/>
      <c r="K161" s="96"/>
      <c r="L161" s="96"/>
      <c r="M161" s="1372">
        <f t="shared" si="15"/>
        <v>0</v>
      </c>
      <c r="N161" s="1374">
        <f t="shared" si="14"/>
        <v>0</v>
      </c>
    </row>
    <row r="162" spans="1:14" ht="12.6" hidden="1" customHeight="1" x14ac:dyDescent="0.2">
      <c r="A162" s="35">
        <v>47</v>
      </c>
      <c r="B162" s="99">
        <v>1908</v>
      </c>
      <c r="C162" s="101" t="s">
        <v>244</v>
      </c>
      <c r="D162" s="96">
        <v>0</v>
      </c>
      <c r="E162" s="96"/>
      <c r="F162" s="96"/>
      <c r="G162" s="96"/>
      <c r="H162" s="1372">
        <f t="shared" si="16"/>
        <v>0</v>
      </c>
      <c r="I162" s="98">
        <v>0</v>
      </c>
      <c r="J162" s="96"/>
      <c r="K162" s="96"/>
      <c r="L162" s="96"/>
      <c r="M162" s="1372">
        <f t="shared" si="15"/>
        <v>0</v>
      </c>
      <c r="N162" s="1374">
        <f t="shared" si="14"/>
        <v>0</v>
      </c>
    </row>
    <row r="163" spans="1:14" ht="10.9" hidden="1" customHeight="1" x14ac:dyDescent="0.2">
      <c r="A163" s="35">
        <v>13</v>
      </c>
      <c r="B163" s="99">
        <v>1910</v>
      </c>
      <c r="C163" s="101" t="s">
        <v>262</v>
      </c>
      <c r="D163" s="96">
        <v>0</v>
      </c>
      <c r="E163" s="96"/>
      <c r="F163" s="96"/>
      <c r="G163" s="96"/>
      <c r="H163" s="1372">
        <f t="shared" si="16"/>
        <v>0</v>
      </c>
      <c r="I163" s="98">
        <v>0</v>
      </c>
      <c r="J163" s="96"/>
      <c r="K163" s="96"/>
      <c r="L163" s="96"/>
      <c r="M163" s="1372">
        <f t="shared" si="15"/>
        <v>0</v>
      </c>
      <c r="N163" s="1374">
        <f t="shared" si="14"/>
        <v>0</v>
      </c>
    </row>
    <row r="164" spans="1:14" x14ac:dyDescent="0.2">
      <c r="A164" s="35">
        <v>8</v>
      </c>
      <c r="B164" s="99">
        <v>1915</v>
      </c>
      <c r="C164" s="101" t="s">
        <v>184</v>
      </c>
      <c r="D164" s="96">
        <v>76054.559999999998</v>
      </c>
      <c r="E164" s="96"/>
      <c r="F164" s="96"/>
      <c r="G164" s="96"/>
      <c r="H164" s="1372">
        <f t="shared" si="16"/>
        <v>76054.559999999998</v>
      </c>
      <c r="I164" s="98">
        <v>-48244.323999999986</v>
      </c>
      <c r="J164" s="96">
        <v>-4005.2359999999999</v>
      </c>
      <c r="K164" s="96"/>
      <c r="L164" s="96"/>
      <c r="M164" s="1372">
        <f t="shared" si="15"/>
        <v>-52249.559999999983</v>
      </c>
      <c r="N164" s="1374">
        <f t="shared" si="14"/>
        <v>23805.000000000015</v>
      </c>
    </row>
    <row r="165" spans="1:14" hidden="1" x14ac:dyDescent="0.2">
      <c r="A165" s="35">
        <v>8</v>
      </c>
      <c r="B165" s="99">
        <v>1915</v>
      </c>
      <c r="C165" s="101" t="s">
        <v>185</v>
      </c>
      <c r="D165" s="96">
        <v>0</v>
      </c>
      <c r="E165" s="96"/>
      <c r="F165" s="96"/>
      <c r="G165" s="96"/>
      <c r="H165" s="1372">
        <f t="shared" si="16"/>
        <v>0</v>
      </c>
      <c r="I165" s="98">
        <v>0</v>
      </c>
      <c r="J165" s="96"/>
      <c r="K165" s="96"/>
      <c r="L165" s="96"/>
      <c r="M165" s="1372">
        <f t="shared" si="15"/>
        <v>0</v>
      </c>
      <c r="N165" s="1374">
        <f t="shared" si="14"/>
        <v>0</v>
      </c>
    </row>
    <row r="166" spans="1:14" x14ac:dyDescent="0.2">
      <c r="A166" s="35">
        <v>10</v>
      </c>
      <c r="B166" s="99">
        <v>1920</v>
      </c>
      <c r="C166" s="101" t="s">
        <v>186</v>
      </c>
      <c r="D166" s="96">
        <v>738314.46</v>
      </c>
      <c r="E166" s="96"/>
      <c r="F166" s="96"/>
      <c r="G166" s="96"/>
      <c r="H166" s="1372">
        <f t="shared" si="16"/>
        <v>738314.46</v>
      </c>
      <c r="I166" s="98">
        <v>-395258.49999999994</v>
      </c>
      <c r="J166" s="96">
        <v>-127484.79199999999</v>
      </c>
      <c r="K166" s="96"/>
      <c r="L166" s="96"/>
      <c r="M166" s="1372">
        <f t="shared" si="15"/>
        <v>-522743.2919999999</v>
      </c>
      <c r="N166" s="1374">
        <f t="shared" si="14"/>
        <v>215571.16800000006</v>
      </c>
    </row>
    <row r="167" spans="1:14" ht="25.5" hidden="1" x14ac:dyDescent="0.2">
      <c r="A167" s="35">
        <v>45</v>
      </c>
      <c r="B167" s="102">
        <v>1920</v>
      </c>
      <c r="C167" s="95" t="s">
        <v>188</v>
      </c>
      <c r="D167" s="96">
        <v>0</v>
      </c>
      <c r="E167" s="96"/>
      <c r="F167" s="96"/>
      <c r="G167" s="96"/>
      <c r="H167" s="1372">
        <f t="shared" si="16"/>
        <v>0</v>
      </c>
      <c r="I167" s="98">
        <v>0</v>
      </c>
      <c r="J167" s="96"/>
      <c r="K167" s="96"/>
      <c r="L167" s="96"/>
      <c r="M167" s="1372">
        <f t="shared" si="15"/>
        <v>0</v>
      </c>
      <c r="N167" s="1374">
        <f t="shared" si="14"/>
        <v>0</v>
      </c>
    </row>
    <row r="168" spans="1:14" ht="25.5" hidden="1" x14ac:dyDescent="0.2">
      <c r="A168" s="35">
        <v>45.1</v>
      </c>
      <c r="B168" s="102">
        <v>1920</v>
      </c>
      <c r="C168" s="95" t="s">
        <v>187</v>
      </c>
      <c r="D168" s="96">
        <v>0</v>
      </c>
      <c r="E168" s="96"/>
      <c r="F168" s="96"/>
      <c r="G168" s="96"/>
      <c r="H168" s="1372">
        <f t="shared" si="16"/>
        <v>0</v>
      </c>
      <c r="I168" s="98">
        <v>0</v>
      </c>
      <c r="J168" s="96"/>
      <c r="K168" s="96"/>
      <c r="L168" s="96"/>
      <c r="M168" s="1372">
        <f t="shared" si="15"/>
        <v>0</v>
      </c>
      <c r="N168" s="1374">
        <f t="shared" si="14"/>
        <v>0</v>
      </c>
    </row>
    <row r="169" spans="1:14" x14ac:dyDescent="0.2">
      <c r="A169" s="35">
        <v>10</v>
      </c>
      <c r="B169" s="1545">
        <v>1930</v>
      </c>
      <c r="C169" s="101" t="s">
        <v>250</v>
      </c>
      <c r="D169" s="96">
        <v>5672795.8300000001</v>
      </c>
      <c r="E169" s="96">
        <v>756834.45</v>
      </c>
      <c r="F169" s="96">
        <v>-373284.45999999996</v>
      </c>
      <c r="G169" s="96"/>
      <c r="H169" s="1372">
        <f t="shared" si="16"/>
        <v>6056345.8200000003</v>
      </c>
      <c r="I169" s="98">
        <v>-3899713.5282404395</v>
      </c>
      <c r="J169" s="96">
        <v>-268827.26006962487</v>
      </c>
      <c r="K169" s="96">
        <v>301266.83999999997</v>
      </c>
      <c r="L169" s="96"/>
      <c r="M169" s="1372">
        <f t="shared" si="15"/>
        <v>-3867273.9483100646</v>
      </c>
      <c r="N169" s="1374">
        <f t="shared" si="14"/>
        <v>2189071.8716899357</v>
      </c>
    </row>
    <row r="170" spans="1:14" hidden="1" x14ac:dyDescent="0.2">
      <c r="A170" s="35">
        <v>8</v>
      </c>
      <c r="B170" s="1545">
        <v>1935</v>
      </c>
      <c r="C170" s="101" t="s">
        <v>251</v>
      </c>
      <c r="D170" s="96">
        <v>0</v>
      </c>
      <c r="E170" s="96"/>
      <c r="F170" s="96"/>
      <c r="G170" s="96"/>
      <c r="H170" s="1372">
        <f t="shared" si="16"/>
        <v>0</v>
      </c>
      <c r="I170" s="98">
        <v>0</v>
      </c>
      <c r="J170" s="96"/>
      <c r="K170" s="96"/>
      <c r="L170" s="96"/>
      <c r="M170" s="1372">
        <f t="shared" si="15"/>
        <v>0</v>
      </c>
      <c r="N170" s="1374">
        <f t="shared" si="14"/>
        <v>0</v>
      </c>
    </row>
    <row r="171" spans="1:14" x14ac:dyDescent="0.2">
      <c r="A171" s="35">
        <v>8</v>
      </c>
      <c r="B171" s="1545">
        <v>1940</v>
      </c>
      <c r="C171" s="101" t="s">
        <v>252</v>
      </c>
      <c r="D171" s="96">
        <v>2140701.67</v>
      </c>
      <c r="E171" s="96">
        <v>69666.34</v>
      </c>
      <c r="F171" s="96"/>
      <c r="G171" s="96"/>
      <c r="H171" s="1372">
        <f t="shared" si="16"/>
        <v>2210368.0099999998</v>
      </c>
      <c r="I171" s="98">
        <v>-1654979.3535</v>
      </c>
      <c r="J171" s="96">
        <v>-97477.770999999993</v>
      </c>
      <c r="K171" s="96"/>
      <c r="L171" s="96"/>
      <c r="M171" s="1372">
        <f t="shared" si="15"/>
        <v>-1752457.1244999999</v>
      </c>
      <c r="N171" s="1374">
        <f t="shared" si="14"/>
        <v>457910.88549999986</v>
      </c>
    </row>
    <row r="172" spans="1:14" hidden="1" x14ac:dyDescent="0.2">
      <c r="A172" s="35">
        <v>8</v>
      </c>
      <c r="B172" s="1545">
        <v>1945</v>
      </c>
      <c r="C172" s="101" t="s">
        <v>253</v>
      </c>
      <c r="D172" s="96">
        <v>0</v>
      </c>
      <c r="E172" s="96"/>
      <c r="F172" s="96"/>
      <c r="G172" s="96"/>
      <c r="H172" s="1372">
        <f t="shared" si="16"/>
        <v>0</v>
      </c>
      <c r="I172" s="98">
        <v>0</v>
      </c>
      <c r="J172" s="96"/>
      <c r="K172" s="96"/>
      <c r="L172" s="96"/>
      <c r="M172" s="1372">
        <f t="shared" si="15"/>
        <v>0</v>
      </c>
      <c r="N172" s="1374">
        <f t="shared" si="14"/>
        <v>0</v>
      </c>
    </row>
    <row r="173" spans="1:14" hidden="1" x14ac:dyDescent="0.2">
      <c r="A173" s="35">
        <v>8</v>
      </c>
      <c r="B173" s="1545">
        <v>1950</v>
      </c>
      <c r="C173" s="101" t="s">
        <v>189</v>
      </c>
      <c r="D173" s="96">
        <v>0</v>
      </c>
      <c r="E173" s="96"/>
      <c r="F173" s="96"/>
      <c r="G173" s="96"/>
      <c r="H173" s="1372">
        <f t="shared" si="16"/>
        <v>0</v>
      </c>
      <c r="I173" s="98">
        <v>0</v>
      </c>
      <c r="J173" s="96"/>
      <c r="K173" s="96"/>
      <c r="L173" s="96"/>
      <c r="M173" s="1372">
        <f t="shared" si="15"/>
        <v>0</v>
      </c>
      <c r="N173" s="1374">
        <f t="shared" si="14"/>
        <v>0</v>
      </c>
    </row>
    <row r="174" spans="1:14" x14ac:dyDescent="0.2">
      <c r="A174" s="35">
        <v>8</v>
      </c>
      <c r="B174" s="1545">
        <v>1955</v>
      </c>
      <c r="C174" s="101" t="s">
        <v>254</v>
      </c>
      <c r="D174" s="96">
        <v>2327723.15</v>
      </c>
      <c r="E174" s="96">
        <v>5085.7299999999996</v>
      </c>
      <c r="F174" s="96"/>
      <c r="G174" s="96"/>
      <c r="H174" s="1372">
        <f t="shared" si="16"/>
        <v>2332808.88</v>
      </c>
      <c r="I174" s="98">
        <v>-1471415.6694</v>
      </c>
      <c r="J174" s="96">
        <v>-84894.429199999984</v>
      </c>
      <c r="K174" s="96"/>
      <c r="L174" s="96"/>
      <c r="M174" s="1372">
        <f t="shared" si="15"/>
        <v>-1556310.0985999999</v>
      </c>
      <c r="N174" s="1374">
        <f t="shared" si="14"/>
        <v>776498.78139999998</v>
      </c>
    </row>
    <row r="175" spans="1:14" hidden="1" x14ac:dyDescent="0.2">
      <c r="A175" s="1559">
        <v>8</v>
      </c>
      <c r="B175" s="102">
        <v>1955</v>
      </c>
      <c r="C175" s="104" t="s">
        <v>190</v>
      </c>
      <c r="D175" s="96">
        <v>0</v>
      </c>
      <c r="E175" s="96"/>
      <c r="F175" s="96"/>
      <c r="G175" s="96"/>
      <c r="H175" s="1372">
        <f t="shared" si="16"/>
        <v>0</v>
      </c>
      <c r="I175" s="98">
        <v>0</v>
      </c>
      <c r="J175" s="96"/>
      <c r="K175" s="96"/>
      <c r="L175" s="96"/>
      <c r="M175" s="1372">
        <f t="shared" si="15"/>
        <v>0</v>
      </c>
      <c r="N175" s="1374">
        <f t="shared" si="14"/>
        <v>0</v>
      </c>
    </row>
    <row r="176" spans="1:14" hidden="1" x14ac:dyDescent="0.2">
      <c r="A176" s="1559">
        <v>8</v>
      </c>
      <c r="B176" s="105">
        <v>1960</v>
      </c>
      <c r="C176" s="95" t="s">
        <v>191</v>
      </c>
      <c r="D176" s="96">
        <v>0</v>
      </c>
      <c r="E176" s="96"/>
      <c r="F176" s="96"/>
      <c r="G176" s="96"/>
      <c r="H176" s="1372">
        <f t="shared" si="16"/>
        <v>0</v>
      </c>
      <c r="I176" s="98">
        <v>0</v>
      </c>
      <c r="J176" s="96"/>
      <c r="K176" s="96"/>
      <c r="L176" s="96"/>
      <c r="M176" s="1372">
        <f t="shared" si="15"/>
        <v>0</v>
      </c>
      <c r="N176" s="1374">
        <f t="shared" si="14"/>
        <v>0</v>
      </c>
    </row>
    <row r="177" spans="1:14" ht="25.5" hidden="1" x14ac:dyDescent="0.2">
      <c r="A177" s="1560">
        <v>47</v>
      </c>
      <c r="B177" s="105">
        <v>1970</v>
      </c>
      <c r="C177" s="101" t="s">
        <v>410</v>
      </c>
      <c r="D177" s="96">
        <v>0</v>
      </c>
      <c r="E177" s="96"/>
      <c r="F177" s="96"/>
      <c r="G177" s="96"/>
      <c r="H177" s="1372">
        <f t="shared" si="16"/>
        <v>0</v>
      </c>
      <c r="I177" s="98">
        <v>0</v>
      </c>
      <c r="J177" s="96"/>
      <c r="K177" s="96"/>
      <c r="L177" s="96"/>
      <c r="M177" s="1372">
        <f t="shared" si="15"/>
        <v>0</v>
      </c>
      <c r="N177" s="1374">
        <f t="shared" si="14"/>
        <v>0</v>
      </c>
    </row>
    <row r="178" spans="1:14" ht="25.5" hidden="1" x14ac:dyDescent="0.2">
      <c r="A178" s="35">
        <v>47</v>
      </c>
      <c r="B178" s="1545">
        <v>1975</v>
      </c>
      <c r="C178" s="101" t="s">
        <v>255</v>
      </c>
      <c r="D178" s="96">
        <v>0</v>
      </c>
      <c r="E178" s="96"/>
      <c r="F178" s="96"/>
      <c r="G178" s="96"/>
      <c r="H178" s="1372">
        <f t="shared" si="16"/>
        <v>0</v>
      </c>
      <c r="I178" s="98">
        <v>0</v>
      </c>
      <c r="J178" s="96"/>
      <c r="K178" s="96"/>
      <c r="L178" s="96"/>
      <c r="M178" s="1372">
        <f t="shared" si="15"/>
        <v>0</v>
      </c>
      <c r="N178" s="1374">
        <f t="shared" si="14"/>
        <v>0</v>
      </c>
    </row>
    <row r="179" spans="1:14" x14ac:dyDescent="0.2">
      <c r="A179" s="35">
        <v>47</v>
      </c>
      <c r="B179" s="1545">
        <v>1980</v>
      </c>
      <c r="C179" s="101" t="s">
        <v>256</v>
      </c>
      <c r="D179" s="96">
        <v>1727811.8599999999</v>
      </c>
      <c r="E179" s="96">
        <v>207501.11</v>
      </c>
      <c r="F179" s="96"/>
      <c r="G179" s="96"/>
      <c r="H179" s="1372">
        <f t="shared" si="16"/>
        <v>1935312.9699999997</v>
      </c>
      <c r="I179" s="98">
        <v>-1329757.0166507568</v>
      </c>
      <c r="J179" s="96">
        <v>-36309.716148295091</v>
      </c>
      <c r="K179" s="96"/>
      <c r="L179" s="96"/>
      <c r="M179" s="1372">
        <f t="shared" si="15"/>
        <v>-1366066.7327990518</v>
      </c>
      <c r="N179" s="1374">
        <f t="shared" si="14"/>
        <v>569246.23720094794</v>
      </c>
    </row>
    <row r="180" spans="1:14" x14ac:dyDescent="0.2">
      <c r="A180" s="35">
        <v>47</v>
      </c>
      <c r="B180" s="1545">
        <v>1985</v>
      </c>
      <c r="C180" s="101" t="s">
        <v>257</v>
      </c>
      <c r="D180" s="96">
        <v>42116.86</v>
      </c>
      <c r="E180" s="96"/>
      <c r="F180" s="96"/>
      <c r="G180" s="96"/>
      <c r="H180" s="1372">
        <f t="shared" si="16"/>
        <v>42116.86</v>
      </c>
      <c r="I180" s="98">
        <v>-42116.858000000007</v>
      </c>
      <c r="J180" s="96"/>
      <c r="K180" s="96"/>
      <c r="L180" s="96"/>
      <c r="M180" s="1372">
        <f t="shared" si="15"/>
        <v>-42116.858000000007</v>
      </c>
      <c r="N180" s="1374">
        <f t="shared" si="14"/>
        <v>1.999999993131496E-3</v>
      </c>
    </row>
    <row r="181" spans="1:14" hidden="1" x14ac:dyDescent="0.2">
      <c r="A181" s="1560">
        <v>47</v>
      </c>
      <c r="B181" s="1545">
        <v>1990</v>
      </c>
      <c r="C181" s="1546" t="s">
        <v>411</v>
      </c>
      <c r="D181" s="96">
        <v>0</v>
      </c>
      <c r="E181" s="96"/>
      <c r="F181" s="96"/>
      <c r="G181" s="96"/>
      <c r="H181" s="1372">
        <f t="shared" si="16"/>
        <v>0</v>
      </c>
      <c r="I181" s="98">
        <v>0</v>
      </c>
      <c r="J181" s="96"/>
      <c r="K181" s="96"/>
      <c r="L181" s="96"/>
      <c r="M181" s="1372">
        <f t="shared" si="15"/>
        <v>0</v>
      </c>
      <c r="N181" s="1374">
        <f t="shared" si="14"/>
        <v>0</v>
      </c>
    </row>
    <row r="182" spans="1:14" hidden="1" x14ac:dyDescent="0.2">
      <c r="A182" s="35">
        <v>47</v>
      </c>
      <c r="B182" s="1545">
        <v>1995</v>
      </c>
      <c r="C182" s="101" t="s">
        <v>258</v>
      </c>
      <c r="D182" s="96">
        <v>0</v>
      </c>
      <c r="E182" s="96"/>
      <c r="F182" s="96"/>
      <c r="G182" s="96"/>
      <c r="H182" s="1372">
        <f t="shared" si="16"/>
        <v>0</v>
      </c>
      <c r="I182" s="98">
        <v>-4.4895239698234946E-2</v>
      </c>
      <c r="J182" s="96">
        <v>2.4428459255432244E-11</v>
      </c>
      <c r="K182" s="96"/>
      <c r="L182" s="96"/>
      <c r="M182" s="1372">
        <f t="shared" si="15"/>
        <v>-4.4895239673806486E-2</v>
      </c>
      <c r="N182" s="1374">
        <f t="shared" si="14"/>
        <v>-4.4895239673806486E-2</v>
      </c>
    </row>
    <row r="183" spans="1:14" ht="14.25" x14ac:dyDescent="0.2">
      <c r="A183" s="35">
        <v>47</v>
      </c>
      <c r="B183" s="1545">
        <v>2440</v>
      </c>
      <c r="C183" s="101" t="s">
        <v>835</v>
      </c>
      <c r="D183" s="96">
        <v>-898556.67</v>
      </c>
      <c r="E183" s="96">
        <v>-1327041.4400000004</v>
      </c>
      <c r="F183" s="96"/>
      <c r="G183" s="96"/>
      <c r="H183" s="1372">
        <f t="shared" si="16"/>
        <v>-2225598.1100000003</v>
      </c>
      <c r="I183" s="98">
        <v>0</v>
      </c>
      <c r="J183" s="1498">
        <v>53364.785694842816</v>
      </c>
      <c r="K183" s="96"/>
      <c r="L183" s="96"/>
      <c r="M183" s="1372">
        <f t="shared" si="15"/>
        <v>53364.785694842816</v>
      </c>
      <c r="N183" s="1374">
        <f t="shared" si="14"/>
        <v>-2172233.3243051576</v>
      </c>
    </row>
    <row r="184" spans="1:14" x14ac:dyDescent="0.2">
      <c r="A184" s="99"/>
      <c r="B184" s="1545">
        <v>1330</v>
      </c>
      <c r="C184" s="1561" t="s">
        <v>1441</v>
      </c>
      <c r="D184" s="96">
        <v>1356140</v>
      </c>
      <c r="E184" s="96"/>
      <c r="F184" s="96">
        <v>-152509</v>
      </c>
      <c r="G184" s="96"/>
      <c r="H184" s="1372">
        <f t="shared" si="16"/>
        <v>1203631</v>
      </c>
      <c r="I184" s="98">
        <v>0</v>
      </c>
      <c r="J184" s="96"/>
      <c r="K184" s="96"/>
      <c r="L184" s="96"/>
      <c r="M184" s="1372">
        <f t="shared" si="15"/>
        <v>0</v>
      </c>
      <c r="N184" s="1374">
        <f t="shared" si="14"/>
        <v>1203631</v>
      </c>
    </row>
    <row r="185" spans="1:14" x14ac:dyDescent="0.2">
      <c r="A185" s="99"/>
      <c r="B185" s="1545">
        <v>2055</v>
      </c>
      <c r="C185" s="1562" t="s">
        <v>1442</v>
      </c>
      <c r="D185" s="96">
        <v>308394.93999999994</v>
      </c>
      <c r="E185" s="96">
        <v>375715</v>
      </c>
      <c r="F185" s="96">
        <v>-371955.46000000008</v>
      </c>
      <c r="G185" s="96"/>
      <c r="H185" s="1372">
        <f t="shared" si="16"/>
        <v>312154.47999999986</v>
      </c>
      <c r="I185" s="98">
        <v>0</v>
      </c>
      <c r="J185" s="96"/>
      <c r="K185" s="96"/>
      <c r="L185" s="96"/>
      <c r="M185" s="1372">
        <f t="shared" si="15"/>
        <v>0</v>
      </c>
      <c r="N185" s="1374">
        <f t="shared" si="14"/>
        <v>312154.47999999986</v>
      </c>
    </row>
    <row r="186" spans="1:14" hidden="1" x14ac:dyDescent="0.2">
      <c r="A186" s="106"/>
      <c r="B186" s="106"/>
      <c r="C186" s="107"/>
      <c r="D186" s="96">
        <f t="shared" si="13"/>
        <v>0</v>
      </c>
      <c r="E186" s="108"/>
      <c r="F186" s="108"/>
      <c r="G186" s="108"/>
      <c r="H186" s="1372">
        <f>D186+E186+F186</f>
        <v>0</v>
      </c>
      <c r="I186" s="98">
        <f t="shared" ref="I186" si="17">M123</f>
        <v>0</v>
      </c>
      <c r="J186" s="108"/>
      <c r="K186" s="108"/>
      <c r="L186" s="108"/>
      <c r="M186" s="1372">
        <f t="shared" si="15"/>
        <v>0</v>
      </c>
      <c r="N186" s="1374">
        <f t="shared" si="14"/>
        <v>0</v>
      </c>
    </row>
    <row r="187" spans="1:14" x14ac:dyDescent="0.2">
      <c r="A187" s="106"/>
      <c r="B187" s="106"/>
      <c r="C187" s="109" t="s">
        <v>175</v>
      </c>
      <c r="D187" s="1373">
        <f t="shared" ref="D187:K187" si="18">SUM(D143:D186)</f>
        <v>196204701.30240005</v>
      </c>
      <c r="E187" s="1373">
        <f t="shared" si="18"/>
        <v>7940470.6200000001</v>
      </c>
      <c r="F187" s="1373">
        <f t="shared" si="18"/>
        <v>-3193392.29</v>
      </c>
      <c r="G187" s="1373">
        <f>SUM(G143:G186)</f>
        <v>-1615329.5599999998</v>
      </c>
      <c r="H187" s="1373">
        <f t="shared" si="18"/>
        <v>199336450.0724</v>
      </c>
      <c r="I187" s="1373">
        <f t="shared" si="18"/>
        <v>-116987084.80496228</v>
      </c>
      <c r="J187" s="1373">
        <f t="shared" si="18"/>
        <v>-4138808.2292544236</v>
      </c>
      <c r="K187" s="1373">
        <f t="shared" si="18"/>
        <v>2058896.4699999997</v>
      </c>
      <c r="L187" s="1373">
        <f>SUM(L145:L185)</f>
        <v>669330.02079382329</v>
      </c>
      <c r="M187" s="1373">
        <f>SUM(M143:M186)</f>
        <v>-118397666.54342291</v>
      </c>
      <c r="N187" s="1373">
        <f>SUM(N143:N186)</f>
        <v>80938783.528977081</v>
      </c>
    </row>
    <row r="188" spans="1:14" ht="37.5" x14ac:dyDescent="0.2">
      <c r="A188" s="106"/>
      <c r="B188" s="106"/>
      <c r="C188" s="111" t="s">
        <v>503</v>
      </c>
      <c r="D188" s="108"/>
      <c r="E188" s="108"/>
      <c r="F188" s="108"/>
      <c r="G188" s="108"/>
      <c r="H188" s="1372">
        <f>D188+E188+F188</f>
        <v>0</v>
      </c>
      <c r="I188" s="108"/>
      <c r="J188" s="108"/>
      <c r="K188" s="108"/>
      <c r="L188" s="108"/>
      <c r="M188" s="1372">
        <f>I188+J188+K188</f>
        <v>0</v>
      </c>
      <c r="N188" s="1374">
        <f>H188+M188</f>
        <v>0</v>
      </c>
    </row>
    <row r="189" spans="1:14" ht="25.5" x14ac:dyDescent="0.2">
      <c r="A189" s="106"/>
      <c r="B189" s="106"/>
      <c r="C189" s="112" t="s">
        <v>502</v>
      </c>
      <c r="D189" s="1563">
        <f>H126</f>
        <v>-129739</v>
      </c>
      <c r="E189" s="108"/>
      <c r="F189" s="108"/>
      <c r="G189" s="108"/>
      <c r="H189" s="1372">
        <f>D189+E189+F189</f>
        <v>-129739</v>
      </c>
      <c r="I189" s="1567">
        <f>M126</f>
        <v>116177</v>
      </c>
      <c r="J189" s="1563">
        <v>13562</v>
      </c>
      <c r="K189" s="108"/>
      <c r="L189" s="108"/>
      <c r="M189" s="1372">
        <f>I189+J189+K189</f>
        <v>129739</v>
      </c>
      <c r="N189" s="1374">
        <f>H189+M189</f>
        <v>0</v>
      </c>
    </row>
    <row r="190" spans="1:14" x14ac:dyDescent="0.2">
      <c r="A190" s="106"/>
      <c r="B190" s="106"/>
      <c r="C190" s="109" t="s">
        <v>412</v>
      </c>
      <c r="D190" s="1373">
        <f t="shared" ref="D190:L190" si="19">SUM(D187:D189)</f>
        <v>196074962.30240005</v>
      </c>
      <c r="E190" s="1373">
        <f t="shared" si="19"/>
        <v>7940470.6200000001</v>
      </c>
      <c r="F190" s="1373">
        <f t="shared" si="19"/>
        <v>-3193392.29</v>
      </c>
      <c r="G190" s="1373">
        <f t="shared" si="19"/>
        <v>-1615329.5599999998</v>
      </c>
      <c r="H190" s="1373">
        <f t="shared" si="19"/>
        <v>199206711.0724</v>
      </c>
      <c r="I190" s="1373">
        <f t="shared" si="19"/>
        <v>-116870907.80496228</v>
      </c>
      <c r="J190" s="1373">
        <f>SUM(J187:J189)</f>
        <v>-4125246.2292544236</v>
      </c>
      <c r="K190" s="1373">
        <f t="shared" si="19"/>
        <v>2058896.4699999997</v>
      </c>
      <c r="L190" s="1373">
        <f t="shared" si="19"/>
        <v>669330.02079382329</v>
      </c>
      <c r="M190" s="1373">
        <f>SUM(M187:M189)</f>
        <v>-118267927.54342291</v>
      </c>
      <c r="N190" s="1373">
        <f>SUM(N187:N189)</f>
        <v>80938783.528977081</v>
      </c>
    </row>
    <row r="191" spans="1:14" ht="14.25" x14ac:dyDescent="0.2">
      <c r="A191" s="106"/>
      <c r="B191" s="106"/>
      <c r="C191" s="1651" t="s">
        <v>801</v>
      </c>
      <c r="D191" s="1652"/>
      <c r="E191" s="1652"/>
      <c r="F191" s="1652"/>
      <c r="G191" s="1652"/>
      <c r="H191" s="1653"/>
      <c r="I191" s="108"/>
      <c r="J191" s="113"/>
      <c r="K191" s="114"/>
      <c r="L191" s="115"/>
    </row>
    <row r="192" spans="1:14" x14ac:dyDescent="0.2">
      <c r="A192" s="106"/>
      <c r="B192" s="106"/>
      <c r="C192" s="1651" t="s">
        <v>259</v>
      </c>
      <c r="D192" s="1652"/>
      <c r="E192" s="1652"/>
      <c r="F192" s="1652"/>
      <c r="G192" s="1652"/>
      <c r="H192" s="1653"/>
      <c r="I192" s="1373">
        <f>J190+I191</f>
        <v>-4125246.2292544236</v>
      </c>
      <c r="J192" s="113"/>
      <c r="K192" s="114"/>
      <c r="L192" s="115"/>
    </row>
    <row r="193" spans="1:14" x14ac:dyDescent="0.2">
      <c r="A193" s="267"/>
      <c r="B193" s="267"/>
      <c r="C193" s="1669" t="s">
        <v>1530</v>
      </c>
      <c r="D193" s="1670">
        <f>D190-D185-D184</f>
        <v>194410427.36240005</v>
      </c>
      <c r="E193" s="1669"/>
      <c r="F193" s="1669"/>
      <c r="H193" s="1670">
        <f>H190-H185-H184</f>
        <v>197690925.59240001</v>
      </c>
      <c r="I193" s="1625"/>
      <c r="J193" s="113"/>
      <c r="K193" s="114"/>
      <c r="L193" s="115"/>
      <c r="N193" s="1670">
        <f>N190-N185-N184</f>
        <v>79422998.048977077</v>
      </c>
    </row>
    <row r="194" spans="1:14" x14ac:dyDescent="0.2">
      <c r="A194" s="1547"/>
      <c r="B194" s="1547"/>
      <c r="H194" s="34"/>
    </row>
    <row r="195" spans="1:14" x14ac:dyDescent="0.2">
      <c r="A195" s="1547"/>
      <c r="B195" s="1547"/>
      <c r="H195" s="116" t="s">
        <v>343</v>
      </c>
      <c r="I195" s="1548"/>
    </row>
    <row r="196" spans="1:14" x14ac:dyDescent="0.2">
      <c r="A196" s="106">
        <v>10</v>
      </c>
      <c r="B196" s="106"/>
      <c r="C196" s="1436" t="s">
        <v>260</v>
      </c>
      <c r="D196" s="1437"/>
      <c r="E196" s="1437"/>
      <c r="F196" s="1437"/>
      <c r="G196" s="1437"/>
      <c r="H196" s="1438" t="s">
        <v>260</v>
      </c>
      <c r="I196" s="1438"/>
      <c r="J196" s="1698">
        <f>J169</f>
        <v>-268827.26006962487</v>
      </c>
    </row>
    <row r="197" spans="1:14" ht="13.9" customHeight="1" x14ac:dyDescent="0.2">
      <c r="A197" s="106">
        <v>8</v>
      </c>
      <c r="B197" s="106"/>
      <c r="C197" s="1436" t="s">
        <v>251</v>
      </c>
      <c r="D197" s="1437"/>
      <c r="E197" s="1437"/>
      <c r="F197" s="1437"/>
      <c r="G197" s="1437"/>
      <c r="H197" s="1438" t="s">
        <v>251</v>
      </c>
      <c r="I197" s="1438"/>
      <c r="J197" s="1698">
        <f>J171</f>
        <v>-97477.770999999993</v>
      </c>
    </row>
    <row r="198" spans="1:14" ht="13.9" customHeight="1" x14ac:dyDescent="0.2">
      <c r="A198" s="106"/>
      <c r="B198" s="106">
        <v>2440</v>
      </c>
      <c r="C198" s="1436" t="s">
        <v>1581</v>
      </c>
      <c r="D198" s="1437"/>
      <c r="E198" s="1437"/>
      <c r="F198" s="1437"/>
      <c r="G198" s="1437"/>
      <c r="H198" s="1438"/>
      <c r="I198" s="1438"/>
      <c r="J198" s="1565">
        <f>J183</f>
        <v>53364.785694842816</v>
      </c>
    </row>
    <row r="199" spans="1:14" x14ac:dyDescent="0.2">
      <c r="A199" s="1547"/>
      <c r="B199" s="1547"/>
      <c r="H199" s="117" t="s">
        <v>261</v>
      </c>
      <c r="J199" s="1439">
        <f>I192-J196-J197-J198</f>
        <v>-3812305.9838796412</v>
      </c>
    </row>
    <row r="200" spans="1:14" x14ac:dyDescent="0.2">
      <c r="A200" s="1547"/>
      <c r="B200" s="1547"/>
      <c r="I200" s="117"/>
      <c r="K200" s="1566"/>
    </row>
    <row r="201" spans="1:14" x14ac:dyDescent="0.2">
      <c r="A201" s="1547"/>
      <c r="B201" s="1547"/>
      <c r="I201" s="117"/>
      <c r="K201" s="1566"/>
    </row>
    <row r="202" spans="1:14" x14ac:dyDescent="0.2">
      <c r="A202" s="1547"/>
      <c r="B202" s="1547"/>
      <c r="E202" s="70" t="s">
        <v>778</v>
      </c>
      <c r="F202" s="30" t="s">
        <v>92</v>
      </c>
      <c r="H202" s="34"/>
    </row>
    <row r="203" spans="1:14" ht="15" x14ac:dyDescent="0.25">
      <c r="A203" s="1547"/>
      <c r="B203" s="1547"/>
      <c r="C203" s="38"/>
      <c r="E203" s="70" t="s">
        <v>89</v>
      </c>
      <c r="F203" s="84">
        <v>2016</v>
      </c>
      <c r="G203" s="85"/>
    </row>
    <row r="204" spans="1:14" x14ac:dyDescent="0.2">
      <c r="A204" s="1547"/>
      <c r="B204" s="1547"/>
    </row>
    <row r="205" spans="1:14" x14ac:dyDescent="0.2">
      <c r="A205" s="1547"/>
      <c r="B205" s="1547"/>
      <c r="D205" s="1926" t="s">
        <v>233</v>
      </c>
      <c r="E205" s="1927"/>
      <c r="F205" s="1927"/>
      <c r="G205" s="1928"/>
      <c r="H205" s="86"/>
      <c r="I205" s="87" t="s">
        <v>234</v>
      </c>
      <c r="J205" s="87"/>
      <c r="K205" s="88"/>
      <c r="L205" s="83"/>
    </row>
    <row r="206" spans="1:14" ht="30" customHeight="1" x14ac:dyDescent="0.2">
      <c r="A206" s="89" t="s">
        <v>867</v>
      </c>
      <c r="B206" s="89" t="s">
        <v>869</v>
      </c>
      <c r="C206" s="90" t="s">
        <v>870</v>
      </c>
      <c r="D206" s="89" t="s">
        <v>206</v>
      </c>
      <c r="E206" s="91" t="s">
        <v>868</v>
      </c>
      <c r="F206" s="91" t="s">
        <v>929</v>
      </c>
      <c r="G206" s="89" t="s">
        <v>232</v>
      </c>
      <c r="H206" s="92" t="s">
        <v>206</v>
      </c>
      <c r="I206" s="93" t="s">
        <v>207</v>
      </c>
      <c r="J206" s="93" t="s">
        <v>929</v>
      </c>
      <c r="K206" s="94" t="s">
        <v>232</v>
      </c>
      <c r="L206" s="89" t="s">
        <v>263</v>
      </c>
    </row>
    <row r="207" spans="1:14" ht="25.5" hidden="1" customHeight="1" x14ac:dyDescent="0.2">
      <c r="A207" s="89"/>
      <c r="B207" s="1545">
        <v>1609</v>
      </c>
      <c r="C207" s="95" t="s">
        <v>1073</v>
      </c>
      <c r="D207" s="96"/>
      <c r="E207" s="96"/>
      <c r="F207" s="96"/>
      <c r="G207" s="1372"/>
      <c r="H207" s="98"/>
      <c r="I207" s="96"/>
      <c r="J207" s="96"/>
      <c r="K207" s="1372">
        <f t="shared" ref="K207:K247" si="20">H207+I207+J207</f>
        <v>0</v>
      </c>
      <c r="L207" s="1374">
        <f t="shared" ref="L207:L250" si="21">G207+K207</f>
        <v>0</v>
      </c>
    </row>
    <row r="208" spans="1:14" ht="25.5" hidden="1" customHeight="1" x14ac:dyDescent="0.2">
      <c r="A208" s="89"/>
      <c r="B208" s="1659">
        <v>1610</v>
      </c>
      <c r="C208" s="95" t="s">
        <v>1527</v>
      </c>
      <c r="D208" s="96"/>
      <c r="E208" s="96"/>
      <c r="F208" s="96"/>
      <c r="G208" s="1372"/>
      <c r="H208" s="98"/>
      <c r="I208" s="96"/>
      <c r="J208" s="96"/>
      <c r="K208" s="1372"/>
      <c r="L208" s="1374">
        <f t="shared" si="21"/>
        <v>0</v>
      </c>
    </row>
    <row r="209" spans="1:12" ht="25.5" x14ac:dyDescent="0.2">
      <c r="A209" s="35">
        <v>12</v>
      </c>
      <c r="B209" s="1545">
        <v>1611</v>
      </c>
      <c r="C209" s="95" t="s">
        <v>325</v>
      </c>
      <c r="D209" s="96">
        <v>3205139.3300000005</v>
      </c>
      <c r="E209" s="96">
        <v>13239.43</v>
      </c>
      <c r="F209" s="96"/>
      <c r="G209" s="1372">
        <f t="shared" ref="G209:G250" si="22">D209+E209+F209</f>
        <v>3218378.7600000007</v>
      </c>
      <c r="H209" s="98">
        <v>-2964259.0619999995</v>
      </c>
      <c r="I209" s="96">
        <v>-100191.39</v>
      </c>
      <c r="J209" s="96"/>
      <c r="K209" s="1372">
        <f t="shared" si="20"/>
        <v>-3064450.4519999996</v>
      </c>
      <c r="L209" s="1374">
        <f t="shared" si="21"/>
        <v>153928.30800000113</v>
      </c>
    </row>
    <row r="210" spans="1:12" ht="25.5" x14ac:dyDescent="0.2">
      <c r="A210" s="35" t="s">
        <v>243</v>
      </c>
      <c r="B210" s="1545">
        <v>1612</v>
      </c>
      <c r="C210" s="95" t="s">
        <v>360</v>
      </c>
      <c r="D210" s="96">
        <v>36132.67</v>
      </c>
      <c r="E210" s="96">
        <v>9045.7000000000007</v>
      </c>
      <c r="F210" s="96"/>
      <c r="G210" s="1372">
        <f t="shared" si="22"/>
        <v>45178.369999999995</v>
      </c>
      <c r="H210" s="98">
        <v>0</v>
      </c>
      <c r="I210" s="96"/>
      <c r="J210" s="96"/>
      <c r="K210" s="1372">
        <f t="shared" si="20"/>
        <v>0</v>
      </c>
      <c r="L210" s="1374">
        <f t="shared" si="21"/>
        <v>45178.369999999995</v>
      </c>
    </row>
    <row r="211" spans="1:12" x14ac:dyDescent="0.2">
      <c r="A211" s="35" t="s">
        <v>235</v>
      </c>
      <c r="B211" s="99">
        <v>1805</v>
      </c>
      <c r="C211" s="100" t="s">
        <v>236</v>
      </c>
      <c r="D211" s="96">
        <v>940078.79999999981</v>
      </c>
      <c r="E211" s="96"/>
      <c r="F211" s="96"/>
      <c r="G211" s="1372">
        <f t="shared" si="22"/>
        <v>940078.79999999981</v>
      </c>
      <c r="H211" s="98">
        <v>0</v>
      </c>
      <c r="I211" s="96"/>
      <c r="J211" s="96"/>
      <c r="K211" s="1372">
        <f t="shared" si="20"/>
        <v>0</v>
      </c>
      <c r="L211" s="1374">
        <f t="shared" si="21"/>
        <v>940078.79999999981</v>
      </c>
    </row>
    <row r="212" spans="1:12" x14ac:dyDescent="0.2">
      <c r="A212" s="35">
        <v>47</v>
      </c>
      <c r="B212" s="99">
        <v>1808</v>
      </c>
      <c r="C212" s="101" t="s">
        <v>237</v>
      </c>
      <c r="D212" s="96">
        <v>12977638.869999999</v>
      </c>
      <c r="E212" s="96">
        <v>1397010.08</v>
      </c>
      <c r="F212" s="96"/>
      <c r="G212" s="1372">
        <f t="shared" si="22"/>
        <v>14374648.949999999</v>
      </c>
      <c r="H212" s="98">
        <v>-5647711.5737709738</v>
      </c>
      <c r="I212" s="96">
        <v>-381661.11</v>
      </c>
      <c r="J212" s="96"/>
      <c r="K212" s="1372">
        <f t="shared" si="20"/>
        <v>-6029372.6837709742</v>
      </c>
      <c r="L212" s="1374">
        <f t="shared" si="21"/>
        <v>8345276.2662290251</v>
      </c>
    </row>
    <row r="213" spans="1:12" hidden="1" x14ac:dyDescent="0.2">
      <c r="A213" s="35">
        <v>13</v>
      </c>
      <c r="B213" s="99">
        <v>1810</v>
      </c>
      <c r="C213" s="101" t="s">
        <v>262</v>
      </c>
      <c r="D213" s="96">
        <v>0</v>
      </c>
      <c r="E213" s="96"/>
      <c r="F213" s="96"/>
      <c r="G213" s="1372">
        <f t="shared" si="22"/>
        <v>0</v>
      </c>
      <c r="H213" s="98">
        <v>0</v>
      </c>
      <c r="I213" s="96"/>
      <c r="J213" s="96"/>
      <c r="K213" s="1372">
        <f t="shared" si="20"/>
        <v>0</v>
      </c>
      <c r="L213" s="1374">
        <f t="shared" si="21"/>
        <v>0</v>
      </c>
    </row>
    <row r="214" spans="1:12" hidden="1" x14ac:dyDescent="0.2">
      <c r="A214" s="35">
        <v>47</v>
      </c>
      <c r="B214" s="99">
        <v>1815</v>
      </c>
      <c r="C214" s="101" t="s">
        <v>238</v>
      </c>
      <c r="D214" s="96">
        <v>0</v>
      </c>
      <c r="E214" s="96"/>
      <c r="F214" s="96"/>
      <c r="G214" s="1372">
        <f t="shared" si="22"/>
        <v>0</v>
      </c>
      <c r="H214" s="98">
        <v>0</v>
      </c>
      <c r="I214" s="96"/>
      <c r="J214" s="96"/>
      <c r="K214" s="1372">
        <f t="shared" si="20"/>
        <v>0</v>
      </c>
      <c r="L214" s="1374">
        <f t="shared" si="21"/>
        <v>0</v>
      </c>
    </row>
    <row r="215" spans="1:12" x14ac:dyDescent="0.2">
      <c r="A215" s="35">
        <v>47</v>
      </c>
      <c r="B215" s="99">
        <v>1820</v>
      </c>
      <c r="C215" s="95" t="s">
        <v>178</v>
      </c>
      <c r="D215" s="96">
        <v>17043313.650000002</v>
      </c>
      <c r="E215" s="96">
        <v>564645.04</v>
      </c>
      <c r="F215" s="96"/>
      <c r="G215" s="1372">
        <f t="shared" si="22"/>
        <v>17607958.690000001</v>
      </c>
      <c r="H215" s="98">
        <v>-11284657.234798525</v>
      </c>
      <c r="I215" s="96">
        <v>-373750.38</v>
      </c>
      <c r="J215" s="96"/>
      <c r="K215" s="1372">
        <f t="shared" si="20"/>
        <v>-11658407.614798525</v>
      </c>
      <c r="L215" s="1374">
        <f t="shared" si="21"/>
        <v>5949551.075201476</v>
      </c>
    </row>
    <row r="216" spans="1:12" hidden="1" x14ac:dyDescent="0.2">
      <c r="A216" s="35">
        <v>47</v>
      </c>
      <c r="B216" s="99">
        <v>1825</v>
      </c>
      <c r="C216" s="101" t="s">
        <v>239</v>
      </c>
      <c r="D216" s="96">
        <v>0</v>
      </c>
      <c r="E216" s="96"/>
      <c r="F216" s="96"/>
      <c r="G216" s="1372">
        <f t="shared" si="22"/>
        <v>0</v>
      </c>
      <c r="H216" s="98">
        <v>0</v>
      </c>
      <c r="I216" s="96"/>
      <c r="J216" s="96"/>
      <c r="K216" s="1372">
        <f t="shared" si="20"/>
        <v>0</v>
      </c>
      <c r="L216" s="1374">
        <f t="shared" si="21"/>
        <v>0</v>
      </c>
    </row>
    <row r="217" spans="1:12" x14ac:dyDescent="0.2">
      <c r="A217" s="35">
        <v>47</v>
      </c>
      <c r="B217" s="99">
        <v>1830</v>
      </c>
      <c r="C217" s="101" t="s">
        <v>240</v>
      </c>
      <c r="D217" s="96">
        <v>23057551.57</v>
      </c>
      <c r="E217" s="96">
        <v>1421202.4400000002</v>
      </c>
      <c r="F217" s="96">
        <v>-414215.97</v>
      </c>
      <c r="G217" s="1372">
        <f t="shared" si="22"/>
        <v>24064538.040000003</v>
      </c>
      <c r="H217" s="98">
        <v>-10060657.729147438</v>
      </c>
      <c r="I217" s="96">
        <v>-442627.62</v>
      </c>
      <c r="J217" s="96">
        <v>256420.83</v>
      </c>
      <c r="K217" s="1372">
        <f t="shared" si="20"/>
        <v>-10246864.519147437</v>
      </c>
      <c r="L217" s="1374">
        <f t="shared" si="21"/>
        <v>13817673.520852566</v>
      </c>
    </row>
    <row r="218" spans="1:12" x14ac:dyDescent="0.2">
      <c r="A218" s="35">
        <v>47</v>
      </c>
      <c r="B218" s="99">
        <v>1835</v>
      </c>
      <c r="C218" s="101" t="s">
        <v>179</v>
      </c>
      <c r="D218" s="96">
        <v>39751321.450000003</v>
      </c>
      <c r="E218" s="96">
        <v>1328907.5000000002</v>
      </c>
      <c r="F218" s="96">
        <v>-865564.43</v>
      </c>
      <c r="G218" s="1372">
        <f t="shared" si="22"/>
        <v>40214664.520000003</v>
      </c>
      <c r="H218" s="98">
        <v>-28247674.864716288</v>
      </c>
      <c r="I218" s="96">
        <v>-555624.73431881762</v>
      </c>
      <c r="J218" s="96">
        <v>761928.67999999993</v>
      </c>
      <c r="K218" s="1372">
        <f t="shared" si="20"/>
        <v>-28041370.919035107</v>
      </c>
      <c r="L218" s="1374">
        <f t="shared" si="21"/>
        <v>12173293.600964896</v>
      </c>
    </row>
    <row r="219" spans="1:12" x14ac:dyDescent="0.2">
      <c r="A219" s="35">
        <v>47</v>
      </c>
      <c r="B219" s="99">
        <v>1840</v>
      </c>
      <c r="C219" s="101" t="s">
        <v>180</v>
      </c>
      <c r="D219" s="96">
        <v>22697380.41</v>
      </c>
      <c r="E219" s="96">
        <v>637497.64</v>
      </c>
      <c r="F219" s="96">
        <v>-26263.85</v>
      </c>
      <c r="G219" s="1372">
        <f t="shared" si="22"/>
        <v>23308614.199999999</v>
      </c>
      <c r="H219" s="98">
        <v>-12898784.439669894</v>
      </c>
      <c r="I219" s="96">
        <v>-271383.24</v>
      </c>
      <c r="J219" s="96">
        <v>15631</v>
      </c>
      <c r="K219" s="1372">
        <f t="shared" si="20"/>
        <v>-13154536.679669894</v>
      </c>
      <c r="L219" s="1374">
        <f t="shared" si="21"/>
        <v>10154077.520330105</v>
      </c>
    </row>
    <row r="220" spans="1:12" x14ac:dyDescent="0.2">
      <c r="A220" s="35">
        <v>47</v>
      </c>
      <c r="B220" s="99">
        <v>1845</v>
      </c>
      <c r="C220" s="101" t="s">
        <v>181</v>
      </c>
      <c r="D220" s="96">
        <v>15286348.480000004</v>
      </c>
      <c r="E220" s="96">
        <v>588883.16</v>
      </c>
      <c r="F220" s="96">
        <v>-295297.40000000002</v>
      </c>
      <c r="G220" s="1372">
        <f t="shared" si="22"/>
        <v>15579934.240000004</v>
      </c>
      <c r="H220" s="98">
        <v>-10345422.843970584</v>
      </c>
      <c r="I220" s="96">
        <v>-227520.470539539</v>
      </c>
      <c r="J220" s="96">
        <v>172156.9</v>
      </c>
      <c r="K220" s="1372">
        <f t="shared" si="20"/>
        <v>-10400786.414510122</v>
      </c>
      <c r="L220" s="1374">
        <f t="shared" si="21"/>
        <v>5179147.8254898824</v>
      </c>
    </row>
    <row r="221" spans="1:12" x14ac:dyDescent="0.2">
      <c r="A221" s="35">
        <v>47</v>
      </c>
      <c r="B221" s="99">
        <v>1850</v>
      </c>
      <c r="C221" s="101" t="s">
        <v>241</v>
      </c>
      <c r="D221" s="96">
        <v>27513405.989999995</v>
      </c>
      <c r="E221" s="96">
        <v>1580394.95</v>
      </c>
      <c r="F221" s="96">
        <v>-1210145.8</v>
      </c>
      <c r="G221" s="1372">
        <f t="shared" si="22"/>
        <v>27883655.139999993</v>
      </c>
      <c r="H221" s="98">
        <v>-17292682.942035414</v>
      </c>
      <c r="I221" s="96">
        <v>-391233.37360848719</v>
      </c>
      <c r="J221" s="96">
        <v>978479.19</v>
      </c>
      <c r="K221" s="1372">
        <f t="shared" si="20"/>
        <v>-16705437.125643903</v>
      </c>
      <c r="L221" s="1374">
        <f t="shared" si="21"/>
        <v>11178218.01435609</v>
      </c>
    </row>
    <row r="222" spans="1:12" x14ac:dyDescent="0.2">
      <c r="A222" s="35">
        <v>47</v>
      </c>
      <c r="B222" s="99">
        <v>1855</v>
      </c>
      <c r="C222" s="101" t="s">
        <v>182</v>
      </c>
      <c r="D222" s="96">
        <v>15481538.989999998</v>
      </c>
      <c r="E222" s="96">
        <v>487741.62</v>
      </c>
      <c r="F222" s="96">
        <v>-236618.33000000002</v>
      </c>
      <c r="G222" s="1372">
        <f t="shared" si="22"/>
        <v>15732662.279999997</v>
      </c>
      <c r="H222" s="98">
        <v>-7110030.3253747467</v>
      </c>
      <c r="I222" s="96">
        <v>-281720.45999999996</v>
      </c>
      <c r="J222" s="96">
        <v>188211.27</v>
      </c>
      <c r="K222" s="1372">
        <f t="shared" si="20"/>
        <v>-7203539.5153747471</v>
      </c>
      <c r="L222" s="1374">
        <f t="shared" si="21"/>
        <v>8529122.7646252513</v>
      </c>
    </row>
    <row r="223" spans="1:12" ht="11.45" customHeight="1" x14ac:dyDescent="0.2">
      <c r="A223" s="35">
        <v>47</v>
      </c>
      <c r="B223" s="99">
        <v>1860</v>
      </c>
      <c r="C223" s="101" t="s">
        <v>242</v>
      </c>
      <c r="D223" s="96">
        <v>8665090.9323999975</v>
      </c>
      <c r="E223" s="96">
        <v>176680.88</v>
      </c>
      <c r="F223" s="96"/>
      <c r="G223" s="1372">
        <f t="shared" si="22"/>
        <v>8841771.8123999983</v>
      </c>
      <c r="H223" s="98">
        <v>-3439932.654529525</v>
      </c>
      <c r="I223" s="96">
        <v>-500079.80719999998</v>
      </c>
      <c r="J223" s="96"/>
      <c r="K223" s="1372">
        <f t="shared" si="20"/>
        <v>-3940012.4617295251</v>
      </c>
      <c r="L223" s="1374">
        <f t="shared" si="21"/>
        <v>4901759.3506704737</v>
      </c>
    </row>
    <row r="224" spans="1:12" ht="14.45" hidden="1" customHeight="1" x14ac:dyDescent="0.2">
      <c r="A224" s="35">
        <v>47</v>
      </c>
      <c r="B224" s="99">
        <v>1860</v>
      </c>
      <c r="C224" s="100" t="s">
        <v>183</v>
      </c>
      <c r="D224" s="96"/>
      <c r="E224" s="96"/>
      <c r="F224" s="96"/>
      <c r="G224" s="1372">
        <f t="shared" si="22"/>
        <v>0</v>
      </c>
      <c r="H224" s="98"/>
      <c r="I224" s="96"/>
      <c r="J224" s="96"/>
      <c r="K224" s="1372">
        <f t="shared" si="20"/>
        <v>0</v>
      </c>
      <c r="L224" s="1374">
        <f t="shared" si="21"/>
        <v>0</v>
      </c>
    </row>
    <row r="225" spans="1:12" ht="9" hidden="1" customHeight="1" x14ac:dyDescent="0.2">
      <c r="A225" s="35" t="s">
        <v>235</v>
      </c>
      <c r="B225" s="99">
        <v>1905</v>
      </c>
      <c r="C225" s="100" t="s">
        <v>236</v>
      </c>
      <c r="D225" s="96">
        <v>0</v>
      </c>
      <c r="E225" s="96"/>
      <c r="F225" s="96"/>
      <c r="G225" s="1372">
        <f t="shared" si="22"/>
        <v>0</v>
      </c>
      <c r="H225" s="98">
        <v>0</v>
      </c>
      <c r="I225" s="96"/>
      <c r="J225" s="96"/>
      <c r="K225" s="1372">
        <f t="shared" si="20"/>
        <v>0</v>
      </c>
      <c r="L225" s="1374">
        <f t="shared" si="21"/>
        <v>0</v>
      </c>
    </row>
    <row r="226" spans="1:12" ht="9.6" hidden="1" customHeight="1" x14ac:dyDescent="0.2">
      <c r="A226" s="35">
        <v>47</v>
      </c>
      <c r="B226" s="99">
        <v>1908</v>
      </c>
      <c r="C226" s="101" t="s">
        <v>244</v>
      </c>
      <c r="D226" s="96">
        <v>0</v>
      </c>
      <c r="E226" s="96"/>
      <c r="F226" s="96"/>
      <c r="G226" s="1372">
        <f t="shared" si="22"/>
        <v>0</v>
      </c>
      <c r="H226" s="98">
        <v>0</v>
      </c>
      <c r="I226" s="96"/>
      <c r="J226" s="96"/>
      <c r="K226" s="1372">
        <f t="shared" si="20"/>
        <v>0</v>
      </c>
      <c r="L226" s="1374">
        <f t="shared" si="21"/>
        <v>0</v>
      </c>
    </row>
    <row r="227" spans="1:12" ht="9" hidden="1" customHeight="1" x14ac:dyDescent="0.2">
      <c r="A227" s="35">
        <v>13</v>
      </c>
      <c r="B227" s="99">
        <v>1910</v>
      </c>
      <c r="C227" s="101" t="s">
        <v>262</v>
      </c>
      <c r="D227" s="96">
        <v>0</v>
      </c>
      <c r="E227" s="96"/>
      <c r="F227" s="96"/>
      <c r="G227" s="1372">
        <f t="shared" si="22"/>
        <v>0</v>
      </c>
      <c r="H227" s="98">
        <v>0</v>
      </c>
      <c r="I227" s="96"/>
      <c r="J227" s="96"/>
      <c r="K227" s="1372">
        <f t="shared" si="20"/>
        <v>0</v>
      </c>
      <c r="L227" s="1374">
        <f t="shared" si="21"/>
        <v>0</v>
      </c>
    </row>
    <row r="228" spans="1:12" x14ac:dyDescent="0.2">
      <c r="A228" s="35">
        <v>8</v>
      </c>
      <c r="B228" s="99">
        <v>1915</v>
      </c>
      <c r="C228" s="101" t="s">
        <v>184</v>
      </c>
      <c r="D228" s="96">
        <v>76054.559999999998</v>
      </c>
      <c r="E228" s="96"/>
      <c r="F228" s="96"/>
      <c r="G228" s="1372">
        <f t="shared" si="22"/>
        <v>76054.559999999998</v>
      </c>
      <c r="H228" s="98">
        <v>-52249.559999999983</v>
      </c>
      <c r="I228" s="96">
        <v>-3174</v>
      </c>
      <c r="J228" s="96"/>
      <c r="K228" s="1372">
        <f t="shared" si="20"/>
        <v>-55423.559999999983</v>
      </c>
      <c r="L228" s="1374">
        <f t="shared" si="21"/>
        <v>20631.000000000015</v>
      </c>
    </row>
    <row r="229" spans="1:12" hidden="1" x14ac:dyDescent="0.2">
      <c r="A229" s="35">
        <v>8</v>
      </c>
      <c r="B229" s="99">
        <v>1915</v>
      </c>
      <c r="C229" s="101" t="s">
        <v>185</v>
      </c>
      <c r="D229" s="96">
        <v>0</v>
      </c>
      <c r="E229" s="96"/>
      <c r="F229" s="96"/>
      <c r="G229" s="1372">
        <f t="shared" si="22"/>
        <v>0</v>
      </c>
      <c r="H229" s="98">
        <v>0</v>
      </c>
      <c r="I229" s="96"/>
      <c r="J229" s="96"/>
      <c r="K229" s="1372">
        <f t="shared" si="20"/>
        <v>0</v>
      </c>
      <c r="L229" s="1374">
        <f t="shared" si="21"/>
        <v>0</v>
      </c>
    </row>
    <row r="230" spans="1:12" x14ac:dyDescent="0.2">
      <c r="A230" s="35">
        <v>10</v>
      </c>
      <c r="B230" s="99">
        <v>1920</v>
      </c>
      <c r="C230" s="101" t="s">
        <v>186</v>
      </c>
      <c r="D230" s="96">
        <v>738314.46</v>
      </c>
      <c r="E230" s="96">
        <v>24167.79</v>
      </c>
      <c r="F230" s="96"/>
      <c r="G230" s="1372">
        <f t="shared" si="22"/>
        <v>762482.25</v>
      </c>
      <c r="H230" s="98">
        <v>-522743.2919999999</v>
      </c>
      <c r="I230" s="96">
        <v>-97084.89</v>
      </c>
      <c r="J230" s="96"/>
      <c r="K230" s="1372">
        <f t="shared" si="20"/>
        <v>-619828.18199999991</v>
      </c>
      <c r="L230" s="1374">
        <f t="shared" si="21"/>
        <v>142654.06800000009</v>
      </c>
    </row>
    <row r="231" spans="1:12" ht="25.5" hidden="1" x14ac:dyDescent="0.2">
      <c r="A231" s="35">
        <v>45</v>
      </c>
      <c r="B231" s="102">
        <v>1920</v>
      </c>
      <c r="C231" s="95" t="s">
        <v>188</v>
      </c>
      <c r="D231" s="96">
        <v>0</v>
      </c>
      <c r="E231" s="96"/>
      <c r="F231" s="96"/>
      <c r="G231" s="1372">
        <f t="shared" si="22"/>
        <v>0</v>
      </c>
      <c r="H231" s="98">
        <v>0</v>
      </c>
      <c r="I231" s="96"/>
      <c r="J231" s="96"/>
      <c r="K231" s="1372">
        <f t="shared" si="20"/>
        <v>0</v>
      </c>
      <c r="L231" s="1374">
        <f t="shared" si="21"/>
        <v>0</v>
      </c>
    </row>
    <row r="232" spans="1:12" ht="25.5" hidden="1" x14ac:dyDescent="0.2">
      <c r="A232" s="35">
        <v>45.1</v>
      </c>
      <c r="B232" s="102">
        <v>1920</v>
      </c>
      <c r="C232" s="95" t="s">
        <v>187</v>
      </c>
      <c r="D232" s="96">
        <v>0</v>
      </c>
      <c r="E232" s="96"/>
      <c r="F232" s="96"/>
      <c r="G232" s="1372">
        <f t="shared" si="22"/>
        <v>0</v>
      </c>
      <c r="H232" s="98">
        <v>0</v>
      </c>
      <c r="I232" s="96"/>
      <c r="J232" s="96"/>
      <c r="K232" s="1372">
        <f t="shared" si="20"/>
        <v>0</v>
      </c>
      <c r="L232" s="1374">
        <f t="shared" si="21"/>
        <v>0</v>
      </c>
    </row>
    <row r="233" spans="1:12" x14ac:dyDescent="0.2">
      <c r="A233" s="35">
        <v>10</v>
      </c>
      <c r="B233" s="1545">
        <v>1930</v>
      </c>
      <c r="C233" s="101" t="s">
        <v>250</v>
      </c>
      <c r="D233" s="96">
        <v>6056345.8200000003</v>
      </c>
      <c r="E233" s="96">
        <v>202408.42</v>
      </c>
      <c r="F233" s="96">
        <v>-345600.83</v>
      </c>
      <c r="G233" s="1372">
        <f t="shared" si="22"/>
        <v>5913153.4100000001</v>
      </c>
      <c r="H233" s="98">
        <v>-3867273.9483100646</v>
      </c>
      <c r="I233" s="96">
        <v>-317896.14</v>
      </c>
      <c r="J233" s="96">
        <v>345600.83</v>
      </c>
      <c r="K233" s="1372">
        <f t="shared" si="20"/>
        <v>-3839569.2583100647</v>
      </c>
      <c r="L233" s="1374">
        <f t="shared" si="21"/>
        <v>2073584.1516899355</v>
      </c>
    </row>
    <row r="234" spans="1:12" hidden="1" x14ac:dyDescent="0.2">
      <c r="A234" s="35">
        <v>8</v>
      </c>
      <c r="B234" s="1545">
        <v>1935</v>
      </c>
      <c r="C234" s="101" t="s">
        <v>251</v>
      </c>
      <c r="D234" s="96">
        <v>0</v>
      </c>
      <c r="E234" s="96"/>
      <c r="F234" s="96"/>
      <c r="G234" s="1372">
        <f t="shared" si="22"/>
        <v>0</v>
      </c>
      <c r="H234" s="98">
        <v>0</v>
      </c>
      <c r="I234" s="96"/>
      <c r="J234" s="96"/>
      <c r="K234" s="1372">
        <f t="shared" si="20"/>
        <v>0</v>
      </c>
      <c r="L234" s="1374">
        <f t="shared" si="21"/>
        <v>0</v>
      </c>
    </row>
    <row r="235" spans="1:12" x14ac:dyDescent="0.2">
      <c r="A235" s="35">
        <v>8</v>
      </c>
      <c r="B235" s="1545">
        <v>1940</v>
      </c>
      <c r="C235" s="101" t="s">
        <v>252</v>
      </c>
      <c r="D235" s="96">
        <v>2210368.0099999998</v>
      </c>
      <c r="E235" s="96">
        <v>116135.34</v>
      </c>
      <c r="F235" s="96"/>
      <c r="G235" s="1372">
        <f t="shared" si="22"/>
        <v>2326503.3499999996</v>
      </c>
      <c r="H235" s="98">
        <v>-1752457.1244999999</v>
      </c>
      <c r="I235" s="96">
        <v>-98546.74</v>
      </c>
      <c r="J235" s="96"/>
      <c r="K235" s="1372">
        <f t="shared" si="20"/>
        <v>-1851003.8644999999</v>
      </c>
      <c r="L235" s="1374">
        <f t="shared" si="21"/>
        <v>475499.48549999972</v>
      </c>
    </row>
    <row r="236" spans="1:12" hidden="1" x14ac:dyDescent="0.2">
      <c r="A236" s="35">
        <v>8</v>
      </c>
      <c r="B236" s="1545">
        <v>1945</v>
      </c>
      <c r="C236" s="101" t="s">
        <v>253</v>
      </c>
      <c r="D236" s="96">
        <v>0</v>
      </c>
      <c r="E236" s="96"/>
      <c r="F236" s="96"/>
      <c r="G236" s="1372">
        <f t="shared" si="22"/>
        <v>0</v>
      </c>
      <c r="H236" s="98">
        <v>0</v>
      </c>
      <c r="I236" s="96"/>
      <c r="J236" s="96"/>
      <c r="K236" s="1372">
        <f t="shared" si="20"/>
        <v>0</v>
      </c>
      <c r="L236" s="1374">
        <f t="shared" si="21"/>
        <v>0</v>
      </c>
    </row>
    <row r="237" spans="1:12" hidden="1" x14ac:dyDescent="0.2">
      <c r="A237" s="35">
        <v>8</v>
      </c>
      <c r="B237" s="1545">
        <v>1950</v>
      </c>
      <c r="C237" s="101" t="s">
        <v>189</v>
      </c>
      <c r="D237" s="96">
        <v>0</v>
      </c>
      <c r="E237" s="96"/>
      <c r="F237" s="96"/>
      <c r="G237" s="1372">
        <f t="shared" si="22"/>
        <v>0</v>
      </c>
      <c r="H237" s="98">
        <v>0</v>
      </c>
      <c r="I237" s="96"/>
      <c r="J237" s="96"/>
      <c r="K237" s="1372">
        <f t="shared" si="20"/>
        <v>0</v>
      </c>
      <c r="L237" s="1374">
        <f t="shared" si="21"/>
        <v>0</v>
      </c>
    </row>
    <row r="238" spans="1:12" x14ac:dyDescent="0.2">
      <c r="A238" s="35">
        <v>8</v>
      </c>
      <c r="B238" s="1545">
        <v>1955</v>
      </c>
      <c r="C238" s="101" t="s">
        <v>254</v>
      </c>
      <c r="D238" s="96">
        <v>2332808.88</v>
      </c>
      <c r="E238" s="96">
        <v>14532.6</v>
      </c>
      <c r="F238" s="96"/>
      <c r="G238" s="1372">
        <f t="shared" si="22"/>
        <v>2347341.48</v>
      </c>
      <c r="H238" s="98">
        <v>-1556310.0985999999</v>
      </c>
      <c r="I238" s="96">
        <v>-85983.9</v>
      </c>
      <c r="J238" s="96"/>
      <c r="K238" s="1372">
        <f t="shared" si="20"/>
        <v>-1642293.9985999998</v>
      </c>
      <c r="L238" s="1374">
        <f t="shared" si="21"/>
        <v>705047.48140000016</v>
      </c>
    </row>
    <row r="239" spans="1:12" hidden="1" x14ac:dyDescent="0.2">
      <c r="A239" s="1559">
        <v>8</v>
      </c>
      <c r="B239" s="102">
        <v>1955</v>
      </c>
      <c r="C239" s="104" t="s">
        <v>190</v>
      </c>
      <c r="D239" s="96">
        <v>0</v>
      </c>
      <c r="E239" s="96"/>
      <c r="F239" s="96"/>
      <c r="G239" s="1372">
        <f t="shared" si="22"/>
        <v>0</v>
      </c>
      <c r="H239" s="98">
        <v>0</v>
      </c>
      <c r="I239" s="96"/>
      <c r="J239" s="96"/>
      <c r="K239" s="1372">
        <f t="shared" si="20"/>
        <v>0</v>
      </c>
      <c r="L239" s="1374">
        <f t="shared" si="21"/>
        <v>0</v>
      </c>
    </row>
    <row r="240" spans="1:12" hidden="1" x14ac:dyDescent="0.2">
      <c r="A240" s="1559">
        <v>8</v>
      </c>
      <c r="B240" s="105">
        <v>1960</v>
      </c>
      <c r="C240" s="95" t="s">
        <v>191</v>
      </c>
      <c r="D240" s="96">
        <v>0</v>
      </c>
      <c r="E240" s="96"/>
      <c r="F240" s="96"/>
      <c r="G240" s="1372">
        <f t="shared" si="22"/>
        <v>0</v>
      </c>
      <c r="H240" s="98">
        <v>0</v>
      </c>
      <c r="I240" s="96"/>
      <c r="J240" s="96"/>
      <c r="K240" s="1372">
        <f t="shared" si="20"/>
        <v>0</v>
      </c>
      <c r="L240" s="1374">
        <f t="shared" si="21"/>
        <v>0</v>
      </c>
    </row>
    <row r="241" spans="1:12" ht="25.5" hidden="1" x14ac:dyDescent="0.2">
      <c r="A241" s="1560">
        <v>47</v>
      </c>
      <c r="B241" s="105">
        <v>1970</v>
      </c>
      <c r="C241" s="101" t="s">
        <v>410</v>
      </c>
      <c r="D241" s="96">
        <v>0</v>
      </c>
      <c r="E241" s="96"/>
      <c r="F241" s="96"/>
      <c r="G241" s="1372">
        <f t="shared" si="22"/>
        <v>0</v>
      </c>
      <c r="H241" s="98">
        <v>0</v>
      </c>
      <c r="I241" s="96"/>
      <c r="J241" s="96"/>
      <c r="K241" s="1372">
        <f t="shared" si="20"/>
        <v>0</v>
      </c>
      <c r="L241" s="1374">
        <f t="shared" si="21"/>
        <v>0</v>
      </c>
    </row>
    <row r="242" spans="1:12" ht="25.5" hidden="1" x14ac:dyDescent="0.2">
      <c r="A242" s="35">
        <v>47</v>
      </c>
      <c r="B242" s="1545">
        <v>1975</v>
      </c>
      <c r="C242" s="101" t="s">
        <v>255</v>
      </c>
      <c r="D242" s="96">
        <v>0</v>
      </c>
      <c r="E242" s="96"/>
      <c r="F242" s="96"/>
      <c r="G242" s="1372">
        <f t="shared" si="22"/>
        <v>0</v>
      </c>
      <c r="H242" s="98">
        <v>0</v>
      </c>
      <c r="I242" s="96"/>
      <c r="J242" s="96"/>
      <c r="K242" s="1372">
        <f t="shared" si="20"/>
        <v>0</v>
      </c>
      <c r="L242" s="1374">
        <f t="shared" si="21"/>
        <v>0</v>
      </c>
    </row>
    <row r="243" spans="1:12" x14ac:dyDescent="0.2">
      <c r="A243" s="35">
        <v>47</v>
      </c>
      <c r="B243" s="1545">
        <v>1980</v>
      </c>
      <c r="C243" s="101" t="s">
        <v>256</v>
      </c>
      <c r="D243" s="96">
        <v>1935312.9699999997</v>
      </c>
      <c r="E243" s="96">
        <v>63599.45</v>
      </c>
      <c r="F243" s="96"/>
      <c r="G243" s="1372">
        <f t="shared" si="22"/>
        <v>1998912.4199999997</v>
      </c>
      <c r="H243" s="98">
        <v>-1366066.7327990518</v>
      </c>
      <c r="I243" s="96">
        <v>-43078.02</v>
      </c>
      <c r="J243" s="96"/>
      <c r="K243" s="1372">
        <f t="shared" si="20"/>
        <v>-1409144.7527990518</v>
      </c>
      <c r="L243" s="1374">
        <f t="shared" si="21"/>
        <v>589767.66720094788</v>
      </c>
    </row>
    <row r="244" spans="1:12" x14ac:dyDescent="0.2">
      <c r="A244" s="35">
        <v>47</v>
      </c>
      <c r="B244" s="1545">
        <v>1985</v>
      </c>
      <c r="C244" s="101" t="s">
        <v>257</v>
      </c>
      <c r="D244" s="96">
        <v>42116.86</v>
      </c>
      <c r="E244" s="96"/>
      <c r="F244" s="96"/>
      <c r="G244" s="1372">
        <f t="shared" si="22"/>
        <v>42116.86</v>
      </c>
      <c r="H244" s="98">
        <v>-42116.858000000007</v>
      </c>
      <c r="I244" s="96"/>
      <c r="J244" s="96"/>
      <c r="K244" s="1372">
        <f t="shared" si="20"/>
        <v>-42116.858000000007</v>
      </c>
      <c r="L244" s="1374">
        <f t="shared" si="21"/>
        <v>1.999999993131496E-3</v>
      </c>
    </row>
    <row r="245" spans="1:12" hidden="1" x14ac:dyDescent="0.2">
      <c r="A245" s="1560">
        <v>47</v>
      </c>
      <c r="B245" s="1545">
        <v>1990</v>
      </c>
      <c r="C245" s="1546" t="s">
        <v>411</v>
      </c>
      <c r="D245" s="96">
        <v>0</v>
      </c>
      <c r="E245" s="96"/>
      <c r="F245" s="96"/>
      <c r="G245" s="1372">
        <f t="shared" si="22"/>
        <v>0</v>
      </c>
      <c r="H245" s="98">
        <v>0</v>
      </c>
      <c r="I245" s="96"/>
      <c r="J245" s="96"/>
      <c r="K245" s="1372">
        <f t="shared" si="20"/>
        <v>0</v>
      </c>
      <c r="L245" s="1374">
        <f t="shared" si="21"/>
        <v>0</v>
      </c>
    </row>
    <row r="246" spans="1:12" hidden="1" x14ac:dyDescent="0.2">
      <c r="A246" s="35">
        <v>47</v>
      </c>
      <c r="B246" s="1545">
        <v>1995</v>
      </c>
      <c r="C246" s="101" t="s">
        <v>258</v>
      </c>
      <c r="D246" s="96">
        <v>0</v>
      </c>
      <c r="E246" s="96"/>
      <c r="F246" s="96"/>
      <c r="G246" s="1372">
        <f t="shared" si="22"/>
        <v>0</v>
      </c>
      <c r="H246" s="98">
        <v>-4.4895239673806486E-2</v>
      </c>
      <c r="I246" s="96">
        <v>0</v>
      </c>
      <c r="J246" s="96"/>
      <c r="K246" s="1372">
        <f t="shared" si="20"/>
        <v>-4.4895239673806486E-2</v>
      </c>
      <c r="L246" s="1374">
        <f t="shared" si="21"/>
        <v>-4.4895239673806486E-2</v>
      </c>
    </row>
    <row r="247" spans="1:12" ht="14.25" x14ac:dyDescent="0.2">
      <c r="A247" s="35">
        <v>47</v>
      </c>
      <c r="B247" s="1545">
        <v>2440</v>
      </c>
      <c r="C247" s="101" t="s">
        <v>835</v>
      </c>
      <c r="D247" s="96">
        <v>-2225598.1100000003</v>
      </c>
      <c r="E247" s="96">
        <v>-915757.71999999939</v>
      </c>
      <c r="F247" s="96"/>
      <c r="G247" s="1372">
        <f t="shared" si="22"/>
        <v>-3141355.8299999996</v>
      </c>
      <c r="H247" s="98">
        <v>53364.785694842816</v>
      </c>
      <c r="I247" s="96">
        <v>70036.511775000035</v>
      </c>
      <c r="J247" s="96"/>
      <c r="K247" s="1372">
        <f t="shared" si="20"/>
        <v>123401.29746984286</v>
      </c>
      <c r="L247" s="1374">
        <f t="shared" si="21"/>
        <v>-3017954.5325301569</v>
      </c>
    </row>
    <row r="248" spans="1:12" x14ac:dyDescent="0.2">
      <c r="A248" s="99"/>
      <c r="B248" s="1545">
        <v>1330</v>
      </c>
      <c r="C248" s="1561" t="s">
        <v>1441</v>
      </c>
      <c r="D248" s="96">
        <v>1203631</v>
      </c>
      <c r="E248" s="96">
        <v>127760</v>
      </c>
      <c r="F248" s="96"/>
      <c r="G248" s="1372">
        <f t="shared" si="22"/>
        <v>1331391</v>
      </c>
      <c r="H248" s="98">
        <v>0</v>
      </c>
      <c r="I248" s="96"/>
      <c r="J248" s="96"/>
      <c r="K248" s="1372">
        <f>H248+I248+J248</f>
        <v>0</v>
      </c>
      <c r="L248" s="1374">
        <f t="shared" si="21"/>
        <v>1331391</v>
      </c>
    </row>
    <row r="249" spans="1:12" x14ac:dyDescent="0.2">
      <c r="A249" s="99"/>
      <c r="B249" s="1545">
        <v>2055</v>
      </c>
      <c r="C249" s="1562" t="s">
        <v>1442</v>
      </c>
      <c r="D249" s="96">
        <v>312154.47999999986</v>
      </c>
      <c r="E249" s="96">
        <v>400952</v>
      </c>
      <c r="F249" s="96"/>
      <c r="G249" s="1372">
        <f t="shared" si="22"/>
        <v>713106.47999999986</v>
      </c>
      <c r="H249" s="98">
        <v>0</v>
      </c>
      <c r="I249" s="96"/>
      <c r="J249" s="96"/>
      <c r="K249" s="1372">
        <f>H249+I249+J249</f>
        <v>0</v>
      </c>
      <c r="L249" s="1374">
        <f t="shared" si="21"/>
        <v>713106.47999999986</v>
      </c>
    </row>
    <row r="250" spans="1:12" hidden="1" x14ac:dyDescent="0.2">
      <c r="A250" s="106"/>
      <c r="B250" s="106"/>
      <c r="C250" s="107"/>
      <c r="D250" s="96">
        <f t="shared" ref="D250" si="23">H186</f>
        <v>0</v>
      </c>
      <c r="E250" s="108"/>
      <c r="F250" s="108"/>
      <c r="G250" s="1372">
        <f t="shared" si="22"/>
        <v>0</v>
      </c>
      <c r="H250" s="98">
        <f t="shared" ref="H250" si="24">M186</f>
        <v>0</v>
      </c>
      <c r="I250" s="108"/>
      <c r="J250" s="108"/>
      <c r="K250" s="1372">
        <f>H250+I250+J250</f>
        <v>0</v>
      </c>
      <c r="L250" s="1374">
        <f t="shared" si="21"/>
        <v>0</v>
      </c>
    </row>
    <row r="251" spans="1:12" x14ac:dyDescent="0.2">
      <c r="A251" s="106"/>
      <c r="B251" s="106"/>
      <c r="C251" s="109" t="s">
        <v>175</v>
      </c>
      <c r="D251" s="1373">
        <f t="shared" ref="D251:L251" si="25">SUM(D207:D250)</f>
        <v>199336450.0724</v>
      </c>
      <c r="E251" s="1373">
        <f t="shared" si="25"/>
        <v>8239046.3199999994</v>
      </c>
      <c r="F251" s="1373">
        <f t="shared" si="25"/>
        <v>-3393706.6100000003</v>
      </c>
      <c r="G251" s="1373">
        <f t="shared" si="25"/>
        <v>204181789.78239995</v>
      </c>
      <c r="H251" s="1373">
        <f t="shared" si="25"/>
        <v>-118397666.54342291</v>
      </c>
      <c r="I251" s="1373">
        <f t="shared" si="25"/>
        <v>-4101519.7638918441</v>
      </c>
      <c r="J251" s="1373">
        <f t="shared" si="25"/>
        <v>2718428.6999999997</v>
      </c>
      <c r="K251" s="1373">
        <f t="shared" si="25"/>
        <v>-119780757.60731477</v>
      </c>
      <c r="L251" s="1373">
        <f t="shared" si="25"/>
        <v>84401032.175085247</v>
      </c>
    </row>
    <row r="252" spans="1:12" ht="37.5" x14ac:dyDescent="0.2">
      <c r="A252" s="106"/>
      <c r="B252" s="106"/>
      <c r="C252" s="111" t="s">
        <v>503</v>
      </c>
      <c r="D252" s="108"/>
      <c r="E252" s="108"/>
      <c r="F252" s="108"/>
      <c r="G252" s="1372">
        <f>D252+E252+F252</f>
        <v>0</v>
      </c>
      <c r="H252" s="108"/>
      <c r="I252" s="108"/>
      <c r="J252" s="108"/>
      <c r="K252" s="1372">
        <f>H252+I252+J252</f>
        <v>0</v>
      </c>
      <c r="L252" s="1374">
        <f>G252+K252</f>
        <v>0</v>
      </c>
    </row>
    <row r="253" spans="1:12" ht="25.5" x14ac:dyDescent="0.2">
      <c r="A253" s="106"/>
      <c r="B253" s="106"/>
      <c r="C253" s="112" t="s">
        <v>502</v>
      </c>
      <c r="D253" s="1563">
        <f>H189</f>
        <v>-129739</v>
      </c>
      <c r="E253" s="108"/>
      <c r="F253" s="108"/>
      <c r="G253" s="1372">
        <f>D253+E253+F253</f>
        <v>-129739</v>
      </c>
      <c r="H253" s="1567">
        <f>M189</f>
        <v>129739</v>
      </c>
      <c r="I253" s="108"/>
      <c r="J253" s="108"/>
      <c r="K253" s="1372">
        <f>H253+I253+J253</f>
        <v>129739</v>
      </c>
      <c r="L253" s="1374">
        <f>G253+K253</f>
        <v>0</v>
      </c>
    </row>
    <row r="254" spans="1:12" x14ac:dyDescent="0.2">
      <c r="A254" s="106"/>
      <c r="B254" s="106"/>
      <c r="C254" s="109" t="s">
        <v>412</v>
      </c>
      <c r="D254" s="1373">
        <f t="shared" ref="D254:L254" si="26">SUM(D251:D253)</f>
        <v>199206711.0724</v>
      </c>
      <c r="E254" s="1373">
        <f t="shared" si="26"/>
        <v>8239046.3199999994</v>
      </c>
      <c r="F254" s="1373">
        <f t="shared" si="26"/>
        <v>-3393706.6100000003</v>
      </c>
      <c r="G254" s="1373">
        <f t="shared" si="26"/>
        <v>204052050.78239995</v>
      </c>
      <c r="H254" s="1373">
        <f t="shared" si="26"/>
        <v>-118267927.54342291</v>
      </c>
      <c r="I254" s="1373">
        <f t="shared" si="26"/>
        <v>-4101519.7638918441</v>
      </c>
      <c r="J254" s="1373">
        <f t="shared" si="26"/>
        <v>2718428.6999999997</v>
      </c>
      <c r="K254" s="1373">
        <f t="shared" si="26"/>
        <v>-119651018.60731477</v>
      </c>
      <c r="L254" s="1373">
        <f t="shared" si="26"/>
        <v>84401032.175085247</v>
      </c>
    </row>
    <row r="255" spans="1:12" ht="14.25" x14ac:dyDescent="0.2">
      <c r="A255" s="106"/>
      <c r="B255" s="106"/>
      <c r="C255" s="1651" t="s">
        <v>801</v>
      </c>
      <c r="D255" s="1652"/>
      <c r="E255" s="1652"/>
      <c r="F255" s="1652"/>
      <c r="G255" s="1652"/>
      <c r="H255" s="1653"/>
      <c r="I255" s="108"/>
      <c r="J255" s="113"/>
      <c r="K255" s="114"/>
      <c r="L255" s="115"/>
    </row>
    <row r="256" spans="1:12" x14ac:dyDescent="0.2">
      <c r="A256" s="106"/>
      <c r="B256" s="106"/>
      <c r="C256" s="1651" t="s">
        <v>259</v>
      </c>
      <c r="D256" s="1652"/>
      <c r="E256" s="1652"/>
      <c r="F256" s="1652"/>
      <c r="G256" s="1652"/>
      <c r="H256" s="1653"/>
      <c r="I256" s="1373">
        <f>I254+I255</f>
        <v>-4101519.7638918441</v>
      </c>
      <c r="J256" s="113"/>
      <c r="K256" s="114"/>
      <c r="L256" s="115"/>
    </row>
    <row r="257" spans="1:12" x14ac:dyDescent="0.2">
      <c r="A257" s="267"/>
      <c r="B257" s="267"/>
      <c r="C257" s="1669" t="s">
        <v>1530</v>
      </c>
      <c r="D257" s="1670">
        <f>D254-D249-D248</f>
        <v>197690925.59240001</v>
      </c>
      <c r="E257" s="1669"/>
      <c r="F257" s="1669"/>
      <c r="G257" s="1670">
        <f>G254-G249-G248</f>
        <v>202007553.30239996</v>
      </c>
      <c r="H257" s="1669"/>
      <c r="I257" s="1625"/>
      <c r="J257" s="113"/>
      <c r="K257" s="114"/>
      <c r="L257" s="1670">
        <f>L254-L249-L248</f>
        <v>82356534.695085242</v>
      </c>
    </row>
    <row r="258" spans="1:12" x14ac:dyDescent="0.2">
      <c r="A258" s="1547"/>
      <c r="B258" s="1547"/>
      <c r="H258" s="34"/>
    </row>
    <row r="259" spans="1:12" x14ac:dyDescent="0.2">
      <c r="A259" s="1547"/>
      <c r="B259" s="1547"/>
      <c r="H259" s="116" t="s">
        <v>343</v>
      </c>
      <c r="I259" s="1548"/>
    </row>
    <row r="260" spans="1:12" x14ac:dyDescent="0.2">
      <c r="A260" s="106">
        <v>10</v>
      </c>
      <c r="B260" s="106"/>
      <c r="C260" s="1436" t="s">
        <v>260</v>
      </c>
      <c r="D260" s="1437"/>
      <c r="E260" s="1437"/>
      <c r="F260" s="1437"/>
      <c r="G260" s="1437"/>
      <c r="H260" s="1438" t="s">
        <v>260</v>
      </c>
      <c r="I260" s="1438"/>
      <c r="J260" s="1698">
        <f>I233</f>
        <v>-317896.14</v>
      </c>
    </row>
    <row r="261" spans="1:12" x14ac:dyDescent="0.2">
      <c r="A261" s="106">
        <v>8</v>
      </c>
      <c r="B261" s="106"/>
      <c r="C261" s="1436" t="s">
        <v>251</v>
      </c>
      <c r="D261" s="1437"/>
      <c r="E261" s="1437"/>
      <c r="F261" s="1437"/>
      <c r="G261" s="1437"/>
      <c r="H261" s="1438" t="s">
        <v>251</v>
      </c>
      <c r="I261" s="1438"/>
      <c r="J261" s="1698">
        <f>I235</f>
        <v>-98546.74</v>
      </c>
    </row>
    <row r="262" spans="1:12" x14ac:dyDescent="0.2">
      <c r="A262" s="106"/>
      <c r="B262" s="106">
        <v>2440</v>
      </c>
      <c r="C262" s="1436" t="s">
        <v>1581</v>
      </c>
      <c r="D262" s="1437"/>
      <c r="E262" s="1437"/>
      <c r="F262" s="1437"/>
      <c r="G262" s="1437"/>
      <c r="H262" s="1438"/>
      <c r="I262" s="1438"/>
      <c r="J262" s="1565">
        <f>I247</f>
        <v>70036.511775000035</v>
      </c>
    </row>
    <row r="263" spans="1:12" x14ac:dyDescent="0.2">
      <c r="A263" s="1547"/>
      <c r="B263" s="1547"/>
      <c r="H263" s="117" t="s">
        <v>261</v>
      </c>
      <c r="J263" s="1439">
        <f>I256-J260-J261-J262</f>
        <v>-3755113.3956668437</v>
      </c>
    </row>
    <row r="264" spans="1:12" x14ac:dyDescent="0.2">
      <c r="A264" s="1547"/>
      <c r="B264" s="1547"/>
      <c r="I264" s="117"/>
      <c r="K264" s="1566"/>
    </row>
    <row r="265" spans="1:12" x14ac:dyDescent="0.2">
      <c r="A265" s="1654"/>
      <c r="B265" s="1654"/>
      <c r="I265" s="117"/>
      <c r="K265" s="1566"/>
    </row>
    <row r="266" spans="1:12" x14ac:dyDescent="0.2">
      <c r="A266" s="1547"/>
      <c r="B266" s="1547"/>
      <c r="E266" s="70" t="s">
        <v>778</v>
      </c>
      <c r="F266" s="30" t="s">
        <v>92</v>
      </c>
      <c r="H266" s="34"/>
    </row>
    <row r="267" spans="1:12" ht="15" x14ac:dyDescent="0.25">
      <c r="A267" s="1547"/>
      <c r="B267" s="1547"/>
      <c r="C267" s="38"/>
      <c r="E267" s="70" t="s">
        <v>89</v>
      </c>
      <c r="F267" s="84">
        <v>2017</v>
      </c>
      <c r="G267" s="85"/>
    </row>
    <row r="268" spans="1:12" x14ac:dyDescent="0.2">
      <c r="A268" s="1547"/>
      <c r="B268" s="1547"/>
    </row>
    <row r="269" spans="1:12" x14ac:dyDescent="0.2">
      <c r="A269" s="1547"/>
      <c r="B269" s="1547"/>
      <c r="D269" s="1926" t="s">
        <v>233</v>
      </c>
      <c r="E269" s="1927"/>
      <c r="F269" s="1927"/>
      <c r="G269" s="1928"/>
      <c r="H269" s="86"/>
      <c r="I269" s="87" t="s">
        <v>234</v>
      </c>
      <c r="J269" s="87"/>
      <c r="K269" s="88"/>
      <c r="L269" s="83"/>
    </row>
    <row r="270" spans="1:12" ht="30" customHeight="1" x14ac:dyDescent="0.2">
      <c r="A270" s="89" t="s">
        <v>867</v>
      </c>
      <c r="B270" s="89" t="s">
        <v>869</v>
      </c>
      <c r="C270" s="90" t="s">
        <v>870</v>
      </c>
      <c r="D270" s="89" t="s">
        <v>206</v>
      </c>
      <c r="E270" s="91" t="s">
        <v>868</v>
      </c>
      <c r="F270" s="91" t="s">
        <v>929</v>
      </c>
      <c r="G270" s="89" t="s">
        <v>232</v>
      </c>
      <c r="H270" s="92" t="s">
        <v>206</v>
      </c>
      <c r="I270" s="93" t="s">
        <v>207</v>
      </c>
      <c r="J270" s="93" t="s">
        <v>929</v>
      </c>
      <c r="K270" s="94" t="s">
        <v>232</v>
      </c>
      <c r="L270" s="89" t="s">
        <v>263</v>
      </c>
    </row>
    <row r="271" spans="1:12" ht="25.5" hidden="1" customHeight="1" x14ac:dyDescent="0.2">
      <c r="A271" s="89"/>
      <c r="B271" s="1545">
        <v>1609</v>
      </c>
      <c r="C271" s="95" t="s">
        <v>1073</v>
      </c>
      <c r="D271" s="96">
        <f t="shared" ref="D271:D314" si="27">G207</f>
        <v>0</v>
      </c>
      <c r="E271" s="96"/>
      <c r="F271" s="96"/>
      <c r="G271" s="1372">
        <f t="shared" ref="G271:G314" si="28">D271+E271+F271</f>
        <v>0</v>
      </c>
      <c r="H271" s="98">
        <f>K207</f>
        <v>0</v>
      </c>
      <c r="I271" s="96"/>
      <c r="J271" s="96"/>
      <c r="K271" s="1372">
        <f t="shared" ref="K271:K311" si="29">H271+I271+J271</f>
        <v>0</v>
      </c>
      <c r="L271" s="1374">
        <f t="shared" ref="L271:L314" si="30">G271+K271</f>
        <v>0</v>
      </c>
    </row>
    <row r="272" spans="1:12" ht="25.5" hidden="1" customHeight="1" x14ac:dyDescent="0.2">
      <c r="A272" s="89"/>
      <c r="B272" s="1659">
        <v>1610</v>
      </c>
      <c r="C272" s="95" t="s">
        <v>1527</v>
      </c>
      <c r="D272" s="96">
        <f t="shared" si="27"/>
        <v>0</v>
      </c>
      <c r="E272" s="96"/>
      <c r="F272" s="96"/>
      <c r="G272" s="1372">
        <f t="shared" si="28"/>
        <v>0</v>
      </c>
      <c r="H272" s="98"/>
      <c r="I272" s="96"/>
      <c r="J272" s="96"/>
      <c r="K272" s="1372"/>
      <c r="L272" s="1374">
        <f t="shared" si="30"/>
        <v>0</v>
      </c>
    </row>
    <row r="273" spans="1:12" ht="25.5" x14ac:dyDescent="0.2">
      <c r="A273" s="35">
        <v>12</v>
      </c>
      <c r="B273" s="1545">
        <v>1611</v>
      </c>
      <c r="C273" s="95" t="s">
        <v>325</v>
      </c>
      <c r="D273" s="96">
        <v>3218378.7600000007</v>
      </c>
      <c r="E273" s="96"/>
      <c r="F273" s="96"/>
      <c r="G273" s="1372">
        <f t="shared" si="28"/>
        <v>3218378.7600000007</v>
      </c>
      <c r="H273" s="98">
        <v>-3064450.4519999996</v>
      </c>
      <c r="I273" s="96">
        <v>-62369</v>
      </c>
      <c r="J273" s="96"/>
      <c r="K273" s="1372">
        <f t="shared" si="29"/>
        <v>-3126819.4519999996</v>
      </c>
      <c r="L273" s="1374">
        <f t="shared" si="30"/>
        <v>91559.308000001125</v>
      </c>
    </row>
    <row r="274" spans="1:12" ht="25.5" x14ac:dyDescent="0.2">
      <c r="A274" s="35" t="s">
        <v>243</v>
      </c>
      <c r="B274" s="1545">
        <v>1612</v>
      </c>
      <c r="C274" s="95" t="s">
        <v>360</v>
      </c>
      <c r="D274" s="96">
        <v>45178.369999999995</v>
      </c>
      <c r="E274" s="96">
        <v>6845.05</v>
      </c>
      <c r="F274" s="96"/>
      <c r="G274" s="1372">
        <f t="shared" si="28"/>
        <v>52023.42</v>
      </c>
      <c r="H274" s="98">
        <v>0</v>
      </c>
      <c r="I274" s="96"/>
      <c r="J274" s="96"/>
      <c r="K274" s="1372">
        <f t="shared" si="29"/>
        <v>0</v>
      </c>
      <c r="L274" s="1374">
        <f t="shared" si="30"/>
        <v>52023.42</v>
      </c>
    </row>
    <row r="275" spans="1:12" x14ac:dyDescent="0.2">
      <c r="A275" s="35" t="s">
        <v>235</v>
      </c>
      <c r="B275" s="99">
        <v>1805</v>
      </c>
      <c r="C275" s="100" t="s">
        <v>236</v>
      </c>
      <c r="D275" s="96">
        <v>940078.79999999981</v>
      </c>
      <c r="E275" s="96"/>
      <c r="F275" s="96"/>
      <c r="G275" s="1372">
        <f t="shared" si="28"/>
        <v>940078.79999999981</v>
      </c>
      <c r="H275" s="98">
        <v>0</v>
      </c>
      <c r="I275" s="96"/>
      <c r="J275" s="96"/>
      <c r="K275" s="1372">
        <f t="shared" si="29"/>
        <v>0</v>
      </c>
      <c r="L275" s="1374">
        <f t="shared" si="30"/>
        <v>940078.79999999981</v>
      </c>
    </row>
    <row r="276" spans="1:12" x14ac:dyDescent="0.2">
      <c r="A276" s="35">
        <v>47</v>
      </c>
      <c r="B276" s="99">
        <v>1808</v>
      </c>
      <c r="C276" s="101" t="s">
        <v>237</v>
      </c>
      <c r="D276" s="96">
        <v>14374648.949999999</v>
      </c>
      <c r="E276" s="96">
        <v>98814</v>
      </c>
      <c r="F276" s="96"/>
      <c r="G276" s="1372">
        <f t="shared" si="28"/>
        <v>14473462.949999999</v>
      </c>
      <c r="H276" s="98">
        <v>-6029372.6837709742</v>
      </c>
      <c r="I276" s="96">
        <v>-395305</v>
      </c>
      <c r="J276" s="96"/>
      <c r="K276" s="1372">
        <f t="shared" si="29"/>
        <v>-6424677.6837709742</v>
      </c>
      <c r="L276" s="1374">
        <f t="shared" si="30"/>
        <v>8048785.2662290251</v>
      </c>
    </row>
    <row r="277" spans="1:12" hidden="1" x14ac:dyDescent="0.2">
      <c r="A277" s="35">
        <v>13</v>
      </c>
      <c r="B277" s="99">
        <v>1810</v>
      </c>
      <c r="C277" s="101" t="s">
        <v>262</v>
      </c>
      <c r="D277" s="96">
        <v>0</v>
      </c>
      <c r="E277" s="96"/>
      <c r="F277" s="96"/>
      <c r="G277" s="1372">
        <f t="shared" si="28"/>
        <v>0</v>
      </c>
      <c r="H277" s="98">
        <v>0</v>
      </c>
      <c r="I277" s="96"/>
      <c r="J277" s="96"/>
      <c r="K277" s="1372">
        <f t="shared" si="29"/>
        <v>0</v>
      </c>
      <c r="L277" s="1374">
        <f t="shared" si="30"/>
        <v>0</v>
      </c>
    </row>
    <row r="278" spans="1:12" hidden="1" x14ac:dyDescent="0.2">
      <c r="A278" s="35">
        <v>47</v>
      </c>
      <c r="B278" s="99">
        <v>1815</v>
      </c>
      <c r="C278" s="101" t="s">
        <v>238</v>
      </c>
      <c r="D278" s="96">
        <v>0</v>
      </c>
      <c r="E278" s="96"/>
      <c r="F278" s="96"/>
      <c r="G278" s="1372">
        <f t="shared" si="28"/>
        <v>0</v>
      </c>
      <c r="H278" s="98">
        <v>0</v>
      </c>
      <c r="I278" s="96"/>
      <c r="J278" s="96"/>
      <c r="K278" s="1372">
        <f t="shared" si="29"/>
        <v>0</v>
      </c>
      <c r="L278" s="1374">
        <f t="shared" si="30"/>
        <v>0</v>
      </c>
    </row>
    <row r="279" spans="1:12" x14ac:dyDescent="0.2">
      <c r="A279" s="35">
        <v>47</v>
      </c>
      <c r="B279" s="99">
        <v>1820</v>
      </c>
      <c r="C279" s="95" t="s">
        <v>178</v>
      </c>
      <c r="D279" s="96">
        <v>17607958.690000001</v>
      </c>
      <c r="E279" s="96">
        <v>410103</v>
      </c>
      <c r="F279" s="96"/>
      <c r="G279" s="1372">
        <f t="shared" si="28"/>
        <v>18018061.690000001</v>
      </c>
      <c r="H279" s="98">
        <v>-11658407.614798525</v>
      </c>
      <c r="I279" s="96">
        <v>-333677</v>
      </c>
      <c r="J279" s="96"/>
      <c r="K279" s="1372">
        <f t="shared" si="29"/>
        <v>-11992084.614798525</v>
      </c>
      <c r="L279" s="1374">
        <f t="shared" si="30"/>
        <v>6025977.075201476</v>
      </c>
    </row>
    <row r="280" spans="1:12" hidden="1" x14ac:dyDescent="0.2">
      <c r="A280" s="35">
        <v>47</v>
      </c>
      <c r="B280" s="99">
        <v>1825</v>
      </c>
      <c r="C280" s="101" t="s">
        <v>239</v>
      </c>
      <c r="D280" s="96">
        <v>0</v>
      </c>
      <c r="E280" s="96"/>
      <c r="F280" s="96"/>
      <c r="G280" s="1372">
        <f t="shared" si="28"/>
        <v>0</v>
      </c>
      <c r="H280" s="98">
        <v>0</v>
      </c>
      <c r="I280" s="96"/>
      <c r="J280" s="96"/>
      <c r="K280" s="1372">
        <f t="shared" si="29"/>
        <v>0</v>
      </c>
      <c r="L280" s="1374">
        <f t="shared" si="30"/>
        <v>0</v>
      </c>
    </row>
    <row r="281" spans="1:12" x14ac:dyDescent="0.2">
      <c r="A281" s="35">
        <v>47</v>
      </c>
      <c r="B281" s="99">
        <v>1830</v>
      </c>
      <c r="C281" s="101" t="s">
        <v>240</v>
      </c>
      <c r="D281" s="96">
        <v>24064538.040000003</v>
      </c>
      <c r="E281" s="96">
        <v>2211039</v>
      </c>
      <c r="F281" s="96">
        <v>-324354</v>
      </c>
      <c r="G281" s="1372">
        <f t="shared" si="28"/>
        <v>25951223.040000003</v>
      </c>
      <c r="H281" s="98">
        <v>-10246864.519147437</v>
      </c>
      <c r="I281" s="96">
        <v>-485009</v>
      </c>
      <c r="J281" s="96">
        <v>219207</v>
      </c>
      <c r="K281" s="1372">
        <f t="shared" si="29"/>
        <v>-10512666.519147437</v>
      </c>
      <c r="L281" s="1374">
        <f t="shared" si="30"/>
        <v>15438556.520852566</v>
      </c>
    </row>
    <row r="282" spans="1:12" x14ac:dyDescent="0.2">
      <c r="A282" s="35">
        <v>47</v>
      </c>
      <c r="B282" s="99">
        <v>1835</v>
      </c>
      <c r="C282" s="101" t="s">
        <v>179</v>
      </c>
      <c r="D282" s="96">
        <v>40214664.520000003</v>
      </c>
      <c r="E282" s="96">
        <v>1421372</v>
      </c>
      <c r="F282" s="96">
        <v>-645617</v>
      </c>
      <c r="G282" s="1372">
        <f>D282+E282+F282</f>
        <v>40990419.520000003</v>
      </c>
      <c r="H282" s="98">
        <v>-28041370.919035107</v>
      </c>
      <c r="I282" s="96">
        <v>-498204.71431881754</v>
      </c>
      <c r="J282" s="96">
        <v>598712</v>
      </c>
      <c r="K282" s="1372">
        <f t="shared" si="29"/>
        <v>-27940863.633353926</v>
      </c>
      <c r="L282" s="1374">
        <f t="shared" si="30"/>
        <v>13049555.886646077</v>
      </c>
    </row>
    <row r="283" spans="1:12" x14ac:dyDescent="0.2">
      <c r="A283" s="35">
        <v>47</v>
      </c>
      <c r="B283" s="99">
        <v>1840</v>
      </c>
      <c r="C283" s="101" t="s">
        <v>180</v>
      </c>
      <c r="D283" s="96">
        <v>23308614.199999999</v>
      </c>
      <c r="E283" s="96">
        <v>897610.03</v>
      </c>
      <c r="F283" s="96">
        <v>-59535.28</v>
      </c>
      <c r="G283" s="1372">
        <f t="shared" si="28"/>
        <v>24146688.949999999</v>
      </c>
      <c r="H283" s="98">
        <v>-13154536.679669894</v>
      </c>
      <c r="I283" s="96">
        <v>-286279</v>
      </c>
      <c r="J283" s="96">
        <v>46266</v>
      </c>
      <c r="K283" s="1372">
        <f t="shared" si="29"/>
        <v>-13394549.679669894</v>
      </c>
      <c r="L283" s="1374">
        <f t="shared" si="30"/>
        <v>10752139.270330105</v>
      </c>
    </row>
    <row r="284" spans="1:12" x14ac:dyDescent="0.2">
      <c r="A284" s="35">
        <v>47</v>
      </c>
      <c r="B284" s="99">
        <v>1845</v>
      </c>
      <c r="C284" s="101" t="s">
        <v>181</v>
      </c>
      <c r="D284" s="96">
        <v>15579934.240000004</v>
      </c>
      <c r="E284" s="96">
        <v>798636.15</v>
      </c>
      <c r="F284" s="96">
        <v>-135008</v>
      </c>
      <c r="G284" s="1372">
        <f t="shared" si="28"/>
        <v>16243562.390000004</v>
      </c>
      <c r="H284" s="98">
        <v>-10400786.414510122</v>
      </c>
      <c r="I284" s="96">
        <v>-243329.87053953903</v>
      </c>
      <c r="J284" s="96">
        <v>107455</v>
      </c>
      <c r="K284" s="1372">
        <f t="shared" si="29"/>
        <v>-10536661.28504966</v>
      </c>
      <c r="L284" s="1374">
        <f t="shared" si="30"/>
        <v>5706901.1049503442</v>
      </c>
    </row>
    <row r="285" spans="1:12" x14ac:dyDescent="0.2">
      <c r="A285" s="35">
        <v>47</v>
      </c>
      <c r="B285" s="99">
        <v>1850</v>
      </c>
      <c r="C285" s="101" t="s">
        <v>241</v>
      </c>
      <c r="D285" s="96">
        <v>27883655.139999993</v>
      </c>
      <c r="E285" s="96">
        <v>2065242</v>
      </c>
      <c r="F285" s="96">
        <v>-1032217</v>
      </c>
      <c r="G285" s="1372">
        <f t="shared" si="28"/>
        <v>28916680.139999993</v>
      </c>
      <c r="H285" s="98">
        <v>-16705437.125643903</v>
      </c>
      <c r="I285" s="96">
        <v>-426702.79360848718</v>
      </c>
      <c r="J285" s="96">
        <v>793078</v>
      </c>
      <c r="K285" s="1372">
        <f t="shared" si="29"/>
        <v>-16339061.919252392</v>
      </c>
      <c r="L285" s="1374">
        <f t="shared" si="30"/>
        <v>12577618.220747601</v>
      </c>
    </row>
    <row r="286" spans="1:12" x14ac:dyDescent="0.2">
      <c r="A286" s="35">
        <v>47</v>
      </c>
      <c r="B286" s="99">
        <v>1855</v>
      </c>
      <c r="C286" s="101" t="s">
        <v>182</v>
      </c>
      <c r="D286" s="96">
        <v>15732662.279999997</v>
      </c>
      <c r="E286" s="96">
        <v>487400</v>
      </c>
      <c r="F286" s="96">
        <v>-192521</v>
      </c>
      <c r="G286" s="1372">
        <f t="shared" si="28"/>
        <v>16027541.279999997</v>
      </c>
      <c r="H286" s="98">
        <v>-7203539.5153747471</v>
      </c>
      <c r="I286" s="96">
        <v>-291416</v>
      </c>
      <c r="J286" s="96">
        <v>115914</v>
      </c>
      <c r="K286" s="1372">
        <f t="shared" si="29"/>
        <v>-7379041.5153747471</v>
      </c>
      <c r="L286" s="1374">
        <f t="shared" si="30"/>
        <v>8648499.7646252513</v>
      </c>
    </row>
    <row r="287" spans="1:12" x14ac:dyDescent="0.2">
      <c r="A287" s="35">
        <v>47</v>
      </c>
      <c r="B287" s="99">
        <v>1860</v>
      </c>
      <c r="C287" s="101" t="s">
        <v>242</v>
      </c>
      <c r="D287" s="96">
        <v>8841771.8123999983</v>
      </c>
      <c r="E287" s="96">
        <v>63282</v>
      </c>
      <c r="F287" s="96"/>
      <c r="G287" s="1372">
        <f t="shared" si="28"/>
        <v>8905053.8123999983</v>
      </c>
      <c r="H287" s="98">
        <v>-3940012.4617295251</v>
      </c>
      <c r="I287" s="96">
        <v>-505487.74719999998</v>
      </c>
      <c r="J287" s="96"/>
      <c r="K287" s="1372">
        <f t="shared" si="29"/>
        <v>-4445500.2089295248</v>
      </c>
      <c r="L287" s="1374">
        <f t="shared" si="30"/>
        <v>4459553.6034704736</v>
      </c>
    </row>
    <row r="288" spans="1:12" ht="15.6" hidden="1" customHeight="1" x14ac:dyDescent="0.2">
      <c r="A288" s="35">
        <v>47</v>
      </c>
      <c r="B288" s="99">
        <v>1860</v>
      </c>
      <c r="C288" s="100" t="s">
        <v>183</v>
      </c>
      <c r="D288" s="96"/>
      <c r="E288" s="96"/>
      <c r="F288" s="96"/>
      <c r="G288" s="1372">
        <f t="shared" si="28"/>
        <v>0</v>
      </c>
      <c r="H288" s="98"/>
      <c r="I288" s="96"/>
      <c r="J288" s="96"/>
      <c r="K288" s="1372">
        <f t="shared" si="29"/>
        <v>0</v>
      </c>
      <c r="L288" s="1374">
        <f t="shared" si="30"/>
        <v>0</v>
      </c>
    </row>
    <row r="289" spans="1:12" ht="13.9" hidden="1" customHeight="1" x14ac:dyDescent="0.2">
      <c r="A289" s="35" t="s">
        <v>235</v>
      </c>
      <c r="B289" s="99">
        <v>1905</v>
      </c>
      <c r="C289" s="100" t="s">
        <v>236</v>
      </c>
      <c r="D289" s="96">
        <v>0</v>
      </c>
      <c r="E289" s="96"/>
      <c r="F289" s="96"/>
      <c r="G289" s="1372">
        <f t="shared" si="28"/>
        <v>0</v>
      </c>
      <c r="H289" s="98">
        <v>0</v>
      </c>
      <c r="I289" s="96"/>
      <c r="J289" s="96"/>
      <c r="K289" s="1372">
        <f t="shared" si="29"/>
        <v>0</v>
      </c>
      <c r="L289" s="1374">
        <f t="shared" si="30"/>
        <v>0</v>
      </c>
    </row>
    <row r="290" spans="1:12" ht="10.9" hidden="1" customHeight="1" x14ac:dyDescent="0.2">
      <c r="A290" s="35">
        <v>47</v>
      </c>
      <c r="B290" s="99">
        <v>1908</v>
      </c>
      <c r="C290" s="101" t="s">
        <v>244</v>
      </c>
      <c r="D290" s="96">
        <v>0</v>
      </c>
      <c r="E290" s="96"/>
      <c r="F290" s="96"/>
      <c r="G290" s="1372">
        <f t="shared" si="28"/>
        <v>0</v>
      </c>
      <c r="H290" s="98">
        <v>0</v>
      </c>
      <c r="I290" s="96"/>
      <c r="J290" s="96"/>
      <c r="K290" s="1372">
        <f t="shared" si="29"/>
        <v>0</v>
      </c>
      <c r="L290" s="1374">
        <f t="shared" si="30"/>
        <v>0</v>
      </c>
    </row>
    <row r="291" spans="1:12" ht="12" hidden="1" customHeight="1" x14ac:dyDescent="0.2">
      <c r="A291" s="35">
        <v>13</v>
      </c>
      <c r="B291" s="99">
        <v>1910</v>
      </c>
      <c r="C291" s="101" t="s">
        <v>262</v>
      </c>
      <c r="D291" s="96">
        <v>0</v>
      </c>
      <c r="E291" s="96"/>
      <c r="F291" s="96"/>
      <c r="G291" s="1372">
        <f t="shared" si="28"/>
        <v>0</v>
      </c>
      <c r="H291" s="98">
        <v>0</v>
      </c>
      <c r="I291" s="96"/>
      <c r="J291" s="96"/>
      <c r="K291" s="1372">
        <f t="shared" si="29"/>
        <v>0</v>
      </c>
      <c r="L291" s="1374">
        <f t="shared" si="30"/>
        <v>0</v>
      </c>
    </row>
    <row r="292" spans="1:12" x14ac:dyDescent="0.2">
      <c r="A292" s="35">
        <v>8</v>
      </c>
      <c r="B292" s="99">
        <v>1915</v>
      </c>
      <c r="C292" s="101" t="s">
        <v>184</v>
      </c>
      <c r="D292" s="96">
        <v>76054.559999999998</v>
      </c>
      <c r="E292" s="96">
        <v>11018</v>
      </c>
      <c r="F292" s="96"/>
      <c r="G292" s="1372">
        <f t="shared" si="28"/>
        <v>87072.56</v>
      </c>
      <c r="H292" s="98">
        <v>-55423.559999999983</v>
      </c>
      <c r="I292" s="96">
        <v>-3725</v>
      </c>
      <c r="J292" s="96"/>
      <c r="K292" s="1372">
        <f t="shared" si="29"/>
        <v>-59148.559999999983</v>
      </c>
      <c r="L292" s="1374">
        <f t="shared" si="30"/>
        <v>27924.000000000015</v>
      </c>
    </row>
    <row r="293" spans="1:12" hidden="1" x14ac:dyDescent="0.2">
      <c r="A293" s="35">
        <v>8</v>
      </c>
      <c r="B293" s="99">
        <v>1915</v>
      </c>
      <c r="C293" s="101" t="s">
        <v>185</v>
      </c>
      <c r="D293" s="96">
        <v>0</v>
      </c>
      <c r="E293" s="96"/>
      <c r="F293" s="96"/>
      <c r="G293" s="1372">
        <f t="shared" si="28"/>
        <v>0</v>
      </c>
      <c r="H293" s="98">
        <v>0</v>
      </c>
      <c r="I293" s="96"/>
      <c r="J293" s="96"/>
      <c r="K293" s="1372">
        <f t="shared" si="29"/>
        <v>0</v>
      </c>
      <c r="L293" s="1374">
        <f t="shared" si="30"/>
        <v>0</v>
      </c>
    </row>
    <row r="294" spans="1:12" x14ac:dyDescent="0.2">
      <c r="A294" s="35">
        <v>10</v>
      </c>
      <c r="B294" s="99">
        <v>1920</v>
      </c>
      <c r="C294" s="101" t="s">
        <v>186</v>
      </c>
      <c r="D294" s="96">
        <v>762482.25</v>
      </c>
      <c r="E294" s="96"/>
      <c r="F294" s="96"/>
      <c r="G294" s="1372">
        <f t="shared" si="28"/>
        <v>762482.25</v>
      </c>
      <c r="H294" s="98">
        <v>-619828.18199999991</v>
      </c>
      <c r="I294" s="96">
        <v>-79836</v>
      </c>
      <c r="J294" s="96"/>
      <c r="K294" s="1372">
        <f t="shared" si="29"/>
        <v>-699664.18199999991</v>
      </c>
      <c r="L294" s="1374">
        <f t="shared" si="30"/>
        <v>62818.068000000087</v>
      </c>
    </row>
    <row r="295" spans="1:12" ht="25.5" hidden="1" x14ac:dyDescent="0.2">
      <c r="A295" s="35">
        <v>45</v>
      </c>
      <c r="B295" s="102">
        <v>1920</v>
      </c>
      <c r="C295" s="95" t="s">
        <v>188</v>
      </c>
      <c r="D295" s="96">
        <v>0</v>
      </c>
      <c r="E295" s="96"/>
      <c r="F295" s="96"/>
      <c r="G295" s="1372">
        <f t="shared" si="28"/>
        <v>0</v>
      </c>
      <c r="H295" s="98">
        <v>0</v>
      </c>
      <c r="I295" s="96"/>
      <c r="J295" s="96"/>
      <c r="K295" s="1372">
        <f t="shared" si="29"/>
        <v>0</v>
      </c>
      <c r="L295" s="1374">
        <f t="shared" si="30"/>
        <v>0</v>
      </c>
    </row>
    <row r="296" spans="1:12" ht="25.5" hidden="1" x14ac:dyDescent="0.2">
      <c r="A296" s="35">
        <v>45.1</v>
      </c>
      <c r="B296" s="102">
        <v>1920</v>
      </c>
      <c r="C296" s="95" t="s">
        <v>187</v>
      </c>
      <c r="D296" s="96">
        <v>0</v>
      </c>
      <c r="E296" s="96"/>
      <c r="F296" s="96"/>
      <c r="G296" s="1372">
        <f t="shared" si="28"/>
        <v>0</v>
      </c>
      <c r="H296" s="98">
        <v>0</v>
      </c>
      <c r="I296" s="96"/>
      <c r="J296" s="96"/>
      <c r="K296" s="1372">
        <f t="shared" si="29"/>
        <v>0</v>
      </c>
      <c r="L296" s="1374">
        <f t="shared" si="30"/>
        <v>0</v>
      </c>
    </row>
    <row r="297" spans="1:12" x14ac:dyDescent="0.2">
      <c r="A297" s="35">
        <v>10</v>
      </c>
      <c r="B297" s="1545">
        <v>1930</v>
      </c>
      <c r="C297" s="101" t="s">
        <v>250</v>
      </c>
      <c r="D297" s="96">
        <v>5913153.4100000001</v>
      </c>
      <c r="E297" s="96">
        <v>743656</v>
      </c>
      <c r="F297" s="96">
        <v>-89757</v>
      </c>
      <c r="G297" s="1372">
        <f t="shared" si="28"/>
        <v>6567052.4100000001</v>
      </c>
      <c r="H297" s="98">
        <v>-3839569.2583100647</v>
      </c>
      <c r="I297" s="96">
        <v>-364728</v>
      </c>
      <c r="J297" s="96">
        <v>89757</v>
      </c>
      <c r="K297" s="1372">
        <f t="shared" si="29"/>
        <v>-4114540.2583100647</v>
      </c>
      <c r="L297" s="1374">
        <f t="shared" si="30"/>
        <v>2452512.1516899355</v>
      </c>
    </row>
    <row r="298" spans="1:12" hidden="1" x14ac:dyDescent="0.2">
      <c r="A298" s="35">
        <v>8</v>
      </c>
      <c r="B298" s="1545">
        <v>1935</v>
      </c>
      <c r="C298" s="101" t="s">
        <v>251</v>
      </c>
      <c r="D298" s="96">
        <v>0</v>
      </c>
      <c r="E298" s="96"/>
      <c r="F298" s="96"/>
      <c r="G298" s="1372">
        <f t="shared" si="28"/>
        <v>0</v>
      </c>
      <c r="H298" s="98">
        <v>0</v>
      </c>
      <c r="I298" s="96"/>
      <c r="J298" s="96"/>
      <c r="K298" s="1372">
        <f t="shared" si="29"/>
        <v>0</v>
      </c>
      <c r="L298" s="1374">
        <f t="shared" si="30"/>
        <v>0</v>
      </c>
    </row>
    <row r="299" spans="1:12" x14ac:dyDescent="0.2">
      <c r="A299" s="35">
        <v>8</v>
      </c>
      <c r="B299" s="1545">
        <v>1940</v>
      </c>
      <c r="C299" s="101" t="s">
        <v>252</v>
      </c>
      <c r="D299" s="96">
        <v>2326503.3499999996</v>
      </c>
      <c r="E299" s="96">
        <v>107409</v>
      </c>
      <c r="F299" s="96"/>
      <c r="G299" s="1372">
        <f t="shared" si="28"/>
        <v>2433912.3499999996</v>
      </c>
      <c r="H299" s="98">
        <v>-1851003.8644999999</v>
      </c>
      <c r="I299" s="96">
        <v>-100903</v>
      </c>
      <c r="J299" s="96"/>
      <c r="K299" s="1372">
        <f t="shared" si="29"/>
        <v>-1951906.8644999999</v>
      </c>
      <c r="L299" s="1374">
        <f t="shared" si="30"/>
        <v>482005.48549999972</v>
      </c>
    </row>
    <row r="300" spans="1:12" hidden="1" x14ac:dyDescent="0.2">
      <c r="A300" s="35">
        <v>8</v>
      </c>
      <c r="B300" s="1545">
        <v>1945</v>
      </c>
      <c r="C300" s="101" t="s">
        <v>253</v>
      </c>
      <c r="D300" s="96">
        <v>0</v>
      </c>
      <c r="E300" s="96"/>
      <c r="F300" s="96"/>
      <c r="G300" s="1372">
        <f t="shared" si="28"/>
        <v>0</v>
      </c>
      <c r="H300" s="98">
        <v>0</v>
      </c>
      <c r="I300" s="96"/>
      <c r="J300" s="96"/>
      <c r="K300" s="1372">
        <f t="shared" si="29"/>
        <v>0</v>
      </c>
      <c r="L300" s="1374">
        <f t="shared" si="30"/>
        <v>0</v>
      </c>
    </row>
    <row r="301" spans="1:12" hidden="1" x14ac:dyDescent="0.2">
      <c r="A301" s="35">
        <v>8</v>
      </c>
      <c r="B301" s="1545">
        <v>1950</v>
      </c>
      <c r="C301" s="101" t="s">
        <v>189</v>
      </c>
      <c r="D301" s="96">
        <v>0</v>
      </c>
      <c r="E301" s="96"/>
      <c r="F301" s="96"/>
      <c r="G301" s="1372">
        <f t="shared" si="28"/>
        <v>0</v>
      </c>
      <c r="H301" s="98">
        <v>0</v>
      </c>
      <c r="I301" s="96"/>
      <c r="J301" s="96"/>
      <c r="K301" s="1372">
        <f t="shared" si="29"/>
        <v>0</v>
      </c>
      <c r="L301" s="1374">
        <f t="shared" si="30"/>
        <v>0</v>
      </c>
    </row>
    <row r="302" spans="1:12" x14ac:dyDescent="0.2">
      <c r="A302" s="35">
        <v>8</v>
      </c>
      <c r="B302" s="1545">
        <v>1955</v>
      </c>
      <c r="C302" s="101" t="s">
        <v>254</v>
      </c>
      <c r="D302" s="96">
        <v>2347341.48</v>
      </c>
      <c r="E302" s="96">
        <v>31337</v>
      </c>
      <c r="F302" s="96"/>
      <c r="G302" s="1372">
        <f t="shared" si="28"/>
        <v>2378678.48</v>
      </c>
      <c r="H302" s="98">
        <v>-1642293.9985999998</v>
      </c>
      <c r="I302" s="96">
        <v>-88277</v>
      </c>
      <c r="J302" s="96"/>
      <c r="K302" s="1372">
        <f t="shared" si="29"/>
        <v>-1730570.9985999998</v>
      </c>
      <c r="L302" s="1374">
        <f t="shared" si="30"/>
        <v>648107.48140000016</v>
      </c>
    </row>
    <row r="303" spans="1:12" hidden="1" x14ac:dyDescent="0.2">
      <c r="A303" s="1559">
        <v>8</v>
      </c>
      <c r="B303" s="102">
        <v>1955</v>
      </c>
      <c r="C303" s="104" t="s">
        <v>190</v>
      </c>
      <c r="D303" s="96">
        <v>0</v>
      </c>
      <c r="E303" s="96"/>
      <c r="F303" s="96"/>
      <c r="G303" s="1372">
        <f t="shared" si="28"/>
        <v>0</v>
      </c>
      <c r="H303" s="98">
        <v>0</v>
      </c>
      <c r="I303" s="96"/>
      <c r="J303" s="96"/>
      <c r="K303" s="1372">
        <f t="shared" si="29"/>
        <v>0</v>
      </c>
      <c r="L303" s="1374">
        <f t="shared" si="30"/>
        <v>0</v>
      </c>
    </row>
    <row r="304" spans="1:12" hidden="1" x14ac:dyDescent="0.2">
      <c r="A304" s="1559">
        <v>8</v>
      </c>
      <c r="B304" s="105">
        <v>1960</v>
      </c>
      <c r="C304" s="95" t="s">
        <v>191</v>
      </c>
      <c r="D304" s="96">
        <v>0</v>
      </c>
      <c r="E304" s="96"/>
      <c r="F304" s="96"/>
      <c r="G304" s="1372">
        <f t="shared" si="28"/>
        <v>0</v>
      </c>
      <c r="H304" s="98">
        <v>0</v>
      </c>
      <c r="I304" s="96"/>
      <c r="J304" s="96"/>
      <c r="K304" s="1372">
        <f t="shared" si="29"/>
        <v>0</v>
      </c>
      <c r="L304" s="1374">
        <f t="shared" si="30"/>
        <v>0</v>
      </c>
    </row>
    <row r="305" spans="1:12" ht="25.5" hidden="1" x14ac:dyDescent="0.2">
      <c r="A305" s="1560">
        <v>47</v>
      </c>
      <c r="B305" s="105">
        <v>1970</v>
      </c>
      <c r="C305" s="101" t="s">
        <v>410</v>
      </c>
      <c r="D305" s="96">
        <v>0</v>
      </c>
      <c r="E305" s="96"/>
      <c r="F305" s="96"/>
      <c r="G305" s="1372">
        <f t="shared" si="28"/>
        <v>0</v>
      </c>
      <c r="H305" s="98">
        <v>0</v>
      </c>
      <c r="I305" s="96"/>
      <c r="J305" s="96"/>
      <c r="K305" s="1372">
        <f t="shared" si="29"/>
        <v>0</v>
      </c>
      <c r="L305" s="1374">
        <f t="shared" si="30"/>
        <v>0</v>
      </c>
    </row>
    <row r="306" spans="1:12" ht="25.5" hidden="1" x14ac:dyDescent="0.2">
      <c r="A306" s="35">
        <v>47</v>
      </c>
      <c r="B306" s="1545">
        <v>1975</v>
      </c>
      <c r="C306" s="101" t="s">
        <v>255</v>
      </c>
      <c r="D306" s="96">
        <v>0</v>
      </c>
      <c r="E306" s="96"/>
      <c r="F306" s="96"/>
      <c r="G306" s="1372">
        <f t="shared" si="28"/>
        <v>0</v>
      </c>
      <c r="H306" s="98">
        <v>0</v>
      </c>
      <c r="I306" s="96"/>
      <c r="J306" s="96"/>
      <c r="K306" s="1372">
        <f t="shared" si="29"/>
        <v>0</v>
      </c>
      <c r="L306" s="1374">
        <f t="shared" si="30"/>
        <v>0</v>
      </c>
    </row>
    <row r="307" spans="1:12" x14ac:dyDescent="0.2">
      <c r="A307" s="35">
        <v>47</v>
      </c>
      <c r="B307" s="1545">
        <v>1980</v>
      </c>
      <c r="C307" s="101" t="s">
        <v>256</v>
      </c>
      <c r="D307" s="96">
        <v>1998912.4199999997</v>
      </c>
      <c r="E307" s="96">
        <v>138470</v>
      </c>
      <c r="F307" s="96"/>
      <c r="G307" s="1372">
        <f t="shared" si="28"/>
        <v>2137382.42</v>
      </c>
      <c r="H307" s="98">
        <v>-1409144.7527990518</v>
      </c>
      <c r="I307" s="96">
        <v>-48130</v>
      </c>
      <c r="J307" s="96"/>
      <c r="K307" s="1372">
        <f t="shared" si="29"/>
        <v>-1457274.7527990518</v>
      </c>
      <c r="L307" s="1374">
        <f t="shared" si="30"/>
        <v>680107.66720094811</v>
      </c>
    </row>
    <row r="308" spans="1:12" x14ac:dyDescent="0.2">
      <c r="A308" s="35">
        <v>47</v>
      </c>
      <c r="B308" s="1545">
        <v>1985</v>
      </c>
      <c r="C308" s="101" t="s">
        <v>257</v>
      </c>
      <c r="D308" s="96">
        <v>42116.86</v>
      </c>
      <c r="E308" s="96"/>
      <c r="F308" s="96"/>
      <c r="G308" s="1372">
        <f t="shared" si="28"/>
        <v>42116.86</v>
      </c>
      <c r="H308" s="98">
        <v>-42116.858000000007</v>
      </c>
      <c r="I308" s="96"/>
      <c r="J308" s="96"/>
      <c r="K308" s="1372">
        <f t="shared" si="29"/>
        <v>-42116.858000000007</v>
      </c>
      <c r="L308" s="1374">
        <f t="shared" si="30"/>
        <v>1.999999993131496E-3</v>
      </c>
    </row>
    <row r="309" spans="1:12" hidden="1" x14ac:dyDescent="0.2">
      <c r="A309" s="1560">
        <v>47</v>
      </c>
      <c r="B309" s="1545">
        <v>1990</v>
      </c>
      <c r="C309" s="1546" t="s">
        <v>411</v>
      </c>
      <c r="D309" s="96">
        <v>0</v>
      </c>
      <c r="E309" s="96"/>
      <c r="F309" s="96"/>
      <c r="G309" s="1372">
        <f t="shared" si="28"/>
        <v>0</v>
      </c>
      <c r="H309" s="98">
        <v>0</v>
      </c>
      <c r="I309" s="96"/>
      <c r="J309" s="96"/>
      <c r="K309" s="1372">
        <f t="shared" si="29"/>
        <v>0</v>
      </c>
      <c r="L309" s="1374">
        <f t="shared" si="30"/>
        <v>0</v>
      </c>
    </row>
    <row r="310" spans="1:12" hidden="1" x14ac:dyDescent="0.2">
      <c r="A310" s="35">
        <v>47</v>
      </c>
      <c r="B310" s="1545">
        <v>1995</v>
      </c>
      <c r="C310" s="101" t="s">
        <v>258</v>
      </c>
      <c r="D310" s="96">
        <v>0</v>
      </c>
      <c r="E310" s="96">
        <v>0</v>
      </c>
      <c r="F310" s="96"/>
      <c r="G310" s="1372">
        <f t="shared" si="28"/>
        <v>0</v>
      </c>
      <c r="H310" s="98">
        <v>-4.4895239673806486E-2</v>
      </c>
      <c r="I310" s="96">
        <v>0</v>
      </c>
      <c r="J310" s="96"/>
      <c r="K310" s="1372">
        <f t="shared" si="29"/>
        <v>-4.4895239673806486E-2</v>
      </c>
      <c r="L310" s="1374">
        <f t="shared" si="30"/>
        <v>-4.4895239673806486E-2</v>
      </c>
    </row>
    <row r="311" spans="1:12" ht="14.25" x14ac:dyDescent="0.2">
      <c r="A311" s="35">
        <v>47</v>
      </c>
      <c r="B311" s="1545">
        <v>2440</v>
      </c>
      <c r="C311" s="101" t="s">
        <v>835</v>
      </c>
      <c r="D311" s="96">
        <v>-3141355.8299999996</v>
      </c>
      <c r="E311" s="96">
        <v>-707218.59000000008</v>
      </c>
      <c r="F311" s="96"/>
      <c r="G311" s="1372">
        <f t="shared" si="28"/>
        <v>-3848574.42</v>
      </c>
      <c r="H311" s="98">
        <v>123401.29746984286</v>
      </c>
      <c r="I311" s="96">
        <v>92006.802850000051</v>
      </c>
      <c r="J311" s="96"/>
      <c r="K311" s="1372">
        <f t="shared" si="29"/>
        <v>215408.10031984292</v>
      </c>
      <c r="L311" s="1374">
        <f t="shared" si="30"/>
        <v>-3633166.3196801571</v>
      </c>
    </row>
    <row r="312" spans="1:12" x14ac:dyDescent="0.2">
      <c r="A312" s="99"/>
      <c r="B312" s="1545">
        <v>1330</v>
      </c>
      <c r="C312" s="1561" t="s">
        <v>1441</v>
      </c>
      <c r="D312" s="96">
        <v>1331391</v>
      </c>
      <c r="E312" s="96">
        <v>122843</v>
      </c>
      <c r="F312" s="96"/>
      <c r="G312" s="1372">
        <f t="shared" si="28"/>
        <v>1454234</v>
      </c>
      <c r="H312" s="98">
        <v>0</v>
      </c>
      <c r="I312" s="96"/>
      <c r="J312" s="96"/>
      <c r="K312" s="1372">
        <f>H312+I312+J312</f>
        <v>0</v>
      </c>
      <c r="L312" s="1374">
        <f t="shared" si="30"/>
        <v>1454234</v>
      </c>
    </row>
    <row r="313" spans="1:12" x14ac:dyDescent="0.2">
      <c r="A313" s="99"/>
      <c r="B313" s="1545">
        <v>2055</v>
      </c>
      <c r="C313" s="1562" t="s">
        <v>1442</v>
      </c>
      <c r="D313" s="96">
        <v>713106.47999999986</v>
      </c>
      <c r="E313" s="96">
        <v>61985</v>
      </c>
      <c r="F313" s="96"/>
      <c r="G313" s="1372">
        <f t="shared" si="28"/>
        <v>775091.47999999986</v>
      </c>
      <c r="H313" s="98">
        <v>0</v>
      </c>
      <c r="I313" s="96"/>
      <c r="J313" s="96"/>
      <c r="K313" s="1372">
        <f>H313+I313+J313</f>
        <v>0</v>
      </c>
      <c r="L313" s="1374">
        <f t="shared" si="30"/>
        <v>775091.47999999986</v>
      </c>
    </row>
    <row r="314" spans="1:12" hidden="1" x14ac:dyDescent="0.2">
      <c r="A314" s="106"/>
      <c r="B314" s="106"/>
      <c r="C314" s="107"/>
      <c r="D314" s="96">
        <f t="shared" si="27"/>
        <v>0</v>
      </c>
      <c r="E314" s="108"/>
      <c r="F314" s="108"/>
      <c r="G314" s="1372">
        <f t="shared" si="28"/>
        <v>0</v>
      </c>
      <c r="H314" s="98">
        <f t="shared" ref="H314" si="31">K250</f>
        <v>0</v>
      </c>
      <c r="I314" s="108"/>
      <c r="J314" s="108"/>
      <c r="K314" s="1372">
        <f>H314+I314+J314</f>
        <v>0</v>
      </c>
      <c r="L314" s="1374">
        <f t="shared" si="30"/>
        <v>0</v>
      </c>
    </row>
    <row r="315" spans="1:12" x14ac:dyDescent="0.2">
      <c r="A315" s="106"/>
      <c r="B315" s="106"/>
      <c r="C315" s="109" t="s">
        <v>175</v>
      </c>
      <c r="D315" s="1373">
        <f t="shared" ref="D315:L315" si="32">SUM(D271:D314)</f>
        <v>204181789.78239995</v>
      </c>
      <c r="E315" s="1373">
        <f t="shared" si="32"/>
        <v>8969842.6400000006</v>
      </c>
      <c r="F315" s="1373">
        <f t="shared" si="32"/>
        <v>-2479009.2800000003</v>
      </c>
      <c r="G315" s="1373">
        <f t="shared" si="32"/>
        <v>210672623.14239997</v>
      </c>
      <c r="H315" s="1373">
        <f t="shared" si="32"/>
        <v>-119780757.60731477</v>
      </c>
      <c r="I315" s="1373">
        <f t="shared" si="32"/>
        <v>-4121372.3228168436</v>
      </c>
      <c r="J315" s="1373">
        <f t="shared" si="32"/>
        <v>1970389</v>
      </c>
      <c r="K315" s="1373">
        <f t="shared" si="32"/>
        <v>-121931740.9301316</v>
      </c>
      <c r="L315" s="1373">
        <f t="shared" si="32"/>
        <v>88740882.212268412</v>
      </c>
    </row>
    <row r="316" spans="1:12" ht="37.5" x14ac:dyDescent="0.2">
      <c r="A316" s="106"/>
      <c r="B316" s="106"/>
      <c r="C316" s="111" t="s">
        <v>503</v>
      </c>
      <c r="D316" s="108"/>
      <c r="E316" s="108"/>
      <c r="F316" s="108"/>
      <c r="G316" s="1372">
        <f>D316+E316+F316</f>
        <v>0</v>
      </c>
      <c r="H316" s="108"/>
      <c r="I316" s="108"/>
      <c r="J316" s="108"/>
      <c r="K316" s="1372">
        <f>H316+I316+J316</f>
        <v>0</v>
      </c>
      <c r="L316" s="1374">
        <f>G316+K316</f>
        <v>0</v>
      </c>
    </row>
    <row r="317" spans="1:12" ht="25.5" x14ac:dyDescent="0.2">
      <c r="A317" s="106"/>
      <c r="B317" s="106"/>
      <c r="C317" s="112" t="s">
        <v>502</v>
      </c>
      <c r="D317" s="1563">
        <f>G253</f>
        <v>-129739</v>
      </c>
      <c r="E317" s="108"/>
      <c r="F317" s="108"/>
      <c r="G317" s="1372">
        <f>D317+E317+F317</f>
        <v>-129739</v>
      </c>
      <c r="H317" s="1567">
        <f>K253</f>
        <v>129739</v>
      </c>
      <c r="I317" s="108"/>
      <c r="J317" s="108"/>
      <c r="K317" s="1372">
        <f>H317+I317+J317</f>
        <v>129739</v>
      </c>
      <c r="L317" s="1374">
        <f>G317+K317</f>
        <v>0</v>
      </c>
    </row>
    <row r="318" spans="1:12" x14ac:dyDescent="0.2">
      <c r="A318" s="106"/>
      <c r="B318" s="106"/>
      <c r="C318" s="109" t="s">
        <v>412</v>
      </c>
      <c r="D318" s="1373">
        <f t="shared" ref="D318:L318" si="33">SUM(D315:D317)</f>
        <v>204052050.78239995</v>
      </c>
      <c r="E318" s="1373">
        <f t="shared" si="33"/>
        <v>8969842.6400000006</v>
      </c>
      <c r="F318" s="1373">
        <f t="shared" si="33"/>
        <v>-2479009.2800000003</v>
      </c>
      <c r="G318" s="1373">
        <f t="shared" si="33"/>
        <v>210542884.14239997</v>
      </c>
      <c r="H318" s="1373">
        <f t="shared" si="33"/>
        <v>-119651018.60731477</v>
      </c>
      <c r="I318" s="1373">
        <f t="shared" si="33"/>
        <v>-4121372.3228168436</v>
      </c>
      <c r="J318" s="1373">
        <f t="shared" si="33"/>
        <v>1970389</v>
      </c>
      <c r="K318" s="1373">
        <f t="shared" si="33"/>
        <v>-121802001.9301316</v>
      </c>
      <c r="L318" s="1373">
        <f t="shared" si="33"/>
        <v>88740882.212268412</v>
      </c>
    </row>
    <row r="319" spans="1:12" ht="14.25" x14ac:dyDescent="0.2">
      <c r="A319" s="106"/>
      <c r="B319" s="106"/>
      <c r="C319" s="1651" t="s">
        <v>801</v>
      </c>
      <c r="D319" s="1652"/>
      <c r="E319" s="1652"/>
      <c r="F319" s="1652"/>
      <c r="G319" s="1652"/>
      <c r="H319" s="1653"/>
      <c r="I319" s="108"/>
      <c r="J319" s="113"/>
      <c r="K319" s="114"/>
      <c r="L319" s="115"/>
    </row>
    <row r="320" spans="1:12" x14ac:dyDescent="0.2">
      <c r="A320" s="106"/>
      <c r="B320" s="106"/>
      <c r="C320" s="1651" t="s">
        <v>259</v>
      </c>
      <c r="D320" s="1652"/>
      <c r="E320" s="1652"/>
      <c r="F320" s="1652"/>
      <c r="G320" s="1652"/>
      <c r="H320" s="1653"/>
      <c r="I320" s="1373">
        <f>I318+I319</f>
        <v>-4121372.3228168436</v>
      </c>
      <c r="J320" s="113"/>
      <c r="K320" s="114"/>
      <c r="L320" s="115"/>
    </row>
    <row r="321" spans="1:12" x14ac:dyDescent="0.2">
      <c r="A321" s="267"/>
      <c r="B321" s="267"/>
      <c r="C321" s="1669" t="s">
        <v>1530</v>
      </c>
      <c r="D321" s="1670">
        <f>D318-D313-D312</f>
        <v>202007553.30239996</v>
      </c>
      <c r="E321" s="1669"/>
      <c r="F321" s="1669"/>
      <c r="G321" s="1670">
        <f>G318-G313-G312</f>
        <v>208313558.66239998</v>
      </c>
      <c r="H321" s="1669"/>
      <c r="I321" s="1625"/>
      <c r="J321" s="113"/>
      <c r="K321" s="114"/>
      <c r="L321" s="1670">
        <f>L318-L313-L312</f>
        <v>86511556.732268408</v>
      </c>
    </row>
    <row r="322" spans="1:12" x14ac:dyDescent="0.2">
      <c r="A322" s="1547"/>
      <c r="B322" s="1547"/>
      <c r="H322" s="34"/>
    </row>
    <row r="323" spans="1:12" x14ac:dyDescent="0.2">
      <c r="A323" s="1547"/>
      <c r="B323" s="1547"/>
      <c r="H323" s="116" t="s">
        <v>343</v>
      </c>
      <c r="I323" s="1548"/>
    </row>
    <row r="324" spans="1:12" x14ac:dyDescent="0.2">
      <c r="A324" s="106">
        <v>10</v>
      </c>
      <c r="B324" s="106"/>
      <c r="C324" s="1436" t="s">
        <v>260</v>
      </c>
      <c r="D324" s="1437"/>
      <c r="E324" s="1437"/>
      <c r="F324" s="1437"/>
      <c r="G324" s="1437"/>
      <c r="H324" s="1438" t="s">
        <v>260</v>
      </c>
      <c r="I324" s="1438"/>
      <c r="J324" s="1698">
        <f>I297</f>
        <v>-364728</v>
      </c>
    </row>
    <row r="325" spans="1:12" x14ac:dyDescent="0.2">
      <c r="A325" s="106">
        <v>8</v>
      </c>
      <c r="B325" s="106"/>
      <c r="C325" s="1436" t="s">
        <v>251</v>
      </c>
      <c r="D325" s="1437"/>
      <c r="E325" s="1437"/>
      <c r="F325" s="1437"/>
      <c r="G325" s="1437"/>
      <c r="H325" s="1438" t="s">
        <v>251</v>
      </c>
      <c r="I325" s="1438"/>
      <c r="J325" s="1698">
        <f>I299</f>
        <v>-100903</v>
      </c>
    </row>
    <row r="326" spans="1:12" x14ac:dyDescent="0.2">
      <c r="A326" s="106"/>
      <c r="B326" s="106">
        <v>2440</v>
      </c>
      <c r="C326" s="1436" t="s">
        <v>1581</v>
      </c>
      <c r="D326" s="1437"/>
      <c r="E326" s="1437"/>
      <c r="F326" s="1437"/>
      <c r="G326" s="1437"/>
      <c r="H326" s="1438"/>
      <c r="I326" s="1438"/>
      <c r="J326" s="1565">
        <f>I311</f>
        <v>92006.802850000051</v>
      </c>
    </row>
    <row r="327" spans="1:12" x14ac:dyDescent="0.2">
      <c r="A327" s="1547"/>
      <c r="B327" s="1547"/>
      <c r="H327" s="117" t="s">
        <v>261</v>
      </c>
      <c r="J327" s="1439">
        <f>I320-J324-J325-J326</f>
        <v>-3747748.1256668437</v>
      </c>
    </row>
    <row r="328" spans="1:12" x14ac:dyDescent="0.2">
      <c r="A328" s="1547"/>
      <c r="B328" s="1547"/>
      <c r="I328" s="117"/>
      <c r="K328" s="1566"/>
    </row>
    <row r="329" spans="1:12" x14ac:dyDescent="0.2">
      <c r="A329" s="1547"/>
      <c r="B329" s="1547"/>
      <c r="I329" s="117"/>
      <c r="K329" s="1566"/>
    </row>
    <row r="330" spans="1:12" x14ac:dyDescent="0.2">
      <c r="A330" s="1547"/>
      <c r="B330" s="1547"/>
      <c r="E330" s="70" t="s">
        <v>778</v>
      </c>
      <c r="F330" s="30" t="s">
        <v>92</v>
      </c>
      <c r="H330" s="34"/>
    </row>
    <row r="331" spans="1:12" ht="15" x14ac:dyDescent="0.25">
      <c r="A331" s="1547"/>
      <c r="B331" s="1547"/>
      <c r="C331" s="38"/>
      <c r="E331" s="70" t="s">
        <v>89</v>
      </c>
      <c r="F331" s="84">
        <v>2018</v>
      </c>
      <c r="G331" s="85"/>
    </row>
    <row r="332" spans="1:12" x14ac:dyDescent="0.2">
      <c r="A332" s="1547"/>
      <c r="B332" s="1547"/>
    </row>
    <row r="333" spans="1:12" x14ac:dyDescent="0.2">
      <c r="A333" s="1547"/>
      <c r="B333" s="1547"/>
      <c r="D333" s="1926" t="s">
        <v>233</v>
      </c>
      <c r="E333" s="1927"/>
      <c r="F333" s="1927"/>
      <c r="G333" s="1928"/>
      <c r="H333" s="86"/>
      <c r="I333" s="87" t="s">
        <v>234</v>
      </c>
      <c r="J333" s="87"/>
      <c r="K333" s="88"/>
      <c r="L333" s="83"/>
    </row>
    <row r="334" spans="1:12" ht="30" customHeight="1" x14ac:dyDescent="0.2">
      <c r="A334" s="89" t="s">
        <v>867</v>
      </c>
      <c r="B334" s="89" t="s">
        <v>869</v>
      </c>
      <c r="C334" s="90" t="s">
        <v>870</v>
      </c>
      <c r="D334" s="89" t="s">
        <v>206</v>
      </c>
      <c r="E334" s="91" t="s">
        <v>868</v>
      </c>
      <c r="F334" s="91" t="s">
        <v>929</v>
      </c>
      <c r="G334" s="89" t="s">
        <v>232</v>
      </c>
      <c r="H334" s="92" t="s">
        <v>206</v>
      </c>
      <c r="I334" s="93" t="s">
        <v>207</v>
      </c>
      <c r="J334" s="93" t="s">
        <v>929</v>
      </c>
      <c r="K334" s="94" t="s">
        <v>232</v>
      </c>
      <c r="L334" s="89" t="s">
        <v>263</v>
      </c>
    </row>
    <row r="335" spans="1:12" ht="25.5" hidden="1" customHeight="1" x14ac:dyDescent="0.2">
      <c r="A335" s="89"/>
      <c r="B335" s="1545">
        <v>1609</v>
      </c>
      <c r="C335" s="95" t="s">
        <v>1073</v>
      </c>
      <c r="D335" s="96">
        <f t="shared" ref="D335:D378" si="34">G271</f>
        <v>0</v>
      </c>
      <c r="E335" s="96"/>
      <c r="F335" s="96"/>
      <c r="G335" s="1372">
        <f t="shared" ref="G335:G378" si="35">D335+E335+F335</f>
        <v>0</v>
      </c>
      <c r="H335" s="98">
        <f>K271</f>
        <v>0</v>
      </c>
      <c r="I335" s="96"/>
      <c r="J335" s="96"/>
      <c r="K335" s="1372">
        <f t="shared" ref="K335:K375" si="36">H335+I335+J335</f>
        <v>0</v>
      </c>
      <c r="L335" s="1374">
        <f t="shared" ref="L335:L378" si="37">G335+K335</f>
        <v>0</v>
      </c>
    </row>
    <row r="336" spans="1:12" ht="25.5" hidden="1" customHeight="1" x14ac:dyDescent="0.2">
      <c r="A336" s="89"/>
      <c r="B336" s="1659">
        <v>1610</v>
      </c>
      <c r="C336" s="95" t="s">
        <v>1527</v>
      </c>
      <c r="D336" s="96">
        <f t="shared" si="34"/>
        <v>0</v>
      </c>
      <c r="E336" s="96"/>
      <c r="F336" s="96"/>
      <c r="G336" s="1372">
        <f t="shared" si="35"/>
        <v>0</v>
      </c>
      <c r="H336" s="98"/>
      <c r="I336" s="96"/>
      <c r="J336" s="96"/>
      <c r="K336" s="1372"/>
      <c r="L336" s="1374">
        <f t="shared" si="37"/>
        <v>0</v>
      </c>
    </row>
    <row r="337" spans="1:12" ht="25.5" x14ac:dyDescent="0.2">
      <c r="A337" s="35">
        <v>12</v>
      </c>
      <c r="B337" s="1545">
        <v>1611</v>
      </c>
      <c r="C337" s="95" t="s">
        <v>325</v>
      </c>
      <c r="D337" s="96">
        <v>3218378.7600000007</v>
      </c>
      <c r="E337" s="96"/>
      <c r="F337" s="96"/>
      <c r="G337" s="1372">
        <f t="shared" si="35"/>
        <v>3218378.7600000007</v>
      </c>
      <c r="H337" s="98">
        <v>-3126819.4519999996</v>
      </c>
      <c r="I337" s="96">
        <v>-45500</v>
      </c>
      <c r="J337" s="96"/>
      <c r="K337" s="1372">
        <f t="shared" si="36"/>
        <v>-3172319.4519999996</v>
      </c>
      <c r="L337" s="1374">
        <f t="shared" si="37"/>
        <v>46059.308000001125</v>
      </c>
    </row>
    <row r="338" spans="1:12" ht="25.5" x14ac:dyDescent="0.2">
      <c r="A338" s="35" t="s">
        <v>243</v>
      </c>
      <c r="B338" s="1545">
        <v>1612</v>
      </c>
      <c r="C338" s="95" t="s">
        <v>360</v>
      </c>
      <c r="D338" s="96">
        <v>52023.42</v>
      </c>
      <c r="E338" s="96">
        <v>6766.45</v>
      </c>
      <c r="F338" s="96"/>
      <c r="G338" s="1372">
        <f t="shared" si="35"/>
        <v>58789.869999999995</v>
      </c>
      <c r="H338" s="98">
        <v>0</v>
      </c>
      <c r="I338" s="96"/>
      <c r="J338" s="96"/>
      <c r="K338" s="1372">
        <f t="shared" si="36"/>
        <v>0</v>
      </c>
      <c r="L338" s="1374">
        <f t="shared" si="37"/>
        <v>58789.869999999995</v>
      </c>
    </row>
    <row r="339" spans="1:12" x14ac:dyDescent="0.2">
      <c r="A339" s="35" t="s">
        <v>235</v>
      </c>
      <c r="B339" s="99">
        <v>1805</v>
      </c>
      <c r="C339" s="100" t="s">
        <v>236</v>
      </c>
      <c r="D339" s="96">
        <v>940078.79999999981</v>
      </c>
      <c r="E339" s="96"/>
      <c r="F339" s="96"/>
      <c r="G339" s="1372">
        <f t="shared" si="35"/>
        <v>940078.79999999981</v>
      </c>
      <c r="H339" s="98">
        <v>0</v>
      </c>
      <c r="I339" s="96"/>
      <c r="J339" s="96"/>
      <c r="K339" s="1372">
        <f t="shared" si="36"/>
        <v>0</v>
      </c>
      <c r="L339" s="1374">
        <f t="shared" si="37"/>
        <v>940078.79999999981</v>
      </c>
    </row>
    <row r="340" spans="1:12" x14ac:dyDescent="0.2">
      <c r="A340" s="35">
        <v>47</v>
      </c>
      <c r="B340" s="99">
        <v>1808</v>
      </c>
      <c r="C340" s="101" t="s">
        <v>237</v>
      </c>
      <c r="D340" s="96">
        <v>14473462.949999999</v>
      </c>
      <c r="E340" s="96">
        <v>177907.41</v>
      </c>
      <c r="F340" s="96"/>
      <c r="G340" s="1372">
        <f t="shared" si="35"/>
        <v>14651370.359999999</v>
      </c>
      <c r="H340" s="98">
        <v>-6424677.6837709742</v>
      </c>
      <c r="I340" s="96">
        <v>-400836</v>
      </c>
      <c r="J340" s="96"/>
      <c r="K340" s="1372">
        <f t="shared" si="36"/>
        <v>-6825513.6837709742</v>
      </c>
      <c r="L340" s="1374">
        <f t="shared" si="37"/>
        <v>7825856.6762290252</v>
      </c>
    </row>
    <row r="341" spans="1:12" hidden="1" x14ac:dyDescent="0.2">
      <c r="A341" s="35">
        <v>13</v>
      </c>
      <c r="B341" s="99">
        <v>1810</v>
      </c>
      <c r="C341" s="101" t="s">
        <v>262</v>
      </c>
      <c r="D341" s="96">
        <v>0</v>
      </c>
      <c r="E341" s="96"/>
      <c r="F341" s="96"/>
      <c r="G341" s="1372">
        <f t="shared" si="35"/>
        <v>0</v>
      </c>
      <c r="H341" s="98">
        <v>0</v>
      </c>
      <c r="I341" s="96"/>
      <c r="J341" s="96"/>
      <c r="K341" s="1372">
        <f t="shared" si="36"/>
        <v>0</v>
      </c>
      <c r="L341" s="1374">
        <f t="shared" si="37"/>
        <v>0</v>
      </c>
    </row>
    <row r="342" spans="1:12" hidden="1" x14ac:dyDescent="0.2">
      <c r="A342" s="35">
        <v>47</v>
      </c>
      <c r="B342" s="99">
        <v>1815</v>
      </c>
      <c r="C342" s="101" t="s">
        <v>238</v>
      </c>
      <c r="D342" s="96">
        <v>0</v>
      </c>
      <c r="E342" s="96"/>
      <c r="F342" s="96"/>
      <c r="G342" s="1372">
        <f t="shared" si="35"/>
        <v>0</v>
      </c>
      <c r="H342" s="98">
        <v>0</v>
      </c>
      <c r="I342" s="96"/>
      <c r="J342" s="96"/>
      <c r="K342" s="1372">
        <f t="shared" si="36"/>
        <v>0</v>
      </c>
      <c r="L342" s="1374">
        <f t="shared" si="37"/>
        <v>0</v>
      </c>
    </row>
    <row r="343" spans="1:12" x14ac:dyDescent="0.2">
      <c r="A343" s="35">
        <v>47</v>
      </c>
      <c r="B343" s="99">
        <v>1820</v>
      </c>
      <c r="C343" s="95" t="s">
        <v>178</v>
      </c>
      <c r="D343" s="96">
        <v>18018061.690000001</v>
      </c>
      <c r="E343" s="96">
        <v>3212785</v>
      </c>
      <c r="F343" s="96">
        <v>-414665</v>
      </c>
      <c r="G343" s="1372">
        <f t="shared" si="35"/>
        <v>20816181.690000001</v>
      </c>
      <c r="H343" s="98">
        <v>-11992084.614798525</v>
      </c>
      <c r="I343" s="96">
        <v>-369056</v>
      </c>
      <c r="J343" s="96">
        <v>402541</v>
      </c>
      <c r="K343" s="1372">
        <f t="shared" si="36"/>
        <v>-11958599.614798525</v>
      </c>
      <c r="L343" s="1374">
        <f t="shared" si="37"/>
        <v>8857582.075201476</v>
      </c>
    </row>
    <row r="344" spans="1:12" hidden="1" x14ac:dyDescent="0.2">
      <c r="A344" s="35">
        <v>47</v>
      </c>
      <c r="B344" s="99">
        <v>1825</v>
      </c>
      <c r="C344" s="101" t="s">
        <v>239</v>
      </c>
      <c r="D344" s="96">
        <v>0</v>
      </c>
      <c r="E344" s="96"/>
      <c r="F344" s="96"/>
      <c r="G344" s="1372">
        <f t="shared" si="35"/>
        <v>0</v>
      </c>
      <c r="H344" s="98">
        <v>0</v>
      </c>
      <c r="I344" s="96"/>
      <c r="J344" s="96"/>
      <c r="K344" s="1372">
        <f t="shared" si="36"/>
        <v>0</v>
      </c>
      <c r="L344" s="1374">
        <f t="shared" si="37"/>
        <v>0</v>
      </c>
    </row>
    <row r="345" spans="1:12" x14ac:dyDescent="0.2">
      <c r="A345" s="35">
        <v>47</v>
      </c>
      <c r="B345" s="99">
        <v>1830</v>
      </c>
      <c r="C345" s="101" t="s">
        <v>240</v>
      </c>
      <c r="D345" s="96">
        <v>25951223.040000003</v>
      </c>
      <c r="E345" s="96">
        <v>1893729</v>
      </c>
      <c r="F345" s="96">
        <v>-628970</v>
      </c>
      <c r="G345" s="1372">
        <f t="shared" si="35"/>
        <v>27215982.040000003</v>
      </c>
      <c r="H345" s="98">
        <v>-10512666.519147437</v>
      </c>
      <c r="I345" s="96">
        <v>-532556</v>
      </c>
      <c r="J345" s="96">
        <v>515078</v>
      </c>
      <c r="K345" s="1372">
        <f t="shared" si="36"/>
        <v>-10530144.519147437</v>
      </c>
      <c r="L345" s="1374">
        <f t="shared" si="37"/>
        <v>16685837.520852566</v>
      </c>
    </row>
    <row r="346" spans="1:12" x14ac:dyDescent="0.2">
      <c r="A346" s="35">
        <v>47</v>
      </c>
      <c r="B346" s="99">
        <v>1835</v>
      </c>
      <c r="C346" s="101" t="s">
        <v>179</v>
      </c>
      <c r="D346" s="96">
        <v>40990419.520000003</v>
      </c>
      <c r="E346" s="96">
        <v>892446</v>
      </c>
      <c r="F346" s="96">
        <v>-1113283</v>
      </c>
      <c r="G346" s="1372">
        <f t="shared" si="35"/>
        <v>40769582.520000003</v>
      </c>
      <c r="H346" s="98">
        <v>-27940863.633353926</v>
      </c>
      <c r="I346" s="96">
        <v>-520325.71431881754</v>
      </c>
      <c r="J346" s="96">
        <v>975380</v>
      </c>
      <c r="K346" s="1410">
        <f t="shared" si="36"/>
        <v>-27485809.347672746</v>
      </c>
      <c r="L346" s="1374">
        <f t="shared" si="37"/>
        <v>13283773.172327258</v>
      </c>
    </row>
    <row r="347" spans="1:12" x14ac:dyDescent="0.2">
      <c r="A347" s="35">
        <v>47</v>
      </c>
      <c r="B347" s="99">
        <v>1840</v>
      </c>
      <c r="C347" s="101" t="s">
        <v>180</v>
      </c>
      <c r="D347" s="96">
        <v>24146688.949999999</v>
      </c>
      <c r="E347" s="96">
        <v>346771.54000000004</v>
      </c>
      <c r="F347" s="96">
        <v>-35688</v>
      </c>
      <c r="G347" s="1372">
        <f t="shared" si="35"/>
        <v>24457772.489999998</v>
      </c>
      <c r="H347" s="98">
        <v>-13394549.679669894</v>
      </c>
      <c r="I347" s="96">
        <v>-298564.34999999998</v>
      </c>
      <c r="J347" s="96">
        <v>22727</v>
      </c>
      <c r="K347" s="1372">
        <f t="shared" si="36"/>
        <v>-13670387.029669894</v>
      </c>
      <c r="L347" s="1374">
        <f t="shared" si="37"/>
        <v>10787385.460330104</v>
      </c>
    </row>
    <row r="348" spans="1:12" x14ac:dyDescent="0.2">
      <c r="A348" s="35">
        <v>47</v>
      </c>
      <c r="B348" s="99">
        <v>1845</v>
      </c>
      <c r="C348" s="101" t="s">
        <v>181</v>
      </c>
      <c r="D348" s="96">
        <v>16243562.390000004</v>
      </c>
      <c r="E348" s="96">
        <v>701650</v>
      </c>
      <c r="F348" s="96">
        <v>-233500</v>
      </c>
      <c r="G348" s="1372">
        <f t="shared" si="35"/>
        <v>16711712.390000004</v>
      </c>
      <c r="H348" s="98">
        <v>-10536661.28504966</v>
      </c>
      <c r="I348" s="96">
        <v>-261545.87053953903</v>
      </c>
      <c r="J348" s="96">
        <v>194745</v>
      </c>
      <c r="K348" s="1372">
        <f t="shared" si="36"/>
        <v>-10603462.155589199</v>
      </c>
      <c r="L348" s="1374">
        <f t="shared" si="37"/>
        <v>6108250.2344108056</v>
      </c>
    </row>
    <row r="349" spans="1:12" x14ac:dyDescent="0.2">
      <c r="A349" s="35">
        <v>47</v>
      </c>
      <c r="B349" s="99">
        <v>1850</v>
      </c>
      <c r="C349" s="101" t="s">
        <v>241</v>
      </c>
      <c r="D349" s="96">
        <v>28916680.139999993</v>
      </c>
      <c r="E349" s="96">
        <v>2507448</v>
      </c>
      <c r="F349" s="96">
        <v>-1172314</v>
      </c>
      <c r="G349" s="1372">
        <f t="shared" si="35"/>
        <v>30251814.139999993</v>
      </c>
      <c r="H349" s="98">
        <v>-16339061.919252392</v>
      </c>
      <c r="I349" s="96">
        <v>-472849.79360848723</v>
      </c>
      <c r="J349" s="96">
        <v>917646</v>
      </c>
      <c r="K349" s="1372">
        <f t="shared" si="36"/>
        <v>-15894265.712860879</v>
      </c>
      <c r="L349" s="1374">
        <f t="shared" si="37"/>
        <v>14357548.427139115</v>
      </c>
    </row>
    <row r="350" spans="1:12" x14ac:dyDescent="0.2">
      <c r="A350" s="35">
        <v>47</v>
      </c>
      <c r="B350" s="99">
        <v>1855</v>
      </c>
      <c r="C350" s="101" t="s">
        <v>182</v>
      </c>
      <c r="D350" s="96">
        <v>16027541.279999997</v>
      </c>
      <c r="E350" s="96">
        <v>507505</v>
      </c>
      <c r="F350" s="96">
        <v>-187613</v>
      </c>
      <c r="G350" s="1372">
        <f t="shared" si="35"/>
        <v>16347433.279999997</v>
      </c>
      <c r="H350" s="98">
        <v>-7379041.5153747471</v>
      </c>
      <c r="I350" s="96">
        <v>-300891</v>
      </c>
      <c r="J350" s="96">
        <v>106300</v>
      </c>
      <c r="K350" s="1372">
        <f t="shared" si="36"/>
        <v>-7573632.5153747471</v>
      </c>
      <c r="L350" s="1374">
        <f t="shared" si="37"/>
        <v>8773800.7646252513</v>
      </c>
    </row>
    <row r="351" spans="1:12" x14ac:dyDescent="0.2">
      <c r="A351" s="35">
        <v>47</v>
      </c>
      <c r="B351" s="99">
        <v>1860</v>
      </c>
      <c r="C351" s="101" t="s">
        <v>242</v>
      </c>
      <c r="D351" s="96">
        <v>8905053.8123999983</v>
      </c>
      <c r="E351" s="96">
        <v>121034</v>
      </c>
      <c r="F351" s="96"/>
      <c r="G351" s="1372">
        <f t="shared" si="35"/>
        <v>9026087.8123999983</v>
      </c>
      <c r="H351" s="98">
        <v>-4445500.2089295248</v>
      </c>
      <c r="I351" s="96">
        <v>-510553.74719999998</v>
      </c>
      <c r="J351" s="96"/>
      <c r="K351" s="1372">
        <f t="shared" si="36"/>
        <v>-4956053.9561295249</v>
      </c>
      <c r="L351" s="1374">
        <f t="shared" si="37"/>
        <v>4070033.8562704735</v>
      </c>
    </row>
    <row r="352" spans="1:12" ht="13.9" hidden="1" customHeight="1" x14ac:dyDescent="0.2">
      <c r="A352" s="35">
        <v>47</v>
      </c>
      <c r="B352" s="99">
        <v>1860</v>
      </c>
      <c r="C352" s="100" t="s">
        <v>183</v>
      </c>
      <c r="D352" s="96"/>
      <c r="E352" s="96"/>
      <c r="F352" s="96"/>
      <c r="G352" s="1372">
        <f t="shared" si="35"/>
        <v>0</v>
      </c>
      <c r="H352" s="98"/>
      <c r="I352" s="96"/>
      <c r="J352" s="96"/>
      <c r="K352" s="1372">
        <f t="shared" si="36"/>
        <v>0</v>
      </c>
      <c r="L352" s="1374">
        <f t="shared" si="37"/>
        <v>0</v>
      </c>
    </row>
    <row r="353" spans="1:12" ht="12.6" hidden="1" customHeight="1" x14ac:dyDescent="0.2">
      <c r="A353" s="35" t="s">
        <v>235</v>
      </c>
      <c r="B353" s="99">
        <v>1905</v>
      </c>
      <c r="C353" s="100" t="s">
        <v>236</v>
      </c>
      <c r="D353" s="96">
        <v>0</v>
      </c>
      <c r="E353" s="96"/>
      <c r="F353" s="96"/>
      <c r="G353" s="1372">
        <f t="shared" si="35"/>
        <v>0</v>
      </c>
      <c r="H353" s="98">
        <v>0</v>
      </c>
      <c r="I353" s="96"/>
      <c r="J353" s="96"/>
      <c r="K353" s="1372">
        <f t="shared" si="36"/>
        <v>0</v>
      </c>
      <c r="L353" s="1374">
        <f t="shared" si="37"/>
        <v>0</v>
      </c>
    </row>
    <row r="354" spans="1:12" ht="15" hidden="1" customHeight="1" x14ac:dyDescent="0.2">
      <c r="A354" s="35">
        <v>47</v>
      </c>
      <c r="B354" s="99">
        <v>1908</v>
      </c>
      <c r="C354" s="101" t="s">
        <v>244</v>
      </c>
      <c r="D354" s="96">
        <v>0</v>
      </c>
      <c r="E354" s="96"/>
      <c r="F354" s="96"/>
      <c r="G354" s="1372">
        <f t="shared" si="35"/>
        <v>0</v>
      </c>
      <c r="H354" s="98">
        <v>0</v>
      </c>
      <c r="I354" s="96"/>
      <c r="J354" s="96"/>
      <c r="K354" s="1372">
        <f t="shared" si="36"/>
        <v>0</v>
      </c>
      <c r="L354" s="1374">
        <f t="shared" si="37"/>
        <v>0</v>
      </c>
    </row>
    <row r="355" spans="1:12" ht="12.6" hidden="1" customHeight="1" x14ac:dyDescent="0.2">
      <c r="A355" s="35">
        <v>13</v>
      </c>
      <c r="B355" s="99">
        <v>1910</v>
      </c>
      <c r="C355" s="101" t="s">
        <v>262</v>
      </c>
      <c r="D355" s="96">
        <v>0</v>
      </c>
      <c r="E355" s="96"/>
      <c r="F355" s="96"/>
      <c r="G355" s="1372">
        <f t="shared" si="35"/>
        <v>0</v>
      </c>
      <c r="H355" s="98">
        <v>0</v>
      </c>
      <c r="I355" s="96"/>
      <c r="J355" s="96"/>
      <c r="K355" s="1372">
        <f t="shared" si="36"/>
        <v>0</v>
      </c>
      <c r="L355" s="1374">
        <f t="shared" si="37"/>
        <v>0</v>
      </c>
    </row>
    <row r="356" spans="1:12" x14ac:dyDescent="0.2">
      <c r="A356" s="35">
        <v>8</v>
      </c>
      <c r="B356" s="99">
        <v>1915</v>
      </c>
      <c r="C356" s="101" t="s">
        <v>184</v>
      </c>
      <c r="D356" s="96">
        <v>87072.56</v>
      </c>
      <c r="E356" s="96">
        <v>3543</v>
      </c>
      <c r="F356" s="96"/>
      <c r="G356" s="1372">
        <f t="shared" si="35"/>
        <v>90615.56</v>
      </c>
      <c r="H356" s="98">
        <v>-59148.559999999983</v>
      </c>
      <c r="I356" s="96">
        <v>-4453</v>
      </c>
      <c r="J356" s="96"/>
      <c r="K356" s="1372">
        <f t="shared" si="36"/>
        <v>-63601.559999999983</v>
      </c>
      <c r="L356" s="1374">
        <f t="shared" si="37"/>
        <v>27014.000000000015</v>
      </c>
    </row>
    <row r="357" spans="1:12" hidden="1" x14ac:dyDescent="0.2">
      <c r="A357" s="35">
        <v>8</v>
      </c>
      <c r="B357" s="99">
        <v>1915</v>
      </c>
      <c r="C357" s="101" t="s">
        <v>185</v>
      </c>
      <c r="D357" s="96">
        <v>0</v>
      </c>
      <c r="E357" s="96"/>
      <c r="F357" s="96"/>
      <c r="G357" s="1372">
        <f t="shared" si="35"/>
        <v>0</v>
      </c>
      <c r="H357" s="98">
        <v>0</v>
      </c>
      <c r="I357" s="96"/>
      <c r="J357" s="96"/>
      <c r="K357" s="1372">
        <f t="shared" si="36"/>
        <v>0</v>
      </c>
      <c r="L357" s="1374">
        <f t="shared" si="37"/>
        <v>0</v>
      </c>
    </row>
    <row r="358" spans="1:12" x14ac:dyDescent="0.2">
      <c r="A358" s="35">
        <v>10</v>
      </c>
      <c r="B358" s="99">
        <v>1920</v>
      </c>
      <c r="C358" s="101" t="s">
        <v>186</v>
      </c>
      <c r="D358" s="96">
        <v>762482.25</v>
      </c>
      <c r="E358" s="96"/>
      <c r="F358" s="96"/>
      <c r="G358" s="1372">
        <f t="shared" si="35"/>
        <v>762482.25</v>
      </c>
      <c r="H358" s="98">
        <v>-699664.18199999991</v>
      </c>
      <c r="I358" s="96">
        <v>-44835</v>
      </c>
      <c r="J358" s="96"/>
      <c r="K358" s="1372">
        <f t="shared" si="36"/>
        <v>-744499.18199999991</v>
      </c>
      <c r="L358" s="1374">
        <f t="shared" si="37"/>
        <v>17983.068000000087</v>
      </c>
    </row>
    <row r="359" spans="1:12" ht="25.5" hidden="1" x14ac:dyDescent="0.2">
      <c r="A359" s="35">
        <v>45</v>
      </c>
      <c r="B359" s="102">
        <v>1920</v>
      </c>
      <c r="C359" s="95" t="s">
        <v>188</v>
      </c>
      <c r="D359" s="96">
        <v>0</v>
      </c>
      <c r="E359" s="96"/>
      <c r="F359" s="96"/>
      <c r="G359" s="1372">
        <f t="shared" si="35"/>
        <v>0</v>
      </c>
      <c r="H359" s="98">
        <v>0</v>
      </c>
      <c r="I359" s="96"/>
      <c r="J359" s="96"/>
      <c r="K359" s="1372">
        <f t="shared" si="36"/>
        <v>0</v>
      </c>
      <c r="L359" s="1374">
        <f t="shared" si="37"/>
        <v>0</v>
      </c>
    </row>
    <row r="360" spans="1:12" ht="25.5" hidden="1" x14ac:dyDescent="0.2">
      <c r="A360" s="35">
        <v>45.1</v>
      </c>
      <c r="B360" s="102">
        <v>1920</v>
      </c>
      <c r="C360" s="95" t="s">
        <v>187</v>
      </c>
      <c r="D360" s="96">
        <v>0</v>
      </c>
      <c r="E360" s="96"/>
      <c r="F360" s="96"/>
      <c r="G360" s="1372">
        <f t="shared" si="35"/>
        <v>0</v>
      </c>
      <c r="H360" s="98">
        <v>0</v>
      </c>
      <c r="I360" s="96"/>
      <c r="J360" s="96"/>
      <c r="K360" s="1372">
        <f t="shared" si="36"/>
        <v>0</v>
      </c>
      <c r="L360" s="1374">
        <f t="shared" si="37"/>
        <v>0</v>
      </c>
    </row>
    <row r="361" spans="1:12" x14ac:dyDescent="0.2">
      <c r="A361" s="35">
        <v>10</v>
      </c>
      <c r="B361" s="1545">
        <v>1930</v>
      </c>
      <c r="C361" s="101" t="s">
        <v>250</v>
      </c>
      <c r="D361" s="96">
        <v>6567052.4100000001</v>
      </c>
      <c r="E361" s="96">
        <v>212220</v>
      </c>
      <c r="F361" s="96">
        <v>-129335</v>
      </c>
      <c r="G361" s="1372">
        <f t="shared" si="35"/>
        <v>6649937.4100000001</v>
      </c>
      <c r="H361" s="98">
        <v>-4114540.2583100647</v>
      </c>
      <c r="I361" s="96">
        <v>-413257</v>
      </c>
      <c r="J361" s="96">
        <v>129335</v>
      </c>
      <c r="K361" s="1372">
        <f t="shared" si="36"/>
        <v>-4398462.2583100647</v>
      </c>
      <c r="L361" s="1374">
        <f t="shared" si="37"/>
        <v>2251475.1516899355</v>
      </c>
    </row>
    <row r="362" spans="1:12" hidden="1" x14ac:dyDescent="0.2">
      <c r="A362" s="35">
        <v>8</v>
      </c>
      <c r="B362" s="1545">
        <v>1935</v>
      </c>
      <c r="C362" s="101" t="s">
        <v>251</v>
      </c>
      <c r="D362" s="96">
        <v>0</v>
      </c>
      <c r="E362" s="96"/>
      <c r="F362" s="96"/>
      <c r="G362" s="1372">
        <f t="shared" si="35"/>
        <v>0</v>
      </c>
      <c r="H362" s="98">
        <v>0</v>
      </c>
      <c r="I362" s="96"/>
      <c r="J362" s="96"/>
      <c r="K362" s="1372">
        <f t="shared" si="36"/>
        <v>0</v>
      </c>
      <c r="L362" s="1374">
        <f t="shared" si="37"/>
        <v>0</v>
      </c>
    </row>
    <row r="363" spans="1:12" x14ac:dyDescent="0.2">
      <c r="A363" s="35">
        <v>8</v>
      </c>
      <c r="B363" s="1545">
        <v>1940</v>
      </c>
      <c r="C363" s="101" t="s">
        <v>252</v>
      </c>
      <c r="D363" s="96">
        <v>2433912.3499999996</v>
      </c>
      <c r="E363" s="96">
        <v>101717</v>
      </c>
      <c r="F363" s="96"/>
      <c r="G363" s="1372">
        <f t="shared" si="35"/>
        <v>2535629.3499999996</v>
      </c>
      <c r="H363" s="98">
        <v>-1951906.8644999999</v>
      </c>
      <c r="I363" s="96">
        <v>-93206</v>
      </c>
      <c r="J363" s="96"/>
      <c r="K363" s="1372">
        <f t="shared" si="36"/>
        <v>-2045112.8644999999</v>
      </c>
      <c r="L363" s="1374">
        <f t="shared" si="37"/>
        <v>490516.48549999972</v>
      </c>
    </row>
    <row r="364" spans="1:12" hidden="1" x14ac:dyDescent="0.2">
      <c r="A364" s="35">
        <v>8</v>
      </c>
      <c r="B364" s="1545">
        <v>1945</v>
      </c>
      <c r="C364" s="101" t="s">
        <v>253</v>
      </c>
      <c r="D364" s="96">
        <v>0</v>
      </c>
      <c r="E364" s="96"/>
      <c r="F364" s="96"/>
      <c r="G364" s="1372">
        <f t="shared" si="35"/>
        <v>0</v>
      </c>
      <c r="H364" s="98">
        <v>0</v>
      </c>
      <c r="I364" s="96"/>
      <c r="J364" s="96"/>
      <c r="K364" s="1372">
        <f t="shared" si="36"/>
        <v>0</v>
      </c>
      <c r="L364" s="1374">
        <f t="shared" si="37"/>
        <v>0</v>
      </c>
    </row>
    <row r="365" spans="1:12" hidden="1" x14ac:dyDescent="0.2">
      <c r="A365" s="35">
        <v>8</v>
      </c>
      <c r="B365" s="1545">
        <v>1950</v>
      </c>
      <c r="C365" s="101" t="s">
        <v>189</v>
      </c>
      <c r="D365" s="96">
        <v>0</v>
      </c>
      <c r="E365" s="96"/>
      <c r="F365" s="96"/>
      <c r="G365" s="1372">
        <f t="shared" si="35"/>
        <v>0</v>
      </c>
      <c r="H365" s="98">
        <v>0</v>
      </c>
      <c r="I365" s="96"/>
      <c r="J365" s="96"/>
      <c r="K365" s="1372">
        <f t="shared" si="36"/>
        <v>0</v>
      </c>
      <c r="L365" s="1374">
        <f t="shared" si="37"/>
        <v>0</v>
      </c>
    </row>
    <row r="366" spans="1:12" x14ac:dyDescent="0.2">
      <c r="A366" s="35">
        <v>8</v>
      </c>
      <c r="B366" s="1545">
        <v>1955</v>
      </c>
      <c r="C366" s="101" t="s">
        <v>254</v>
      </c>
      <c r="D366" s="96">
        <v>2378678.48</v>
      </c>
      <c r="E366" s="96">
        <v>28921</v>
      </c>
      <c r="F366" s="96"/>
      <c r="G366" s="1372">
        <f t="shared" si="35"/>
        <v>2407599.48</v>
      </c>
      <c r="H366" s="98">
        <v>-1730570.9985999998</v>
      </c>
      <c r="I366" s="96">
        <v>-90557</v>
      </c>
      <c r="J366" s="96"/>
      <c r="K366" s="1372">
        <f t="shared" si="36"/>
        <v>-1821127.9985999998</v>
      </c>
      <c r="L366" s="1374">
        <f t="shared" si="37"/>
        <v>586471.48140000016</v>
      </c>
    </row>
    <row r="367" spans="1:12" hidden="1" x14ac:dyDescent="0.2">
      <c r="A367" s="1559">
        <v>8</v>
      </c>
      <c r="B367" s="102">
        <v>1955</v>
      </c>
      <c r="C367" s="104" t="s">
        <v>190</v>
      </c>
      <c r="D367" s="96">
        <v>0</v>
      </c>
      <c r="E367" s="96"/>
      <c r="F367" s="96"/>
      <c r="G367" s="1372">
        <f t="shared" si="35"/>
        <v>0</v>
      </c>
      <c r="H367" s="98">
        <v>0</v>
      </c>
      <c r="I367" s="96"/>
      <c r="J367" s="96"/>
      <c r="K367" s="1372">
        <f t="shared" si="36"/>
        <v>0</v>
      </c>
      <c r="L367" s="1374">
        <f t="shared" si="37"/>
        <v>0</v>
      </c>
    </row>
    <row r="368" spans="1:12" hidden="1" x14ac:dyDescent="0.2">
      <c r="A368" s="1559">
        <v>8</v>
      </c>
      <c r="B368" s="105">
        <v>1960</v>
      </c>
      <c r="C368" s="95" t="s">
        <v>191</v>
      </c>
      <c r="D368" s="96">
        <v>0</v>
      </c>
      <c r="E368" s="96"/>
      <c r="F368" s="96"/>
      <c r="G368" s="1372">
        <f t="shared" si="35"/>
        <v>0</v>
      </c>
      <c r="H368" s="98">
        <v>0</v>
      </c>
      <c r="I368" s="96"/>
      <c r="J368" s="96"/>
      <c r="K368" s="1372">
        <f t="shared" si="36"/>
        <v>0</v>
      </c>
      <c r="L368" s="1374">
        <f t="shared" si="37"/>
        <v>0</v>
      </c>
    </row>
    <row r="369" spans="1:12" ht="25.5" hidden="1" x14ac:dyDescent="0.2">
      <c r="A369" s="1560">
        <v>47</v>
      </c>
      <c r="B369" s="105">
        <v>1970</v>
      </c>
      <c r="C369" s="101" t="s">
        <v>410</v>
      </c>
      <c r="D369" s="96">
        <v>0</v>
      </c>
      <c r="E369" s="96"/>
      <c r="F369" s="96"/>
      <c r="G369" s="1372">
        <f t="shared" si="35"/>
        <v>0</v>
      </c>
      <c r="H369" s="98">
        <v>0</v>
      </c>
      <c r="I369" s="96"/>
      <c r="J369" s="96"/>
      <c r="K369" s="1372">
        <f t="shared" si="36"/>
        <v>0</v>
      </c>
      <c r="L369" s="1374">
        <f t="shared" si="37"/>
        <v>0</v>
      </c>
    </row>
    <row r="370" spans="1:12" ht="25.5" hidden="1" x14ac:dyDescent="0.2">
      <c r="A370" s="35">
        <v>47</v>
      </c>
      <c r="B370" s="1545">
        <v>1975</v>
      </c>
      <c r="C370" s="101" t="s">
        <v>255</v>
      </c>
      <c r="D370" s="96">
        <v>0</v>
      </c>
      <c r="E370" s="96"/>
      <c r="F370" s="96"/>
      <c r="G370" s="1372">
        <f t="shared" si="35"/>
        <v>0</v>
      </c>
      <c r="H370" s="98">
        <v>0</v>
      </c>
      <c r="I370" s="96"/>
      <c r="J370" s="96"/>
      <c r="K370" s="1372">
        <f t="shared" si="36"/>
        <v>0</v>
      </c>
      <c r="L370" s="1374">
        <f t="shared" si="37"/>
        <v>0</v>
      </c>
    </row>
    <row r="371" spans="1:12" x14ac:dyDescent="0.2">
      <c r="A371" s="35">
        <v>47</v>
      </c>
      <c r="B371" s="1545">
        <v>1980</v>
      </c>
      <c r="C371" s="101" t="s">
        <v>256</v>
      </c>
      <c r="D371" s="96">
        <v>2137382.42</v>
      </c>
      <c r="E371" s="96">
        <v>167840</v>
      </c>
      <c r="F371" s="96"/>
      <c r="G371" s="1372">
        <f t="shared" si="35"/>
        <v>2305222.42</v>
      </c>
      <c r="H371" s="98">
        <v>-1457274.7527990518</v>
      </c>
      <c r="I371" s="96">
        <v>-54129</v>
      </c>
      <c r="J371" s="96"/>
      <c r="K371" s="1372">
        <f t="shared" si="36"/>
        <v>-1511403.7527990518</v>
      </c>
      <c r="L371" s="1374">
        <f t="shared" si="37"/>
        <v>793818.66720094811</v>
      </c>
    </row>
    <row r="372" spans="1:12" x14ac:dyDescent="0.2">
      <c r="A372" s="35">
        <v>47</v>
      </c>
      <c r="B372" s="1545">
        <v>1985</v>
      </c>
      <c r="C372" s="101" t="s">
        <v>257</v>
      </c>
      <c r="D372" s="96">
        <v>42116.86</v>
      </c>
      <c r="E372" s="96">
        <v>3718</v>
      </c>
      <c r="F372" s="96"/>
      <c r="G372" s="1372">
        <f t="shared" si="35"/>
        <v>45834.86</v>
      </c>
      <c r="H372" s="98">
        <v>-42116.858000000007</v>
      </c>
      <c r="I372" s="96">
        <v>-186</v>
      </c>
      <c r="J372" s="96"/>
      <c r="K372" s="1372">
        <f t="shared" si="36"/>
        <v>-42302.858000000007</v>
      </c>
      <c r="L372" s="1374">
        <f t="shared" si="37"/>
        <v>3532.0019999999931</v>
      </c>
    </row>
    <row r="373" spans="1:12" hidden="1" x14ac:dyDescent="0.2">
      <c r="A373" s="1560">
        <v>47</v>
      </c>
      <c r="B373" s="1545">
        <v>1990</v>
      </c>
      <c r="C373" s="1546" t="s">
        <v>411</v>
      </c>
      <c r="D373" s="96">
        <v>0</v>
      </c>
      <c r="E373" s="96"/>
      <c r="F373" s="96"/>
      <c r="G373" s="1372">
        <f t="shared" si="35"/>
        <v>0</v>
      </c>
      <c r="H373" s="98">
        <v>0</v>
      </c>
      <c r="I373" s="96"/>
      <c r="J373" s="96"/>
      <c r="K373" s="1372">
        <f t="shared" si="36"/>
        <v>0</v>
      </c>
      <c r="L373" s="1374">
        <f t="shared" si="37"/>
        <v>0</v>
      </c>
    </row>
    <row r="374" spans="1:12" hidden="1" x14ac:dyDescent="0.2">
      <c r="A374" s="35">
        <v>47</v>
      </c>
      <c r="B374" s="1545">
        <v>1995</v>
      </c>
      <c r="C374" s="101" t="s">
        <v>258</v>
      </c>
      <c r="D374" s="96">
        <v>0</v>
      </c>
      <c r="E374" s="96"/>
      <c r="F374" s="96"/>
      <c r="G374" s="1372">
        <f t="shared" si="35"/>
        <v>0</v>
      </c>
      <c r="H374" s="98">
        <v>-4.4895239673806486E-2</v>
      </c>
      <c r="I374" s="96">
        <v>0</v>
      </c>
      <c r="J374" s="96"/>
      <c r="K374" s="1372">
        <f t="shared" si="36"/>
        <v>-4.4895239673806486E-2</v>
      </c>
      <c r="L374" s="1374">
        <f t="shared" si="37"/>
        <v>-4.4895239673806486E-2</v>
      </c>
    </row>
    <row r="375" spans="1:12" ht="14.25" x14ac:dyDescent="0.2">
      <c r="A375" s="35">
        <v>47</v>
      </c>
      <c r="B375" s="1545">
        <v>2440</v>
      </c>
      <c r="C375" s="101" t="s">
        <v>835</v>
      </c>
      <c r="D375" s="96">
        <v>-3848574.42</v>
      </c>
      <c r="E375" s="96">
        <v>-1214036.32</v>
      </c>
      <c r="F375" s="96"/>
      <c r="G375" s="1372">
        <f t="shared" si="35"/>
        <v>-5062610.74</v>
      </c>
      <c r="H375" s="98">
        <v>215408.10031984292</v>
      </c>
      <c r="I375" s="96">
        <v>115823.25112500004</v>
      </c>
      <c r="J375" s="96"/>
      <c r="K375" s="1372">
        <f t="shared" si="36"/>
        <v>331231.35144484299</v>
      </c>
      <c r="L375" s="1374">
        <f t="shared" si="37"/>
        <v>-4731379.388555157</v>
      </c>
    </row>
    <row r="376" spans="1:12" x14ac:dyDescent="0.2">
      <c r="A376" s="99"/>
      <c r="B376" s="1545">
        <v>1330</v>
      </c>
      <c r="C376" s="1561" t="s">
        <v>1441</v>
      </c>
      <c r="D376" s="96">
        <v>1454234</v>
      </c>
      <c r="E376" s="96"/>
      <c r="F376" s="96">
        <v>-137803</v>
      </c>
      <c r="G376" s="1372">
        <f t="shared" si="35"/>
        <v>1316431</v>
      </c>
      <c r="H376" s="98">
        <v>0</v>
      </c>
      <c r="I376" s="96"/>
      <c r="J376" s="96"/>
      <c r="K376" s="1372">
        <f>H376+I376+J376</f>
        <v>0</v>
      </c>
      <c r="L376" s="1374">
        <f t="shared" si="37"/>
        <v>1316431</v>
      </c>
    </row>
    <row r="377" spans="1:12" x14ac:dyDescent="0.2">
      <c r="A377" s="99"/>
      <c r="B377" s="1545">
        <v>2055</v>
      </c>
      <c r="C377" s="1562" t="s">
        <v>1442</v>
      </c>
      <c r="D377" s="96">
        <v>775091.47999999986</v>
      </c>
      <c r="E377" s="96">
        <v>136009</v>
      </c>
      <c r="F377" s="96"/>
      <c r="G377" s="1372">
        <f t="shared" si="35"/>
        <v>911100.47999999986</v>
      </c>
      <c r="H377" s="98">
        <v>0</v>
      </c>
      <c r="I377" s="96"/>
      <c r="J377" s="96"/>
      <c r="K377" s="1372">
        <f>H377+I377+J377</f>
        <v>0</v>
      </c>
      <c r="L377" s="1374">
        <f t="shared" si="37"/>
        <v>911100.47999999986</v>
      </c>
    </row>
    <row r="378" spans="1:12" hidden="1" x14ac:dyDescent="0.2">
      <c r="A378" s="106"/>
      <c r="B378" s="106"/>
      <c r="C378" s="107"/>
      <c r="D378" s="96">
        <f t="shared" si="34"/>
        <v>0</v>
      </c>
      <c r="E378" s="108"/>
      <c r="F378" s="108"/>
      <c r="G378" s="1372">
        <f t="shared" si="35"/>
        <v>0</v>
      </c>
      <c r="H378" s="98">
        <f t="shared" ref="H378" si="38">K314</f>
        <v>0</v>
      </c>
      <c r="I378" s="108"/>
      <c r="J378" s="108"/>
      <c r="K378" s="1372">
        <f>H378+I378+J378</f>
        <v>0</v>
      </c>
      <c r="L378" s="1374">
        <f t="shared" si="37"/>
        <v>0</v>
      </c>
    </row>
    <row r="379" spans="1:12" x14ac:dyDescent="0.2">
      <c r="A379" s="106"/>
      <c r="B379" s="106"/>
      <c r="C379" s="109" t="s">
        <v>175</v>
      </c>
      <c r="D379" s="1373">
        <f t="shared" ref="D379:L379" si="39">SUM(D335:D378)</f>
        <v>210672623.14239997</v>
      </c>
      <c r="E379" s="1373">
        <f t="shared" si="39"/>
        <v>9807974.0799999982</v>
      </c>
      <c r="F379" s="1373">
        <f t="shared" si="39"/>
        <v>-4053171</v>
      </c>
      <c r="G379" s="1373">
        <f t="shared" si="39"/>
        <v>216427426.22239998</v>
      </c>
      <c r="H379" s="1373">
        <f t="shared" si="39"/>
        <v>-121931740.9301316</v>
      </c>
      <c r="I379" s="1373">
        <f t="shared" si="39"/>
        <v>-4297478.2245418429</v>
      </c>
      <c r="J379" s="1373">
        <f t="shared" si="39"/>
        <v>3263752</v>
      </c>
      <c r="K379" s="1373">
        <f t="shared" si="39"/>
        <v>-122965467.15467344</v>
      </c>
      <c r="L379" s="1373">
        <f t="shared" si="39"/>
        <v>93461959.067726567</v>
      </c>
    </row>
    <row r="380" spans="1:12" ht="37.5" x14ac:dyDescent="0.2">
      <c r="A380" s="106"/>
      <c r="B380" s="106"/>
      <c r="C380" s="111" t="s">
        <v>503</v>
      </c>
      <c r="D380" s="108"/>
      <c r="E380" s="108"/>
      <c r="F380" s="108"/>
      <c r="G380" s="1372">
        <f>D380+E380+F380</f>
        <v>0</v>
      </c>
      <c r="H380" s="108"/>
      <c r="I380" s="108"/>
      <c r="J380" s="108"/>
      <c r="K380" s="1372">
        <f>H380+I380+J380</f>
        <v>0</v>
      </c>
      <c r="L380" s="1374">
        <f>G380+K380</f>
        <v>0</v>
      </c>
    </row>
    <row r="381" spans="1:12" ht="25.5" x14ac:dyDescent="0.2">
      <c r="A381" s="106"/>
      <c r="B381" s="106"/>
      <c r="C381" s="112" t="s">
        <v>502</v>
      </c>
      <c r="D381" s="1563">
        <f>G317</f>
        <v>-129739</v>
      </c>
      <c r="E381" s="108"/>
      <c r="F381" s="108"/>
      <c r="G381" s="1372">
        <f>D381+E381+F381</f>
        <v>-129739</v>
      </c>
      <c r="H381" s="1567">
        <f>K317</f>
        <v>129739</v>
      </c>
      <c r="I381" s="108"/>
      <c r="J381" s="108"/>
      <c r="K381" s="1372">
        <f>H381+I381+J381</f>
        <v>129739</v>
      </c>
      <c r="L381" s="1374">
        <f>G381+K381</f>
        <v>0</v>
      </c>
    </row>
    <row r="382" spans="1:12" x14ac:dyDescent="0.2">
      <c r="A382" s="106"/>
      <c r="B382" s="106"/>
      <c r="C382" s="109" t="s">
        <v>412</v>
      </c>
      <c r="D382" s="1373">
        <f t="shared" ref="D382:L382" si="40">SUM(D379:D381)</f>
        <v>210542884.14239997</v>
      </c>
      <c r="E382" s="1373">
        <f t="shared" si="40"/>
        <v>9807974.0799999982</v>
      </c>
      <c r="F382" s="1373">
        <f t="shared" si="40"/>
        <v>-4053171</v>
      </c>
      <c r="G382" s="1373">
        <f t="shared" si="40"/>
        <v>216297687.22239998</v>
      </c>
      <c r="H382" s="1373">
        <f t="shared" si="40"/>
        <v>-121802001.9301316</v>
      </c>
      <c r="I382" s="1373">
        <f t="shared" si="40"/>
        <v>-4297478.2245418429</v>
      </c>
      <c r="J382" s="1373">
        <f t="shared" si="40"/>
        <v>3263752</v>
      </c>
      <c r="K382" s="1373">
        <f t="shared" si="40"/>
        <v>-122835728.15467344</v>
      </c>
      <c r="L382" s="1373">
        <f t="shared" si="40"/>
        <v>93461959.067726567</v>
      </c>
    </row>
    <row r="383" spans="1:12" ht="14.25" x14ac:dyDescent="0.2">
      <c r="A383" s="106"/>
      <c r="B383" s="106"/>
      <c r="C383" s="1651" t="s">
        <v>801</v>
      </c>
      <c r="D383" s="1652"/>
      <c r="E383" s="1652"/>
      <c r="F383" s="1652"/>
      <c r="G383" s="1652"/>
      <c r="H383" s="1653"/>
      <c r="I383" s="108"/>
      <c r="J383" s="113"/>
      <c r="K383" s="114"/>
      <c r="L383" s="115"/>
    </row>
    <row r="384" spans="1:12" x14ac:dyDescent="0.2">
      <c r="A384" s="106"/>
      <c r="B384" s="106"/>
      <c r="C384" s="1651" t="s">
        <v>259</v>
      </c>
      <c r="D384" s="1652"/>
      <c r="E384" s="1652"/>
      <c r="F384" s="1652"/>
      <c r="G384" s="1652"/>
      <c r="H384" s="1653"/>
      <c r="I384" s="1373">
        <f>I382+I383</f>
        <v>-4297478.2245418429</v>
      </c>
      <c r="J384" s="113"/>
      <c r="K384" s="114"/>
      <c r="L384" s="115"/>
    </row>
    <row r="385" spans="1:14" x14ac:dyDescent="0.2">
      <c r="A385" s="267"/>
      <c r="B385" s="267"/>
      <c r="C385" s="1669" t="s">
        <v>1530</v>
      </c>
      <c r="D385" s="1670">
        <f>D382-D377-D376</f>
        <v>208313558.66239998</v>
      </c>
      <c r="E385" s="1669"/>
      <c r="F385" s="1669"/>
      <c r="G385" s="1670">
        <f>G382-G377-G376</f>
        <v>214070155.74239999</v>
      </c>
      <c r="H385" s="1669"/>
      <c r="I385" s="1625"/>
      <c r="J385" s="113"/>
      <c r="K385" s="114"/>
      <c r="L385" s="1670">
        <f>L382-L377-L376</f>
        <v>91234427.587726563</v>
      </c>
    </row>
    <row r="386" spans="1:14" x14ac:dyDescent="0.2">
      <c r="A386" s="1547"/>
      <c r="B386" s="1547"/>
      <c r="H386" s="34"/>
    </row>
    <row r="387" spans="1:14" x14ac:dyDescent="0.2">
      <c r="A387" s="1547"/>
      <c r="B387" s="1547"/>
      <c r="H387" s="116" t="s">
        <v>343</v>
      </c>
      <c r="I387" s="1548"/>
    </row>
    <row r="388" spans="1:14" x14ac:dyDescent="0.2">
      <c r="A388" s="106">
        <v>10</v>
      </c>
      <c r="B388" s="106"/>
      <c r="C388" s="1436" t="s">
        <v>260</v>
      </c>
      <c r="D388" s="1437"/>
      <c r="E388" s="1437"/>
      <c r="F388" s="1437"/>
      <c r="G388" s="1437"/>
      <c r="H388" s="1438" t="s">
        <v>260</v>
      </c>
      <c r="I388" s="1438"/>
      <c r="J388" s="1698">
        <f>I361</f>
        <v>-413257</v>
      </c>
    </row>
    <row r="389" spans="1:14" x14ac:dyDescent="0.2">
      <c r="A389" s="106">
        <v>8</v>
      </c>
      <c r="B389" s="106"/>
      <c r="C389" s="1436" t="s">
        <v>251</v>
      </c>
      <c r="D389" s="1437"/>
      <c r="E389" s="1437"/>
      <c r="F389" s="1437"/>
      <c r="G389" s="1437"/>
      <c r="H389" s="1438" t="s">
        <v>251</v>
      </c>
      <c r="I389" s="1438"/>
      <c r="J389" s="1698">
        <f>I363</f>
        <v>-93206</v>
      </c>
    </row>
    <row r="390" spans="1:14" x14ac:dyDescent="0.2">
      <c r="A390" s="106"/>
      <c r="B390" s="106">
        <v>2440</v>
      </c>
      <c r="C390" s="1436" t="s">
        <v>1581</v>
      </c>
      <c r="D390" s="1437"/>
      <c r="E390" s="1437"/>
      <c r="F390" s="1437"/>
      <c r="G390" s="1437"/>
      <c r="H390" s="1438"/>
      <c r="I390" s="1438"/>
      <c r="J390" s="1565">
        <f>I375</f>
        <v>115823.25112500004</v>
      </c>
    </row>
    <row r="391" spans="1:14" x14ac:dyDescent="0.2">
      <c r="A391" s="1547"/>
      <c r="B391" s="1547"/>
      <c r="H391" s="117" t="s">
        <v>261</v>
      </c>
      <c r="J391" s="1439">
        <f>I384-J388-J389-J390</f>
        <v>-3906838.4756668429</v>
      </c>
    </row>
    <row r="392" spans="1:14" x14ac:dyDescent="0.2">
      <c r="A392" s="1547"/>
      <c r="B392" s="1547"/>
      <c r="I392" s="117"/>
      <c r="K392" s="1566"/>
    </row>
    <row r="393" spans="1:14" x14ac:dyDescent="0.2">
      <c r="A393" s="1547"/>
      <c r="B393" s="1547"/>
      <c r="I393" s="117"/>
      <c r="K393" s="1566"/>
    </row>
    <row r="394" spans="1:14" x14ac:dyDescent="0.2">
      <c r="A394" s="1547"/>
      <c r="B394" s="1547"/>
      <c r="E394" s="70" t="s">
        <v>778</v>
      </c>
      <c r="F394" s="30" t="s">
        <v>92</v>
      </c>
      <c r="H394" s="34"/>
    </row>
    <row r="395" spans="1:14" ht="15" x14ac:dyDescent="0.25">
      <c r="A395" s="1547"/>
      <c r="B395" s="1547"/>
      <c r="C395" s="38"/>
      <c r="E395" s="70" t="s">
        <v>89</v>
      </c>
      <c r="F395" s="84">
        <v>2019</v>
      </c>
      <c r="G395" s="85"/>
    </row>
    <row r="396" spans="1:14" x14ac:dyDescent="0.2">
      <c r="A396" s="1547"/>
      <c r="B396" s="1547"/>
    </row>
    <row r="397" spans="1:14" x14ac:dyDescent="0.2">
      <c r="A397" s="1547"/>
      <c r="B397" s="1547"/>
      <c r="D397" s="1926" t="s">
        <v>233</v>
      </c>
      <c r="E397" s="1927"/>
      <c r="F397" s="1927"/>
      <c r="G397" s="1928"/>
      <c r="H397" s="86"/>
      <c r="I397" s="87" t="s">
        <v>234</v>
      </c>
      <c r="J397" s="87"/>
      <c r="K397" s="88"/>
      <c r="L397" s="83"/>
    </row>
    <row r="398" spans="1:14" ht="30" customHeight="1" x14ac:dyDescent="0.2">
      <c r="A398" s="89" t="s">
        <v>867</v>
      </c>
      <c r="B398" s="89" t="s">
        <v>869</v>
      </c>
      <c r="C398" s="90" t="s">
        <v>870</v>
      </c>
      <c r="D398" s="89" t="s">
        <v>206</v>
      </c>
      <c r="E398" s="91" t="s">
        <v>868</v>
      </c>
      <c r="F398" s="91" t="s">
        <v>929</v>
      </c>
      <c r="G398" s="89" t="s">
        <v>1763</v>
      </c>
      <c r="H398" s="89" t="s">
        <v>232</v>
      </c>
      <c r="I398" s="92" t="s">
        <v>206</v>
      </c>
      <c r="J398" s="93" t="s">
        <v>207</v>
      </c>
      <c r="K398" s="93" t="s">
        <v>929</v>
      </c>
      <c r="L398" s="89" t="s">
        <v>1763</v>
      </c>
      <c r="M398" s="89" t="s">
        <v>232</v>
      </c>
      <c r="N398" s="89" t="s">
        <v>263</v>
      </c>
    </row>
    <row r="399" spans="1:14" ht="25.5" hidden="1" customHeight="1" x14ac:dyDescent="0.2">
      <c r="A399" s="89"/>
      <c r="B399" s="1545">
        <v>1609</v>
      </c>
      <c r="C399" s="95" t="s">
        <v>1073</v>
      </c>
      <c r="D399" s="96">
        <f t="shared" ref="D399:D442" si="41">G335</f>
        <v>0</v>
      </c>
      <c r="E399" s="96"/>
      <c r="F399" s="96"/>
      <c r="G399" s="96"/>
      <c r="H399" s="1372">
        <f t="shared" ref="H399:H407" si="42">D399+E399+F399</f>
        <v>0</v>
      </c>
      <c r="I399" s="98">
        <f>K335</f>
        <v>0</v>
      </c>
      <c r="J399" s="96"/>
      <c r="K399" s="96"/>
      <c r="L399" s="96"/>
      <c r="M399" s="1372">
        <f>I399+J399+K399</f>
        <v>0</v>
      </c>
      <c r="N399" s="1374">
        <f t="shared" ref="N399:N442" si="43">H399+M399</f>
        <v>0</v>
      </c>
    </row>
    <row r="400" spans="1:14" ht="25.5" hidden="1" customHeight="1" x14ac:dyDescent="0.2">
      <c r="A400" s="89"/>
      <c r="B400" s="1659">
        <v>1610</v>
      </c>
      <c r="C400" s="95" t="s">
        <v>1527</v>
      </c>
      <c r="D400" s="96">
        <f t="shared" si="41"/>
        <v>0</v>
      </c>
      <c r="E400" s="96"/>
      <c r="F400" s="96"/>
      <c r="G400" s="96"/>
      <c r="H400" s="1372">
        <f t="shared" si="42"/>
        <v>0</v>
      </c>
      <c r="I400" s="98"/>
      <c r="J400" s="96"/>
      <c r="K400" s="96"/>
      <c r="L400" s="96"/>
      <c r="M400" s="1372"/>
      <c r="N400" s="1374">
        <f t="shared" si="43"/>
        <v>0</v>
      </c>
    </row>
    <row r="401" spans="1:19" ht="25.5" x14ac:dyDescent="0.2">
      <c r="A401" s="35">
        <v>12</v>
      </c>
      <c r="B401" s="1545">
        <v>1611</v>
      </c>
      <c r="C401" s="95" t="s">
        <v>325</v>
      </c>
      <c r="D401" s="96">
        <v>3218378.7600000007</v>
      </c>
      <c r="E401" s="96">
        <v>0</v>
      </c>
      <c r="F401" s="96"/>
      <c r="G401" s="96"/>
      <c r="H401" s="1372">
        <f t="shared" si="42"/>
        <v>3218378.7600000007</v>
      </c>
      <c r="I401" s="98">
        <v>-3172319.4519999996</v>
      </c>
      <c r="J401" s="96">
        <v>-30490.35</v>
      </c>
      <c r="K401" s="96"/>
      <c r="L401" s="96"/>
      <c r="M401" s="1372">
        <f t="shared" ref="M401:M407" si="44">I401+J401+K401</f>
        <v>-3202809.8019999997</v>
      </c>
      <c r="N401" s="1374">
        <f t="shared" si="43"/>
        <v>15568.958000001032</v>
      </c>
    </row>
    <row r="402" spans="1:19" ht="25.5" x14ac:dyDescent="0.2">
      <c r="A402" s="35" t="s">
        <v>243</v>
      </c>
      <c r="B402" s="1545">
        <v>1612</v>
      </c>
      <c r="C402" s="95" t="s">
        <v>360</v>
      </c>
      <c r="D402" s="96">
        <v>58789.869999999995</v>
      </c>
      <c r="E402" s="96">
        <v>6523.8</v>
      </c>
      <c r="F402" s="96"/>
      <c r="G402" s="96"/>
      <c r="H402" s="1372">
        <f t="shared" si="42"/>
        <v>65313.67</v>
      </c>
      <c r="I402" s="98">
        <v>0</v>
      </c>
      <c r="J402" s="96"/>
      <c r="K402" s="96"/>
      <c r="L402" s="96"/>
      <c r="M402" s="1372">
        <f t="shared" si="44"/>
        <v>0</v>
      </c>
      <c r="N402" s="1374">
        <f t="shared" si="43"/>
        <v>65313.67</v>
      </c>
    </row>
    <row r="403" spans="1:19" x14ac:dyDescent="0.2">
      <c r="A403" s="35" t="s">
        <v>235</v>
      </c>
      <c r="B403" s="99">
        <v>1805</v>
      </c>
      <c r="C403" s="100" t="s">
        <v>236</v>
      </c>
      <c r="D403" s="96">
        <v>940078.79999999981</v>
      </c>
      <c r="E403" s="96">
        <v>0</v>
      </c>
      <c r="F403" s="96"/>
      <c r="G403" s="96"/>
      <c r="H403" s="1372">
        <f t="shared" si="42"/>
        <v>940078.79999999981</v>
      </c>
      <c r="I403" s="96">
        <v>0</v>
      </c>
      <c r="J403" s="96"/>
      <c r="K403" s="96"/>
      <c r="L403" s="96"/>
      <c r="M403" s="1372">
        <f t="shared" si="44"/>
        <v>0</v>
      </c>
      <c r="N403" s="1374">
        <f t="shared" si="43"/>
        <v>940078.79999999981</v>
      </c>
    </row>
    <row r="404" spans="1:19" x14ac:dyDescent="0.2">
      <c r="A404" s="35">
        <v>47</v>
      </c>
      <c r="B404" s="99">
        <v>1808</v>
      </c>
      <c r="C404" s="101" t="s">
        <v>237</v>
      </c>
      <c r="D404" s="96">
        <v>2954573.5299999975</v>
      </c>
      <c r="E404" s="96">
        <v>33068.23000000001</v>
      </c>
      <c r="F404" s="96"/>
      <c r="G404" s="96"/>
      <c r="H404" s="1372">
        <f t="shared" si="42"/>
        <v>2987641.7599999974</v>
      </c>
      <c r="I404" s="96">
        <v>-1719545.5899999999</v>
      </c>
      <c r="J404" s="96">
        <v>-62057.100000000006</v>
      </c>
      <c r="K404" s="96"/>
      <c r="L404" s="96"/>
      <c r="M404" s="1372">
        <f t="shared" si="44"/>
        <v>-1781602.69</v>
      </c>
      <c r="N404" s="1374">
        <f t="shared" si="43"/>
        <v>1206039.0699999975</v>
      </c>
    </row>
    <row r="405" spans="1:19" hidden="1" x14ac:dyDescent="0.2">
      <c r="A405" s="35">
        <v>13</v>
      </c>
      <c r="B405" s="99">
        <v>1810</v>
      </c>
      <c r="C405" s="101" t="s">
        <v>262</v>
      </c>
      <c r="D405" s="96">
        <v>0</v>
      </c>
      <c r="E405" s="96"/>
      <c r="F405" s="96"/>
      <c r="G405" s="96"/>
      <c r="H405" s="1372">
        <f t="shared" si="42"/>
        <v>0</v>
      </c>
      <c r="I405" s="96">
        <v>0</v>
      </c>
      <c r="J405" s="96"/>
      <c r="K405" s="96"/>
      <c r="L405" s="96"/>
      <c r="M405" s="1372">
        <f t="shared" si="44"/>
        <v>0</v>
      </c>
      <c r="N405" s="1374">
        <f t="shared" si="43"/>
        <v>0</v>
      </c>
    </row>
    <row r="406" spans="1:19" hidden="1" x14ac:dyDescent="0.2">
      <c r="A406" s="35">
        <v>47</v>
      </c>
      <c r="B406" s="99">
        <v>1815</v>
      </c>
      <c r="C406" s="101" t="s">
        <v>238</v>
      </c>
      <c r="D406" s="96">
        <v>0</v>
      </c>
      <c r="E406" s="96"/>
      <c r="F406" s="96"/>
      <c r="G406" s="96"/>
      <c r="H406" s="1372">
        <f t="shared" si="42"/>
        <v>0</v>
      </c>
      <c r="I406" s="96">
        <v>0</v>
      </c>
      <c r="J406" s="96"/>
      <c r="K406" s="96"/>
      <c r="L406" s="96"/>
      <c r="M406" s="1372">
        <f t="shared" si="44"/>
        <v>0</v>
      </c>
      <c r="N406" s="1374">
        <f t="shared" si="43"/>
        <v>0</v>
      </c>
    </row>
    <row r="407" spans="1:19" x14ac:dyDescent="0.2">
      <c r="A407" s="35">
        <v>47</v>
      </c>
      <c r="B407" s="99">
        <v>1820</v>
      </c>
      <c r="C407" s="95" t="s">
        <v>178</v>
      </c>
      <c r="D407" s="96">
        <v>20781599.740000002</v>
      </c>
      <c r="E407" s="96">
        <v>1988015.49</v>
      </c>
      <c r="F407" s="96">
        <v>-354980.16</v>
      </c>
      <c r="G407" s="96"/>
      <c r="H407" s="1372">
        <f t="shared" si="42"/>
        <v>22414635.07</v>
      </c>
      <c r="I407" s="96">
        <v>-12108882.189999999</v>
      </c>
      <c r="J407" s="96">
        <v>-430251.31</v>
      </c>
      <c r="K407" s="96">
        <v>345190.18</v>
      </c>
      <c r="L407" s="96"/>
      <c r="M407" s="1372">
        <f t="shared" si="44"/>
        <v>-12193943.32</v>
      </c>
      <c r="N407" s="1374">
        <f t="shared" si="43"/>
        <v>10220691.75</v>
      </c>
    </row>
    <row r="408" spans="1:19" x14ac:dyDescent="0.2">
      <c r="A408" s="35">
        <v>47</v>
      </c>
      <c r="B408" s="99">
        <v>1825</v>
      </c>
      <c r="C408" s="101" t="s">
        <v>239</v>
      </c>
      <c r="D408" s="96">
        <v>0</v>
      </c>
      <c r="E408" s="96"/>
      <c r="F408" s="96"/>
      <c r="G408" s="96">
        <v>881028.25000000023</v>
      </c>
      <c r="H408" s="1372">
        <f>D408+E408+F408+G408</f>
        <v>881028.25000000023</v>
      </c>
      <c r="I408" s="96">
        <v>0</v>
      </c>
      <c r="J408" s="96">
        <v>-44051.4</v>
      </c>
      <c r="K408" s="96"/>
      <c r="L408" s="96">
        <v>-65937.093750000015</v>
      </c>
      <c r="M408" s="1372">
        <f>I408+J408+K408+L408</f>
        <v>-109988.49375000002</v>
      </c>
      <c r="N408" s="1374">
        <f t="shared" si="43"/>
        <v>771039.75625000021</v>
      </c>
    </row>
    <row r="409" spans="1:19" x14ac:dyDescent="0.2">
      <c r="A409" s="35">
        <v>47</v>
      </c>
      <c r="B409" s="99">
        <v>1830</v>
      </c>
      <c r="C409" s="101" t="s">
        <v>240</v>
      </c>
      <c r="D409" s="96">
        <v>27215982.040000003</v>
      </c>
      <c r="E409" s="96">
        <v>2134988.0066666668</v>
      </c>
      <c r="F409" s="96">
        <v>-394635.01</v>
      </c>
      <c r="G409" s="96"/>
      <c r="H409" s="1372">
        <f>D409+E409+F409</f>
        <v>28956335.036666669</v>
      </c>
      <c r="I409" s="96">
        <v>-10530144.519147437</v>
      </c>
      <c r="J409" s="96">
        <v>-574888.38</v>
      </c>
      <c r="K409" s="96">
        <v>223041.53</v>
      </c>
      <c r="L409" s="96"/>
      <c r="M409" s="1372">
        <f>I409+J409+K409</f>
        <v>-10881991.369147439</v>
      </c>
      <c r="N409" s="1374">
        <f t="shared" si="43"/>
        <v>18074343.66751923</v>
      </c>
    </row>
    <row r="410" spans="1:19" x14ac:dyDescent="0.2">
      <c r="A410" s="35">
        <v>47</v>
      </c>
      <c r="B410" s="99">
        <v>1835</v>
      </c>
      <c r="C410" s="101" t="s">
        <v>179</v>
      </c>
      <c r="D410" s="96">
        <v>40769582.520000003</v>
      </c>
      <c r="E410" s="96">
        <v>944617.19000000006</v>
      </c>
      <c r="F410" s="96">
        <v>-854127.1399999999</v>
      </c>
      <c r="G410" s="96"/>
      <c r="H410" s="1372">
        <f>D410+E410+F410</f>
        <v>40860072.57</v>
      </c>
      <c r="I410" s="96">
        <v>-27485809.347672746</v>
      </c>
      <c r="J410" s="96">
        <v>-537970.38431881752</v>
      </c>
      <c r="K410" s="96">
        <v>799778.53</v>
      </c>
      <c r="L410" s="96"/>
      <c r="M410" s="1372">
        <f>I410+J410+K410</f>
        <v>-27224001.201991562</v>
      </c>
      <c r="N410" s="1374">
        <f t="shared" si="43"/>
        <v>13636071.368008438</v>
      </c>
      <c r="P410" s="1820"/>
    </row>
    <row r="411" spans="1:19" x14ac:dyDescent="0.2">
      <c r="A411" s="35">
        <v>47</v>
      </c>
      <c r="B411" s="99">
        <v>1840</v>
      </c>
      <c r="C411" s="101" t="s">
        <v>180</v>
      </c>
      <c r="D411" s="96">
        <v>24457747.16</v>
      </c>
      <c r="E411" s="96">
        <v>433359.88</v>
      </c>
      <c r="F411" s="96">
        <v>-12461.05</v>
      </c>
      <c r="G411" s="96"/>
      <c r="H411" s="1372">
        <f>D411+E411+F411</f>
        <v>24878645.989999998</v>
      </c>
      <c r="I411" s="96">
        <v>-13670387.029669894</v>
      </c>
      <c r="J411" s="96">
        <v>-306023.96000000002</v>
      </c>
      <c r="K411" s="96">
        <v>9811.11</v>
      </c>
      <c r="L411" s="96"/>
      <c r="M411" s="1372">
        <f>I411+J411+K411</f>
        <v>-13966599.879669895</v>
      </c>
      <c r="N411" s="1374">
        <f t="shared" si="43"/>
        <v>10912046.110330103</v>
      </c>
    </row>
    <row r="412" spans="1:19" x14ac:dyDescent="0.2">
      <c r="A412" s="35">
        <v>47</v>
      </c>
      <c r="B412" s="99">
        <v>1845</v>
      </c>
      <c r="C412" s="101" t="s">
        <v>181</v>
      </c>
      <c r="D412" s="96">
        <v>16711737.720000004</v>
      </c>
      <c r="E412" s="96">
        <v>677148.79666666687</v>
      </c>
      <c r="F412" s="96">
        <v>-93442.43</v>
      </c>
      <c r="G412" s="96"/>
      <c r="H412" s="1372">
        <f>D412+E412+F412</f>
        <v>17295444.086666673</v>
      </c>
      <c r="I412" s="96">
        <v>-10603462.155589199</v>
      </c>
      <c r="J412" s="96">
        <v>-276077.63053953904</v>
      </c>
      <c r="K412" s="96">
        <v>61501.17</v>
      </c>
      <c r="L412" s="96"/>
      <c r="M412" s="1372">
        <f>I412+J412+K412</f>
        <v>-10818038.616128737</v>
      </c>
      <c r="N412" s="1374">
        <f t="shared" si="43"/>
        <v>6477405.4705379363</v>
      </c>
    </row>
    <row r="413" spans="1:19" x14ac:dyDescent="0.2">
      <c r="A413" s="35">
        <v>47</v>
      </c>
      <c r="B413" s="99">
        <v>1850</v>
      </c>
      <c r="C413" s="101" t="s">
        <v>241</v>
      </c>
      <c r="D413" s="96">
        <v>30251814.139999993</v>
      </c>
      <c r="E413" s="96">
        <v>1742132.8699999999</v>
      </c>
      <c r="F413" s="96">
        <v>-871627.99</v>
      </c>
      <c r="G413" s="96">
        <v>48224.41</v>
      </c>
      <c r="H413" s="1372">
        <f>D413+E413+F413+G413</f>
        <v>31170543.429999996</v>
      </c>
      <c r="I413" s="96">
        <v>-15894265.712860879</v>
      </c>
      <c r="J413" s="96">
        <v>-514767.00360848726</v>
      </c>
      <c r="K413" s="96">
        <v>585212.01</v>
      </c>
      <c r="L413" s="96">
        <v>-5425.2461249999997</v>
      </c>
      <c r="M413" s="1372">
        <f>I413+J413+K413+L413</f>
        <v>-15829245.952594366</v>
      </c>
      <c r="N413" s="1374">
        <f t="shared" si="43"/>
        <v>15341297.47740563</v>
      </c>
    </row>
    <row r="414" spans="1:19" x14ac:dyDescent="0.2">
      <c r="A414" s="35">
        <v>47</v>
      </c>
      <c r="B414" s="99">
        <v>1855</v>
      </c>
      <c r="C414" s="101" t="s">
        <v>182</v>
      </c>
      <c r="D414" s="96">
        <v>16347433.279999997</v>
      </c>
      <c r="E414" s="96">
        <v>399878.03</v>
      </c>
      <c r="F414" s="96">
        <v>-98215.51</v>
      </c>
      <c r="G414" s="96"/>
      <c r="H414" s="1372">
        <f t="shared" ref="H414:H434" si="45">D414+E414+F414</f>
        <v>16649095.799999997</v>
      </c>
      <c r="I414" s="96">
        <v>-7573632.5153747471</v>
      </c>
      <c r="J414" s="96">
        <v>-310715.02</v>
      </c>
      <c r="K414" s="96">
        <v>56238.7</v>
      </c>
      <c r="L414" s="96"/>
      <c r="M414" s="1372">
        <f t="shared" ref="M414:M434" si="46">I414+J414+K414</f>
        <v>-7828108.8353747474</v>
      </c>
      <c r="N414" s="1374">
        <f t="shared" si="43"/>
        <v>8820986.9646252505</v>
      </c>
      <c r="Q414" s="1811"/>
      <c r="S414" s="1811"/>
    </row>
    <row r="415" spans="1:19" x14ac:dyDescent="0.2">
      <c r="A415" s="35">
        <v>47</v>
      </c>
      <c r="B415" s="99">
        <v>1860</v>
      </c>
      <c r="C415" s="101" t="s">
        <v>242</v>
      </c>
      <c r="D415" s="96">
        <v>9026087.8123999983</v>
      </c>
      <c r="E415" s="96">
        <v>148145.28</v>
      </c>
      <c r="F415" s="96"/>
      <c r="G415" s="96"/>
      <c r="H415" s="1372">
        <f t="shared" si="45"/>
        <v>9174233.0923999976</v>
      </c>
      <c r="I415" s="96">
        <v>-4956053.9561295249</v>
      </c>
      <c r="J415" s="96">
        <v>-517651.19</v>
      </c>
      <c r="K415" s="96"/>
      <c r="L415" s="96"/>
      <c r="M415" s="1372">
        <f t="shared" si="46"/>
        <v>-5473705.1461295253</v>
      </c>
      <c r="N415" s="1374">
        <f t="shared" si="43"/>
        <v>3700527.9462704724</v>
      </c>
    </row>
    <row r="416" spans="1:19" ht="12.6" hidden="1" customHeight="1" x14ac:dyDescent="0.2">
      <c r="A416" s="35">
        <v>47</v>
      </c>
      <c r="B416" s="99">
        <v>1860</v>
      </c>
      <c r="C416" s="100" t="s">
        <v>183</v>
      </c>
      <c r="D416" s="96"/>
      <c r="E416" s="96"/>
      <c r="F416" s="96"/>
      <c r="G416" s="96"/>
      <c r="H416" s="1372">
        <f t="shared" si="45"/>
        <v>0</v>
      </c>
      <c r="I416" s="96"/>
      <c r="J416" s="96"/>
      <c r="K416" s="96"/>
      <c r="L416" s="96"/>
      <c r="M416" s="1372">
        <f t="shared" si="46"/>
        <v>0</v>
      </c>
      <c r="N416" s="1374">
        <f t="shared" si="43"/>
        <v>0</v>
      </c>
    </row>
    <row r="417" spans="1:16" ht="12" hidden="1" customHeight="1" x14ac:dyDescent="0.2">
      <c r="A417" s="35" t="s">
        <v>235</v>
      </c>
      <c r="B417" s="99">
        <v>1905</v>
      </c>
      <c r="C417" s="100" t="s">
        <v>236</v>
      </c>
      <c r="D417" s="96">
        <v>0</v>
      </c>
      <c r="E417" s="96"/>
      <c r="F417" s="96"/>
      <c r="G417" s="96"/>
      <c r="H417" s="1372">
        <f t="shared" si="45"/>
        <v>0</v>
      </c>
      <c r="I417" s="96">
        <v>0</v>
      </c>
      <c r="J417" s="96"/>
      <c r="K417" s="96"/>
      <c r="L417" s="96"/>
      <c r="M417" s="1372">
        <f t="shared" si="46"/>
        <v>0</v>
      </c>
      <c r="N417" s="1374">
        <f t="shared" si="43"/>
        <v>0</v>
      </c>
    </row>
    <row r="418" spans="1:16" ht="14.45" customHeight="1" x14ac:dyDescent="0.2">
      <c r="A418" s="35">
        <v>47</v>
      </c>
      <c r="B418" s="99">
        <v>1908</v>
      </c>
      <c r="C418" s="101" t="s">
        <v>244</v>
      </c>
      <c r="D418" s="96">
        <v>11731378.780000001</v>
      </c>
      <c r="E418" s="96">
        <v>242328.53</v>
      </c>
      <c r="F418" s="96"/>
      <c r="G418" s="96"/>
      <c r="H418" s="1372">
        <f t="shared" si="45"/>
        <v>11973707.310000001</v>
      </c>
      <c r="I418" s="96">
        <v>-4955683.2399999993</v>
      </c>
      <c r="J418" s="96">
        <v>-347134.44</v>
      </c>
      <c r="K418" s="96"/>
      <c r="L418" s="96"/>
      <c r="M418" s="1372">
        <f t="shared" si="46"/>
        <v>-5302817.68</v>
      </c>
      <c r="N418" s="1374">
        <f t="shared" si="43"/>
        <v>6670889.6300000008</v>
      </c>
      <c r="P418" s="1671"/>
    </row>
    <row r="419" spans="1:16" ht="14.45" hidden="1" customHeight="1" x14ac:dyDescent="0.2">
      <c r="A419" s="35">
        <v>13</v>
      </c>
      <c r="B419" s="99">
        <v>1910</v>
      </c>
      <c r="C419" s="101" t="s">
        <v>262</v>
      </c>
      <c r="D419" s="96">
        <v>0</v>
      </c>
      <c r="E419" s="96"/>
      <c r="F419" s="96"/>
      <c r="G419" s="96"/>
      <c r="H419" s="1372">
        <f t="shared" si="45"/>
        <v>0</v>
      </c>
      <c r="I419" s="96">
        <v>0</v>
      </c>
      <c r="J419" s="96"/>
      <c r="K419" s="96"/>
      <c r="L419" s="96"/>
      <c r="M419" s="1372">
        <f t="shared" si="46"/>
        <v>0</v>
      </c>
      <c r="N419" s="1374">
        <f t="shared" si="43"/>
        <v>0</v>
      </c>
    </row>
    <row r="420" spans="1:16" x14ac:dyDescent="0.2">
      <c r="A420" s="35">
        <v>8</v>
      </c>
      <c r="B420" s="99">
        <v>1915</v>
      </c>
      <c r="C420" s="101" t="s">
        <v>184</v>
      </c>
      <c r="D420" s="96">
        <v>90615.56</v>
      </c>
      <c r="E420" s="96"/>
      <c r="F420" s="96"/>
      <c r="G420" s="96"/>
      <c r="H420" s="1372">
        <f t="shared" si="45"/>
        <v>90615.56</v>
      </c>
      <c r="I420" s="96">
        <v>-63601.559999999983</v>
      </c>
      <c r="J420" s="96">
        <v>-4630.08</v>
      </c>
      <c r="K420" s="96"/>
      <c r="L420" s="96"/>
      <c r="M420" s="1372">
        <f t="shared" si="46"/>
        <v>-68231.639999999985</v>
      </c>
      <c r="N420" s="1374">
        <f t="shared" si="43"/>
        <v>22383.920000000013</v>
      </c>
    </row>
    <row r="421" spans="1:16" hidden="1" x14ac:dyDescent="0.2">
      <c r="A421" s="35">
        <v>8</v>
      </c>
      <c r="B421" s="99">
        <v>1915</v>
      </c>
      <c r="C421" s="101" t="s">
        <v>185</v>
      </c>
      <c r="D421" s="96">
        <v>0</v>
      </c>
      <c r="E421" s="96"/>
      <c r="F421" s="96"/>
      <c r="G421" s="96"/>
      <c r="H421" s="1372">
        <f t="shared" si="45"/>
        <v>0</v>
      </c>
      <c r="I421" s="96">
        <v>0</v>
      </c>
      <c r="J421" s="96"/>
      <c r="K421" s="96"/>
      <c r="L421" s="96"/>
      <c r="M421" s="1372">
        <f t="shared" si="46"/>
        <v>0</v>
      </c>
      <c r="N421" s="1374">
        <f t="shared" si="43"/>
        <v>0</v>
      </c>
    </row>
    <row r="422" spans="1:16" x14ac:dyDescent="0.2">
      <c r="A422" s="35">
        <v>10</v>
      </c>
      <c r="B422" s="99">
        <v>1920</v>
      </c>
      <c r="C422" s="101" t="s">
        <v>186</v>
      </c>
      <c r="D422" s="96">
        <v>762482.25</v>
      </c>
      <c r="E422" s="96"/>
      <c r="F422" s="96"/>
      <c r="G422" s="96"/>
      <c r="H422" s="1372">
        <f t="shared" si="45"/>
        <v>762482.25</v>
      </c>
      <c r="I422" s="96">
        <v>-744499.18199999991</v>
      </c>
      <c r="J422" s="96">
        <v>-10733.47</v>
      </c>
      <c r="K422" s="96"/>
      <c r="L422" s="96"/>
      <c r="M422" s="1372">
        <f t="shared" si="46"/>
        <v>-755232.65199999989</v>
      </c>
      <c r="N422" s="1374">
        <f t="shared" si="43"/>
        <v>7249.5980000001146</v>
      </c>
    </row>
    <row r="423" spans="1:16" ht="25.5" hidden="1" x14ac:dyDescent="0.2">
      <c r="A423" s="35">
        <v>45</v>
      </c>
      <c r="B423" s="102">
        <v>1920</v>
      </c>
      <c r="C423" s="95" t="s">
        <v>188</v>
      </c>
      <c r="D423" s="96">
        <v>0</v>
      </c>
      <c r="E423" s="96"/>
      <c r="F423" s="96"/>
      <c r="G423" s="96"/>
      <c r="H423" s="1372">
        <f t="shared" si="45"/>
        <v>0</v>
      </c>
      <c r="I423" s="96">
        <v>0</v>
      </c>
      <c r="J423" s="96"/>
      <c r="K423" s="96"/>
      <c r="L423" s="96"/>
      <c r="M423" s="1372">
        <f t="shared" si="46"/>
        <v>0</v>
      </c>
      <c r="N423" s="1374">
        <f t="shared" si="43"/>
        <v>0</v>
      </c>
    </row>
    <row r="424" spans="1:16" ht="25.5" hidden="1" x14ac:dyDescent="0.2">
      <c r="A424" s="35">
        <v>45.1</v>
      </c>
      <c r="B424" s="102">
        <v>1920</v>
      </c>
      <c r="C424" s="95" t="s">
        <v>187</v>
      </c>
      <c r="D424" s="96">
        <v>0</v>
      </c>
      <c r="E424" s="96"/>
      <c r="F424" s="96"/>
      <c r="G424" s="96"/>
      <c r="H424" s="1372">
        <f t="shared" si="45"/>
        <v>0</v>
      </c>
      <c r="I424" s="96">
        <v>0</v>
      </c>
      <c r="J424" s="96"/>
      <c r="K424" s="96"/>
      <c r="L424" s="96"/>
      <c r="M424" s="1372">
        <f t="shared" si="46"/>
        <v>0</v>
      </c>
      <c r="N424" s="1374">
        <f t="shared" si="43"/>
        <v>0</v>
      </c>
    </row>
    <row r="425" spans="1:16" x14ac:dyDescent="0.2">
      <c r="A425" s="35">
        <v>10</v>
      </c>
      <c r="B425" s="1545">
        <v>1930</v>
      </c>
      <c r="C425" s="101" t="s">
        <v>250</v>
      </c>
      <c r="D425" s="96">
        <v>6649937.4100000001</v>
      </c>
      <c r="E425" s="96">
        <v>144362</v>
      </c>
      <c r="F425" s="96">
        <v>-181016.41</v>
      </c>
      <c r="G425" s="96"/>
      <c r="H425" s="1372">
        <f t="shared" si="45"/>
        <v>6613283</v>
      </c>
      <c r="I425" s="96">
        <v>-4398462.2583100647</v>
      </c>
      <c r="J425" s="96">
        <v>-433924.63</v>
      </c>
      <c r="K425" s="96">
        <v>181016.41</v>
      </c>
      <c r="L425" s="96"/>
      <c r="M425" s="1372">
        <f t="shared" si="46"/>
        <v>-4651370.4783100644</v>
      </c>
      <c r="N425" s="1374">
        <f t="shared" si="43"/>
        <v>1961912.5216899356</v>
      </c>
    </row>
    <row r="426" spans="1:16" hidden="1" x14ac:dyDescent="0.2">
      <c r="A426" s="35">
        <v>8</v>
      </c>
      <c r="B426" s="1545">
        <v>1935</v>
      </c>
      <c r="C426" s="101" t="s">
        <v>251</v>
      </c>
      <c r="D426" s="96">
        <v>0</v>
      </c>
      <c r="E426" s="96"/>
      <c r="F426" s="96"/>
      <c r="G426" s="96"/>
      <c r="H426" s="1372">
        <f t="shared" si="45"/>
        <v>0</v>
      </c>
      <c r="I426" s="96">
        <v>0</v>
      </c>
      <c r="J426" s="96"/>
      <c r="K426" s="96"/>
      <c r="L426" s="96"/>
      <c r="M426" s="1372">
        <f t="shared" si="46"/>
        <v>0</v>
      </c>
      <c r="N426" s="1374">
        <f t="shared" si="43"/>
        <v>0</v>
      </c>
    </row>
    <row r="427" spans="1:16" x14ac:dyDescent="0.2">
      <c r="A427" s="35">
        <v>8</v>
      </c>
      <c r="B427" s="1545">
        <v>1940</v>
      </c>
      <c r="C427" s="101" t="s">
        <v>252</v>
      </c>
      <c r="D427" s="96">
        <v>2535629.3499999996</v>
      </c>
      <c r="E427" s="96">
        <v>81475.06</v>
      </c>
      <c r="F427" s="96"/>
      <c r="G427" s="96"/>
      <c r="H427" s="1372">
        <f t="shared" si="45"/>
        <v>2617104.4099999997</v>
      </c>
      <c r="I427" s="96">
        <v>-2045112.8644999999</v>
      </c>
      <c r="J427" s="96">
        <v>-96629.2</v>
      </c>
      <c r="K427" s="96"/>
      <c r="L427" s="96"/>
      <c r="M427" s="1372">
        <f t="shared" si="46"/>
        <v>-2141742.0644999999</v>
      </c>
      <c r="N427" s="1374">
        <f t="shared" si="43"/>
        <v>475362.34549999982</v>
      </c>
      <c r="P427" s="1811"/>
    </row>
    <row r="428" spans="1:16" hidden="1" x14ac:dyDescent="0.2">
      <c r="A428" s="35">
        <v>8</v>
      </c>
      <c r="B428" s="1545">
        <v>1945</v>
      </c>
      <c r="C428" s="101" t="s">
        <v>253</v>
      </c>
      <c r="D428" s="96">
        <v>0</v>
      </c>
      <c r="E428" s="96"/>
      <c r="F428" s="96"/>
      <c r="G428" s="96"/>
      <c r="H428" s="1372">
        <f t="shared" si="45"/>
        <v>0</v>
      </c>
      <c r="I428" s="96">
        <v>0</v>
      </c>
      <c r="J428" s="96"/>
      <c r="K428" s="96"/>
      <c r="L428" s="96"/>
      <c r="M428" s="1372">
        <f t="shared" si="46"/>
        <v>0</v>
      </c>
      <c r="N428" s="1374">
        <f t="shared" si="43"/>
        <v>0</v>
      </c>
      <c r="P428" s="1811"/>
    </row>
    <row r="429" spans="1:16" hidden="1" x14ac:dyDescent="0.2">
      <c r="A429" s="35">
        <v>8</v>
      </c>
      <c r="B429" s="1545">
        <v>1950</v>
      </c>
      <c r="C429" s="101" t="s">
        <v>189</v>
      </c>
      <c r="D429" s="96">
        <v>0</v>
      </c>
      <c r="E429" s="96"/>
      <c r="F429" s="96"/>
      <c r="G429" s="96"/>
      <c r="H429" s="1372">
        <f t="shared" si="45"/>
        <v>0</v>
      </c>
      <c r="I429" s="96">
        <v>0</v>
      </c>
      <c r="J429" s="96"/>
      <c r="K429" s="96"/>
      <c r="L429" s="96"/>
      <c r="M429" s="1372">
        <f t="shared" si="46"/>
        <v>0</v>
      </c>
      <c r="N429" s="1374">
        <f t="shared" si="43"/>
        <v>0</v>
      </c>
      <c r="P429" s="1811"/>
    </row>
    <row r="430" spans="1:16" x14ac:dyDescent="0.2">
      <c r="A430" s="35">
        <v>8</v>
      </c>
      <c r="B430" s="1545">
        <v>1955</v>
      </c>
      <c r="C430" s="101" t="s">
        <v>254</v>
      </c>
      <c r="D430" s="96">
        <v>2407599.48</v>
      </c>
      <c r="E430" s="96">
        <v>0</v>
      </c>
      <c r="F430" s="96"/>
      <c r="G430" s="96"/>
      <c r="H430" s="1372">
        <f t="shared" si="45"/>
        <v>2407599.48</v>
      </c>
      <c r="I430" s="96">
        <v>-1821127.9985999998</v>
      </c>
      <c r="J430" s="96">
        <v>-91011.799999999988</v>
      </c>
      <c r="K430" s="96"/>
      <c r="L430" s="96"/>
      <c r="M430" s="1372">
        <f t="shared" si="46"/>
        <v>-1912139.7985999999</v>
      </c>
      <c r="N430" s="1374">
        <f t="shared" si="43"/>
        <v>495459.68140000012</v>
      </c>
      <c r="P430" s="1811"/>
    </row>
    <row r="431" spans="1:16" hidden="1" x14ac:dyDescent="0.2">
      <c r="A431" s="1559">
        <v>8</v>
      </c>
      <c r="B431" s="102">
        <v>1955</v>
      </c>
      <c r="C431" s="104" t="s">
        <v>190</v>
      </c>
      <c r="D431" s="96">
        <v>0</v>
      </c>
      <c r="E431" s="96"/>
      <c r="F431" s="96"/>
      <c r="G431" s="96"/>
      <c r="H431" s="1372">
        <f t="shared" si="45"/>
        <v>0</v>
      </c>
      <c r="I431" s="96">
        <v>0</v>
      </c>
      <c r="J431" s="96"/>
      <c r="K431" s="96"/>
      <c r="L431" s="96"/>
      <c r="M431" s="1372">
        <f t="shared" si="46"/>
        <v>0</v>
      </c>
      <c r="N431" s="1374">
        <f t="shared" si="43"/>
        <v>0</v>
      </c>
      <c r="P431" s="1811"/>
    </row>
    <row r="432" spans="1:16" hidden="1" x14ac:dyDescent="0.2">
      <c r="A432" s="1559">
        <v>8</v>
      </c>
      <c r="B432" s="105">
        <v>1960</v>
      </c>
      <c r="C432" s="95" t="s">
        <v>191</v>
      </c>
      <c r="D432" s="96">
        <v>0</v>
      </c>
      <c r="E432" s="96"/>
      <c r="F432" s="96"/>
      <c r="G432" s="96"/>
      <c r="H432" s="1372">
        <f t="shared" si="45"/>
        <v>0</v>
      </c>
      <c r="I432" s="96">
        <v>0</v>
      </c>
      <c r="J432" s="96"/>
      <c r="K432" s="96"/>
      <c r="L432" s="96"/>
      <c r="M432" s="1372">
        <f t="shared" si="46"/>
        <v>0</v>
      </c>
      <c r="N432" s="1374">
        <f t="shared" si="43"/>
        <v>0</v>
      </c>
      <c r="P432" s="1811"/>
    </row>
    <row r="433" spans="1:21" ht="25.5" hidden="1" x14ac:dyDescent="0.2">
      <c r="A433" s="1560">
        <v>47</v>
      </c>
      <c r="B433" s="105">
        <v>1970</v>
      </c>
      <c r="C433" s="101" t="s">
        <v>410</v>
      </c>
      <c r="D433" s="96">
        <v>0</v>
      </c>
      <c r="E433" s="96"/>
      <c r="F433" s="96"/>
      <c r="G433" s="96"/>
      <c r="H433" s="1372">
        <f t="shared" si="45"/>
        <v>0</v>
      </c>
      <c r="I433" s="96">
        <v>0</v>
      </c>
      <c r="J433" s="96"/>
      <c r="K433" s="96"/>
      <c r="L433" s="96"/>
      <c r="M433" s="1372">
        <f t="shared" si="46"/>
        <v>0</v>
      </c>
      <c r="N433" s="1374">
        <f t="shared" si="43"/>
        <v>0</v>
      </c>
      <c r="P433" s="1811"/>
    </row>
    <row r="434" spans="1:21" ht="25.5" hidden="1" x14ac:dyDescent="0.2">
      <c r="A434" s="35">
        <v>47</v>
      </c>
      <c r="B434" s="1545">
        <v>1975</v>
      </c>
      <c r="C434" s="101" t="s">
        <v>255</v>
      </c>
      <c r="D434" s="96">
        <v>0</v>
      </c>
      <c r="E434" s="96"/>
      <c r="F434" s="96"/>
      <c r="G434" s="96"/>
      <c r="H434" s="1372">
        <f t="shared" si="45"/>
        <v>0</v>
      </c>
      <c r="I434" s="96">
        <v>0</v>
      </c>
      <c r="J434" s="96"/>
      <c r="K434" s="96"/>
      <c r="L434" s="96"/>
      <c r="M434" s="1372">
        <f t="shared" si="46"/>
        <v>0</v>
      </c>
      <c r="N434" s="1374">
        <f t="shared" si="43"/>
        <v>0</v>
      </c>
      <c r="P434" s="1811"/>
    </row>
    <row r="435" spans="1:21" x14ac:dyDescent="0.2">
      <c r="A435" s="35">
        <v>47</v>
      </c>
      <c r="B435" s="1545">
        <v>1980</v>
      </c>
      <c r="C435" s="101" t="s">
        <v>256</v>
      </c>
      <c r="D435" s="96">
        <v>2305222.42</v>
      </c>
      <c r="E435" s="96">
        <v>264515.33</v>
      </c>
      <c r="F435" s="96"/>
      <c r="G435" s="96">
        <v>29719.52</v>
      </c>
      <c r="H435" s="1372">
        <f>D435+E435+F435+G435</f>
        <v>2599457.27</v>
      </c>
      <c r="I435" s="96">
        <v>-1511403.7527990518</v>
      </c>
      <c r="J435" s="96">
        <v>-63370.09</v>
      </c>
      <c r="K435" s="96"/>
      <c r="L435" s="96">
        <v>-2122.4542499999998</v>
      </c>
      <c r="M435" s="1372">
        <f>I435+J435+K435+L435</f>
        <v>-1576896.2970490518</v>
      </c>
      <c r="N435" s="1374">
        <f t="shared" si="43"/>
        <v>1022560.9729509482</v>
      </c>
      <c r="P435" s="1811"/>
    </row>
    <row r="436" spans="1:21" x14ac:dyDescent="0.2">
      <c r="A436" s="35">
        <v>47</v>
      </c>
      <c r="B436" s="1545">
        <v>1985</v>
      </c>
      <c r="C436" s="101" t="s">
        <v>257</v>
      </c>
      <c r="D436" s="96">
        <v>45834.86</v>
      </c>
      <c r="E436" s="96">
        <v>1832.93</v>
      </c>
      <c r="F436" s="96"/>
      <c r="G436" s="96"/>
      <c r="H436" s="1372">
        <f t="shared" ref="H436:H442" si="47">D436+E436+F436</f>
        <v>47667.79</v>
      </c>
      <c r="I436" s="96">
        <v>-42302.858000000007</v>
      </c>
      <c r="J436" s="96">
        <v>-463.38</v>
      </c>
      <c r="K436" s="96"/>
      <c r="L436" s="96"/>
      <c r="M436" s="1372">
        <f t="shared" ref="M436:M442" si="48">I436+J436+K436</f>
        <v>-42766.238000000005</v>
      </c>
      <c r="N436" s="1374">
        <f t="shared" si="43"/>
        <v>4901.551999999996</v>
      </c>
    </row>
    <row r="437" spans="1:21" hidden="1" x14ac:dyDescent="0.2">
      <c r="A437" s="1560">
        <v>47</v>
      </c>
      <c r="B437" s="1545">
        <v>1990</v>
      </c>
      <c r="C437" s="1546" t="s">
        <v>411</v>
      </c>
      <c r="D437" s="96">
        <v>0</v>
      </c>
      <c r="E437" s="96"/>
      <c r="F437" s="96"/>
      <c r="G437" s="96"/>
      <c r="H437" s="1372">
        <f t="shared" si="47"/>
        <v>0</v>
      </c>
      <c r="I437" s="96">
        <v>0</v>
      </c>
      <c r="J437" s="96"/>
      <c r="K437" s="96"/>
      <c r="L437" s="96"/>
      <c r="M437" s="1372">
        <f t="shared" si="48"/>
        <v>0</v>
      </c>
      <c r="N437" s="1374">
        <f t="shared" si="43"/>
        <v>0</v>
      </c>
    </row>
    <row r="438" spans="1:21" hidden="1" x14ac:dyDescent="0.2">
      <c r="A438" s="35">
        <v>47</v>
      </c>
      <c r="B438" s="1545">
        <v>1995</v>
      </c>
      <c r="C438" s="101" t="s">
        <v>258</v>
      </c>
      <c r="D438" s="96">
        <v>0</v>
      </c>
      <c r="E438" s="96"/>
      <c r="F438" s="96"/>
      <c r="G438" s="96"/>
      <c r="H438" s="1372">
        <f t="shared" si="47"/>
        <v>0</v>
      </c>
      <c r="I438" s="96">
        <v>-4.4895239673806486E-2</v>
      </c>
      <c r="J438" s="96">
        <v>3.0013325158506632E-11</v>
      </c>
      <c r="K438" s="96"/>
      <c r="L438" s="96"/>
      <c r="M438" s="1372">
        <f t="shared" si="48"/>
        <v>-4.4895239643793161E-2</v>
      </c>
      <c r="N438" s="1374">
        <f t="shared" si="43"/>
        <v>-4.4895239643793161E-2</v>
      </c>
    </row>
    <row r="439" spans="1:21" ht="14.25" x14ac:dyDescent="0.2">
      <c r="A439" s="35">
        <v>47</v>
      </c>
      <c r="B439" s="1545">
        <v>2440</v>
      </c>
      <c r="C439" s="101" t="s">
        <v>835</v>
      </c>
      <c r="D439" s="96">
        <v>-5062610.74</v>
      </c>
      <c r="E439" s="96">
        <v>-1293478.6600000001</v>
      </c>
      <c r="F439" s="96"/>
      <c r="G439" s="96">
        <v>-405000</v>
      </c>
      <c r="H439" s="1372">
        <f>D439+E439+F439+G439</f>
        <v>-6761089.4000000004</v>
      </c>
      <c r="I439" s="96">
        <v>331231.35144484299</v>
      </c>
      <c r="J439" s="96">
        <v>167984.85145000002</v>
      </c>
      <c r="K439" s="96"/>
      <c r="L439" s="96">
        <v>30375</v>
      </c>
      <c r="M439" s="1372">
        <f>I439+J439+K439+L439</f>
        <v>529591.20289484295</v>
      </c>
      <c r="N439" s="1374">
        <f t="shared" si="43"/>
        <v>-6231498.1971051572</v>
      </c>
    </row>
    <row r="440" spans="1:21" x14ac:dyDescent="0.2">
      <c r="A440" s="99"/>
      <c r="B440" s="1545">
        <v>1330</v>
      </c>
      <c r="C440" s="1561" t="s">
        <v>1441</v>
      </c>
      <c r="D440" s="96">
        <v>1316431</v>
      </c>
      <c r="E440" s="96">
        <v>89472.61</v>
      </c>
      <c r="F440" s="96"/>
      <c r="G440" s="96"/>
      <c r="H440" s="1372">
        <f t="shared" si="47"/>
        <v>1405903.61</v>
      </c>
      <c r="I440" s="96">
        <v>0</v>
      </c>
      <c r="J440" s="96"/>
      <c r="K440" s="96"/>
      <c r="L440" s="96"/>
      <c r="M440" s="1372">
        <f t="shared" si="48"/>
        <v>0</v>
      </c>
      <c r="N440" s="1374">
        <f t="shared" si="43"/>
        <v>1405903.61</v>
      </c>
    </row>
    <row r="441" spans="1:21" x14ac:dyDescent="0.2">
      <c r="A441" s="99"/>
      <c r="B441" s="1545">
        <v>2055</v>
      </c>
      <c r="C441" s="1562" t="s">
        <v>1442</v>
      </c>
      <c r="D441" s="96">
        <v>911100.47999999986</v>
      </c>
      <c r="E441" s="96">
        <v>567670.99999999988</v>
      </c>
      <c r="F441" s="96">
        <v>-793279.46</v>
      </c>
      <c r="G441" s="96"/>
      <c r="H441" s="1372">
        <f t="shared" si="47"/>
        <v>685492.01999999979</v>
      </c>
      <c r="I441" s="96">
        <v>0</v>
      </c>
      <c r="J441" s="96"/>
      <c r="K441" s="96"/>
      <c r="L441" s="96"/>
      <c r="M441" s="1372">
        <f t="shared" si="48"/>
        <v>0</v>
      </c>
      <c r="N441" s="1374">
        <f t="shared" si="43"/>
        <v>685492.01999999979</v>
      </c>
    </row>
    <row r="442" spans="1:21" hidden="1" x14ac:dyDescent="0.2">
      <c r="A442" s="106"/>
      <c r="B442" s="106"/>
      <c r="C442" s="107"/>
      <c r="D442" s="96">
        <f t="shared" si="41"/>
        <v>0</v>
      </c>
      <c r="E442" s="108"/>
      <c r="F442" s="108"/>
      <c r="G442" s="108"/>
      <c r="H442" s="1372">
        <f t="shared" si="47"/>
        <v>0</v>
      </c>
      <c r="I442" s="96">
        <f t="shared" ref="I442" si="49">K378</f>
        <v>0</v>
      </c>
      <c r="J442" s="96"/>
      <c r="K442" s="96"/>
      <c r="L442" s="96"/>
      <c r="M442" s="1372">
        <f t="shared" si="48"/>
        <v>0</v>
      </c>
      <c r="N442" s="1374">
        <f t="shared" si="43"/>
        <v>0</v>
      </c>
    </row>
    <row r="443" spans="1:21" x14ac:dyDescent="0.2">
      <c r="A443" s="106"/>
      <c r="B443" s="106"/>
      <c r="C443" s="109" t="s">
        <v>175</v>
      </c>
      <c r="D443" s="1373">
        <f>SUM(D399:D442)</f>
        <v>216427426.22239995</v>
      </c>
      <c r="E443" s="1373">
        <f t="shared" ref="E443:N443" si="50">SUM(E399:E442)</f>
        <v>8606056.3733333331</v>
      </c>
      <c r="F443" s="1373">
        <f t="shared" si="50"/>
        <v>-3653785.1599999997</v>
      </c>
      <c r="G443" s="1373">
        <f t="shared" si="50"/>
        <v>553972.18000000028</v>
      </c>
      <c r="H443" s="1373">
        <f>SUM(H399:H442)</f>
        <v>221933669.61573336</v>
      </c>
      <c r="I443" s="96">
        <f t="shared" si="50"/>
        <v>-122965464.87610394</v>
      </c>
      <c r="J443" s="96">
        <f>SUM(J399:J442)</f>
        <v>-4484855.9670168441</v>
      </c>
      <c r="K443" s="96">
        <f t="shared" si="50"/>
        <v>2261789.64</v>
      </c>
      <c r="L443" s="96">
        <f t="shared" si="50"/>
        <v>-43109.794125000015</v>
      </c>
      <c r="M443" s="1373">
        <f t="shared" si="50"/>
        <v>-125231640.9972458</v>
      </c>
      <c r="N443" s="1373">
        <f t="shared" si="50"/>
        <v>96702028.618487537</v>
      </c>
      <c r="O443" s="1811"/>
      <c r="P443" s="1811"/>
    </row>
    <row r="444" spans="1:21" ht="37.5" x14ac:dyDescent="0.2">
      <c r="A444" s="106"/>
      <c r="B444" s="106"/>
      <c r="C444" s="111" t="s">
        <v>503</v>
      </c>
      <c r="D444" s="108"/>
      <c r="E444" s="108"/>
      <c r="F444" s="108"/>
      <c r="G444" s="108"/>
      <c r="H444" s="1372">
        <f>D444+E444+F444</f>
        <v>0</v>
      </c>
      <c r="I444" s="96"/>
      <c r="J444" s="96"/>
      <c r="K444" s="96"/>
      <c r="L444" s="96"/>
      <c r="M444" s="1372">
        <f>I444+J444+K444</f>
        <v>0</v>
      </c>
      <c r="N444" s="1374">
        <f>H444+M444</f>
        <v>0</v>
      </c>
      <c r="P444" s="1671"/>
      <c r="U444" s="1811"/>
    </row>
    <row r="445" spans="1:21" ht="25.5" x14ac:dyDescent="0.2">
      <c r="A445" s="106"/>
      <c r="B445" s="106"/>
      <c r="C445" s="112" t="s">
        <v>502</v>
      </c>
      <c r="D445" s="1563">
        <f>G381</f>
        <v>-129739</v>
      </c>
      <c r="E445" s="108"/>
      <c r="F445" s="108"/>
      <c r="G445" s="108"/>
      <c r="H445" s="1372">
        <f>D445+E445+F445</f>
        <v>-129739</v>
      </c>
      <c r="I445" s="1567">
        <f>K381</f>
        <v>129739</v>
      </c>
      <c r="J445" s="108"/>
      <c r="K445" s="108"/>
      <c r="L445" s="108"/>
      <c r="M445" s="1372">
        <f>I445+J445+K445</f>
        <v>129739</v>
      </c>
      <c r="N445" s="1374">
        <f>H445+M445</f>
        <v>0</v>
      </c>
    </row>
    <row r="446" spans="1:21" x14ac:dyDescent="0.2">
      <c r="A446" s="106"/>
      <c r="B446" s="106"/>
      <c r="C446" s="109" t="s">
        <v>412</v>
      </c>
      <c r="D446" s="1373">
        <f>SUM(D443:D445)</f>
        <v>216297687.22239995</v>
      </c>
      <c r="E446" s="1373">
        <f t="shared" ref="E446:L446" si="51">SUM(E443:E445)</f>
        <v>8606056.3733333331</v>
      </c>
      <c r="F446" s="1373">
        <f t="shared" si="51"/>
        <v>-3653785.1599999997</v>
      </c>
      <c r="G446" s="1373">
        <f t="shared" si="51"/>
        <v>553972.18000000028</v>
      </c>
      <c r="H446" s="1373">
        <f t="shared" si="51"/>
        <v>221803930.61573336</v>
      </c>
      <c r="I446" s="1373">
        <f t="shared" si="51"/>
        <v>-122835725.87610394</v>
      </c>
      <c r="J446" s="1373">
        <f t="shared" si="51"/>
        <v>-4484855.9670168441</v>
      </c>
      <c r="K446" s="1373">
        <f t="shared" si="51"/>
        <v>2261789.64</v>
      </c>
      <c r="L446" s="1373">
        <f t="shared" si="51"/>
        <v>-43109.794125000015</v>
      </c>
      <c r="M446" s="1373">
        <f>SUM(M443:M445)</f>
        <v>-125101901.9972458</v>
      </c>
      <c r="N446" s="1373">
        <f>SUM(N443:N445)</f>
        <v>96702028.618487537</v>
      </c>
      <c r="R446" s="1811"/>
    </row>
    <row r="447" spans="1:21" ht="14.25" x14ac:dyDescent="0.2">
      <c r="A447" s="106"/>
      <c r="B447" s="106"/>
      <c r="C447" s="1651" t="s">
        <v>801</v>
      </c>
      <c r="D447" s="1652"/>
      <c r="E447" s="1652"/>
      <c r="F447" s="1652"/>
      <c r="G447" s="1652"/>
      <c r="H447" s="1652"/>
      <c r="I447" s="1653"/>
      <c r="J447" s="108"/>
      <c r="K447" s="113"/>
      <c r="L447" s="113"/>
      <c r="M447" s="114"/>
      <c r="N447" s="115"/>
    </row>
    <row r="448" spans="1:21" x14ac:dyDescent="0.2">
      <c r="A448" s="106"/>
      <c r="B448" s="106"/>
      <c r="C448" s="1651" t="s">
        <v>259</v>
      </c>
      <c r="D448" s="1652"/>
      <c r="E448" s="1652"/>
      <c r="F448" s="1652"/>
      <c r="G448" s="1652"/>
      <c r="H448" s="1652"/>
      <c r="I448" s="1653"/>
      <c r="J448" s="1373">
        <f>J446+J447</f>
        <v>-4484855.9670168441</v>
      </c>
      <c r="K448" s="113"/>
      <c r="L448" s="113"/>
      <c r="M448" s="114"/>
      <c r="N448" s="115"/>
    </row>
    <row r="449" spans="1:14" x14ac:dyDescent="0.2">
      <c r="A449" s="267"/>
      <c r="B449" s="267"/>
      <c r="C449" s="1669" t="s">
        <v>1530</v>
      </c>
      <c r="D449" s="1670">
        <f>D446-D441-D440</f>
        <v>214070155.74239996</v>
      </c>
      <c r="E449" s="1670">
        <f>E446-E441-E440</f>
        <v>7948912.7633333327</v>
      </c>
      <c r="F449" s="1669"/>
      <c r="G449" s="1669"/>
      <c r="H449" s="1670">
        <f>H446-H441-H440</f>
        <v>219712534.98573333</v>
      </c>
      <c r="I449" s="1669"/>
      <c r="J449" s="1625"/>
      <c r="K449" s="113"/>
      <c r="L449" s="113"/>
      <c r="M449" s="114"/>
      <c r="N449" s="1670">
        <f>N446-N441-N440</f>
        <v>94610632.988487542</v>
      </c>
    </row>
    <row r="450" spans="1:14" x14ac:dyDescent="0.2">
      <c r="A450" s="1547"/>
      <c r="B450" s="1547"/>
      <c r="H450" s="1671"/>
    </row>
    <row r="451" spans="1:14" x14ac:dyDescent="0.2">
      <c r="A451" s="1547"/>
      <c r="B451" s="1547"/>
      <c r="H451" s="116" t="s">
        <v>343</v>
      </c>
      <c r="I451" s="1548"/>
    </row>
    <row r="452" spans="1:14" x14ac:dyDescent="0.2">
      <c r="A452" s="106">
        <v>10</v>
      </c>
      <c r="B452" s="106"/>
      <c r="C452" s="1436" t="s">
        <v>260</v>
      </c>
      <c r="D452" s="1437"/>
      <c r="E452" s="1437"/>
      <c r="F452" s="1437"/>
      <c r="G452" s="1437"/>
      <c r="H452" s="1438" t="s">
        <v>260</v>
      </c>
      <c r="I452" s="1438"/>
      <c r="J452" s="1698">
        <f>J425</f>
        <v>-433924.63</v>
      </c>
    </row>
    <row r="453" spans="1:14" x14ac:dyDescent="0.2">
      <c r="A453" s="106">
        <v>8</v>
      </c>
      <c r="B453" s="106"/>
      <c r="C453" s="1436" t="s">
        <v>251</v>
      </c>
      <c r="D453" s="1437"/>
      <c r="E453" s="1437"/>
      <c r="F453" s="1437"/>
      <c r="G453" s="1437"/>
      <c r="H453" s="1438" t="s">
        <v>251</v>
      </c>
      <c r="I453" s="1438"/>
      <c r="J453" s="1698">
        <f>J427</f>
        <v>-96629.2</v>
      </c>
    </row>
    <row r="454" spans="1:14" x14ac:dyDescent="0.2">
      <c r="A454" s="106"/>
      <c r="B454" s="106">
        <v>2440</v>
      </c>
      <c r="C454" s="1436" t="s">
        <v>1581</v>
      </c>
      <c r="D454" s="1437"/>
      <c r="E454" s="1437"/>
      <c r="F454" s="1437"/>
      <c r="G454" s="1437"/>
      <c r="H454" s="1438"/>
      <c r="I454" s="1438"/>
      <c r="J454" s="1565">
        <f>J439</f>
        <v>167984.85145000002</v>
      </c>
    </row>
    <row r="455" spans="1:14" x14ac:dyDescent="0.2">
      <c r="A455" s="1547"/>
      <c r="B455" s="1547"/>
      <c r="H455" s="117" t="s">
        <v>261</v>
      </c>
      <c r="J455" s="1439">
        <f>J448-J452-J453-J454</f>
        <v>-4122286.988466844</v>
      </c>
    </row>
    <row r="456" spans="1:14" x14ac:dyDescent="0.2">
      <c r="A456" s="1547"/>
      <c r="B456" s="1547"/>
      <c r="I456" s="117"/>
      <c r="K456" s="1566"/>
    </row>
    <row r="457" spans="1:14" x14ac:dyDescent="0.2">
      <c r="A457" s="1547"/>
      <c r="B457" s="1547"/>
      <c r="I457" s="117"/>
      <c r="K457" s="1566"/>
    </row>
    <row r="458" spans="1:14" x14ac:dyDescent="0.2">
      <c r="A458" s="1547"/>
      <c r="B458" s="1547"/>
      <c r="E458" s="70" t="s">
        <v>778</v>
      </c>
      <c r="F458" s="30" t="s">
        <v>92</v>
      </c>
      <c r="H458" s="34"/>
    </row>
    <row r="459" spans="1:14" ht="15" x14ac:dyDescent="0.25">
      <c r="A459" s="1547"/>
      <c r="B459" s="1547"/>
      <c r="C459" s="38"/>
      <c r="E459" s="70" t="s">
        <v>89</v>
      </c>
      <c r="F459" s="84">
        <v>2020</v>
      </c>
      <c r="G459" s="85"/>
    </row>
    <row r="460" spans="1:14" x14ac:dyDescent="0.2">
      <c r="A460" s="1547"/>
      <c r="B460" s="1547"/>
    </row>
    <row r="461" spans="1:14" x14ac:dyDescent="0.2">
      <c r="A461" s="1547"/>
      <c r="B461" s="1547"/>
      <c r="D461" s="1926" t="s">
        <v>233</v>
      </c>
      <c r="E461" s="1927"/>
      <c r="F461" s="1927"/>
      <c r="G461" s="1928"/>
      <c r="H461" s="86"/>
      <c r="I461" s="87" t="s">
        <v>234</v>
      </c>
      <c r="J461" s="87"/>
      <c r="K461" s="88"/>
      <c r="L461" s="83"/>
    </row>
    <row r="462" spans="1:14" ht="30" customHeight="1" x14ac:dyDescent="0.2">
      <c r="A462" s="89" t="s">
        <v>867</v>
      </c>
      <c r="B462" s="89" t="s">
        <v>869</v>
      </c>
      <c r="C462" s="90" t="s">
        <v>870</v>
      </c>
      <c r="D462" s="89" t="s">
        <v>206</v>
      </c>
      <c r="E462" s="91" t="s">
        <v>868</v>
      </c>
      <c r="F462" s="91" t="s">
        <v>929</v>
      </c>
      <c r="G462" s="89" t="s">
        <v>232</v>
      </c>
      <c r="H462" s="92" t="s">
        <v>206</v>
      </c>
      <c r="I462" s="93" t="s">
        <v>207</v>
      </c>
      <c r="J462" s="93" t="s">
        <v>929</v>
      </c>
      <c r="K462" s="94" t="s">
        <v>232</v>
      </c>
      <c r="L462" s="89" t="s">
        <v>263</v>
      </c>
    </row>
    <row r="463" spans="1:14" ht="18.600000000000001" hidden="1" customHeight="1" x14ac:dyDescent="0.2">
      <c r="A463" s="89"/>
      <c r="B463" s="1545">
        <v>1609</v>
      </c>
      <c r="C463" s="95" t="s">
        <v>1073</v>
      </c>
      <c r="D463" s="96">
        <f t="shared" ref="D463:D464" si="52">H399</f>
        <v>0</v>
      </c>
      <c r="E463" s="96"/>
      <c r="F463" s="96"/>
      <c r="G463" s="1372">
        <f t="shared" ref="G463:G506" si="53">D463+E463+F463</f>
        <v>0</v>
      </c>
      <c r="H463" s="98">
        <f>M399</f>
        <v>0</v>
      </c>
      <c r="I463" s="96"/>
      <c r="J463" s="96"/>
      <c r="K463" s="1372">
        <f t="shared" ref="K463:K503" si="54">H463+I463+J463</f>
        <v>0</v>
      </c>
      <c r="L463" s="1374">
        <f t="shared" ref="L463:L506" si="55">G463+K463</f>
        <v>0</v>
      </c>
    </row>
    <row r="464" spans="1:14" ht="18.600000000000001" hidden="1" customHeight="1" x14ac:dyDescent="0.2">
      <c r="A464" s="89"/>
      <c r="B464" s="1659">
        <v>1610</v>
      </c>
      <c r="C464" s="95" t="s">
        <v>1527</v>
      </c>
      <c r="D464" s="96">
        <f t="shared" si="52"/>
        <v>0</v>
      </c>
      <c r="E464" s="96"/>
      <c r="F464" s="96"/>
      <c r="G464" s="1372">
        <f t="shared" si="53"/>
        <v>0</v>
      </c>
      <c r="H464" s="98"/>
      <c r="I464" s="96"/>
      <c r="J464" s="96"/>
      <c r="K464" s="1372"/>
      <c r="L464" s="1374">
        <f t="shared" si="55"/>
        <v>0</v>
      </c>
    </row>
    <row r="465" spans="1:12" ht="25.5" x14ac:dyDescent="0.2">
      <c r="A465" s="35">
        <v>12</v>
      </c>
      <c r="B465" s="1545">
        <v>1611</v>
      </c>
      <c r="C465" s="95" t="s">
        <v>325</v>
      </c>
      <c r="D465" s="96">
        <v>3218378.7600000007</v>
      </c>
      <c r="E465" s="96">
        <v>180000</v>
      </c>
      <c r="F465" s="96"/>
      <c r="G465" s="1372">
        <f t="shared" si="53"/>
        <v>3398378.7600000007</v>
      </c>
      <c r="H465" s="98">
        <v>-3202809.8019999997</v>
      </c>
      <c r="I465" s="96">
        <v>-32135.16</v>
      </c>
      <c r="J465" s="96"/>
      <c r="K465" s="1372">
        <f t="shared" si="54"/>
        <v>-3234944.9619999998</v>
      </c>
      <c r="L465" s="1824">
        <f t="shared" si="55"/>
        <v>163433.79800000088</v>
      </c>
    </row>
    <row r="466" spans="1:12" ht="25.5" x14ac:dyDescent="0.2">
      <c r="A466" s="35" t="s">
        <v>243</v>
      </c>
      <c r="B466" s="1545">
        <v>1612</v>
      </c>
      <c r="C466" s="95" t="s">
        <v>360</v>
      </c>
      <c r="D466" s="96">
        <v>65313.67</v>
      </c>
      <c r="E466" s="96"/>
      <c r="F466" s="96"/>
      <c r="G466" s="1372">
        <f t="shared" si="53"/>
        <v>65313.67</v>
      </c>
      <c r="H466" s="98">
        <v>0</v>
      </c>
      <c r="I466" s="96"/>
      <c r="J466" s="96"/>
      <c r="K466" s="1372">
        <f t="shared" si="54"/>
        <v>0</v>
      </c>
      <c r="L466" s="1824">
        <f t="shared" si="55"/>
        <v>65313.67</v>
      </c>
    </row>
    <row r="467" spans="1:12" x14ac:dyDescent="0.2">
      <c r="A467" s="35" t="s">
        <v>235</v>
      </c>
      <c r="B467" s="99">
        <v>1805</v>
      </c>
      <c r="C467" s="100" t="s">
        <v>236</v>
      </c>
      <c r="D467" s="96">
        <v>940078.79999999981</v>
      </c>
      <c r="E467" s="96"/>
      <c r="F467" s="96"/>
      <c r="G467" s="1372">
        <f t="shared" si="53"/>
        <v>940078.79999999981</v>
      </c>
      <c r="H467" s="98">
        <v>0</v>
      </c>
      <c r="I467" s="96"/>
      <c r="J467" s="96"/>
      <c r="K467" s="1372">
        <f t="shared" si="54"/>
        <v>0</v>
      </c>
      <c r="L467" s="1824">
        <f t="shared" si="55"/>
        <v>940078.79999999981</v>
      </c>
    </row>
    <row r="468" spans="1:12" x14ac:dyDescent="0.2">
      <c r="A468" s="35">
        <v>47</v>
      </c>
      <c r="B468" s="99">
        <v>1808</v>
      </c>
      <c r="C468" s="101" t="s">
        <v>237</v>
      </c>
      <c r="D468" s="96">
        <v>2987641.7599999974</v>
      </c>
      <c r="E468" s="96"/>
      <c r="F468" s="96"/>
      <c r="G468" s="1410">
        <f t="shared" si="53"/>
        <v>2987641.7599999974</v>
      </c>
      <c r="H468" s="98">
        <v>-1781602.69</v>
      </c>
      <c r="I468" s="96">
        <v>-62717.72</v>
      </c>
      <c r="J468" s="96"/>
      <c r="K468" s="1410">
        <f>H468+I468+J468</f>
        <v>-1844320.41</v>
      </c>
      <c r="L468" s="1374">
        <f t="shared" si="55"/>
        <v>1143321.3499999975</v>
      </c>
    </row>
    <row r="469" spans="1:12" ht="18" hidden="1" customHeight="1" x14ac:dyDescent="0.2">
      <c r="A469" s="35">
        <v>13</v>
      </c>
      <c r="B469" s="99">
        <v>1810</v>
      </c>
      <c r="C469" s="101" t="s">
        <v>262</v>
      </c>
      <c r="D469" s="96">
        <v>0</v>
      </c>
      <c r="E469" s="96"/>
      <c r="F469" s="96"/>
      <c r="G469" s="1410">
        <f t="shared" si="53"/>
        <v>0</v>
      </c>
      <c r="H469" s="98">
        <v>0</v>
      </c>
      <c r="I469" s="96"/>
      <c r="J469" s="96"/>
      <c r="K469" s="1410">
        <f t="shared" si="54"/>
        <v>0</v>
      </c>
      <c r="L469" s="1374">
        <f t="shared" si="55"/>
        <v>0</v>
      </c>
    </row>
    <row r="470" spans="1:12" ht="11.45" hidden="1" customHeight="1" x14ac:dyDescent="0.2">
      <c r="A470" s="35">
        <v>47</v>
      </c>
      <c r="B470" s="99">
        <v>1815</v>
      </c>
      <c r="C470" s="101" t="s">
        <v>238</v>
      </c>
      <c r="D470" s="96">
        <v>0</v>
      </c>
      <c r="E470" s="96"/>
      <c r="F470" s="96"/>
      <c r="G470" s="1410">
        <f t="shared" si="53"/>
        <v>0</v>
      </c>
      <c r="H470" s="98">
        <v>0</v>
      </c>
      <c r="I470" s="96"/>
      <c r="J470" s="96"/>
      <c r="K470" s="1410">
        <f t="shared" si="54"/>
        <v>0</v>
      </c>
      <c r="L470" s="1374">
        <f t="shared" si="55"/>
        <v>0</v>
      </c>
    </row>
    <row r="471" spans="1:12" x14ac:dyDescent="0.2">
      <c r="A471" s="35">
        <v>47</v>
      </c>
      <c r="B471" s="99">
        <v>1820</v>
      </c>
      <c r="C471" s="95" t="s">
        <v>178</v>
      </c>
      <c r="D471" s="96">
        <v>22414635.07</v>
      </c>
      <c r="E471" s="96">
        <v>2783837</v>
      </c>
      <c r="F471" s="96">
        <v>-330867.36639115401</v>
      </c>
      <c r="G471" s="1410">
        <f>D471+E471+F471</f>
        <v>24867604.703608848</v>
      </c>
      <c r="H471" s="98">
        <v>-12193943.32</v>
      </c>
      <c r="I471" s="96">
        <v>-469779.12700321258</v>
      </c>
      <c r="J471" s="96">
        <v>272637.36639115401</v>
      </c>
      <c r="K471" s="1410">
        <f t="shared" si="54"/>
        <v>-12391085.08061206</v>
      </c>
      <c r="L471" s="1374">
        <f t="shared" si="55"/>
        <v>12476519.622996788</v>
      </c>
    </row>
    <row r="472" spans="1:12" ht="16.149999999999999" customHeight="1" x14ac:dyDescent="0.2">
      <c r="A472" s="35">
        <v>47</v>
      </c>
      <c r="B472" s="99">
        <v>1825</v>
      </c>
      <c r="C472" s="101" t="s">
        <v>239</v>
      </c>
      <c r="D472" s="96">
        <v>881028.25000000023</v>
      </c>
      <c r="E472" s="96"/>
      <c r="F472" s="96"/>
      <c r="G472" s="1410">
        <f t="shared" si="53"/>
        <v>881028.25000000023</v>
      </c>
      <c r="H472" s="98">
        <v>-109988.49375000002</v>
      </c>
      <c r="I472" s="96">
        <v>-44051.4</v>
      </c>
      <c r="J472" s="96"/>
      <c r="K472" s="1410">
        <f t="shared" si="54"/>
        <v>-154039.89375000002</v>
      </c>
      <c r="L472" s="1374">
        <f t="shared" si="55"/>
        <v>726988.35625000019</v>
      </c>
    </row>
    <row r="473" spans="1:12" x14ac:dyDescent="0.2">
      <c r="A473" s="35">
        <v>47</v>
      </c>
      <c r="B473" s="99">
        <v>1830</v>
      </c>
      <c r="C473" s="101" t="s">
        <v>240</v>
      </c>
      <c r="D473" s="96">
        <v>28956335.036666669</v>
      </c>
      <c r="E473" s="96">
        <v>1502527.7999999998</v>
      </c>
      <c r="F473" s="96">
        <v>-501864.51096437877</v>
      </c>
      <c r="G473" s="1410">
        <f t="shared" si="53"/>
        <v>29956998.325702291</v>
      </c>
      <c r="H473" s="98">
        <v>-10881991.369147439</v>
      </c>
      <c r="I473" s="96">
        <v>-620406.4375</v>
      </c>
      <c r="J473" s="96">
        <v>413534.51096437877</v>
      </c>
      <c r="K473" s="1410">
        <f t="shared" si="54"/>
        <v>-11088863.29568306</v>
      </c>
      <c r="L473" s="1374">
        <f t="shared" si="55"/>
        <v>18868135.030019231</v>
      </c>
    </row>
    <row r="474" spans="1:12" x14ac:dyDescent="0.2">
      <c r="A474" s="35">
        <v>47</v>
      </c>
      <c r="B474" s="99">
        <v>1835</v>
      </c>
      <c r="C474" s="101" t="s">
        <v>179</v>
      </c>
      <c r="D474" s="96">
        <v>40860072.57</v>
      </c>
      <c r="E474" s="96">
        <v>1529657.1900000002</v>
      </c>
      <c r="F474" s="96">
        <v>-888305.05168761068</v>
      </c>
      <c r="G474" s="1410">
        <f t="shared" si="53"/>
        <v>41501424.708312385</v>
      </c>
      <c r="H474" s="98">
        <v>-27224001.201991562</v>
      </c>
      <c r="I474" s="96">
        <v>-578714.29679381754</v>
      </c>
      <c r="J474" s="96">
        <v>731965.05168761068</v>
      </c>
      <c r="K474" s="1410">
        <f t="shared" si="54"/>
        <v>-27070750.447097771</v>
      </c>
      <c r="L474" s="1374">
        <f t="shared" si="55"/>
        <v>14430674.261214614</v>
      </c>
    </row>
    <row r="475" spans="1:12" x14ac:dyDescent="0.2">
      <c r="A475" s="35">
        <v>47</v>
      </c>
      <c r="B475" s="99">
        <v>1840</v>
      </c>
      <c r="C475" s="101" t="s">
        <v>180</v>
      </c>
      <c r="D475" s="96">
        <v>24878645.989999998</v>
      </c>
      <c r="E475" s="96">
        <v>778583.97</v>
      </c>
      <c r="F475" s="96">
        <v>-28475.985607098508</v>
      </c>
      <c r="G475" s="1410">
        <f t="shared" si="53"/>
        <v>25628753.974392898</v>
      </c>
      <c r="H475" s="98">
        <v>-13966599.879669895</v>
      </c>
      <c r="I475" s="96">
        <v>-318129.47970000003</v>
      </c>
      <c r="J475" s="96">
        <v>23465.985607098508</v>
      </c>
      <c r="K475" s="1410">
        <f t="shared" si="54"/>
        <v>-14261263.373762798</v>
      </c>
      <c r="L475" s="1374">
        <f t="shared" si="55"/>
        <v>11367490.600630101</v>
      </c>
    </row>
    <row r="476" spans="1:12" x14ac:dyDescent="0.2">
      <c r="A476" s="35">
        <v>47</v>
      </c>
      <c r="B476" s="99">
        <v>1845</v>
      </c>
      <c r="C476" s="101" t="s">
        <v>181</v>
      </c>
      <c r="D476" s="96">
        <v>17295444.086666673</v>
      </c>
      <c r="E476" s="96">
        <v>652415.18999999994</v>
      </c>
      <c r="F476" s="96">
        <v>-186313.12035579194</v>
      </c>
      <c r="G476" s="1410">
        <f t="shared" si="53"/>
        <v>17761546.156310882</v>
      </c>
      <c r="H476" s="98">
        <v>-10818038.616128737</v>
      </c>
      <c r="I476" s="96">
        <v>-282712.31281453901</v>
      </c>
      <c r="J476" s="96">
        <v>153523.12035579194</v>
      </c>
      <c r="K476" s="1410">
        <f t="shared" si="54"/>
        <v>-10947227.808587484</v>
      </c>
      <c r="L476" s="1374">
        <f t="shared" si="55"/>
        <v>6814318.3477233984</v>
      </c>
    </row>
    <row r="477" spans="1:12" x14ac:dyDescent="0.2">
      <c r="A477" s="35">
        <v>47</v>
      </c>
      <c r="B477" s="99">
        <v>1850</v>
      </c>
      <c r="C477" s="101" t="s">
        <v>241</v>
      </c>
      <c r="D477" s="96">
        <v>31170543.429999996</v>
      </c>
      <c r="E477" s="96">
        <v>968558.92999999993</v>
      </c>
      <c r="F477" s="96">
        <v>-935406.76392625214</v>
      </c>
      <c r="G477" s="1410">
        <f t="shared" si="53"/>
        <v>31203695.596073743</v>
      </c>
      <c r="H477" s="98">
        <v>-15829245.952594366</v>
      </c>
      <c r="I477" s="96">
        <v>-547686.7402334871</v>
      </c>
      <c r="J477" s="96">
        <v>770776.76392625214</v>
      </c>
      <c r="K477" s="1410">
        <f t="shared" si="54"/>
        <v>-15606155.9289016</v>
      </c>
      <c r="L477" s="1374">
        <f t="shared" si="55"/>
        <v>15597539.667172143</v>
      </c>
    </row>
    <row r="478" spans="1:12" x14ac:dyDescent="0.2">
      <c r="A478" s="35">
        <v>47</v>
      </c>
      <c r="B478" s="99">
        <v>1855</v>
      </c>
      <c r="C478" s="101" t="s">
        <v>182</v>
      </c>
      <c r="D478" s="96">
        <v>16649095.799999997</v>
      </c>
      <c r="E478" s="96">
        <v>543664.92000000004</v>
      </c>
      <c r="F478" s="96">
        <v>-149699.20106771388</v>
      </c>
      <c r="G478" s="1410">
        <f t="shared" si="53"/>
        <v>17043061.518932287</v>
      </c>
      <c r="H478" s="98">
        <v>-7828108.8353747474</v>
      </c>
      <c r="I478" s="96">
        <v>-322457.4915</v>
      </c>
      <c r="J478" s="96">
        <v>123339.20106771388</v>
      </c>
      <c r="K478" s="1410">
        <f t="shared" si="54"/>
        <v>-8027227.1258070339</v>
      </c>
      <c r="L478" s="1374">
        <f t="shared" si="55"/>
        <v>9015834.3931252528</v>
      </c>
    </row>
    <row r="479" spans="1:12" x14ac:dyDescent="0.2">
      <c r="A479" s="35">
        <v>47</v>
      </c>
      <c r="B479" s="99">
        <v>1860</v>
      </c>
      <c r="C479" s="101" t="s">
        <v>242</v>
      </c>
      <c r="D479" s="96">
        <v>9174233.0923999976</v>
      </c>
      <c r="E479" s="96">
        <v>174862</v>
      </c>
      <c r="F479" s="96"/>
      <c r="G479" s="1410">
        <f t="shared" si="53"/>
        <v>9349095.0923999976</v>
      </c>
      <c r="H479" s="98">
        <v>-5473705.1461295253</v>
      </c>
      <c r="I479" s="96">
        <v>-523883.56719999993</v>
      </c>
      <c r="J479" s="96"/>
      <c r="K479" s="1410">
        <f t="shared" si="54"/>
        <v>-5997588.7133295257</v>
      </c>
      <c r="L479" s="1374">
        <f t="shared" si="55"/>
        <v>3351506.379070472</v>
      </c>
    </row>
    <row r="480" spans="1:12" ht="14.45" hidden="1" customHeight="1" x14ac:dyDescent="0.2">
      <c r="A480" s="35">
        <v>47</v>
      </c>
      <c r="B480" s="99">
        <v>1860</v>
      </c>
      <c r="C480" s="100" t="s">
        <v>183</v>
      </c>
      <c r="D480" s="96"/>
      <c r="E480" s="96"/>
      <c r="F480" s="96"/>
      <c r="G480" s="1372">
        <f t="shared" si="53"/>
        <v>0</v>
      </c>
      <c r="H480" s="98"/>
      <c r="I480" s="96"/>
      <c r="J480" s="96"/>
      <c r="K480" s="1410">
        <f t="shared" si="54"/>
        <v>0</v>
      </c>
      <c r="L480" s="1374">
        <f t="shared" si="55"/>
        <v>0</v>
      </c>
    </row>
    <row r="481" spans="1:12" ht="15" hidden="1" customHeight="1" x14ac:dyDescent="0.2">
      <c r="A481" s="35" t="s">
        <v>235</v>
      </c>
      <c r="B481" s="99">
        <v>1905</v>
      </c>
      <c r="C481" s="100" t="s">
        <v>236</v>
      </c>
      <c r="D481" s="96">
        <v>0</v>
      </c>
      <c r="E481" s="96"/>
      <c r="F481" s="96"/>
      <c r="G481" s="1372">
        <f t="shared" si="53"/>
        <v>0</v>
      </c>
      <c r="H481" s="98">
        <v>0</v>
      </c>
      <c r="I481" s="96"/>
      <c r="J481" s="96"/>
      <c r="K481" s="1372">
        <f t="shared" si="54"/>
        <v>0</v>
      </c>
      <c r="L481" s="1374">
        <f t="shared" si="55"/>
        <v>0</v>
      </c>
    </row>
    <row r="482" spans="1:12" ht="14.45" customHeight="1" x14ac:dyDescent="0.2">
      <c r="A482" s="35">
        <v>47</v>
      </c>
      <c r="B482" s="99">
        <v>1908</v>
      </c>
      <c r="C482" s="101" t="s">
        <v>244</v>
      </c>
      <c r="D482" s="96">
        <v>11973707.310000001</v>
      </c>
      <c r="E482" s="96">
        <v>500000</v>
      </c>
      <c r="F482" s="96"/>
      <c r="G482" s="1372">
        <f>D482+E482+F482</f>
        <v>12473707.310000001</v>
      </c>
      <c r="H482" s="98">
        <v>-5302817.68</v>
      </c>
      <c r="I482" s="96">
        <v>-361980.88</v>
      </c>
      <c r="J482" s="96"/>
      <c r="K482" s="1372">
        <f>H482+I482+J482</f>
        <v>-5664798.5599999996</v>
      </c>
      <c r="L482" s="1374">
        <f t="shared" si="55"/>
        <v>6808908.7500000009</v>
      </c>
    </row>
    <row r="483" spans="1:12" ht="9" hidden="1" customHeight="1" x14ac:dyDescent="0.2">
      <c r="A483" s="35">
        <v>13</v>
      </c>
      <c r="B483" s="99">
        <v>1910</v>
      </c>
      <c r="C483" s="101" t="s">
        <v>262</v>
      </c>
      <c r="D483" s="96">
        <v>0</v>
      </c>
      <c r="E483" s="96"/>
      <c r="F483" s="96"/>
      <c r="G483" s="1372">
        <f t="shared" si="53"/>
        <v>0</v>
      </c>
      <c r="H483" s="98">
        <v>0</v>
      </c>
      <c r="I483" s="96"/>
      <c r="J483" s="96"/>
      <c r="K483" s="1372">
        <f t="shared" si="54"/>
        <v>0</v>
      </c>
      <c r="L483" s="1374">
        <f t="shared" si="55"/>
        <v>0</v>
      </c>
    </row>
    <row r="484" spans="1:12" x14ac:dyDescent="0.2">
      <c r="A484" s="35">
        <v>8</v>
      </c>
      <c r="B484" s="99">
        <v>1915</v>
      </c>
      <c r="C484" s="101" t="s">
        <v>184</v>
      </c>
      <c r="D484" s="96">
        <v>90615.56</v>
      </c>
      <c r="E484" s="96"/>
      <c r="F484" s="96"/>
      <c r="G484" s="1372">
        <f t="shared" si="53"/>
        <v>90615.56</v>
      </c>
      <c r="H484" s="98">
        <v>-68231.639999999985</v>
      </c>
      <c r="I484" s="96">
        <v>-4630.2</v>
      </c>
      <c r="J484" s="96"/>
      <c r="K484" s="1372">
        <f t="shared" si="54"/>
        <v>-72861.839999999982</v>
      </c>
      <c r="L484" s="1374">
        <f t="shared" si="55"/>
        <v>17753.720000000016</v>
      </c>
    </row>
    <row r="485" spans="1:12" ht="13.9" hidden="1" customHeight="1" x14ac:dyDescent="0.2">
      <c r="A485" s="35">
        <v>8</v>
      </c>
      <c r="B485" s="99">
        <v>1915</v>
      </c>
      <c r="C485" s="101" t="s">
        <v>185</v>
      </c>
      <c r="D485" s="96">
        <v>0</v>
      </c>
      <c r="E485" s="96"/>
      <c r="F485" s="96"/>
      <c r="G485" s="1372">
        <f t="shared" si="53"/>
        <v>0</v>
      </c>
      <c r="H485" s="98">
        <v>0</v>
      </c>
      <c r="I485" s="96"/>
      <c r="J485" s="96"/>
      <c r="K485" s="1372">
        <f t="shared" si="54"/>
        <v>0</v>
      </c>
      <c r="L485" s="1374">
        <f t="shared" si="55"/>
        <v>0</v>
      </c>
    </row>
    <row r="486" spans="1:12" x14ac:dyDescent="0.2">
      <c r="A486" s="35">
        <v>10</v>
      </c>
      <c r="B486" s="99">
        <v>1920</v>
      </c>
      <c r="C486" s="101" t="s">
        <v>186</v>
      </c>
      <c r="D486" s="96">
        <v>762482.25</v>
      </c>
      <c r="E486" s="96"/>
      <c r="F486" s="96"/>
      <c r="G486" s="1372">
        <f t="shared" si="53"/>
        <v>762482.25</v>
      </c>
      <c r="H486" s="98">
        <v>-755232.65199999989</v>
      </c>
      <c r="I486" s="96">
        <v>-4833.4799999999996</v>
      </c>
      <c r="J486" s="96"/>
      <c r="K486" s="1372">
        <f t="shared" si="54"/>
        <v>-760066.13199999987</v>
      </c>
      <c r="L486" s="1374">
        <f t="shared" si="55"/>
        <v>2416.1180000001332</v>
      </c>
    </row>
    <row r="487" spans="1:12" ht="9.6" hidden="1" customHeight="1" x14ac:dyDescent="0.2">
      <c r="A487" s="35">
        <v>45</v>
      </c>
      <c r="B487" s="102">
        <v>1920</v>
      </c>
      <c r="C487" s="95" t="s">
        <v>188</v>
      </c>
      <c r="D487" s="96">
        <v>0</v>
      </c>
      <c r="E487" s="96"/>
      <c r="F487" s="96"/>
      <c r="G487" s="1372">
        <f t="shared" si="53"/>
        <v>0</v>
      </c>
      <c r="H487" s="98">
        <v>0</v>
      </c>
      <c r="I487" s="96"/>
      <c r="J487" s="96"/>
      <c r="K487" s="1372">
        <f t="shared" si="54"/>
        <v>0</v>
      </c>
      <c r="L487" s="1374">
        <f t="shared" si="55"/>
        <v>0</v>
      </c>
    </row>
    <row r="488" spans="1:12" ht="22.9" hidden="1" customHeight="1" x14ac:dyDescent="0.2">
      <c r="A488" s="35">
        <v>45.1</v>
      </c>
      <c r="B488" s="102">
        <v>1920</v>
      </c>
      <c r="C488" s="95" t="s">
        <v>187</v>
      </c>
      <c r="D488" s="96">
        <v>0</v>
      </c>
      <c r="E488" s="96"/>
      <c r="F488" s="96"/>
      <c r="G488" s="1372">
        <f t="shared" si="53"/>
        <v>0</v>
      </c>
      <c r="H488" s="98">
        <v>0</v>
      </c>
      <c r="I488" s="96"/>
      <c r="J488" s="96"/>
      <c r="K488" s="1372">
        <f t="shared" si="54"/>
        <v>0</v>
      </c>
      <c r="L488" s="1374">
        <f t="shared" si="55"/>
        <v>0</v>
      </c>
    </row>
    <row r="489" spans="1:12" ht="15.6" customHeight="1" x14ac:dyDescent="0.2">
      <c r="A489" s="35">
        <v>10</v>
      </c>
      <c r="B489" s="1545">
        <v>1930</v>
      </c>
      <c r="C489" s="101" t="s">
        <v>250</v>
      </c>
      <c r="D489" s="96">
        <v>6613283</v>
      </c>
      <c r="E489" s="96">
        <v>450000</v>
      </c>
      <c r="F489" s="96">
        <v>-375000</v>
      </c>
      <c r="G489" s="1372">
        <f t="shared" si="53"/>
        <v>6688283</v>
      </c>
      <c r="H489" s="98">
        <v>-4651370.4783100644</v>
      </c>
      <c r="I489" s="96">
        <v>-401506.28</v>
      </c>
      <c r="J489" s="96">
        <v>375000</v>
      </c>
      <c r="K489" s="1372">
        <f t="shared" si="54"/>
        <v>-4677876.7583100647</v>
      </c>
      <c r="L489" s="1374">
        <f t="shared" si="55"/>
        <v>2010406.2416899353</v>
      </c>
    </row>
    <row r="490" spans="1:12" ht="15.6" hidden="1" customHeight="1" x14ac:dyDescent="0.2">
      <c r="A490" s="35">
        <v>8</v>
      </c>
      <c r="B490" s="1545">
        <v>1935</v>
      </c>
      <c r="C490" s="101" t="s">
        <v>251</v>
      </c>
      <c r="D490" s="96">
        <v>0</v>
      </c>
      <c r="E490" s="96"/>
      <c r="F490" s="96"/>
      <c r="G490" s="1372">
        <f t="shared" si="53"/>
        <v>0</v>
      </c>
      <c r="H490" s="98">
        <v>0</v>
      </c>
      <c r="I490" s="96"/>
      <c r="J490" s="96"/>
      <c r="K490" s="1372">
        <f t="shared" si="54"/>
        <v>0</v>
      </c>
      <c r="L490" s="1374">
        <f t="shared" si="55"/>
        <v>0</v>
      </c>
    </row>
    <row r="491" spans="1:12" x14ac:dyDescent="0.2">
      <c r="A491" s="35">
        <v>8</v>
      </c>
      <c r="B491" s="1545">
        <v>1940</v>
      </c>
      <c r="C491" s="101" t="s">
        <v>252</v>
      </c>
      <c r="D491" s="96">
        <v>2617104.4099999997</v>
      </c>
      <c r="E491" s="96">
        <v>85000</v>
      </c>
      <c r="F491" s="96"/>
      <c r="G491" s="1372">
        <f t="shared" si="53"/>
        <v>2702104.4099999997</v>
      </c>
      <c r="H491" s="98">
        <v>-2141742.0644999999</v>
      </c>
      <c r="I491" s="96">
        <v>-94675.81</v>
      </c>
      <c r="J491" s="96"/>
      <c r="K491" s="1372">
        <f t="shared" si="54"/>
        <v>-2236417.8744999999</v>
      </c>
      <c r="L491" s="1374">
        <f t="shared" si="55"/>
        <v>465686.53549999977</v>
      </c>
    </row>
    <row r="492" spans="1:12" ht="12" hidden="1" customHeight="1" x14ac:dyDescent="0.2">
      <c r="A492" s="35">
        <v>8</v>
      </c>
      <c r="B492" s="1545">
        <v>1945</v>
      </c>
      <c r="C492" s="101" t="s">
        <v>253</v>
      </c>
      <c r="D492" s="96">
        <v>0</v>
      </c>
      <c r="E492" s="96"/>
      <c r="F492" s="96"/>
      <c r="G492" s="1372">
        <f t="shared" si="53"/>
        <v>0</v>
      </c>
      <c r="H492" s="98">
        <v>0</v>
      </c>
      <c r="I492" s="96"/>
      <c r="J492" s="96"/>
      <c r="K492" s="1372">
        <f t="shared" si="54"/>
        <v>0</v>
      </c>
      <c r="L492" s="1374">
        <f t="shared" si="55"/>
        <v>0</v>
      </c>
    </row>
    <row r="493" spans="1:12" ht="17.45" hidden="1" customHeight="1" x14ac:dyDescent="0.2">
      <c r="A493" s="35">
        <v>8</v>
      </c>
      <c r="B493" s="1545">
        <v>1950</v>
      </c>
      <c r="C493" s="101" t="s">
        <v>189</v>
      </c>
      <c r="D493" s="96">
        <v>0</v>
      </c>
      <c r="E493" s="96"/>
      <c r="F493" s="96"/>
      <c r="G493" s="1372">
        <f t="shared" si="53"/>
        <v>0</v>
      </c>
      <c r="H493" s="98">
        <v>0</v>
      </c>
      <c r="I493" s="96"/>
      <c r="J493" s="96"/>
      <c r="K493" s="1372">
        <f t="shared" si="54"/>
        <v>0</v>
      </c>
      <c r="L493" s="1374">
        <f t="shared" si="55"/>
        <v>0</v>
      </c>
    </row>
    <row r="494" spans="1:12" x14ac:dyDescent="0.2">
      <c r="A494" s="35">
        <v>8</v>
      </c>
      <c r="B494" s="1545">
        <v>1955</v>
      </c>
      <c r="C494" s="101" t="s">
        <v>254</v>
      </c>
      <c r="D494" s="96">
        <v>2407599.48</v>
      </c>
      <c r="E494" s="96"/>
      <c r="F494" s="96"/>
      <c r="G494" s="1372">
        <f t="shared" si="53"/>
        <v>2407599.48</v>
      </c>
      <c r="H494" s="98">
        <v>-1912139.7985999999</v>
      </c>
      <c r="I494" s="96">
        <v>-90020.76</v>
      </c>
      <c r="J494" s="96"/>
      <c r="K494" s="1372">
        <f t="shared" si="54"/>
        <v>-2002160.5585999999</v>
      </c>
      <c r="L494" s="1374">
        <f t="shared" si="55"/>
        <v>405438.92140000011</v>
      </c>
    </row>
    <row r="495" spans="1:12" ht="18" hidden="1" customHeight="1" x14ac:dyDescent="0.2">
      <c r="A495" s="1559">
        <v>8</v>
      </c>
      <c r="B495" s="102">
        <v>1955</v>
      </c>
      <c r="C495" s="104" t="s">
        <v>190</v>
      </c>
      <c r="D495" s="96">
        <v>0</v>
      </c>
      <c r="E495" s="96"/>
      <c r="F495" s="96"/>
      <c r="G495" s="1372">
        <f t="shared" si="53"/>
        <v>0</v>
      </c>
      <c r="H495" s="98">
        <v>0</v>
      </c>
      <c r="I495" s="96"/>
      <c r="J495" s="96"/>
      <c r="K495" s="1372">
        <f t="shared" si="54"/>
        <v>0</v>
      </c>
      <c r="L495" s="1374">
        <f t="shared" si="55"/>
        <v>0</v>
      </c>
    </row>
    <row r="496" spans="1:12" ht="15" hidden="1" customHeight="1" x14ac:dyDescent="0.2">
      <c r="A496" s="1559">
        <v>8</v>
      </c>
      <c r="B496" s="105">
        <v>1960</v>
      </c>
      <c r="C496" s="95" t="s">
        <v>191</v>
      </c>
      <c r="D496" s="96">
        <v>0</v>
      </c>
      <c r="E496" s="96"/>
      <c r="F496" s="96"/>
      <c r="G496" s="1372">
        <f t="shared" si="53"/>
        <v>0</v>
      </c>
      <c r="H496" s="98">
        <v>0</v>
      </c>
      <c r="I496" s="96"/>
      <c r="J496" s="96"/>
      <c r="K496" s="1372">
        <f t="shared" si="54"/>
        <v>0</v>
      </c>
      <c r="L496" s="1374">
        <f t="shared" si="55"/>
        <v>0</v>
      </c>
    </row>
    <row r="497" spans="1:12" ht="18" hidden="1" customHeight="1" x14ac:dyDescent="0.2">
      <c r="A497" s="1560">
        <v>47</v>
      </c>
      <c r="B497" s="105">
        <v>1970</v>
      </c>
      <c r="C497" s="101" t="s">
        <v>410</v>
      </c>
      <c r="D497" s="96">
        <v>0</v>
      </c>
      <c r="E497" s="96"/>
      <c r="F497" s="96"/>
      <c r="G497" s="1372">
        <f t="shared" si="53"/>
        <v>0</v>
      </c>
      <c r="H497" s="98">
        <v>0</v>
      </c>
      <c r="I497" s="96"/>
      <c r="J497" s="96"/>
      <c r="K497" s="1372">
        <f t="shared" si="54"/>
        <v>0</v>
      </c>
      <c r="L497" s="1374">
        <f t="shared" si="55"/>
        <v>0</v>
      </c>
    </row>
    <row r="498" spans="1:12" ht="18" hidden="1" customHeight="1" x14ac:dyDescent="0.2">
      <c r="A498" s="35">
        <v>47</v>
      </c>
      <c r="B498" s="1545">
        <v>1975</v>
      </c>
      <c r="C498" s="101" t="s">
        <v>255</v>
      </c>
      <c r="D498" s="96">
        <v>0</v>
      </c>
      <c r="E498" s="96"/>
      <c r="F498" s="96"/>
      <c r="G498" s="1372">
        <f t="shared" si="53"/>
        <v>0</v>
      </c>
      <c r="H498" s="98">
        <v>0</v>
      </c>
      <c r="I498" s="96"/>
      <c r="J498" s="96"/>
      <c r="K498" s="1372">
        <f t="shared" si="54"/>
        <v>0</v>
      </c>
      <c r="L498" s="1374">
        <f t="shared" si="55"/>
        <v>0</v>
      </c>
    </row>
    <row r="499" spans="1:12" x14ac:dyDescent="0.2">
      <c r="A499" s="35">
        <v>47</v>
      </c>
      <c r="B499" s="1545">
        <v>1980</v>
      </c>
      <c r="C499" s="101" t="s">
        <v>256</v>
      </c>
      <c r="D499" s="96">
        <v>2599457.27</v>
      </c>
      <c r="E499" s="96">
        <v>18000</v>
      </c>
      <c r="F499" s="96"/>
      <c r="G499" s="1372">
        <f t="shared" si="53"/>
        <v>2617457.27</v>
      </c>
      <c r="H499" s="98">
        <v>-1576896.2970490518</v>
      </c>
      <c r="I499" s="96">
        <v>-68938.38</v>
      </c>
      <c r="J499" s="96"/>
      <c r="K499" s="1372">
        <f t="shared" si="54"/>
        <v>-1645834.677049052</v>
      </c>
      <c r="L499" s="1374">
        <f t="shared" si="55"/>
        <v>971622.59295094805</v>
      </c>
    </row>
    <row r="500" spans="1:12" ht="13.15" customHeight="1" x14ac:dyDescent="0.2">
      <c r="A500" s="35">
        <v>47</v>
      </c>
      <c r="B500" s="1545">
        <v>1985</v>
      </c>
      <c r="C500" s="101" t="s">
        <v>257</v>
      </c>
      <c r="D500" s="96">
        <v>47667.79</v>
      </c>
      <c r="E500" s="96"/>
      <c r="F500" s="96"/>
      <c r="G500" s="1372">
        <f t="shared" si="53"/>
        <v>47667.79</v>
      </c>
      <c r="H500" s="98">
        <v>-42766.238000000005</v>
      </c>
      <c r="I500" s="96">
        <v>-555</v>
      </c>
      <c r="J500" s="96"/>
      <c r="K500" s="1372">
        <f t="shared" si="54"/>
        <v>-43321.238000000005</v>
      </c>
      <c r="L500" s="1374">
        <f t="shared" si="55"/>
        <v>4346.551999999996</v>
      </c>
    </row>
    <row r="501" spans="1:12" hidden="1" x14ac:dyDescent="0.2">
      <c r="A501" s="1560">
        <v>47</v>
      </c>
      <c r="B501" s="1545">
        <v>1990</v>
      </c>
      <c r="C501" s="1546" t="s">
        <v>411</v>
      </c>
      <c r="D501" s="96">
        <v>0</v>
      </c>
      <c r="E501" s="96"/>
      <c r="F501" s="96"/>
      <c r="G501" s="1372">
        <f t="shared" si="53"/>
        <v>0</v>
      </c>
      <c r="H501" s="98">
        <v>0</v>
      </c>
      <c r="I501" s="96"/>
      <c r="J501" s="96"/>
      <c r="K501" s="1372">
        <f t="shared" si="54"/>
        <v>0</v>
      </c>
      <c r="L501" s="1374">
        <f t="shared" si="55"/>
        <v>0</v>
      </c>
    </row>
    <row r="502" spans="1:12" ht="16.899999999999999" hidden="1" customHeight="1" x14ac:dyDescent="0.2">
      <c r="A502" s="35">
        <v>47</v>
      </c>
      <c r="B502" s="1545">
        <v>1995</v>
      </c>
      <c r="C502" s="101" t="s">
        <v>258</v>
      </c>
      <c r="D502" s="96">
        <v>0</v>
      </c>
      <c r="E502" s="96"/>
      <c r="F502" s="96"/>
      <c r="G502" s="1372">
        <f t="shared" si="53"/>
        <v>0</v>
      </c>
      <c r="H502" s="98">
        <v>-4.4895239643793161E-2</v>
      </c>
      <c r="I502" s="96"/>
      <c r="J502" s="96"/>
      <c r="K502" s="1372">
        <f t="shared" si="54"/>
        <v>-4.4895239643793161E-2</v>
      </c>
      <c r="L502" s="1374">
        <f t="shared" si="55"/>
        <v>-4.4895239643793161E-2</v>
      </c>
    </row>
    <row r="503" spans="1:12" ht="14.25" x14ac:dyDescent="0.2">
      <c r="A503" s="35">
        <v>47</v>
      </c>
      <c r="B503" s="1545">
        <v>2440</v>
      </c>
      <c r="C503" s="101" t="s">
        <v>835</v>
      </c>
      <c r="D503" s="96">
        <v>-6761089.4000000004</v>
      </c>
      <c r="E503" s="96">
        <v>-1082100</v>
      </c>
      <c r="F503" s="96"/>
      <c r="G503" s="1372">
        <f t="shared" si="53"/>
        <v>-7843189.4000000004</v>
      </c>
      <c r="H503" s="98">
        <v>529591.20289484295</v>
      </c>
      <c r="I503" s="96">
        <v>207802.02615000005</v>
      </c>
      <c r="J503" s="96"/>
      <c r="K503" s="1372">
        <f t="shared" si="54"/>
        <v>737393.229044843</v>
      </c>
      <c r="L503" s="1374">
        <f t="shared" si="55"/>
        <v>-7105796.1709551569</v>
      </c>
    </row>
    <row r="504" spans="1:12" x14ac:dyDescent="0.2">
      <c r="A504" s="99"/>
      <c r="B504" s="1545">
        <v>1330</v>
      </c>
      <c r="C504" s="1561" t="s">
        <v>1441</v>
      </c>
      <c r="D504" s="96">
        <v>1405903.61</v>
      </c>
      <c r="E504" s="96"/>
      <c r="F504" s="96"/>
      <c r="G504" s="1372">
        <f t="shared" si="53"/>
        <v>1405903.61</v>
      </c>
      <c r="H504" s="98">
        <v>0</v>
      </c>
      <c r="I504" s="96"/>
      <c r="J504" s="96"/>
      <c r="K504" s="1372">
        <f>H504+I504+J504</f>
        <v>0</v>
      </c>
      <c r="L504" s="1374">
        <f t="shared" si="55"/>
        <v>1405903.61</v>
      </c>
    </row>
    <row r="505" spans="1:12" x14ac:dyDescent="0.2">
      <c r="A505" s="99"/>
      <c r="B505" s="1545">
        <v>2055</v>
      </c>
      <c r="C505" s="1562" t="s">
        <v>1442</v>
      </c>
      <c r="D505" s="96">
        <v>685492.01999999979</v>
      </c>
      <c r="E505" s="96">
        <v>564000</v>
      </c>
      <c r="F505" s="96">
        <v>-554817</v>
      </c>
      <c r="G505" s="1372">
        <f t="shared" si="53"/>
        <v>694675.01999999979</v>
      </c>
      <c r="H505" s="98">
        <v>0</v>
      </c>
      <c r="I505" s="96"/>
      <c r="J505" s="96"/>
      <c r="K505" s="1372">
        <f>H505+I505+J505</f>
        <v>0</v>
      </c>
      <c r="L505" s="1374">
        <f t="shared" si="55"/>
        <v>694675.01999999979</v>
      </c>
    </row>
    <row r="506" spans="1:12" hidden="1" x14ac:dyDescent="0.2">
      <c r="A506" s="106"/>
      <c r="B506" s="106"/>
      <c r="C506" s="107"/>
      <c r="D506" s="96">
        <f t="shared" ref="D506" si="56">H442</f>
        <v>0</v>
      </c>
      <c r="E506" s="108"/>
      <c r="F506" s="108"/>
      <c r="G506" s="1372">
        <f t="shared" si="53"/>
        <v>0</v>
      </c>
      <c r="H506" s="98">
        <f t="shared" ref="H506" si="57">M442</f>
        <v>0</v>
      </c>
      <c r="I506" s="108"/>
      <c r="J506" s="108"/>
      <c r="K506" s="1372">
        <f>H506+I506+J506</f>
        <v>0</v>
      </c>
      <c r="L506" s="1374">
        <f t="shared" si="55"/>
        <v>0</v>
      </c>
    </row>
    <row r="507" spans="1:12" x14ac:dyDescent="0.2">
      <c r="A507" s="106"/>
      <c r="B507" s="106"/>
      <c r="C507" s="109" t="s">
        <v>175</v>
      </c>
      <c r="D507" s="1373">
        <f t="shared" ref="D507:L507" si="58">SUM(D463:D506)</f>
        <v>221933669.61573336</v>
      </c>
      <c r="E507" s="1373">
        <f t="shared" si="58"/>
        <v>9649007</v>
      </c>
      <c r="F507" s="1373">
        <f t="shared" si="58"/>
        <v>-3950749</v>
      </c>
      <c r="G507" s="1373">
        <f t="shared" si="58"/>
        <v>227631927.61573333</v>
      </c>
      <c r="H507" s="1373">
        <f t="shared" si="58"/>
        <v>-125231640.9972458</v>
      </c>
      <c r="I507" s="1373">
        <f>SUM(I463:I506)</f>
        <v>-4622012.4965950549</v>
      </c>
      <c r="J507" s="1373">
        <f t="shared" si="58"/>
        <v>2864242</v>
      </c>
      <c r="K507" s="1373">
        <f t="shared" si="58"/>
        <v>-126989411.49384086</v>
      </c>
      <c r="L507" s="1373">
        <f t="shared" si="58"/>
        <v>100642516.1218925</v>
      </c>
    </row>
    <row r="508" spans="1:12" ht="37.5" x14ac:dyDescent="0.2">
      <c r="A508" s="106"/>
      <c r="B508" s="106"/>
      <c r="C508" s="111" t="s">
        <v>503</v>
      </c>
      <c r="D508" s="108"/>
      <c r="E508" s="108"/>
      <c r="F508" s="108"/>
      <c r="G508" s="1372">
        <f>D508+E508+F508</f>
        <v>0</v>
      </c>
      <c r="H508" s="108"/>
      <c r="I508" s="108"/>
      <c r="J508" s="108"/>
      <c r="K508" s="1372">
        <f>H508+I508+J508</f>
        <v>0</v>
      </c>
      <c r="L508" s="1374">
        <f>G508+K508</f>
        <v>0</v>
      </c>
    </row>
    <row r="509" spans="1:12" ht="25.5" x14ac:dyDescent="0.2">
      <c r="A509" s="106"/>
      <c r="B509" s="106"/>
      <c r="C509" s="112" t="s">
        <v>502</v>
      </c>
      <c r="D509" s="1563">
        <f>H445</f>
        <v>-129739</v>
      </c>
      <c r="E509" s="108"/>
      <c r="F509" s="108"/>
      <c r="G509" s="1372">
        <f>D509+E509+F509</f>
        <v>-129739</v>
      </c>
      <c r="H509" s="1567">
        <f>M445</f>
        <v>129739</v>
      </c>
      <c r="I509" s="108"/>
      <c r="J509" s="108"/>
      <c r="K509" s="1372">
        <f>H509+I509+J509</f>
        <v>129739</v>
      </c>
      <c r="L509" s="1374">
        <f>G509+K509</f>
        <v>0</v>
      </c>
    </row>
    <row r="510" spans="1:12" x14ac:dyDescent="0.2">
      <c r="A510" s="106"/>
      <c r="B510" s="106"/>
      <c r="C510" s="109" t="s">
        <v>412</v>
      </c>
      <c r="D510" s="1373">
        <f t="shared" ref="D510:K510" si="59">SUM(D507:D509)</f>
        <v>221803930.61573336</v>
      </c>
      <c r="E510" s="1373">
        <f t="shared" si="59"/>
        <v>9649007</v>
      </c>
      <c r="F510" s="1373">
        <f t="shared" si="59"/>
        <v>-3950749</v>
      </c>
      <c r="G510" s="1373">
        <f t="shared" si="59"/>
        <v>227502188.61573333</v>
      </c>
      <c r="H510" s="1373">
        <f t="shared" si="59"/>
        <v>-125101901.9972458</v>
      </c>
      <c r="I510" s="1373">
        <f t="shared" si="59"/>
        <v>-4622012.4965950549</v>
      </c>
      <c r="J510" s="1373">
        <f t="shared" si="59"/>
        <v>2864242</v>
      </c>
      <c r="K510" s="1373">
        <f t="shared" si="59"/>
        <v>-126859672.49384086</v>
      </c>
      <c r="L510" s="1373">
        <f>SUM(L507:L509)</f>
        <v>100642516.1218925</v>
      </c>
    </row>
    <row r="511" spans="1:12" ht="14.25" x14ac:dyDescent="0.2">
      <c r="A511" s="106"/>
      <c r="B511" s="106"/>
      <c r="C511" s="1651" t="s">
        <v>801</v>
      </c>
      <c r="D511" s="1652"/>
      <c r="E511" s="1652"/>
      <c r="F511" s="1652"/>
      <c r="G511" s="1652"/>
      <c r="H511" s="1653"/>
      <c r="I511" s="108"/>
      <c r="J511" s="113"/>
      <c r="K511" s="114"/>
      <c r="L511" s="115"/>
    </row>
    <row r="512" spans="1:12" x14ac:dyDescent="0.2">
      <c r="A512" s="106"/>
      <c r="B512" s="106"/>
      <c r="C512" s="1651" t="s">
        <v>259</v>
      </c>
      <c r="D512" s="1652"/>
      <c r="E512" s="1652"/>
      <c r="F512" s="1652"/>
      <c r="G512" s="1652"/>
      <c r="H512" s="1653"/>
      <c r="I512" s="1373">
        <f>I510+I511</f>
        <v>-4622012.4965950549</v>
      </c>
      <c r="J512" s="113"/>
      <c r="K512" s="114"/>
      <c r="L512" s="115"/>
    </row>
    <row r="513" spans="1:14" x14ac:dyDescent="0.2">
      <c r="A513" s="267"/>
      <c r="B513" s="267"/>
      <c r="C513" s="1669" t="s">
        <v>1530</v>
      </c>
      <c r="D513" s="1670">
        <f>D510-D505-D504</f>
        <v>219712534.98573333</v>
      </c>
      <c r="E513" s="1670">
        <f>E510-E505-E504</f>
        <v>9085007</v>
      </c>
      <c r="F513" s="1670">
        <f>F510-F505-F504</f>
        <v>-3395932</v>
      </c>
      <c r="G513" s="1670">
        <f>G510-G505-G504</f>
        <v>225401609.9857333</v>
      </c>
      <c r="H513" s="1669"/>
      <c r="I513" s="1625"/>
      <c r="J513" s="113"/>
      <c r="K513" s="114"/>
      <c r="L513" s="1670">
        <f>L510-L505-L504</f>
        <v>98541937.491892502</v>
      </c>
    </row>
    <row r="514" spans="1:14" x14ac:dyDescent="0.2">
      <c r="A514" s="1547"/>
      <c r="B514" s="1547"/>
      <c r="H514" s="34"/>
    </row>
    <row r="515" spans="1:14" x14ac:dyDescent="0.2">
      <c r="A515" s="1547"/>
      <c r="B515" s="1547"/>
      <c r="H515" s="116" t="s">
        <v>343</v>
      </c>
      <c r="I515" s="1548"/>
    </row>
    <row r="516" spans="1:14" x14ac:dyDescent="0.2">
      <c r="A516" s="106">
        <v>10</v>
      </c>
      <c r="B516" s="106"/>
      <c r="C516" s="1436" t="s">
        <v>260</v>
      </c>
      <c r="D516" s="1437"/>
      <c r="E516" s="1437"/>
      <c r="F516" s="1437"/>
      <c r="G516" s="1437"/>
      <c r="H516" s="1438" t="s">
        <v>260</v>
      </c>
      <c r="I516" s="1438"/>
      <c r="J516" s="1698">
        <f>I489</f>
        <v>-401506.28</v>
      </c>
    </row>
    <row r="517" spans="1:14" x14ac:dyDescent="0.2">
      <c r="A517" s="106">
        <v>8</v>
      </c>
      <c r="B517" s="106"/>
      <c r="C517" s="1436" t="s">
        <v>251</v>
      </c>
      <c r="D517" s="1437"/>
      <c r="E517" s="1437"/>
      <c r="F517" s="1437"/>
      <c r="G517" s="1437"/>
      <c r="H517" s="1438" t="s">
        <v>251</v>
      </c>
      <c r="I517" s="1438"/>
      <c r="J517" s="1698">
        <f>I491</f>
        <v>-94675.81</v>
      </c>
    </row>
    <row r="518" spans="1:14" x14ac:dyDescent="0.2">
      <c r="A518" s="106"/>
      <c r="B518" s="106">
        <v>2440</v>
      </c>
      <c r="C518" s="1436" t="s">
        <v>1581</v>
      </c>
      <c r="D518" s="1437"/>
      <c r="E518" s="1437"/>
      <c r="F518" s="1437"/>
      <c r="G518" s="1437"/>
      <c r="H518" s="1438"/>
      <c r="I518" s="1438"/>
      <c r="J518" s="1565">
        <f>I503</f>
        <v>207802.02615000005</v>
      </c>
    </row>
    <row r="519" spans="1:14" x14ac:dyDescent="0.2">
      <c r="A519" s="1547"/>
      <c r="B519" s="1547"/>
      <c r="H519" s="117" t="s">
        <v>261</v>
      </c>
      <c r="J519" s="1439">
        <f>I512-J516-J517-J518</f>
        <v>-4333632.4327450544</v>
      </c>
    </row>
    <row r="520" spans="1:14" x14ac:dyDescent="0.2">
      <c r="A520" s="1547"/>
      <c r="B520" s="1547"/>
      <c r="I520" s="117"/>
      <c r="K520" s="1566"/>
    </row>
    <row r="521" spans="1:14" x14ac:dyDescent="0.2">
      <c r="A521" s="1547"/>
      <c r="B521" s="1547"/>
      <c r="I521" s="117"/>
      <c r="K521" s="1566"/>
    </row>
    <row r="522" spans="1:14" x14ac:dyDescent="0.2">
      <c r="A522" s="119" t="s">
        <v>6</v>
      </c>
      <c r="B522" s="1547"/>
      <c r="N522" s="118"/>
    </row>
    <row r="524" spans="1:14" ht="13.15" customHeight="1" x14ac:dyDescent="0.2">
      <c r="A524" s="1547">
        <v>1</v>
      </c>
      <c r="B524" s="1925" t="s">
        <v>172</v>
      </c>
      <c r="C524" s="1925"/>
      <c r="D524" s="1925"/>
      <c r="E524" s="1925"/>
      <c r="F524" s="1925"/>
      <c r="G524" s="1925"/>
      <c r="H524" s="1925"/>
      <c r="I524" s="1925"/>
      <c r="J524" s="1925"/>
      <c r="K524" s="1925"/>
      <c r="L524" s="1925"/>
      <c r="M524" s="1925"/>
    </row>
    <row r="525" spans="1:14" x14ac:dyDescent="0.2">
      <c r="A525" s="1547"/>
      <c r="B525" s="1925"/>
      <c r="C525" s="1925"/>
      <c r="D525" s="1925"/>
      <c r="E525" s="1925"/>
      <c r="F525" s="1925"/>
      <c r="G525" s="1925"/>
      <c r="H525" s="1925"/>
      <c r="I525" s="1925"/>
      <c r="J525" s="1925"/>
      <c r="K525" s="1925"/>
      <c r="L525" s="1925"/>
      <c r="M525" s="1925"/>
    </row>
    <row r="526" spans="1:14" ht="12.75" customHeight="1" x14ac:dyDescent="0.2">
      <c r="A526" s="1547"/>
      <c r="B526" s="1547"/>
    </row>
    <row r="527" spans="1:14" ht="13.15" customHeight="1" x14ac:dyDescent="0.2">
      <c r="A527" s="1547">
        <v>2</v>
      </c>
      <c r="B527" s="1930" t="s">
        <v>1340</v>
      </c>
      <c r="C527" s="1930"/>
      <c r="D527" s="1930"/>
      <c r="E527" s="1930"/>
      <c r="F527" s="1930"/>
      <c r="G527" s="1930"/>
      <c r="H527" s="1930"/>
      <c r="I527" s="1930"/>
      <c r="J527" s="1930"/>
      <c r="K527" s="1930"/>
      <c r="L527" s="1930"/>
      <c r="M527" s="1930"/>
    </row>
    <row r="528" spans="1:14" x14ac:dyDescent="0.2">
      <c r="A528" s="1547"/>
      <c r="B528" s="1930"/>
      <c r="C528" s="1930"/>
      <c r="D528" s="1930"/>
      <c r="E528" s="1930"/>
      <c r="F528" s="1930"/>
      <c r="G528" s="1930"/>
      <c r="H528" s="1930"/>
      <c r="I528" s="1930"/>
      <c r="J528" s="1930"/>
      <c r="K528" s="1930"/>
      <c r="L528" s="1930"/>
      <c r="M528" s="1930"/>
    </row>
    <row r="530" spans="1:13" ht="13.15" customHeight="1" x14ac:dyDescent="0.2">
      <c r="A530" s="1547">
        <v>3</v>
      </c>
      <c r="B530" s="1929" t="s">
        <v>1322</v>
      </c>
      <c r="C530" s="1929"/>
      <c r="D530" s="1929"/>
      <c r="E530" s="1929"/>
      <c r="F530" s="1929"/>
      <c r="G530" s="1929"/>
      <c r="H530" s="1929"/>
      <c r="I530" s="1929"/>
      <c r="J530" s="1929"/>
      <c r="K530" s="1929"/>
      <c r="L530" s="1929"/>
      <c r="M530" s="1929"/>
    </row>
    <row r="531" spans="1:13" x14ac:dyDescent="0.2">
      <c r="A531" s="1547"/>
      <c r="B531" s="1547"/>
    </row>
    <row r="532" spans="1:13" x14ac:dyDescent="0.2">
      <c r="A532" s="1547">
        <v>4</v>
      </c>
      <c r="B532" s="78" t="s">
        <v>862</v>
      </c>
      <c r="C532" s="38"/>
    </row>
    <row r="534" spans="1:13" x14ac:dyDescent="0.2">
      <c r="A534" s="1547">
        <v>5</v>
      </c>
      <c r="B534" s="120" t="s">
        <v>823</v>
      </c>
    </row>
    <row r="535" spans="1:13" x14ac:dyDescent="0.2">
      <c r="A535" s="1547"/>
      <c r="B535" s="1547"/>
    </row>
    <row r="536" spans="1:13" ht="13.15" customHeight="1" x14ac:dyDescent="0.2">
      <c r="A536" s="1547">
        <v>6</v>
      </c>
      <c r="B536" s="1929" t="s">
        <v>928</v>
      </c>
      <c r="C536" s="1929"/>
      <c r="D536" s="1929"/>
      <c r="E536" s="1929"/>
      <c r="F536" s="1929"/>
      <c r="G536" s="1929"/>
      <c r="H536" s="1929"/>
      <c r="I536" s="1929"/>
      <c r="J536" s="1929"/>
      <c r="K536" s="1929"/>
      <c r="L536" s="1929"/>
      <c r="M536" s="1929"/>
    </row>
    <row r="537" spans="1:13" x14ac:dyDescent="0.2">
      <c r="A537" s="1547"/>
      <c r="B537" s="1929"/>
      <c r="C537" s="1929"/>
      <c r="D537" s="1929"/>
      <c r="E537" s="1929"/>
      <c r="F537" s="1929"/>
      <c r="G537" s="1929"/>
      <c r="H537" s="1929"/>
      <c r="I537" s="1929"/>
      <c r="J537" s="1929"/>
      <c r="K537" s="1929"/>
      <c r="L537" s="1929"/>
      <c r="M537" s="1929"/>
    </row>
    <row r="538" spans="1:13" x14ac:dyDescent="0.2">
      <c r="A538" s="1547"/>
      <c r="B538" s="1929"/>
      <c r="C538" s="1929"/>
      <c r="D538" s="1929"/>
      <c r="E538" s="1929"/>
      <c r="F538" s="1929"/>
      <c r="G538" s="1929"/>
      <c r="H538" s="1929"/>
      <c r="I538" s="1929"/>
      <c r="J538" s="1929"/>
      <c r="K538" s="1929"/>
      <c r="L538" s="1929"/>
      <c r="M538" s="1929"/>
    </row>
    <row r="540" spans="1:13" x14ac:dyDescent="0.2">
      <c r="A540" s="1547"/>
      <c r="B540" s="1925"/>
      <c r="C540" s="1925"/>
      <c r="D540" s="1925"/>
      <c r="E540" s="1925"/>
      <c r="F540" s="1925"/>
      <c r="G540" s="1925"/>
      <c r="H540" s="1925"/>
      <c r="I540" s="1925"/>
      <c r="J540" s="1925"/>
      <c r="K540" s="1925"/>
      <c r="L540" s="1925"/>
      <c r="M540" s="1925"/>
    </row>
    <row r="541" spans="1:13" x14ac:dyDescent="0.2">
      <c r="A541" s="1547"/>
      <c r="B541" s="1925"/>
      <c r="C541" s="1925"/>
      <c r="D541" s="1925"/>
      <c r="E541" s="1925"/>
      <c r="F541" s="1925"/>
      <c r="G541" s="1925"/>
      <c r="H541" s="1925"/>
      <c r="I541" s="1925"/>
      <c r="J541" s="1925"/>
      <c r="K541" s="1925"/>
      <c r="L541" s="1925"/>
      <c r="M541" s="1925"/>
    </row>
  </sheetData>
  <mergeCells count="17">
    <mergeCell ref="B540:M541"/>
    <mergeCell ref="B536:M538"/>
    <mergeCell ref="B527:M528"/>
    <mergeCell ref="B530:M530"/>
    <mergeCell ref="D461:G461"/>
    <mergeCell ref="A9:M9"/>
    <mergeCell ref="A10:M10"/>
    <mergeCell ref="B524:M525"/>
    <mergeCell ref="D141:G141"/>
    <mergeCell ref="D15:H15"/>
    <mergeCell ref="D205:G205"/>
    <mergeCell ref="I15:M15"/>
    <mergeCell ref="D333:G333"/>
    <mergeCell ref="D397:G397"/>
    <mergeCell ref="H78:K78"/>
    <mergeCell ref="D78:G78"/>
    <mergeCell ref="D269:G269"/>
  </mergeCells>
  <dataValidations disablePrompts="1" count="1">
    <dataValidation type="list" allowBlank="1" showErrorMessage="1" error="Use the following date format when inserting a date:_x000a__x000a_Eg:  &quot;January 1, 2013&quot;" prompt="Use the following format eg: January 1, 2013" sqref="F12 F75 F138 F202 F266 F330 F394 F458" xr:uid="{00000000-0002-0000-0A00-000000000000}">
      <formula1>"CGAAP, MIFRS,USGAAP, ASPE"</formula1>
    </dataValidation>
  </dataValidations>
  <printOptions horizontalCentered="1"/>
  <pageMargins left="0.74803149606299213" right="0.74803149606299213" top="0.74803149606299213" bottom="0.70866141732283472" header="0.51181102362204722" footer="0.51181102362204722"/>
  <pageSetup scale="47" fitToHeight="8" orientation="landscape" r:id="rId1"/>
  <headerFooter alignWithMargins="0"/>
  <rowBreaks count="8" manualBreakCount="8">
    <brk id="73" max="13" man="1"/>
    <brk id="136" max="13" man="1"/>
    <brk id="200" max="13" man="1"/>
    <brk id="264" max="13" man="1"/>
    <brk id="328" max="13" man="1"/>
    <brk id="392" max="13" man="1"/>
    <brk id="456" max="13" man="1"/>
    <brk id="520" max="1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00B0F0"/>
  </sheetPr>
  <dimension ref="A1:R110"/>
  <sheetViews>
    <sheetView showGridLines="0" topLeftCell="A4" zoomScaleNormal="100" zoomScaleSheetLayoutView="85" workbookViewId="0">
      <selection activeCell="K20" sqref="K20"/>
    </sheetView>
  </sheetViews>
  <sheetFormatPr defaultColWidth="9.28515625" defaultRowHeight="12.75" x14ac:dyDescent="0.2"/>
  <cols>
    <col min="1" max="1" width="9.28515625" style="34"/>
    <col min="2" max="2" width="6.7109375" style="34" customWidth="1"/>
    <col min="3" max="3" width="27.28515625" style="34" customWidth="1"/>
    <col min="4" max="4" width="19.7109375" style="34" customWidth="1"/>
    <col min="5" max="5" width="10.7109375" style="34" customWidth="1"/>
    <col min="6" max="6" width="7.7109375" style="34" customWidth="1"/>
    <col min="7" max="7" width="7.42578125" style="34" customWidth="1"/>
    <col min="8" max="8" width="8.28515625" style="34" customWidth="1"/>
    <col min="9" max="9" width="1" style="34" customWidth="1"/>
    <col min="10" max="10" width="10.5703125" style="34" customWidth="1"/>
    <col min="11" max="11" width="34" style="34" customWidth="1"/>
    <col min="12" max="12" width="8" style="34" customWidth="1"/>
    <col min="13" max="13" width="8.5703125" style="34" customWidth="1"/>
    <col min="14" max="14" width="8.42578125" style="34" customWidth="1"/>
    <col min="15" max="15" width="7.5703125" style="34" customWidth="1"/>
    <col min="16" max="16" width="11" style="724" customWidth="1"/>
    <col min="17" max="17" width="11.5703125" style="724" customWidth="1"/>
    <col min="18" max="16384" width="9.28515625" style="34"/>
  </cols>
  <sheetData>
    <row r="1" spans="1:18" x14ac:dyDescent="0.2">
      <c r="A1" s="724"/>
      <c r="B1" s="724"/>
      <c r="C1" s="724"/>
      <c r="N1" s="79" t="s">
        <v>264</v>
      </c>
      <c r="P1" s="1993" t="str">
        <f>'LDC Info'!E16</f>
        <v>EB-2019-0037</v>
      </c>
      <c r="Q1" s="1993"/>
      <c r="R1" s="724"/>
    </row>
    <row r="2" spans="1:18" x14ac:dyDescent="0.2">
      <c r="A2" s="724"/>
      <c r="B2" s="724"/>
      <c r="C2" s="724"/>
      <c r="N2" s="79" t="s">
        <v>265</v>
      </c>
      <c r="P2" s="1994"/>
      <c r="Q2" s="1994"/>
      <c r="R2" s="724"/>
    </row>
    <row r="3" spans="1:18" x14ac:dyDescent="0.2">
      <c r="A3" s="724"/>
      <c r="B3" s="724"/>
      <c r="C3" s="724"/>
      <c r="N3" s="79" t="s">
        <v>266</v>
      </c>
      <c r="P3" s="1994"/>
      <c r="Q3" s="1994"/>
      <c r="R3" s="724"/>
    </row>
    <row r="4" spans="1:18" x14ac:dyDescent="0.2">
      <c r="A4" s="724"/>
      <c r="B4" s="724"/>
      <c r="C4" s="724"/>
      <c r="N4" s="79" t="s">
        <v>267</v>
      </c>
      <c r="P4" s="1994"/>
      <c r="Q4" s="1994"/>
      <c r="R4" s="724"/>
    </row>
    <row r="5" spans="1:18" x14ac:dyDescent="0.2">
      <c r="A5" s="724"/>
      <c r="B5" s="724"/>
      <c r="C5" s="724"/>
      <c r="N5" s="79" t="s">
        <v>268</v>
      </c>
      <c r="P5" s="1995"/>
      <c r="Q5" s="1995"/>
      <c r="R5" s="724"/>
    </row>
    <row r="6" spans="1:18" ht="9" customHeight="1" x14ac:dyDescent="0.2">
      <c r="A6" s="724"/>
      <c r="B6" s="724"/>
      <c r="C6" s="724"/>
      <c r="N6" s="79"/>
      <c r="P6" s="590"/>
      <c r="R6" s="724"/>
    </row>
    <row r="7" spans="1:18" x14ac:dyDescent="0.2">
      <c r="A7" s="724"/>
      <c r="B7" s="724"/>
      <c r="C7" s="724"/>
      <c r="N7" s="79" t="s">
        <v>269</v>
      </c>
      <c r="P7" s="1995"/>
      <c r="Q7" s="1995"/>
      <c r="R7" s="724"/>
    </row>
    <row r="8" spans="1:18" ht="9" customHeight="1" x14ac:dyDescent="0.2">
      <c r="A8" s="724"/>
      <c r="B8" s="724"/>
      <c r="C8" s="724"/>
      <c r="I8" s="83"/>
    </row>
    <row r="9" spans="1:18" ht="20.25" customHeight="1" x14ac:dyDescent="0.2">
      <c r="A9" s="1997" t="s">
        <v>413</v>
      </c>
      <c r="B9" s="1997"/>
      <c r="C9" s="1997"/>
      <c r="D9" s="1997"/>
      <c r="E9" s="1997"/>
      <c r="F9" s="1997"/>
      <c r="G9" s="1997"/>
      <c r="H9" s="1997"/>
      <c r="I9" s="1997"/>
      <c r="J9" s="1997"/>
      <c r="K9" s="1997"/>
      <c r="L9" s="1997"/>
      <c r="M9" s="1997"/>
      <c r="N9" s="1997"/>
      <c r="O9" s="1997"/>
      <c r="P9" s="1997"/>
      <c r="Q9" s="1997"/>
    </row>
    <row r="10" spans="1:18" ht="18" customHeight="1" x14ac:dyDescent="0.2">
      <c r="A10" s="1998" t="s">
        <v>414</v>
      </c>
      <c r="B10" s="1998"/>
      <c r="C10" s="1998"/>
      <c r="D10" s="1998"/>
      <c r="E10" s="1998"/>
      <c r="F10" s="1998"/>
      <c r="G10" s="1998"/>
      <c r="H10" s="1998"/>
      <c r="I10" s="1998"/>
      <c r="J10" s="1998"/>
      <c r="K10" s="1998"/>
      <c r="L10" s="1998"/>
      <c r="M10" s="1998"/>
      <c r="N10" s="1998"/>
      <c r="O10" s="1998"/>
      <c r="P10" s="1998"/>
      <c r="Q10" s="1998"/>
    </row>
    <row r="11" spans="1:18" ht="18" customHeight="1" x14ac:dyDescent="0.2">
      <c r="A11" s="1949" t="s">
        <v>759</v>
      </c>
      <c r="B11" s="1949"/>
      <c r="C11" s="1949"/>
      <c r="D11" s="1949"/>
      <c r="E11" s="1949"/>
      <c r="F11" s="1949"/>
      <c r="G11" s="1949"/>
      <c r="H11" s="1949"/>
      <c r="I11" s="1949"/>
      <c r="J11" s="1949"/>
      <c r="K11" s="1949"/>
      <c r="L11" s="1949"/>
      <c r="M11" s="1949"/>
      <c r="N11" s="1949"/>
      <c r="O11" s="1949"/>
      <c r="P11" s="1949"/>
      <c r="Q11" s="1949"/>
    </row>
    <row r="12" spans="1:18" ht="9" customHeight="1" x14ac:dyDescent="0.2">
      <c r="A12" s="761"/>
      <c r="B12" s="761"/>
      <c r="C12" s="761"/>
      <c r="D12" s="761"/>
      <c r="E12" s="761"/>
      <c r="F12" s="761"/>
      <c r="G12" s="761"/>
      <c r="H12" s="761"/>
      <c r="I12" s="718"/>
      <c r="J12" s="762"/>
      <c r="K12" s="763"/>
      <c r="L12" s="763"/>
      <c r="M12" s="763"/>
      <c r="N12" s="763"/>
    </row>
    <row r="13" spans="1:18" ht="8.25" customHeight="1" x14ac:dyDescent="0.2">
      <c r="A13" s="761"/>
      <c r="B13" s="761"/>
      <c r="C13" s="761"/>
      <c r="D13" s="761"/>
      <c r="E13" s="761"/>
      <c r="F13" s="761"/>
      <c r="G13" s="761"/>
      <c r="H13" s="761"/>
      <c r="I13" s="718"/>
      <c r="J13" s="762"/>
      <c r="K13" s="763"/>
      <c r="L13" s="763"/>
      <c r="M13" s="763"/>
      <c r="N13" s="763"/>
    </row>
    <row r="14" spans="1:18" ht="7.5" customHeight="1" x14ac:dyDescent="0.2"/>
    <row r="15" spans="1:18" ht="33.75" customHeight="1" x14ac:dyDescent="0.2">
      <c r="A15" s="764"/>
      <c r="B15" s="764"/>
      <c r="C15" s="1946" t="s">
        <v>697</v>
      </c>
      <c r="D15" s="1946"/>
      <c r="E15" s="1946"/>
      <c r="F15" s="1946" t="s">
        <v>698</v>
      </c>
      <c r="G15" s="1946"/>
      <c r="H15" s="1996"/>
      <c r="I15" s="765"/>
      <c r="J15" s="1947" t="s">
        <v>699</v>
      </c>
      <c r="K15" s="1947" t="s">
        <v>700</v>
      </c>
      <c r="L15" s="1945" t="s">
        <v>400</v>
      </c>
      <c r="M15" s="1945"/>
      <c r="N15" s="1943" t="s">
        <v>7</v>
      </c>
      <c r="O15" s="1943"/>
      <c r="P15" s="1945" t="s">
        <v>779</v>
      </c>
      <c r="Q15" s="1945"/>
    </row>
    <row r="16" spans="1:18" ht="30.75" thickBot="1" x14ac:dyDescent="0.25">
      <c r="A16" s="766" t="s">
        <v>702</v>
      </c>
      <c r="B16" s="766" t="s">
        <v>675</v>
      </c>
      <c r="C16" s="1999" t="s">
        <v>676</v>
      </c>
      <c r="D16" s="1999"/>
      <c r="E16" s="1999"/>
      <c r="F16" s="766" t="s">
        <v>678</v>
      </c>
      <c r="G16" s="766" t="s">
        <v>399</v>
      </c>
      <c r="H16" s="767" t="s">
        <v>679</v>
      </c>
      <c r="I16" s="768"/>
      <c r="J16" s="1948"/>
      <c r="K16" s="1948"/>
      <c r="L16" s="769" t="s">
        <v>4</v>
      </c>
      <c r="M16" s="769" t="s">
        <v>8</v>
      </c>
      <c r="N16" s="770" t="s">
        <v>4</v>
      </c>
      <c r="O16" s="771" t="s">
        <v>8</v>
      </c>
      <c r="P16" s="772" t="s">
        <v>780</v>
      </c>
      <c r="Q16" s="772" t="s">
        <v>781</v>
      </c>
    </row>
    <row r="17" spans="1:17" x14ac:dyDescent="0.2">
      <c r="A17" s="2000" t="s">
        <v>664</v>
      </c>
      <c r="B17" s="2002">
        <v>1</v>
      </c>
      <c r="C17" s="1989" t="s">
        <v>674</v>
      </c>
      <c r="D17" s="1990" t="s">
        <v>668</v>
      </c>
      <c r="E17" s="1990"/>
      <c r="F17" s="773">
        <v>35</v>
      </c>
      <c r="G17" s="773">
        <v>45</v>
      </c>
      <c r="H17" s="774">
        <v>75</v>
      </c>
      <c r="I17" s="775"/>
      <c r="J17" s="121"/>
      <c r="K17" s="122"/>
      <c r="L17" s="35"/>
      <c r="M17" s="1375" t="str">
        <f>IF(ISERROR(1/L17), "", 1/L17)</f>
        <v/>
      </c>
      <c r="N17" s="35"/>
      <c r="O17" s="1376" t="str">
        <f>IF(ISERROR(1/N17), "", 1/N17)</f>
        <v/>
      </c>
      <c r="P17" s="1377" t="str">
        <f>IF(ISBLANK(N17),"",IF(N17&lt;F17,"Yes","No"))</f>
        <v/>
      </c>
      <c r="Q17" s="1377" t="str">
        <f>IF(ISBLANK(N17),"",IF(N17&gt;H17,"Yes","No"))</f>
        <v/>
      </c>
    </row>
    <row r="18" spans="1:17" x14ac:dyDescent="0.2">
      <c r="A18" s="2001"/>
      <c r="B18" s="1984"/>
      <c r="C18" s="1974"/>
      <c r="D18" s="1974" t="s">
        <v>665</v>
      </c>
      <c r="E18" s="776" t="s">
        <v>669</v>
      </c>
      <c r="F18" s="447">
        <v>20</v>
      </c>
      <c r="G18" s="447">
        <v>40</v>
      </c>
      <c r="H18" s="777">
        <v>55</v>
      </c>
      <c r="I18" s="775"/>
      <c r="J18" s="121"/>
      <c r="K18" s="122"/>
      <c r="L18" s="35"/>
      <c r="M18" s="1375" t="str">
        <f t="shared" ref="M18:M70" si="0">IF(ISERROR(1/L18), "", 1/L18)</f>
        <v/>
      </c>
      <c r="N18" s="35"/>
      <c r="O18" s="1376" t="str">
        <f t="shared" ref="O18:O70" si="1">IF(ISERROR(1/N18), "", 1/N18)</f>
        <v/>
      </c>
      <c r="P18" s="1377" t="str">
        <f t="shared" ref="P18:P70" si="2">IF(ISBLANK(N18),"",IF(N18&lt;F18,"Yes","No"))</f>
        <v/>
      </c>
      <c r="Q18" s="1377" t="str">
        <f t="shared" ref="Q18:Q70" si="3">IF(ISBLANK(N18),"",IF(N18&gt;H18,"Yes","No"))</f>
        <v/>
      </c>
    </row>
    <row r="19" spans="1:17" x14ac:dyDescent="0.2">
      <c r="A19" s="2001"/>
      <c r="B19" s="1984"/>
      <c r="C19" s="1974"/>
      <c r="D19" s="1974"/>
      <c r="E19" s="776" t="s">
        <v>670</v>
      </c>
      <c r="F19" s="447">
        <v>30</v>
      </c>
      <c r="G19" s="447">
        <v>70</v>
      </c>
      <c r="H19" s="777">
        <v>95</v>
      </c>
      <c r="I19" s="775"/>
      <c r="J19" s="121"/>
      <c r="K19" s="122"/>
      <c r="L19" s="35"/>
      <c r="M19" s="1375" t="str">
        <f t="shared" si="0"/>
        <v/>
      </c>
      <c r="N19" s="35"/>
      <c r="O19" s="1376" t="str">
        <f t="shared" si="1"/>
        <v/>
      </c>
      <c r="P19" s="1377" t="str">
        <f t="shared" si="2"/>
        <v/>
      </c>
      <c r="Q19" s="1377" t="str">
        <f t="shared" si="3"/>
        <v/>
      </c>
    </row>
    <row r="20" spans="1:17" x14ac:dyDescent="0.2">
      <c r="A20" s="2001"/>
      <c r="B20" s="1984">
        <v>2</v>
      </c>
      <c r="C20" s="1974" t="s">
        <v>677</v>
      </c>
      <c r="D20" s="1985" t="s">
        <v>668</v>
      </c>
      <c r="E20" s="1985"/>
      <c r="F20" s="447">
        <v>50</v>
      </c>
      <c r="G20" s="447">
        <v>60</v>
      </c>
      <c r="H20" s="777">
        <v>80</v>
      </c>
      <c r="I20" s="775"/>
      <c r="J20" s="121"/>
      <c r="K20" s="122"/>
      <c r="L20" s="35"/>
      <c r="M20" s="1375" t="str">
        <f t="shared" si="0"/>
        <v/>
      </c>
      <c r="N20" s="35"/>
      <c r="O20" s="1376" t="str">
        <f t="shared" si="1"/>
        <v/>
      </c>
      <c r="P20" s="1377" t="str">
        <f t="shared" si="2"/>
        <v/>
      </c>
      <c r="Q20" s="1377" t="str">
        <f t="shared" si="3"/>
        <v/>
      </c>
    </row>
    <row r="21" spans="1:17" x14ac:dyDescent="0.2">
      <c r="A21" s="2001"/>
      <c r="B21" s="1984"/>
      <c r="C21" s="1974"/>
      <c r="D21" s="1974" t="s">
        <v>665</v>
      </c>
      <c r="E21" s="776" t="s">
        <v>669</v>
      </c>
      <c r="F21" s="447">
        <v>20</v>
      </c>
      <c r="G21" s="447">
        <v>40</v>
      </c>
      <c r="H21" s="777">
        <v>55</v>
      </c>
      <c r="I21" s="775"/>
      <c r="J21" s="121"/>
      <c r="K21" s="122"/>
      <c r="L21" s="35"/>
      <c r="M21" s="1375" t="str">
        <f t="shared" si="0"/>
        <v/>
      </c>
      <c r="N21" s="35"/>
      <c r="O21" s="1376" t="str">
        <f t="shared" si="1"/>
        <v/>
      </c>
      <c r="P21" s="1377" t="str">
        <f t="shared" si="2"/>
        <v/>
      </c>
      <c r="Q21" s="1377" t="str">
        <f t="shared" si="3"/>
        <v/>
      </c>
    </row>
    <row r="22" spans="1:17" x14ac:dyDescent="0.2">
      <c r="A22" s="2001"/>
      <c r="B22" s="1984"/>
      <c r="C22" s="1974"/>
      <c r="D22" s="1974"/>
      <c r="E22" s="776" t="s">
        <v>670</v>
      </c>
      <c r="F22" s="447">
        <v>30</v>
      </c>
      <c r="G22" s="447">
        <v>70</v>
      </c>
      <c r="H22" s="777">
        <v>95</v>
      </c>
      <c r="I22" s="775"/>
      <c r="J22" s="121"/>
      <c r="K22" s="122"/>
      <c r="L22" s="35"/>
      <c r="M22" s="1375" t="str">
        <f t="shared" si="0"/>
        <v/>
      </c>
      <c r="N22" s="35"/>
      <c r="O22" s="1376" t="str">
        <f t="shared" si="1"/>
        <v/>
      </c>
      <c r="P22" s="1377" t="str">
        <f t="shared" si="2"/>
        <v/>
      </c>
      <c r="Q22" s="1377" t="str">
        <f t="shared" si="3"/>
        <v/>
      </c>
    </row>
    <row r="23" spans="1:17" x14ac:dyDescent="0.2">
      <c r="A23" s="2001"/>
      <c r="B23" s="1984">
        <v>3</v>
      </c>
      <c r="C23" s="1974" t="s">
        <v>667</v>
      </c>
      <c r="D23" s="1985" t="s">
        <v>668</v>
      </c>
      <c r="E23" s="1985"/>
      <c r="F23" s="447">
        <v>60</v>
      </c>
      <c r="G23" s="447">
        <v>60</v>
      </c>
      <c r="H23" s="777">
        <v>80</v>
      </c>
      <c r="I23" s="775"/>
      <c r="J23" s="121"/>
      <c r="K23" s="122"/>
      <c r="L23" s="35"/>
      <c r="M23" s="1375" t="str">
        <f t="shared" si="0"/>
        <v/>
      </c>
      <c r="N23" s="35"/>
      <c r="O23" s="1376" t="str">
        <f t="shared" si="1"/>
        <v/>
      </c>
      <c r="P23" s="1377" t="str">
        <f t="shared" si="2"/>
        <v/>
      </c>
      <c r="Q23" s="1377" t="str">
        <f t="shared" si="3"/>
        <v/>
      </c>
    </row>
    <row r="24" spans="1:17" x14ac:dyDescent="0.2">
      <c r="A24" s="2001"/>
      <c r="B24" s="1984"/>
      <c r="C24" s="1974"/>
      <c r="D24" s="1974" t="s">
        <v>665</v>
      </c>
      <c r="E24" s="776" t="s">
        <v>669</v>
      </c>
      <c r="F24" s="447">
        <v>20</v>
      </c>
      <c r="G24" s="447">
        <v>40</v>
      </c>
      <c r="H24" s="777">
        <v>55</v>
      </c>
      <c r="I24" s="775"/>
      <c r="J24" s="121"/>
      <c r="K24" s="122"/>
      <c r="L24" s="35"/>
      <c r="M24" s="1375" t="str">
        <f t="shared" si="0"/>
        <v/>
      </c>
      <c r="N24" s="35"/>
      <c r="O24" s="1376" t="str">
        <f t="shared" si="1"/>
        <v/>
      </c>
      <c r="P24" s="1377" t="str">
        <f t="shared" si="2"/>
        <v/>
      </c>
      <c r="Q24" s="1377" t="str">
        <f t="shared" si="3"/>
        <v/>
      </c>
    </row>
    <row r="25" spans="1:17" x14ac:dyDescent="0.2">
      <c r="A25" s="2001"/>
      <c r="B25" s="1984"/>
      <c r="C25" s="1974"/>
      <c r="D25" s="1974"/>
      <c r="E25" s="776" t="s">
        <v>670</v>
      </c>
      <c r="F25" s="447">
        <v>30</v>
      </c>
      <c r="G25" s="447">
        <v>70</v>
      </c>
      <c r="H25" s="777">
        <v>95</v>
      </c>
      <c r="I25" s="775"/>
      <c r="J25" s="121"/>
      <c r="K25" s="122"/>
      <c r="L25" s="35"/>
      <c r="M25" s="1375" t="str">
        <f t="shared" si="0"/>
        <v/>
      </c>
      <c r="N25" s="35"/>
      <c r="O25" s="1376" t="str">
        <f t="shared" si="1"/>
        <v/>
      </c>
      <c r="P25" s="1377" t="str">
        <f t="shared" si="2"/>
        <v/>
      </c>
      <c r="Q25" s="1377" t="str">
        <f t="shared" si="3"/>
        <v/>
      </c>
    </row>
    <row r="26" spans="1:17" x14ac:dyDescent="0.2">
      <c r="A26" s="2001"/>
      <c r="B26" s="447">
        <v>4</v>
      </c>
      <c r="C26" s="1958" t="s">
        <v>680</v>
      </c>
      <c r="D26" s="1991"/>
      <c r="E26" s="1959"/>
      <c r="F26" s="447">
        <v>30</v>
      </c>
      <c r="G26" s="447">
        <v>45</v>
      </c>
      <c r="H26" s="777">
        <v>55</v>
      </c>
      <c r="I26" s="775"/>
      <c r="J26" s="121"/>
      <c r="K26" s="122"/>
      <c r="L26" s="35"/>
      <c r="M26" s="1375" t="str">
        <f t="shared" si="0"/>
        <v/>
      </c>
      <c r="N26" s="35"/>
      <c r="O26" s="1376" t="str">
        <f t="shared" si="1"/>
        <v/>
      </c>
      <c r="P26" s="1377" t="str">
        <f t="shared" si="2"/>
        <v/>
      </c>
      <c r="Q26" s="1377" t="str">
        <f t="shared" si="3"/>
        <v/>
      </c>
    </row>
    <row r="27" spans="1:17" x14ac:dyDescent="0.2">
      <c r="A27" s="2001"/>
      <c r="B27" s="447">
        <v>5</v>
      </c>
      <c r="C27" s="1958" t="s">
        <v>681</v>
      </c>
      <c r="D27" s="1991"/>
      <c r="E27" s="1959"/>
      <c r="F27" s="447">
        <v>15</v>
      </c>
      <c r="G27" s="447">
        <v>25</v>
      </c>
      <c r="H27" s="777">
        <v>25</v>
      </c>
      <c r="I27" s="775"/>
      <c r="J27" s="121"/>
      <c r="K27" s="122"/>
      <c r="L27" s="35"/>
      <c r="M27" s="1375" t="str">
        <f t="shared" si="0"/>
        <v/>
      </c>
      <c r="N27" s="35"/>
      <c r="O27" s="1376" t="str">
        <f t="shared" si="1"/>
        <v/>
      </c>
      <c r="P27" s="1377" t="str">
        <f t="shared" si="2"/>
        <v/>
      </c>
      <c r="Q27" s="1377" t="str">
        <f t="shared" si="3"/>
        <v/>
      </c>
    </row>
    <row r="28" spans="1:17" x14ac:dyDescent="0.2">
      <c r="A28" s="2001"/>
      <c r="B28" s="447">
        <v>6</v>
      </c>
      <c r="C28" s="1958" t="s">
        <v>682</v>
      </c>
      <c r="D28" s="1991"/>
      <c r="E28" s="1959"/>
      <c r="F28" s="447">
        <v>15</v>
      </c>
      <c r="G28" s="447">
        <v>20</v>
      </c>
      <c r="H28" s="777">
        <v>20</v>
      </c>
      <c r="I28" s="775"/>
      <c r="J28" s="121"/>
      <c r="K28" s="122"/>
      <c r="L28" s="35"/>
      <c r="M28" s="1375" t="str">
        <f t="shared" si="0"/>
        <v/>
      </c>
      <c r="N28" s="35"/>
      <c r="O28" s="1376" t="str">
        <f t="shared" si="1"/>
        <v/>
      </c>
      <c r="P28" s="1377" t="str">
        <f t="shared" si="2"/>
        <v/>
      </c>
      <c r="Q28" s="1377" t="str">
        <f t="shared" si="3"/>
        <v/>
      </c>
    </row>
    <row r="29" spans="1:17" x14ac:dyDescent="0.2">
      <c r="A29" s="2001"/>
      <c r="B29" s="447">
        <v>7</v>
      </c>
      <c r="C29" s="1958" t="s">
        <v>683</v>
      </c>
      <c r="D29" s="1991"/>
      <c r="E29" s="1959"/>
      <c r="F29" s="447">
        <v>35</v>
      </c>
      <c r="G29" s="447">
        <v>45</v>
      </c>
      <c r="H29" s="777">
        <v>60</v>
      </c>
      <c r="I29" s="775"/>
      <c r="J29" s="121"/>
      <c r="K29" s="122"/>
      <c r="L29" s="35"/>
      <c r="M29" s="1375" t="str">
        <f t="shared" si="0"/>
        <v/>
      </c>
      <c r="N29" s="35"/>
      <c r="O29" s="1376" t="str">
        <f t="shared" si="1"/>
        <v/>
      </c>
      <c r="P29" s="1377" t="str">
        <f t="shared" si="2"/>
        <v/>
      </c>
      <c r="Q29" s="1377" t="str">
        <f t="shared" si="3"/>
        <v/>
      </c>
    </row>
    <row r="30" spans="1:17" x14ac:dyDescent="0.2">
      <c r="A30" s="2001"/>
      <c r="B30" s="447">
        <v>8</v>
      </c>
      <c r="C30" s="1958" t="s">
        <v>684</v>
      </c>
      <c r="D30" s="1991"/>
      <c r="E30" s="1959"/>
      <c r="F30" s="447">
        <v>50</v>
      </c>
      <c r="G30" s="447">
        <v>60</v>
      </c>
      <c r="H30" s="777">
        <v>75</v>
      </c>
      <c r="I30" s="775"/>
      <c r="J30" s="121"/>
      <c r="K30" s="122"/>
      <c r="L30" s="35"/>
      <c r="M30" s="1375" t="str">
        <f t="shared" si="0"/>
        <v/>
      </c>
      <c r="N30" s="35"/>
      <c r="O30" s="1376" t="str">
        <f t="shared" si="1"/>
        <v/>
      </c>
      <c r="P30" s="1377" t="str">
        <f t="shared" si="2"/>
        <v/>
      </c>
      <c r="Q30" s="1377" t="str">
        <f t="shared" si="3"/>
        <v/>
      </c>
    </row>
    <row r="31" spans="1:17" x14ac:dyDescent="0.2">
      <c r="A31" s="2001"/>
      <c r="B31" s="447">
        <v>9</v>
      </c>
      <c r="C31" s="1958" t="s">
        <v>685</v>
      </c>
      <c r="D31" s="1991"/>
      <c r="E31" s="1959"/>
      <c r="F31" s="447">
        <v>30</v>
      </c>
      <c r="G31" s="447">
        <v>40</v>
      </c>
      <c r="H31" s="777">
        <v>60</v>
      </c>
      <c r="I31" s="775"/>
      <c r="J31" s="121"/>
      <c r="K31" s="122"/>
      <c r="L31" s="35"/>
      <c r="M31" s="1375" t="str">
        <f t="shared" si="0"/>
        <v/>
      </c>
      <c r="N31" s="35"/>
      <c r="O31" s="1376" t="str">
        <f t="shared" si="1"/>
        <v/>
      </c>
      <c r="P31" s="1377" t="str">
        <f t="shared" si="2"/>
        <v/>
      </c>
      <c r="Q31" s="1377" t="str">
        <f t="shared" si="3"/>
        <v/>
      </c>
    </row>
    <row r="32" spans="1:17" x14ac:dyDescent="0.2">
      <c r="A32" s="2001"/>
      <c r="B32" s="447">
        <v>10</v>
      </c>
      <c r="C32" s="1958" t="s">
        <v>686</v>
      </c>
      <c r="D32" s="1991"/>
      <c r="E32" s="1959"/>
      <c r="F32" s="447">
        <v>25</v>
      </c>
      <c r="G32" s="447">
        <v>30</v>
      </c>
      <c r="H32" s="777">
        <v>40</v>
      </c>
      <c r="I32" s="775"/>
      <c r="J32" s="121"/>
      <c r="K32" s="122"/>
      <c r="L32" s="35"/>
      <c r="M32" s="1375" t="str">
        <f t="shared" si="0"/>
        <v/>
      </c>
      <c r="N32" s="35"/>
      <c r="O32" s="1376" t="str">
        <f t="shared" si="1"/>
        <v/>
      </c>
      <c r="P32" s="1377" t="str">
        <f t="shared" si="2"/>
        <v/>
      </c>
      <c r="Q32" s="1377" t="str">
        <f t="shared" si="3"/>
        <v/>
      </c>
    </row>
    <row r="33" spans="1:17" ht="13.5" thickBot="1" x14ac:dyDescent="0.25">
      <c r="A33" s="2001"/>
      <c r="B33" s="778">
        <v>11</v>
      </c>
      <c r="C33" s="1986" t="s">
        <v>687</v>
      </c>
      <c r="D33" s="1987"/>
      <c r="E33" s="1988"/>
      <c r="F33" s="778">
        <v>25</v>
      </c>
      <c r="G33" s="778">
        <v>40</v>
      </c>
      <c r="H33" s="779">
        <v>55</v>
      </c>
      <c r="I33" s="775"/>
      <c r="J33" s="121"/>
      <c r="K33" s="122"/>
      <c r="L33" s="35"/>
      <c r="M33" s="1375" t="str">
        <f t="shared" si="0"/>
        <v/>
      </c>
      <c r="N33" s="35"/>
      <c r="O33" s="1376" t="str">
        <f t="shared" si="1"/>
        <v/>
      </c>
      <c r="P33" s="1377" t="str">
        <f t="shared" si="2"/>
        <v/>
      </c>
      <c r="Q33" s="1377" t="str">
        <f t="shared" si="3"/>
        <v/>
      </c>
    </row>
    <row r="34" spans="1:17" x14ac:dyDescent="0.2">
      <c r="A34" s="1963" t="s">
        <v>666</v>
      </c>
      <c r="B34" s="1980">
        <v>12</v>
      </c>
      <c r="C34" s="1981" t="s">
        <v>688</v>
      </c>
      <c r="D34" s="1966" t="s">
        <v>668</v>
      </c>
      <c r="E34" s="1982"/>
      <c r="F34" s="773">
        <v>30</v>
      </c>
      <c r="G34" s="773">
        <v>45</v>
      </c>
      <c r="H34" s="774">
        <v>60</v>
      </c>
      <c r="I34" s="775"/>
      <c r="J34" s="121"/>
      <c r="K34" s="122"/>
      <c r="L34" s="35"/>
      <c r="M34" s="1375" t="str">
        <f t="shared" si="0"/>
        <v/>
      </c>
      <c r="N34" s="35"/>
      <c r="O34" s="1376" t="str">
        <f t="shared" si="1"/>
        <v/>
      </c>
      <c r="P34" s="1377" t="str">
        <f t="shared" si="2"/>
        <v/>
      </c>
      <c r="Q34" s="1377" t="str">
        <f t="shared" si="3"/>
        <v/>
      </c>
    </row>
    <row r="35" spans="1:17" x14ac:dyDescent="0.2">
      <c r="A35" s="1978"/>
      <c r="B35" s="1940"/>
      <c r="C35" s="1975"/>
      <c r="D35" s="1931" t="s">
        <v>689</v>
      </c>
      <c r="E35" s="1933"/>
      <c r="F35" s="447">
        <v>10</v>
      </c>
      <c r="G35" s="447">
        <v>20</v>
      </c>
      <c r="H35" s="777">
        <v>30</v>
      </c>
      <c r="I35" s="775"/>
      <c r="J35" s="121"/>
      <c r="K35" s="122"/>
      <c r="L35" s="35"/>
      <c r="M35" s="1375" t="str">
        <f t="shared" si="0"/>
        <v/>
      </c>
      <c r="N35" s="35"/>
      <c r="O35" s="1376" t="str">
        <f t="shared" si="1"/>
        <v/>
      </c>
      <c r="P35" s="1377" t="str">
        <f t="shared" si="2"/>
        <v/>
      </c>
      <c r="Q35" s="1377" t="str">
        <f t="shared" si="3"/>
        <v/>
      </c>
    </row>
    <row r="36" spans="1:17" x14ac:dyDescent="0.2">
      <c r="A36" s="1978"/>
      <c r="B36" s="1937"/>
      <c r="C36" s="1975"/>
      <c r="D36" s="1931" t="s">
        <v>690</v>
      </c>
      <c r="E36" s="1933"/>
      <c r="F36" s="447">
        <v>20</v>
      </c>
      <c r="G36" s="447">
        <v>30</v>
      </c>
      <c r="H36" s="777">
        <v>60</v>
      </c>
      <c r="I36" s="775"/>
      <c r="J36" s="121"/>
      <c r="K36" s="122"/>
      <c r="L36" s="35"/>
      <c r="M36" s="1375" t="str">
        <f t="shared" si="0"/>
        <v/>
      </c>
      <c r="N36" s="35"/>
      <c r="O36" s="1376" t="str">
        <f t="shared" si="1"/>
        <v/>
      </c>
      <c r="P36" s="1377" t="str">
        <f t="shared" si="2"/>
        <v/>
      </c>
      <c r="Q36" s="1377" t="str">
        <f t="shared" si="3"/>
        <v/>
      </c>
    </row>
    <row r="37" spans="1:17" x14ac:dyDescent="0.2">
      <c r="A37" s="1978"/>
      <c r="B37" s="106">
        <v>13</v>
      </c>
      <c r="C37" s="1983" t="s">
        <v>671</v>
      </c>
      <c r="D37" s="1969"/>
      <c r="E37" s="1970"/>
      <c r="F37" s="447">
        <v>30</v>
      </c>
      <c r="G37" s="447">
        <v>45</v>
      </c>
      <c r="H37" s="777">
        <v>55</v>
      </c>
      <c r="I37" s="775"/>
      <c r="J37" s="121"/>
      <c r="K37" s="122"/>
      <c r="L37" s="35"/>
      <c r="M37" s="1375" t="str">
        <f t="shared" si="0"/>
        <v/>
      </c>
      <c r="N37" s="35"/>
      <c r="O37" s="1376" t="str">
        <f t="shared" si="1"/>
        <v/>
      </c>
      <c r="P37" s="1377" t="str">
        <f t="shared" si="2"/>
        <v/>
      </c>
      <c r="Q37" s="1377" t="str">
        <f t="shared" si="3"/>
        <v/>
      </c>
    </row>
    <row r="38" spans="1:17" x14ac:dyDescent="0.2">
      <c r="A38" s="1978"/>
      <c r="B38" s="106">
        <v>14</v>
      </c>
      <c r="C38" s="1983" t="s">
        <v>691</v>
      </c>
      <c r="D38" s="1969"/>
      <c r="E38" s="1970"/>
      <c r="F38" s="447">
        <v>30</v>
      </c>
      <c r="G38" s="447">
        <v>40</v>
      </c>
      <c r="H38" s="777">
        <v>40</v>
      </c>
      <c r="I38" s="775"/>
      <c r="J38" s="121"/>
      <c r="K38" s="122"/>
      <c r="L38" s="35"/>
      <c r="M38" s="1375" t="str">
        <f t="shared" si="0"/>
        <v/>
      </c>
      <c r="N38" s="35"/>
      <c r="O38" s="1376" t="str">
        <f t="shared" si="1"/>
        <v/>
      </c>
      <c r="P38" s="1377" t="str">
        <f t="shared" si="2"/>
        <v/>
      </c>
      <c r="Q38" s="1377" t="str">
        <f t="shared" si="3"/>
        <v/>
      </c>
    </row>
    <row r="39" spans="1:17" x14ac:dyDescent="0.2">
      <c r="A39" s="1978"/>
      <c r="B39" s="1936">
        <v>15</v>
      </c>
      <c r="C39" s="1975" t="s">
        <v>672</v>
      </c>
      <c r="D39" s="1931" t="s">
        <v>668</v>
      </c>
      <c r="E39" s="1933"/>
      <c r="F39" s="447">
        <v>10</v>
      </c>
      <c r="G39" s="447">
        <v>20</v>
      </c>
      <c r="H39" s="777">
        <v>30</v>
      </c>
      <c r="I39" s="775"/>
      <c r="J39" s="121"/>
      <c r="K39" s="122"/>
      <c r="L39" s="35"/>
      <c r="M39" s="1375" t="str">
        <f t="shared" si="0"/>
        <v/>
      </c>
      <c r="N39" s="35"/>
      <c r="O39" s="1376" t="str">
        <f t="shared" si="1"/>
        <v/>
      </c>
      <c r="P39" s="1377" t="str">
        <f t="shared" si="2"/>
        <v/>
      </c>
      <c r="Q39" s="1377" t="str">
        <f t="shared" si="3"/>
        <v/>
      </c>
    </row>
    <row r="40" spans="1:17" x14ac:dyDescent="0.2">
      <c r="A40" s="1978"/>
      <c r="B40" s="1940"/>
      <c r="C40" s="1975"/>
      <c r="D40" s="1931" t="s">
        <v>692</v>
      </c>
      <c r="E40" s="1933"/>
      <c r="F40" s="447">
        <v>10</v>
      </c>
      <c r="G40" s="447">
        <v>15</v>
      </c>
      <c r="H40" s="777">
        <v>15</v>
      </c>
      <c r="I40" s="775"/>
      <c r="J40" s="121"/>
      <c r="K40" s="122"/>
      <c r="L40" s="35"/>
      <c r="M40" s="1375" t="str">
        <f t="shared" si="0"/>
        <v/>
      </c>
      <c r="N40" s="35"/>
      <c r="O40" s="1376" t="str">
        <f t="shared" si="1"/>
        <v/>
      </c>
      <c r="P40" s="1377" t="str">
        <f t="shared" si="2"/>
        <v/>
      </c>
      <c r="Q40" s="1377" t="str">
        <f t="shared" si="3"/>
        <v/>
      </c>
    </row>
    <row r="41" spans="1:17" x14ac:dyDescent="0.2">
      <c r="A41" s="1978"/>
      <c r="B41" s="1937"/>
      <c r="C41" s="1975"/>
      <c r="D41" s="1931" t="s">
        <v>673</v>
      </c>
      <c r="E41" s="1933"/>
      <c r="F41" s="447">
        <v>20</v>
      </c>
      <c r="G41" s="447">
        <v>20</v>
      </c>
      <c r="H41" s="777">
        <v>30</v>
      </c>
      <c r="I41" s="775"/>
      <c r="J41" s="121"/>
      <c r="K41" s="122"/>
      <c r="L41" s="35"/>
      <c r="M41" s="1375" t="str">
        <f t="shared" si="0"/>
        <v/>
      </c>
      <c r="N41" s="35"/>
      <c r="O41" s="1376" t="str">
        <f t="shared" si="1"/>
        <v/>
      </c>
      <c r="P41" s="1377" t="str">
        <f t="shared" si="2"/>
        <v/>
      </c>
      <c r="Q41" s="1377" t="str">
        <f t="shared" si="3"/>
        <v/>
      </c>
    </row>
    <row r="42" spans="1:17" x14ac:dyDescent="0.2">
      <c r="A42" s="1978"/>
      <c r="B42" s="1936">
        <v>16</v>
      </c>
      <c r="C42" s="107" t="s">
        <v>693</v>
      </c>
      <c r="D42" s="1931" t="s">
        <v>668</v>
      </c>
      <c r="E42" s="1933"/>
      <c r="F42" s="447">
        <v>30</v>
      </c>
      <c r="G42" s="447">
        <v>40</v>
      </c>
      <c r="H42" s="777">
        <v>60</v>
      </c>
      <c r="I42" s="775"/>
      <c r="J42" s="121"/>
      <c r="K42" s="122"/>
      <c r="L42" s="35"/>
      <c r="M42" s="1375" t="str">
        <f t="shared" si="0"/>
        <v/>
      </c>
      <c r="N42" s="35"/>
      <c r="O42" s="1376" t="str">
        <f t="shared" si="1"/>
        <v/>
      </c>
      <c r="P42" s="1377" t="str">
        <f t="shared" si="2"/>
        <v/>
      </c>
      <c r="Q42" s="1377" t="str">
        <f t="shared" si="3"/>
        <v/>
      </c>
    </row>
    <row r="43" spans="1:17" x14ac:dyDescent="0.2">
      <c r="A43" s="1978"/>
      <c r="B43" s="1937"/>
      <c r="C43" s="107"/>
      <c r="D43" s="1931" t="s">
        <v>694</v>
      </c>
      <c r="E43" s="1933"/>
      <c r="F43" s="447">
        <v>25</v>
      </c>
      <c r="G43" s="447">
        <v>40</v>
      </c>
      <c r="H43" s="777">
        <v>60</v>
      </c>
      <c r="I43" s="775"/>
      <c r="J43" s="121"/>
      <c r="K43" s="122"/>
      <c r="L43" s="35"/>
      <c r="M43" s="1375" t="str">
        <f t="shared" si="0"/>
        <v/>
      </c>
      <c r="N43" s="35"/>
      <c r="O43" s="1376" t="str">
        <f t="shared" si="1"/>
        <v/>
      </c>
      <c r="P43" s="1377" t="str">
        <f t="shared" si="2"/>
        <v/>
      </c>
      <c r="Q43" s="1377" t="str">
        <f t="shared" si="3"/>
        <v/>
      </c>
    </row>
    <row r="44" spans="1:17" x14ac:dyDescent="0.2">
      <c r="A44" s="1978"/>
      <c r="B44" s="447">
        <v>17</v>
      </c>
      <c r="C44" s="1931" t="s">
        <v>695</v>
      </c>
      <c r="D44" s="1932"/>
      <c r="E44" s="1933"/>
      <c r="F44" s="447">
        <v>35</v>
      </c>
      <c r="G44" s="447">
        <v>45</v>
      </c>
      <c r="H44" s="777">
        <v>65</v>
      </c>
      <c r="I44" s="775"/>
      <c r="J44" s="121"/>
      <c r="K44" s="122"/>
      <c r="L44" s="35"/>
      <c r="M44" s="1375" t="str">
        <f t="shared" si="0"/>
        <v/>
      </c>
      <c r="N44" s="35"/>
      <c r="O44" s="1376" t="str">
        <f t="shared" si="1"/>
        <v/>
      </c>
      <c r="P44" s="1377" t="str">
        <f t="shared" si="2"/>
        <v/>
      </c>
      <c r="Q44" s="1377" t="str">
        <f t="shared" si="3"/>
        <v/>
      </c>
    </row>
    <row r="45" spans="1:17" ht="20.25" customHeight="1" x14ac:dyDescent="0.2">
      <c r="A45" s="1978"/>
      <c r="B45" s="447">
        <v>18</v>
      </c>
      <c r="C45" s="1983" t="s">
        <v>696</v>
      </c>
      <c r="D45" s="1969"/>
      <c r="E45" s="1970"/>
      <c r="F45" s="447">
        <v>30</v>
      </c>
      <c r="G45" s="447">
        <v>50</v>
      </c>
      <c r="H45" s="777">
        <v>60</v>
      </c>
      <c r="I45" s="780"/>
      <c r="J45" s="121"/>
      <c r="K45" s="122"/>
      <c r="L45" s="35"/>
      <c r="M45" s="1375" t="str">
        <f t="shared" si="0"/>
        <v/>
      </c>
      <c r="N45" s="35"/>
      <c r="O45" s="1376" t="str">
        <f t="shared" si="1"/>
        <v/>
      </c>
      <c r="P45" s="1377" t="str">
        <f t="shared" si="2"/>
        <v/>
      </c>
      <c r="Q45" s="1377" t="str">
        <f t="shared" si="3"/>
        <v/>
      </c>
    </row>
    <row r="46" spans="1:17" x14ac:dyDescent="0.2">
      <c r="A46" s="1978"/>
      <c r="B46" s="447">
        <v>19</v>
      </c>
      <c r="C46" s="1931" t="s">
        <v>703</v>
      </c>
      <c r="D46" s="1969"/>
      <c r="E46" s="1970"/>
      <c r="F46" s="447">
        <v>25</v>
      </c>
      <c r="G46" s="447">
        <v>35</v>
      </c>
      <c r="H46" s="777">
        <v>50</v>
      </c>
      <c r="I46" s="781"/>
      <c r="J46" s="121"/>
      <c r="K46" s="122"/>
      <c r="L46" s="35"/>
      <c r="M46" s="1375" t="str">
        <f t="shared" si="0"/>
        <v/>
      </c>
      <c r="N46" s="35"/>
      <c r="O46" s="1376" t="str">
        <f t="shared" si="1"/>
        <v/>
      </c>
      <c r="P46" s="1377" t="str">
        <f t="shared" si="2"/>
        <v/>
      </c>
      <c r="Q46" s="1377" t="str">
        <f t="shared" si="3"/>
        <v/>
      </c>
    </row>
    <row r="47" spans="1:17" x14ac:dyDescent="0.2">
      <c r="A47" s="1978"/>
      <c r="B47" s="447">
        <v>20</v>
      </c>
      <c r="C47" s="1931" t="s">
        <v>704</v>
      </c>
      <c r="D47" s="1969"/>
      <c r="E47" s="1970"/>
      <c r="F47" s="447">
        <v>10</v>
      </c>
      <c r="G47" s="447">
        <v>30</v>
      </c>
      <c r="H47" s="777">
        <v>45</v>
      </c>
      <c r="I47" s="781"/>
      <c r="J47" s="121"/>
      <c r="K47" s="122"/>
      <c r="L47" s="35"/>
      <c r="M47" s="1375" t="str">
        <f t="shared" si="0"/>
        <v/>
      </c>
      <c r="N47" s="35"/>
      <c r="O47" s="1376" t="str">
        <f t="shared" si="1"/>
        <v/>
      </c>
      <c r="P47" s="1377" t="str">
        <f t="shared" si="2"/>
        <v/>
      </c>
      <c r="Q47" s="1377" t="str">
        <f t="shared" si="3"/>
        <v/>
      </c>
    </row>
    <row r="48" spans="1:17" x14ac:dyDescent="0.2">
      <c r="A48" s="1978"/>
      <c r="B48" s="447">
        <v>21</v>
      </c>
      <c r="C48" s="1931" t="s">
        <v>705</v>
      </c>
      <c r="D48" s="1969"/>
      <c r="E48" s="1970"/>
      <c r="F48" s="447">
        <v>15</v>
      </c>
      <c r="G48" s="447">
        <v>20</v>
      </c>
      <c r="H48" s="777">
        <v>20</v>
      </c>
      <c r="I48" s="781"/>
      <c r="J48" s="121"/>
      <c r="K48" s="122"/>
      <c r="L48" s="35"/>
      <c r="M48" s="1375" t="str">
        <f t="shared" si="0"/>
        <v/>
      </c>
      <c r="N48" s="35"/>
      <c r="O48" s="1376" t="str">
        <f t="shared" si="1"/>
        <v/>
      </c>
      <c r="P48" s="1377" t="str">
        <f t="shared" si="2"/>
        <v/>
      </c>
      <c r="Q48" s="1377" t="str">
        <f t="shared" si="3"/>
        <v/>
      </c>
    </row>
    <row r="49" spans="1:17" x14ac:dyDescent="0.2">
      <c r="A49" s="1978"/>
      <c r="B49" s="447">
        <v>22</v>
      </c>
      <c r="C49" s="1931" t="s">
        <v>706</v>
      </c>
      <c r="D49" s="1969"/>
      <c r="E49" s="1970"/>
      <c r="F49" s="447">
        <v>30</v>
      </c>
      <c r="G49" s="447">
        <v>55</v>
      </c>
      <c r="H49" s="777">
        <v>60</v>
      </c>
      <c r="I49" s="781"/>
      <c r="J49" s="121"/>
      <c r="K49" s="122"/>
      <c r="L49" s="35"/>
      <c r="M49" s="1375" t="str">
        <f t="shared" si="0"/>
        <v/>
      </c>
      <c r="N49" s="35"/>
      <c r="O49" s="1376" t="str">
        <f t="shared" si="1"/>
        <v/>
      </c>
      <c r="P49" s="1377" t="str">
        <f t="shared" si="2"/>
        <v/>
      </c>
      <c r="Q49" s="1377" t="str">
        <f t="shared" si="3"/>
        <v/>
      </c>
    </row>
    <row r="50" spans="1:17" ht="13.5" thickBot="1" x14ac:dyDescent="0.25">
      <c r="A50" s="1979"/>
      <c r="B50" s="782">
        <v>23</v>
      </c>
      <c r="C50" s="1960" t="s">
        <v>707</v>
      </c>
      <c r="D50" s="1961"/>
      <c r="E50" s="1962"/>
      <c r="F50" s="782">
        <v>35</v>
      </c>
      <c r="G50" s="782">
        <v>50</v>
      </c>
      <c r="H50" s="783">
        <v>90</v>
      </c>
      <c r="I50" s="781"/>
      <c r="J50" s="121"/>
      <c r="K50" s="122"/>
      <c r="L50" s="35"/>
      <c r="M50" s="1375" t="str">
        <f t="shared" si="0"/>
        <v/>
      </c>
      <c r="N50" s="35"/>
      <c r="O50" s="1376" t="str">
        <f t="shared" si="1"/>
        <v/>
      </c>
      <c r="P50" s="1377" t="str">
        <f t="shared" si="2"/>
        <v/>
      </c>
      <c r="Q50" s="1377" t="str">
        <f t="shared" si="3"/>
        <v/>
      </c>
    </row>
    <row r="51" spans="1:17" x14ac:dyDescent="0.2">
      <c r="A51" s="1963" t="s">
        <v>728</v>
      </c>
      <c r="B51" s="773">
        <v>24</v>
      </c>
      <c r="C51" s="1966" t="s">
        <v>708</v>
      </c>
      <c r="D51" s="1967"/>
      <c r="E51" s="1968"/>
      <c r="F51" s="773">
        <v>60</v>
      </c>
      <c r="G51" s="773">
        <v>65</v>
      </c>
      <c r="H51" s="774">
        <v>75</v>
      </c>
      <c r="I51" s="781"/>
      <c r="J51" s="121"/>
      <c r="K51" s="122"/>
      <c r="L51" s="35"/>
      <c r="M51" s="1375" t="str">
        <f t="shared" si="0"/>
        <v/>
      </c>
      <c r="N51" s="35"/>
      <c r="O51" s="1376" t="str">
        <f t="shared" si="1"/>
        <v/>
      </c>
      <c r="P51" s="1377" t="str">
        <f t="shared" si="2"/>
        <v/>
      </c>
      <c r="Q51" s="1377" t="str">
        <f t="shared" si="3"/>
        <v/>
      </c>
    </row>
    <row r="52" spans="1:17" x14ac:dyDescent="0.2">
      <c r="A52" s="1964"/>
      <c r="B52" s="447">
        <v>25</v>
      </c>
      <c r="C52" s="1931" t="s">
        <v>709</v>
      </c>
      <c r="D52" s="1969"/>
      <c r="E52" s="1970"/>
      <c r="F52" s="447">
        <v>20</v>
      </c>
      <c r="G52" s="447">
        <v>25</v>
      </c>
      <c r="H52" s="777">
        <v>25</v>
      </c>
      <c r="I52" s="781"/>
      <c r="J52" s="121"/>
      <c r="K52" s="122"/>
      <c r="L52" s="35"/>
      <c r="M52" s="1375" t="str">
        <f t="shared" si="0"/>
        <v/>
      </c>
      <c r="N52" s="35"/>
      <c r="O52" s="1376" t="str">
        <f t="shared" si="1"/>
        <v/>
      </c>
      <c r="P52" s="1377" t="str">
        <f t="shared" si="2"/>
        <v/>
      </c>
      <c r="Q52" s="1377" t="str">
        <f t="shared" si="3"/>
        <v/>
      </c>
    </row>
    <row r="53" spans="1:17" ht="27" customHeight="1" x14ac:dyDescent="0.2">
      <c r="A53" s="1964"/>
      <c r="B53" s="447">
        <v>26</v>
      </c>
      <c r="C53" s="1971" t="s">
        <v>727</v>
      </c>
      <c r="D53" s="1972"/>
      <c r="E53" s="1973"/>
      <c r="F53" s="447">
        <v>20</v>
      </c>
      <c r="G53" s="447">
        <v>25</v>
      </c>
      <c r="H53" s="777">
        <v>30</v>
      </c>
      <c r="I53" s="781"/>
      <c r="J53" s="121"/>
      <c r="K53" s="122"/>
      <c r="L53" s="35"/>
      <c r="M53" s="1375" t="str">
        <f t="shared" si="0"/>
        <v/>
      </c>
      <c r="N53" s="35"/>
      <c r="O53" s="1376" t="str">
        <f t="shared" si="1"/>
        <v/>
      </c>
      <c r="P53" s="1377" t="str">
        <f t="shared" si="2"/>
        <v/>
      </c>
      <c r="Q53" s="1377" t="str">
        <f t="shared" si="3"/>
        <v/>
      </c>
    </row>
    <row r="54" spans="1:17" x14ac:dyDescent="0.2">
      <c r="A54" s="1964"/>
      <c r="B54" s="447">
        <v>27</v>
      </c>
      <c r="C54" s="1931" t="s">
        <v>710</v>
      </c>
      <c r="D54" s="1969"/>
      <c r="E54" s="1970"/>
      <c r="F54" s="447">
        <v>20</v>
      </c>
      <c r="G54" s="447">
        <v>25</v>
      </c>
      <c r="H54" s="777">
        <v>30</v>
      </c>
      <c r="I54" s="781"/>
      <c r="J54" s="121"/>
      <c r="K54" s="122"/>
      <c r="L54" s="35"/>
      <c r="M54" s="1375" t="str">
        <f t="shared" si="0"/>
        <v/>
      </c>
      <c r="N54" s="35"/>
      <c r="O54" s="1376" t="str">
        <f t="shared" si="1"/>
        <v/>
      </c>
      <c r="P54" s="1377" t="str">
        <f t="shared" si="2"/>
        <v/>
      </c>
      <c r="Q54" s="1377" t="str">
        <f t="shared" si="3"/>
        <v/>
      </c>
    </row>
    <row r="55" spans="1:17" x14ac:dyDescent="0.2">
      <c r="A55" s="1964"/>
      <c r="B55" s="447">
        <v>30</v>
      </c>
      <c r="C55" s="1974" t="s">
        <v>711</v>
      </c>
      <c r="D55" s="1975"/>
      <c r="E55" s="1975"/>
      <c r="F55" s="99">
        <v>70</v>
      </c>
      <c r="G55" s="447">
        <v>75</v>
      </c>
      <c r="H55" s="777">
        <v>80</v>
      </c>
      <c r="I55" s="781"/>
      <c r="J55" s="121"/>
      <c r="K55" s="122"/>
      <c r="L55" s="35"/>
      <c r="M55" s="1375" t="str">
        <f t="shared" si="0"/>
        <v/>
      </c>
      <c r="N55" s="35"/>
      <c r="O55" s="1376" t="str">
        <f t="shared" si="1"/>
        <v/>
      </c>
      <c r="P55" s="1377" t="str">
        <f t="shared" si="2"/>
        <v/>
      </c>
      <c r="Q55" s="1377" t="str">
        <f t="shared" si="3"/>
        <v/>
      </c>
    </row>
    <row r="56" spans="1:17" x14ac:dyDescent="0.2">
      <c r="A56" s="1964"/>
      <c r="B56" s="447">
        <v>31</v>
      </c>
      <c r="C56" s="1974" t="s">
        <v>712</v>
      </c>
      <c r="D56" s="1975"/>
      <c r="E56" s="1975"/>
      <c r="F56" s="99">
        <v>25</v>
      </c>
      <c r="G56" s="447">
        <v>35</v>
      </c>
      <c r="H56" s="777">
        <v>40</v>
      </c>
      <c r="I56" s="781"/>
      <c r="J56" s="121"/>
      <c r="K56" s="122"/>
      <c r="L56" s="35"/>
      <c r="M56" s="1375" t="str">
        <f t="shared" si="0"/>
        <v/>
      </c>
      <c r="N56" s="35"/>
      <c r="O56" s="1376" t="str">
        <f t="shared" si="1"/>
        <v/>
      </c>
      <c r="P56" s="1377" t="str">
        <f t="shared" si="2"/>
        <v/>
      </c>
      <c r="Q56" s="1377" t="str">
        <f t="shared" si="3"/>
        <v/>
      </c>
    </row>
    <row r="57" spans="1:17" x14ac:dyDescent="0.2">
      <c r="A57" s="1964"/>
      <c r="B57" s="447">
        <v>32</v>
      </c>
      <c r="C57" s="1974" t="s">
        <v>713</v>
      </c>
      <c r="D57" s="1975"/>
      <c r="E57" s="1975"/>
      <c r="F57" s="99">
        <v>35</v>
      </c>
      <c r="G57" s="447">
        <v>40</v>
      </c>
      <c r="H57" s="777">
        <v>60</v>
      </c>
      <c r="I57" s="781"/>
      <c r="J57" s="121"/>
      <c r="K57" s="122"/>
      <c r="L57" s="35"/>
      <c r="M57" s="1375" t="str">
        <f t="shared" si="0"/>
        <v/>
      </c>
      <c r="N57" s="35"/>
      <c r="O57" s="1376" t="str">
        <f t="shared" si="1"/>
        <v/>
      </c>
      <c r="P57" s="1377" t="str">
        <f t="shared" si="2"/>
        <v/>
      </c>
      <c r="Q57" s="1377" t="str">
        <f t="shared" si="3"/>
        <v/>
      </c>
    </row>
    <row r="58" spans="1:17" x14ac:dyDescent="0.2">
      <c r="A58" s="1964"/>
      <c r="B58" s="1936">
        <v>33</v>
      </c>
      <c r="C58" s="1974" t="s">
        <v>714</v>
      </c>
      <c r="D58" s="1958" t="s">
        <v>668</v>
      </c>
      <c r="E58" s="1959"/>
      <c r="F58" s="99">
        <v>20</v>
      </c>
      <c r="G58" s="447">
        <v>35</v>
      </c>
      <c r="H58" s="777">
        <v>50</v>
      </c>
      <c r="I58" s="781"/>
      <c r="J58" s="121"/>
      <c r="K58" s="122"/>
      <c r="L58" s="35"/>
      <c r="M58" s="1375" t="str">
        <f t="shared" si="0"/>
        <v/>
      </c>
      <c r="N58" s="35"/>
      <c r="O58" s="1376" t="str">
        <f t="shared" si="1"/>
        <v/>
      </c>
      <c r="P58" s="1377" t="str">
        <f t="shared" si="2"/>
        <v/>
      </c>
      <c r="Q58" s="1377" t="str">
        <f t="shared" si="3"/>
        <v/>
      </c>
    </row>
    <row r="59" spans="1:17" x14ac:dyDescent="0.2">
      <c r="A59" s="1964"/>
      <c r="B59" s="1937"/>
      <c r="C59" s="1974"/>
      <c r="D59" s="1958" t="s">
        <v>715</v>
      </c>
      <c r="E59" s="1959"/>
      <c r="F59" s="99">
        <v>20</v>
      </c>
      <c r="G59" s="447">
        <v>35</v>
      </c>
      <c r="H59" s="777">
        <v>40</v>
      </c>
      <c r="I59" s="781"/>
      <c r="J59" s="121"/>
      <c r="K59" s="122"/>
      <c r="L59" s="35"/>
      <c r="M59" s="1375" t="str">
        <f t="shared" si="0"/>
        <v/>
      </c>
      <c r="N59" s="35"/>
      <c r="O59" s="1376" t="str">
        <f t="shared" si="1"/>
        <v/>
      </c>
      <c r="P59" s="1377" t="str">
        <f t="shared" si="2"/>
        <v/>
      </c>
      <c r="Q59" s="1377" t="str">
        <f t="shared" si="3"/>
        <v/>
      </c>
    </row>
    <row r="60" spans="1:17" x14ac:dyDescent="0.2">
      <c r="A60" s="1964"/>
      <c r="B60" s="447">
        <v>34</v>
      </c>
      <c r="C60" s="1931" t="s">
        <v>716</v>
      </c>
      <c r="D60" s="1932"/>
      <c r="E60" s="1933"/>
      <c r="F60" s="99">
        <v>25</v>
      </c>
      <c r="G60" s="447">
        <v>40</v>
      </c>
      <c r="H60" s="777">
        <v>45</v>
      </c>
      <c r="I60" s="781"/>
      <c r="J60" s="121"/>
      <c r="K60" s="122"/>
      <c r="L60" s="35"/>
      <c r="M60" s="1375" t="str">
        <f t="shared" si="0"/>
        <v/>
      </c>
      <c r="N60" s="35"/>
      <c r="O60" s="1376" t="str">
        <f t="shared" si="1"/>
        <v/>
      </c>
      <c r="P60" s="1377" t="str">
        <f t="shared" si="2"/>
        <v/>
      </c>
      <c r="Q60" s="1377" t="str">
        <f t="shared" si="3"/>
        <v/>
      </c>
    </row>
    <row r="61" spans="1:17" x14ac:dyDescent="0.2">
      <c r="A61" s="1964"/>
      <c r="B61" s="447">
        <v>35</v>
      </c>
      <c r="C61" s="1931" t="s">
        <v>717</v>
      </c>
      <c r="D61" s="1932"/>
      <c r="E61" s="1933"/>
      <c r="F61" s="99">
        <v>25</v>
      </c>
      <c r="G61" s="447">
        <v>35</v>
      </c>
      <c r="H61" s="777">
        <v>45</v>
      </c>
      <c r="I61" s="781"/>
      <c r="J61" s="121"/>
      <c r="K61" s="122"/>
      <c r="L61" s="35"/>
      <c r="M61" s="1375" t="str">
        <f t="shared" si="0"/>
        <v/>
      </c>
      <c r="N61" s="35"/>
      <c r="O61" s="1376" t="str">
        <f t="shared" si="1"/>
        <v/>
      </c>
      <c r="P61" s="1377" t="str">
        <f t="shared" si="2"/>
        <v/>
      </c>
      <c r="Q61" s="1377" t="str">
        <f t="shared" si="3"/>
        <v/>
      </c>
    </row>
    <row r="62" spans="1:17" x14ac:dyDescent="0.2">
      <c r="A62" s="1964"/>
      <c r="B62" s="447">
        <v>36</v>
      </c>
      <c r="C62" s="1931" t="s">
        <v>718</v>
      </c>
      <c r="D62" s="1932"/>
      <c r="E62" s="1933"/>
      <c r="F62" s="99">
        <v>35</v>
      </c>
      <c r="G62" s="447">
        <v>55</v>
      </c>
      <c r="H62" s="777">
        <v>70</v>
      </c>
      <c r="I62" s="781"/>
      <c r="J62" s="121"/>
      <c r="K62" s="122"/>
      <c r="L62" s="35"/>
      <c r="M62" s="1375" t="str">
        <f t="shared" si="0"/>
        <v/>
      </c>
      <c r="N62" s="35"/>
      <c r="O62" s="1376" t="str">
        <f t="shared" si="1"/>
        <v/>
      </c>
      <c r="P62" s="1377" t="str">
        <f t="shared" si="2"/>
        <v/>
      </c>
      <c r="Q62" s="1377" t="str">
        <f t="shared" si="3"/>
        <v/>
      </c>
    </row>
    <row r="63" spans="1:17" x14ac:dyDescent="0.2">
      <c r="A63" s="1964"/>
      <c r="B63" s="1936">
        <v>37</v>
      </c>
      <c r="C63" s="1938" t="s">
        <v>719</v>
      </c>
      <c r="D63" s="1958" t="s">
        <v>668</v>
      </c>
      <c r="E63" s="1959"/>
      <c r="F63" s="99">
        <v>40</v>
      </c>
      <c r="G63" s="447">
        <v>60</v>
      </c>
      <c r="H63" s="777">
        <v>80</v>
      </c>
      <c r="I63" s="781"/>
      <c r="J63" s="121"/>
      <c r="K63" s="122"/>
      <c r="L63" s="35"/>
      <c r="M63" s="1375" t="str">
        <f t="shared" si="0"/>
        <v/>
      </c>
      <c r="N63" s="35"/>
      <c r="O63" s="1376" t="str">
        <f t="shared" si="1"/>
        <v/>
      </c>
      <c r="P63" s="1377" t="str">
        <f t="shared" si="2"/>
        <v/>
      </c>
      <c r="Q63" s="1377" t="str">
        <f t="shared" si="3"/>
        <v/>
      </c>
    </row>
    <row r="64" spans="1:17" x14ac:dyDescent="0.2">
      <c r="A64" s="1964"/>
      <c r="B64" s="1937"/>
      <c r="C64" s="1939"/>
      <c r="D64" s="1958" t="s">
        <v>720</v>
      </c>
      <c r="E64" s="1959"/>
      <c r="F64" s="99">
        <v>20</v>
      </c>
      <c r="G64" s="447">
        <v>30</v>
      </c>
      <c r="H64" s="777">
        <v>45</v>
      </c>
      <c r="I64" s="781"/>
      <c r="J64" s="121"/>
      <c r="K64" s="122"/>
      <c r="L64" s="35"/>
      <c r="M64" s="1375" t="str">
        <f t="shared" si="0"/>
        <v/>
      </c>
      <c r="N64" s="35"/>
      <c r="O64" s="1376" t="str">
        <f t="shared" si="1"/>
        <v/>
      </c>
      <c r="P64" s="1377" t="str">
        <f t="shared" si="2"/>
        <v/>
      </c>
      <c r="Q64" s="1377" t="str">
        <f t="shared" si="3"/>
        <v/>
      </c>
    </row>
    <row r="65" spans="1:17" x14ac:dyDescent="0.2">
      <c r="A65" s="1964"/>
      <c r="B65" s="447">
        <v>38</v>
      </c>
      <c r="C65" s="1974" t="s">
        <v>726</v>
      </c>
      <c r="D65" s="1975"/>
      <c r="E65" s="1975"/>
      <c r="F65" s="99">
        <v>20</v>
      </c>
      <c r="G65" s="447">
        <v>35</v>
      </c>
      <c r="H65" s="777">
        <v>50</v>
      </c>
      <c r="I65" s="781"/>
      <c r="J65" s="121"/>
      <c r="K65" s="122"/>
      <c r="L65" s="35"/>
      <c r="M65" s="1375" t="str">
        <f t="shared" si="0"/>
        <v/>
      </c>
      <c r="N65" s="35"/>
      <c r="O65" s="1376" t="str">
        <f t="shared" si="1"/>
        <v/>
      </c>
      <c r="P65" s="1377" t="str">
        <f t="shared" si="2"/>
        <v/>
      </c>
      <c r="Q65" s="1377" t="str">
        <f t="shared" si="3"/>
        <v/>
      </c>
    </row>
    <row r="66" spans="1:17" x14ac:dyDescent="0.2">
      <c r="A66" s="1964"/>
      <c r="B66" s="447">
        <v>39</v>
      </c>
      <c r="C66" s="1974" t="s">
        <v>721</v>
      </c>
      <c r="D66" s="1975"/>
      <c r="E66" s="1975"/>
      <c r="F66" s="99">
        <v>20</v>
      </c>
      <c r="G66" s="447">
        <v>30</v>
      </c>
      <c r="H66" s="777">
        <v>45</v>
      </c>
      <c r="I66" s="781"/>
      <c r="J66" s="121"/>
      <c r="K66" s="122"/>
      <c r="L66" s="35"/>
      <c r="M66" s="1375" t="str">
        <f t="shared" si="0"/>
        <v/>
      </c>
      <c r="N66" s="35"/>
      <c r="O66" s="1376" t="str">
        <f t="shared" si="1"/>
        <v/>
      </c>
      <c r="P66" s="1377" t="str">
        <f t="shared" si="2"/>
        <v/>
      </c>
      <c r="Q66" s="1377" t="str">
        <f t="shared" si="3"/>
        <v/>
      </c>
    </row>
    <row r="67" spans="1:17" x14ac:dyDescent="0.2">
      <c r="A67" s="1964"/>
      <c r="B67" s="447">
        <v>40</v>
      </c>
      <c r="C67" s="1974" t="s">
        <v>722</v>
      </c>
      <c r="D67" s="1975"/>
      <c r="E67" s="1975"/>
      <c r="F67" s="99">
        <v>30</v>
      </c>
      <c r="G67" s="447">
        <v>50</v>
      </c>
      <c r="H67" s="777">
        <v>85</v>
      </c>
      <c r="I67" s="781"/>
      <c r="J67" s="121"/>
      <c r="K67" s="122"/>
      <c r="L67" s="35"/>
      <c r="M67" s="1375" t="str">
        <f t="shared" si="0"/>
        <v/>
      </c>
      <c r="N67" s="35"/>
      <c r="O67" s="1376" t="str">
        <f t="shared" si="1"/>
        <v/>
      </c>
      <c r="P67" s="1377" t="str">
        <f t="shared" si="2"/>
        <v/>
      </c>
      <c r="Q67" s="1377" t="str">
        <f t="shared" si="3"/>
        <v/>
      </c>
    </row>
    <row r="68" spans="1:17" x14ac:dyDescent="0.2">
      <c r="A68" s="1964"/>
      <c r="B68" s="447">
        <v>41</v>
      </c>
      <c r="C68" s="1974" t="s">
        <v>723</v>
      </c>
      <c r="D68" s="1975"/>
      <c r="E68" s="1975"/>
      <c r="F68" s="99">
        <v>35</v>
      </c>
      <c r="G68" s="447">
        <v>55</v>
      </c>
      <c r="H68" s="777">
        <v>80</v>
      </c>
      <c r="I68" s="781"/>
      <c r="J68" s="121"/>
      <c r="K68" s="122"/>
      <c r="L68" s="35"/>
      <c r="M68" s="1375" t="str">
        <f t="shared" si="0"/>
        <v/>
      </c>
      <c r="N68" s="35"/>
      <c r="O68" s="1376" t="str">
        <f t="shared" si="1"/>
        <v/>
      </c>
      <c r="P68" s="1377" t="str">
        <f t="shared" si="2"/>
        <v/>
      </c>
      <c r="Q68" s="1377" t="str">
        <f t="shared" si="3"/>
        <v/>
      </c>
    </row>
    <row r="69" spans="1:17" ht="13.5" thickBot="1" x14ac:dyDescent="0.25">
      <c r="A69" s="1965"/>
      <c r="B69" s="782">
        <v>42</v>
      </c>
      <c r="C69" s="1976" t="s">
        <v>724</v>
      </c>
      <c r="D69" s="1977"/>
      <c r="E69" s="1977"/>
      <c r="F69" s="784">
        <v>50</v>
      </c>
      <c r="G69" s="782">
        <v>60</v>
      </c>
      <c r="H69" s="783">
        <v>80</v>
      </c>
      <c r="I69" s="781"/>
      <c r="J69" s="121"/>
      <c r="K69" s="122"/>
      <c r="L69" s="35"/>
      <c r="M69" s="1375" t="str">
        <f t="shared" si="0"/>
        <v/>
      </c>
      <c r="N69" s="35"/>
      <c r="O69" s="1376" t="str">
        <f t="shared" si="1"/>
        <v/>
      </c>
      <c r="P69" s="1377" t="str">
        <f t="shared" si="2"/>
        <v/>
      </c>
      <c r="Q69" s="1377" t="str">
        <f t="shared" si="3"/>
        <v/>
      </c>
    </row>
    <row r="70" spans="1:17" ht="13.5" thickBot="1" x14ac:dyDescent="0.25">
      <c r="A70" s="785" t="s">
        <v>729</v>
      </c>
      <c r="B70" s="786">
        <v>43</v>
      </c>
      <c r="C70" s="1956" t="s">
        <v>725</v>
      </c>
      <c r="D70" s="1957"/>
      <c r="E70" s="1957"/>
      <c r="F70" s="787">
        <v>15</v>
      </c>
      <c r="G70" s="786">
        <v>20</v>
      </c>
      <c r="H70" s="788">
        <v>30</v>
      </c>
      <c r="I70" s="781"/>
      <c r="J70" s="121"/>
      <c r="K70" s="122"/>
      <c r="L70" s="35"/>
      <c r="M70" s="1375" t="str">
        <f t="shared" si="0"/>
        <v/>
      </c>
      <c r="N70" s="35"/>
      <c r="O70" s="1376" t="str">
        <f t="shared" si="1"/>
        <v/>
      </c>
      <c r="P70" s="1377" t="str">
        <f t="shared" si="2"/>
        <v/>
      </c>
      <c r="Q70" s="1377" t="str">
        <f t="shared" si="3"/>
        <v/>
      </c>
    </row>
    <row r="71" spans="1:17" x14ac:dyDescent="0.2">
      <c r="I71" s="781"/>
    </row>
    <row r="72" spans="1:17" x14ac:dyDescent="0.2">
      <c r="I72" s="781"/>
    </row>
    <row r="73" spans="1:17" ht="18" customHeight="1" x14ac:dyDescent="0.2">
      <c r="A73" s="1949" t="s">
        <v>760</v>
      </c>
      <c r="B73" s="1949"/>
      <c r="C73" s="1949"/>
      <c r="D73" s="1949"/>
      <c r="E73" s="1949"/>
      <c r="F73" s="1949"/>
      <c r="G73" s="1949"/>
      <c r="H73" s="1949"/>
      <c r="I73" s="781"/>
    </row>
    <row r="74" spans="1:17" x14ac:dyDescent="0.2">
      <c r="I74" s="781"/>
    </row>
    <row r="75" spans="1:17" ht="30.75" customHeight="1" x14ac:dyDescent="0.2">
      <c r="B75" s="764"/>
      <c r="C75" s="1946" t="s">
        <v>697</v>
      </c>
      <c r="D75" s="1946"/>
      <c r="E75" s="1946"/>
      <c r="F75" s="1950" t="s">
        <v>732</v>
      </c>
      <c r="G75" s="1951"/>
      <c r="H75" s="1952"/>
      <c r="I75" s="781"/>
      <c r="J75" s="1947" t="s">
        <v>699</v>
      </c>
      <c r="K75" s="1947" t="s">
        <v>700</v>
      </c>
      <c r="L75" s="1945" t="s">
        <v>400</v>
      </c>
      <c r="M75" s="1945"/>
      <c r="N75" s="1943" t="s">
        <v>7</v>
      </c>
      <c r="O75" s="1944"/>
      <c r="P75" s="1945" t="s">
        <v>779</v>
      </c>
      <c r="Q75" s="1945"/>
    </row>
    <row r="76" spans="1:17" ht="30" x14ac:dyDescent="0.2">
      <c r="B76" s="789" t="s">
        <v>675</v>
      </c>
      <c r="C76" s="1946" t="s">
        <v>676</v>
      </c>
      <c r="D76" s="1946"/>
      <c r="E76" s="1946"/>
      <c r="F76" s="1953"/>
      <c r="G76" s="1954"/>
      <c r="H76" s="1955"/>
      <c r="I76" s="781"/>
      <c r="J76" s="1948"/>
      <c r="K76" s="1948"/>
      <c r="L76" s="769" t="s">
        <v>4</v>
      </c>
      <c r="M76" s="769" t="s">
        <v>8</v>
      </c>
      <c r="N76" s="770" t="s">
        <v>4</v>
      </c>
      <c r="O76" s="790" t="s">
        <v>8</v>
      </c>
      <c r="P76" s="772" t="s">
        <v>782</v>
      </c>
      <c r="Q76" s="772" t="s">
        <v>783</v>
      </c>
    </row>
    <row r="77" spans="1:17" x14ac:dyDescent="0.2">
      <c r="B77" s="447">
        <v>1</v>
      </c>
      <c r="C77" s="1931" t="s">
        <v>731</v>
      </c>
      <c r="D77" s="1932"/>
      <c r="E77" s="1933"/>
      <c r="F77" s="791">
        <v>5</v>
      </c>
      <c r="G77" s="1934">
        <v>15</v>
      </c>
      <c r="H77" s="1934"/>
      <c r="I77" s="781"/>
      <c r="J77" s="121"/>
      <c r="K77" s="122"/>
      <c r="L77" s="35"/>
      <c r="M77" s="1375" t="str">
        <f>IF(ISERROR(1/L77), "", 1/L77)</f>
        <v/>
      </c>
      <c r="N77" s="35"/>
      <c r="O77" s="1375" t="str">
        <f>IF(ISERROR(1/N77), "", 1/N77)</f>
        <v/>
      </c>
      <c r="P77" s="1377" t="str">
        <f>IF(ISBLANK(N77),"",IF(N77&lt;F77,"Yes","No"))</f>
        <v/>
      </c>
      <c r="Q77" s="1377" t="str">
        <f>IF(ISBLANK(N77),"",IF(N77&gt;G77,"Yes","No"))</f>
        <v/>
      </c>
    </row>
    <row r="78" spans="1:17" x14ac:dyDescent="0.2">
      <c r="B78" s="1936">
        <v>2</v>
      </c>
      <c r="C78" s="1938" t="s">
        <v>733</v>
      </c>
      <c r="D78" s="1931" t="s">
        <v>734</v>
      </c>
      <c r="E78" s="1933"/>
      <c r="F78" s="791">
        <v>5</v>
      </c>
      <c r="G78" s="1934">
        <v>15</v>
      </c>
      <c r="H78" s="1934"/>
      <c r="I78" s="781"/>
      <c r="J78" s="121"/>
      <c r="K78" s="122"/>
      <c r="L78" s="35"/>
      <c r="M78" s="1375" t="str">
        <f t="shared" ref="M78:M101" si="4">IF(ISERROR(1/L78), "", 1/L78)</f>
        <v/>
      </c>
      <c r="N78" s="35"/>
      <c r="O78" s="1375" t="str">
        <f t="shared" ref="O78:O101" si="5">IF(ISERROR(1/N78), "", 1/N78)</f>
        <v/>
      </c>
      <c r="P78" s="1377" t="str">
        <f t="shared" ref="P78:P101" si="6">IF(ISBLANK(N78),"",IF(N78&lt;F78,"Yes","No"))</f>
        <v/>
      </c>
      <c r="Q78" s="1377" t="str">
        <f t="shared" ref="Q78:Q101" si="7">IF(ISBLANK(N78),"",IF(N78&gt;G78,"Yes","No"))</f>
        <v/>
      </c>
    </row>
    <row r="79" spans="1:17" x14ac:dyDescent="0.2">
      <c r="B79" s="1940"/>
      <c r="C79" s="1941"/>
      <c r="D79" s="1931" t="s">
        <v>735</v>
      </c>
      <c r="E79" s="1933"/>
      <c r="F79" s="791">
        <v>5</v>
      </c>
      <c r="G79" s="1934">
        <v>20</v>
      </c>
      <c r="H79" s="1934"/>
      <c r="I79" s="781"/>
      <c r="J79" s="121"/>
      <c r="K79" s="122"/>
      <c r="L79" s="35"/>
      <c r="M79" s="1375" t="str">
        <f t="shared" si="4"/>
        <v/>
      </c>
      <c r="N79" s="35"/>
      <c r="O79" s="1375" t="str">
        <f t="shared" si="5"/>
        <v/>
      </c>
      <c r="P79" s="1377" t="str">
        <f t="shared" si="6"/>
        <v/>
      </c>
      <c r="Q79" s="1377" t="str">
        <f t="shared" si="7"/>
        <v/>
      </c>
    </row>
    <row r="80" spans="1:17" x14ac:dyDescent="0.2">
      <c r="B80" s="1937"/>
      <c r="C80" s="1939"/>
      <c r="D80" s="1931" t="s">
        <v>736</v>
      </c>
      <c r="E80" s="1933"/>
      <c r="F80" s="791">
        <v>5</v>
      </c>
      <c r="G80" s="1934">
        <v>10</v>
      </c>
      <c r="H80" s="1934"/>
      <c r="I80" s="781"/>
      <c r="J80" s="121"/>
      <c r="K80" s="122"/>
      <c r="L80" s="35"/>
      <c r="M80" s="1375" t="str">
        <f t="shared" si="4"/>
        <v/>
      </c>
      <c r="N80" s="35"/>
      <c r="O80" s="1375" t="str">
        <f t="shared" si="5"/>
        <v/>
      </c>
      <c r="P80" s="1377" t="str">
        <f t="shared" si="6"/>
        <v/>
      </c>
      <c r="Q80" s="1377" t="str">
        <f t="shared" si="7"/>
        <v/>
      </c>
    </row>
    <row r="81" spans="2:17" x14ac:dyDescent="0.2">
      <c r="B81" s="447">
        <v>3</v>
      </c>
      <c r="C81" s="1931" t="s">
        <v>737</v>
      </c>
      <c r="D81" s="1932"/>
      <c r="E81" s="1933"/>
      <c r="F81" s="791">
        <v>50</v>
      </c>
      <c r="G81" s="1934">
        <v>75</v>
      </c>
      <c r="H81" s="1934"/>
      <c r="I81" s="781"/>
      <c r="J81" s="121"/>
      <c r="K81" s="122"/>
      <c r="L81" s="35"/>
      <c r="M81" s="1375" t="str">
        <f t="shared" si="4"/>
        <v/>
      </c>
      <c r="N81" s="35"/>
      <c r="O81" s="1375" t="str">
        <f t="shared" si="5"/>
        <v/>
      </c>
      <c r="P81" s="1377" t="str">
        <f t="shared" si="6"/>
        <v/>
      </c>
      <c r="Q81" s="1377" t="str">
        <f t="shared" si="7"/>
        <v/>
      </c>
    </row>
    <row r="82" spans="2:17" x14ac:dyDescent="0.2">
      <c r="B82" s="106">
        <v>4</v>
      </c>
      <c r="C82" s="1931" t="s">
        <v>262</v>
      </c>
      <c r="D82" s="1932"/>
      <c r="E82" s="1933"/>
      <c r="F82" s="1942" t="s">
        <v>758</v>
      </c>
      <c r="G82" s="1942"/>
      <c r="H82" s="1942"/>
      <c r="I82" s="781"/>
      <c r="J82" s="121"/>
      <c r="K82" s="122"/>
      <c r="L82" s="35"/>
      <c r="M82" s="1375" t="str">
        <f t="shared" si="4"/>
        <v/>
      </c>
      <c r="N82" s="35"/>
      <c r="O82" s="1375" t="str">
        <f t="shared" si="5"/>
        <v/>
      </c>
      <c r="P82" s="1377" t="str">
        <f>IF(ISBLANK(N82),"",IF(N82&lt;F82,"Yes","No"))</f>
        <v/>
      </c>
      <c r="Q82" s="1377" t="str">
        <f>IF(ISBLANK(N82),"",IF(N82&gt;G82,"Yes","No"))</f>
        <v/>
      </c>
    </row>
    <row r="83" spans="2:17" x14ac:dyDescent="0.2">
      <c r="B83" s="1936">
        <v>5</v>
      </c>
      <c r="C83" s="1938" t="s">
        <v>738</v>
      </c>
      <c r="D83" s="1931" t="s">
        <v>738</v>
      </c>
      <c r="E83" s="1933"/>
      <c r="F83" s="791">
        <v>50</v>
      </c>
      <c r="G83" s="1934">
        <v>75</v>
      </c>
      <c r="H83" s="1934"/>
      <c r="I83" s="781"/>
      <c r="J83" s="121"/>
      <c r="K83" s="122"/>
      <c r="L83" s="35"/>
      <c r="M83" s="1375" t="str">
        <f t="shared" si="4"/>
        <v/>
      </c>
      <c r="N83" s="35"/>
      <c r="O83" s="1375" t="str">
        <f t="shared" si="5"/>
        <v/>
      </c>
      <c r="P83" s="1377" t="str">
        <f t="shared" si="6"/>
        <v/>
      </c>
      <c r="Q83" s="1377" t="str">
        <f t="shared" si="7"/>
        <v/>
      </c>
    </row>
    <row r="84" spans="2:17" x14ac:dyDescent="0.2">
      <c r="B84" s="1940"/>
      <c r="C84" s="1941"/>
      <c r="D84" s="1931" t="s">
        <v>739</v>
      </c>
      <c r="E84" s="1933"/>
      <c r="F84" s="791">
        <v>25</v>
      </c>
      <c r="G84" s="1934">
        <v>30</v>
      </c>
      <c r="H84" s="1934"/>
      <c r="I84" s="781"/>
      <c r="J84" s="121"/>
      <c r="K84" s="122"/>
      <c r="L84" s="35"/>
      <c r="M84" s="1375" t="str">
        <f t="shared" si="4"/>
        <v/>
      </c>
      <c r="N84" s="35"/>
      <c r="O84" s="1375" t="str">
        <f t="shared" si="5"/>
        <v/>
      </c>
      <c r="P84" s="1377" t="str">
        <f t="shared" si="6"/>
        <v/>
      </c>
      <c r="Q84" s="1377" t="str">
        <f t="shared" si="7"/>
        <v/>
      </c>
    </row>
    <row r="85" spans="2:17" x14ac:dyDescent="0.2">
      <c r="B85" s="1940"/>
      <c r="C85" s="1941"/>
      <c r="D85" s="1931" t="s">
        <v>740</v>
      </c>
      <c r="E85" s="1933"/>
      <c r="F85" s="791">
        <v>25</v>
      </c>
      <c r="G85" s="1934">
        <v>60</v>
      </c>
      <c r="H85" s="1934"/>
      <c r="I85" s="781"/>
      <c r="J85" s="121"/>
      <c r="K85" s="122"/>
      <c r="L85" s="35"/>
      <c r="M85" s="1375" t="str">
        <f t="shared" si="4"/>
        <v/>
      </c>
      <c r="N85" s="35"/>
      <c r="O85" s="1375" t="str">
        <f t="shared" si="5"/>
        <v/>
      </c>
      <c r="P85" s="1377" t="str">
        <f t="shared" si="6"/>
        <v/>
      </c>
      <c r="Q85" s="1377" t="str">
        <f t="shared" si="7"/>
        <v/>
      </c>
    </row>
    <row r="86" spans="2:17" x14ac:dyDescent="0.2">
      <c r="B86" s="1937"/>
      <c r="C86" s="1939"/>
      <c r="D86" s="1931" t="s">
        <v>720</v>
      </c>
      <c r="E86" s="1933"/>
      <c r="F86" s="791">
        <v>20</v>
      </c>
      <c r="G86" s="1934">
        <v>30</v>
      </c>
      <c r="H86" s="1934"/>
      <c r="I86" s="781"/>
      <c r="J86" s="121"/>
      <c r="K86" s="122"/>
      <c r="L86" s="35"/>
      <c r="M86" s="1375" t="str">
        <f t="shared" si="4"/>
        <v/>
      </c>
      <c r="N86" s="35"/>
      <c r="O86" s="1375" t="str">
        <f t="shared" si="5"/>
        <v/>
      </c>
      <c r="P86" s="1377" t="str">
        <f t="shared" si="6"/>
        <v/>
      </c>
      <c r="Q86" s="1377" t="str">
        <f t="shared" si="7"/>
        <v/>
      </c>
    </row>
    <row r="87" spans="2:17" x14ac:dyDescent="0.2">
      <c r="B87" s="1936">
        <v>6</v>
      </c>
      <c r="C87" s="1938" t="s">
        <v>743</v>
      </c>
      <c r="D87" s="1931" t="s">
        <v>741</v>
      </c>
      <c r="E87" s="1933"/>
      <c r="F87" s="791">
        <v>3</v>
      </c>
      <c r="G87" s="1934">
        <v>5</v>
      </c>
      <c r="H87" s="1934"/>
      <c r="I87" s="781"/>
      <c r="J87" s="121"/>
      <c r="K87" s="122"/>
      <c r="L87" s="35"/>
      <c r="M87" s="1375" t="str">
        <f t="shared" si="4"/>
        <v/>
      </c>
      <c r="N87" s="35"/>
      <c r="O87" s="1375" t="str">
        <f t="shared" si="5"/>
        <v/>
      </c>
      <c r="P87" s="1377" t="str">
        <f t="shared" si="6"/>
        <v/>
      </c>
      <c r="Q87" s="1377" t="str">
        <f t="shared" si="7"/>
        <v/>
      </c>
    </row>
    <row r="88" spans="2:17" x14ac:dyDescent="0.2">
      <c r="B88" s="1937"/>
      <c r="C88" s="1939"/>
      <c r="D88" s="1931" t="s">
        <v>742</v>
      </c>
      <c r="E88" s="1933"/>
      <c r="F88" s="791">
        <v>2</v>
      </c>
      <c r="G88" s="1934">
        <v>5</v>
      </c>
      <c r="H88" s="1934"/>
      <c r="I88" s="781"/>
      <c r="J88" s="121"/>
      <c r="K88" s="122"/>
      <c r="L88" s="35"/>
      <c r="M88" s="1375" t="str">
        <f t="shared" si="4"/>
        <v/>
      </c>
      <c r="N88" s="35"/>
      <c r="O88" s="1375" t="str">
        <f t="shared" si="5"/>
        <v/>
      </c>
      <c r="P88" s="1377" t="str">
        <f t="shared" si="6"/>
        <v/>
      </c>
      <c r="Q88" s="1377" t="str">
        <f t="shared" si="7"/>
        <v/>
      </c>
    </row>
    <row r="89" spans="2:17" x14ac:dyDescent="0.2">
      <c r="B89" s="1936">
        <v>7</v>
      </c>
      <c r="C89" s="1938" t="s">
        <v>750</v>
      </c>
      <c r="D89" s="1931" t="s">
        <v>744</v>
      </c>
      <c r="E89" s="1933"/>
      <c r="F89" s="791">
        <v>5</v>
      </c>
      <c r="G89" s="1934">
        <v>10</v>
      </c>
      <c r="H89" s="1934"/>
      <c r="I89" s="781"/>
      <c r="J89" s="121"/>
      <c r="K89" s="122"/>
      <c r="L89" s="35"/>
      <c r="M89" s="1375" t="str">
        <f t="shared" si="4"/>
        <v/>
      </c>
      <c r="N89" s="35"/>
      <c r="O89" s="1375" t="str">
        <f t="shared" si="5"/>
        <v/>
      </c>
      <c r="P89" s="1377" t="str">
        <f t="shared" si="6"/>
        <v/>
      </c>
      <c r="Q89" s="1377" t="str">
        <f t="shared" si="7"/>
        <v/>
      </c>
    </row>
    <row r="90" spans="2:17" x14ac:dyDescent="0.2">
      <c r="B90" s="1940"/>
      <c r="C90" s="1941"/>
      <c r="D90" s="1931" t="s">
        <v>745</v>
      </c>
      <c r="E90" s="1933"/>
      <c r="F90" s="791">
        <v>5</v>
      </c>
      <c r="G90" s="1934">
        <v>10</v>
      </c>
      <c r="H90" s="1934"/>
      <c r="I90" s="781"/>
      <c r="J90" s="121"/>
      <c r="K90" s="122"/>
      <c r="L90" s="35"/>
      <c r="M90" s="1375" t="str">
        <f t="shared" si="4"/>
        <v/>
      </c>
      <c r="N90" s="35"/>
      <c r="O90" s="1375" t="str">
        <f t="shared" si="5"/>
        <v/>
      </c>
      <c r="P90" s="1377" t="str">
        <f t="shared" si="6"/>
        <v/>
      </c>
      <c r="Q90" s="1377" t="str">
        <f t="shared" si="7"/>
        <v/>
      </c>
    </row>
    <row r="91" spans="2:17" x14ac:dyDescent="0.2">
      <c r="B91" s="1940"/>
      <c r="C91" s="1941"/>
      <c r="D91" s="1931" t="s">
        <v>746</v>
      </c>
      <c r="E91" s="1933"/>
      <c r="F91" s="791">
        <v>5</v>
      </c>
      <c r="G91" s="1934">
        <v>10</v>
      </c>
      <c r="H91" s="1934"/>
      <c r="I91" s="781"/>
      <c r="J91" s="121"/>
      <c r="K91" s="122"/>
      <c r="L91" s="35"/>
      <c r="M91" s="1375" t="str">
        <f t="shared" si="4"/>
        <v/>
      </c>
      <c r="N91" s="35"/>
      <c r="O91" s="1375" t="str">
        <f t="shared" si="5"/>
        <v/>
      </c>
      <c r="P91" s="1377" t="str">
        <f t="shared" si="6"/>
        <v/>
      </c>
      <c r="Q91" s="1377" t="str">
        <f t="shared" si="7"/>
        <v/>
      </c>
    </row>
    <row r="92" spans="2:17" x14ac:dyDescent="0.2">
      <c r="B92" s="1937"/>
      <c r="C92" s="1939"/>
      <c r="D92" s="1931" t="s">
        <v>253</v>
      </c>
      <c r="E92" s="1933"/>
      <c r="F92" s="791">
        <v>5</v>
      </c>
      <c r="G92" s="1934">
        <v>10</v>
      </c>
      <c r="H92" s="1934"/>
      <c r="I92" s="781"/>
      <c r="J92" s="121"/>
      <c r="K92" s="122"/>
      <c r="L92" s="35"/>
      <c r="M92" s="1375" t="str">
        <f t="shared" si="4"/>
        <v/>
      </c>
      <c r="N92" s="35"/>
      <c r="O92" s="1375" t="str">
        <f t="shared" si="5"/>
        <v/>
      </c>
      <c r="P92" s="1377" t="str">
        <f t="shared" si="6"/>
        <v/>
      </c>
      <c r="Q92" s="1377" t="str">
        <f t="shared" si="7"/>
        <v/>
      </c>
    </row>
    <row r="93" spans="2:17" x14ac:dyDescent="0.2">
      <c r="B93" s="1936">
        <v>8</v>
      </c>
      <c r="C93" s="1938" t="s">
        <v>749</v>
      </c>
      <c r="D93" s="1931" t="s">
        <v>747</v>
      </c>
      <c r="E93" s="1933"/>
      <c r="F93" s="791">
        <v>60</v>
      </c>
      <c r="G93" s="1934">
        <v>70</v>
      </c>
      <c r="H93" s="1934"/>
      <c r="I93" s="781"/>
      <c r="J93" s="121"/>
      <c r="K93" s="122"/>
      <c r="L93" s="35"/>
      <c r="M93" s="1375" t="str">
        <f t="shared" si="4"/>
        <v/>
      </c>
      <c r="N93" s="35"/>
      <c r="O93" s="1375" t="str">
        <f t="shared" si="5"/>
        <v/>
      </c>
      <c r="P93" s="1377" t="str">
        <f t="shared" si="6"/>
        <v/>
      </c>
      <c r="Q93" s="1377" t="str">
        <f t="shared" si="7"/>
        <v/>
      </c>
    </row>
    <row r="94" spans="2:17" x14ac:dyDescent="0.2">
      <c r="B94" s="1937"/>
      <c r="C94" s="1939"/>
      <c r="D94" s="1931" t="s">
        <v>748</v>
      </c>
      <c r="E94" s="1933"/>
      <c r="F94" s="791">
        <v>2</v>
      </c>
      <c r="G94" s="1934">
        <v>10</v>
      </c>
      <c r="H94" s="1934"/>
      <c r="I94" s="781"/>
      <c r="J94" s="121"/>
      <c r="K94" s="122"/>
      <c r="L94" s="35"/>
      <c r="M94" s="1375" t="str">
        <f t="shared" si="4"/>
        <v/>
      </c>
      <c r="N94" s="35"/>
      <c r="O94" s="1375" t="str">
        <f t="shared" si="5"/>
        <v/>
      </c>
      <c r="P94" s="1377" t="str">
        <f t="shared" si="6"/>
        <v/>
      </c>
      <c r="Q94" s="1377" t="str">
        <f t="shared" si="7"/>
        <v/>
      </c>
    </row>
    <row r="95" spans="2:17" x14ac:dyDescent="0.2">
      <c r="B95" s="106">
        <v>9</v>
      </c>
      <c r="C95" s="1931" t="s">
        <v>751</v>
      </c>
      <c r="D95" s="1932"/>
      <c r="E95" s="1933"/>
      <c r="F95" s="791">
        <v>25</v>
      </c>
      <c r="G95" s="1934">
        <v>35</v>
      </c>
      <c r="H95" s="1934"/>
      <c r="I95" s="781"/>
      <c r="J95" s="121"/>
      <c r="K95" s="122"/>
      <c r="L95" s="35"/>
      <c r="M95" s="1375" t="str">
        <f t="shared" si="4"/>
        <v/>
      </c>
      <c r="N95" s="35"/>
      <c r="O95" s="1375" t="str">
        <f t="shared" si="5"/>
        <v/>
      </c>
      <c r="P95" s="1377" t="str">
        <f t="shared" si="6"/>
        <v/>
      </c>
      <c r="Q95" s="1377" t="str">
        <f t="shared" si="7"/>
        <v/>
      </c>
    </row>
    <row r="96" spans="2:17" x14ac:dyDescent="0.2">
      <c r="B96" s="106">
        <v>10</v>
      </c>
      <c r="C96" s="1931" t="s">
        <v>752</v>
      </c>
      <c r="D96" s="1932"/>
      <c r="E96" s="1933"/>
      <c r="F96" s="791">
        <v>25</v>
      </c>
      <c r="G96" s="1934">
        <v>35</v>
      </c>
      <c r="H96" s="1934"/>
      <c r="I96" s="781"/>
      <c r="J96" s="121"/>
      <c r="K96" s="122"/>
      <c r="L96" s="35"/>
      <c r="M96" s="1375" t="str">
        <f t="shared" si="4"/>
        <v/>
      </c>
      <c r="N96" s="35"/>
      <c r="O96" s="1375" t="str">
        <f t="shared" si="5"/>
        <v/>
      </c>
      <c r="P96" s="1377" t="str">
        <f t="shared" si="6"/>
        <v/>
      </c>
      <c r="Q96" s="1377" t="str">
        <f t="shared" si="7"/>
        <v/>
      </c>
    </row>
    <row r="97" spans="1:17" x14ac:dyDescent="0.2">
      <c r="B97" s="106">
        <v>11</v>
      </c>
      <c r="C97" s="1931" t="s">
        <v>753</v>
      </c>
      <c r="D97" s="1932"/>
      <c r="E97" s="1933"/>
      <c r="F97" s="791">
        <v>15</v>
      </c>
      <c r="G97" s="1934">
        <v>30</v>
      </c>
      <c r="H97" s="1934"/>
      <c r="I97" s="781"/>
      <c r="J97" s="121"/>
      <c r="K97" s="122"/>
      <c r="L97" s="35"/>
      <c r="M97" s="1375" t="str">
        <f t="shared" si="4"/>
        <v/>
      </c>
      <c r="N97" s="35"/>
      <c r="O97" s="1375" t="str">
        <f t="shared" si="5"/>
        <v/>
      </c>
      <c r="P97" s="1377" t="str">
        <f t="shared" si="6"/>
        <v/>
      </c>
      <c r="Q97" s="1377" t="str">
        <f t="shared" si="7"/>
        <v/>
      </c>
    </row>
    <row r="98" spans="1:17" x14ac:dyDescent="0.2">
      <c r="B98" s="106">
        <v>12</v>
      </c>
      <c r="C98" s="1931" t="s">
        <v>754</v>
      </c>
      <c r="D98" s="1932"/>
      <c r="E98" s="1933"/>
      <c r="F98" s="791">
        <v>35</v>
      </c>
      <c r="G98" s="1934">
        <v>50</v>
      </c>
      <c r="H98" s="1934"/>
      <c r="I98" s="781"/>
      <c r="J98" s="121"/>
      <c r="K98" s="122"/>
      <c r="L98" s="35"/>
      <c r="M98" s="1375" t="str">
        <f t="shared" si="4"/>
        <v/>
      </c>
      <c r="N98" s="35"/>
      <c r="O98" s="1375" t="str">
        <f t="shared" si="5"/>
        <v/>
      </c>
      <c r="P98" s="1377" t="str">
        <f t="shared" si="6"/>
        <v/>
      </c>
      <c r="Q98" s="1377" t="str">
        <f t="shared" si="7"/>
        <v/>
      </c>
    </row>
    <row r="99" spans="1:17" x14ac:dyDescent="0.2">
      <c r="B99" s="106">
        <v>13</v>
      </c>
      <c r="C99" s="1931" t="s">
        <v>755</v>
      </c>
      <c r="D99" s="1932"/>
      <c r="E99" s="1933"/>
      <c r="F99" s="791">
        <v>5</v>
      </c>
      <c r="G99" s="1934">
        <v>15</v>
      </c>
      <c r="H99" s="1934"/>
      <c r="I99" s="781"/>
      <c r="J99" s="121"/>
      <c r="K99" s="122"/>
      <c r="L99" s="35"/>
      <c r="M99" s="1375" t="str">
        <f t="shared" si="4"/>
        <v/>
      </c>
      <c r="N99" s="35"/>
      <c r="O99" s="1375" t="str">
        <f t="shared" si="5"/>
        <v/>
      </c>
      <c r="P99" s="1377" t="str">
        <f t="shared" si="6"/>
        <v/>
      </c>
      <c r="Q99" s="1377" t="str">
        <f t="shared" si="7"/>
        <v/>
      </c>
    </row>
    <row r="100" spans="1:17" x14ac:dyDescent="0.2">
      <c r="B100" s="106">
        <v>14</v>
      </c>
      <c r="C100" s="1931" t="s">
        <v>756</v>
      </c>
      <c r="D100" s="1932"/>
      <c r="E100" s="1933"/>
      <c r="F100" s="791">
        <v>10</v>
      </c>
      <c r="G100" s="1934">
        <v>15</v>
      </c>
      <c r="H100" s="1934"/>
      <c r="I100" s="781"/>
      <c r="J100" s="121"/>
      <c r="K100" s="122"/>
      <c r="L100" s="35"/>
      <c r="M100" s="1375" t="str">
        <f t="shared" si="4"/>
        <v/>
      </c>
      <c r="N100" s="35"/>
      <c r="O100" s="1375" t="str">
        <f t="shared" si="5"/>
        <v/>
      </c>
      <c r="P100" s="1377" t="str">
        <f t="shared" si="6"/>
        <v/>
      </c>
      <c r="Q100" s="1377" t="str">
        <f t="shared" si="7"/>
        <v/>
      </c>
    </row>
    <row r="101" spans="1:17" x14ac:dyDescent="0.2">
      <c r="B101" s="106">
        <v>15</v>
      </c>
      <c r="C101" s="1931" t="s">
        <v>757</v>
      </c>
      <c r="D101" s="1932"/>
      <c r="E101" s="1933"/>
      <c r="F101" s="791">
        <v>15</v>
      </c>
      <c r="G101" s="1934">
        <v>20</v>
      </c>
      <c r="H101" s="1934"/>
      <c r="I101" s="781"/>
      <c r="J101" s="121"/>
      <c r="K101" s="122"/>
      <c r="L101" s="35"/>
      <c r="M101" s="1375" t="str">
        <f t="shared" si="4"/>
        <v/>
      </c>
      <c r="N101" s="35"/>
      <c r="O101" s="1375" t="str">
        <f t="shared" si="5"/>
        <v/>
      </c>
      <c r="P101" s="1377" t="str">
        <f t="shared" si="6"/>
        <v/>
      </c>
      <c r="Q101" s="1377" t="str">
        <f t="shared" si="7"/>
        <v/>
      </c>
    </row>
    <row r="102" spans="1:17" ht="9" customHeight="1" x14ac:dyDescent="0.2"/>
    <row r="103" spans="1:17" ht="9" customHeight="1" x14ac:dyDescent="0.2"/>
    <row r="104" spans="1:17" x14ac:dyDescent="0.2">
      <c r="A104" s="1935" t="s">
        <v>730</v>
      </c>
      <c r="B104" s="1935"/>
      <c r="C104" s="1935"/>
      <c r="D104" s="1935"/>
      <c r="E104" s="1935"/>
      <c r="F104" s="1935"/>
      <c r="G104" s="1935"/>
      <c r="H104" s="1935"/>
    </row>
    <row r="105" spans="1:17" ht="9" customHeight="1" x14ac:dyDescent="0.2">
      <c r="A105" s="792"/>
      <c r="B105" s="792"/>
      <c r="C105" s="792"/>
      <c r="D105" s="792"/>
      <c r="E105" s="792"/>
      <c r="F105" s="792"/>
      <c r="G105" s="792"/>
      <c r="H105" s="792"/>
    </row>
    <row r="106" spans="1:17" x14ac:dyDescent="0.2">
      <c r="A106" s="79" t="s">
        <v>701</v>
      </c>
      <c r="B106" s="38" t="s">
        <v>762</v>
      </c>
    </row>
    <row r="107" spans="1:17" x14ac:dyDescent="0.2">
      <c r="B107" s="1992" t="s">
        <v>761</v>
      </c>
      <c r="C107" s="1992"/>
    </row>
    <row r="110" spans="1:17" x14ac:dyDescent="0.2">
      <c r="A110" s="793"/>
    </row>
  </sheetData>
  <mergeCells count="157">
    <mergeCell ref="B107:C107"/>
    <mergeCell ref="P1:Q1"/>
    <mergeCell ref="P2:Q2"/>
    <mergeCell ref="P3:Q3"/>
    <mergeCell ref="P4:Q4"/>
    <mergeCell ref="P5:Q5"/>
    <mergeCell ref="P7:Q7"/>
    <mergeCell ref="L15:M15"/>
    <mergeCell ref="N15:O15"/>
    <mergeCell ref="C32:E32"/>
    <mergeCell ref="C15:E15"/>
    <mergeCell ref="F15:H15"/>
    <mergeCell ref="J15:J16"/>
    <mergeCell ref="K15:K16"/>
    <mergeCell ref="A9:Q9"/>
    <mergeCell ref="A10:Q10"/>
    <mergeCell ref="A11:Q11"/>
    <mergeCell ref="P15:Q15"/>
    <mergeCell ref="C16:E16"/>
    <mergeCell ref="D36:E36"/>
    <mergeCell ref="C37:E37"/>
    <mergeCell ref="C38:E38"/>
    <mergeCell ref="A17:A33"/>
    <mergeCell ref="B17:B19"/>
    <mergeCell ref="C17:C19"/>
    <mergeCell ref="D17:E17"/>
    <mergeCell ref="D18:D19"/>
    <mergeCell ref="C26:E26"/>
    <mergeCell ref="C27:E27"/>
    <mergeCell ref="C28:E28"/>
    <mergeCell ref="C29:E29"/>
    <mergeCell ref="C30:E30"/>
    <mergeCell ref="C31:E31"/>
    <mergeCell ref="B20:B22"/>
    <mergeCell ref="C20:C22"/>
    <mergeCell ref="D20:E20"/>
    <mergeCell ref="D21:D22"/>
    <mergeCell ref="B23:B25"/>
    <mergeCell ref="C23:C25"/>
    <mergeCell ref="D23:E23"/>
    <mergeCell ref="D24:D25"/>
    <mergeCell ref="C33:E33"/>
    <mergeCell ref="C49:E49"/>
    <mergeCell ref="C57:E57"/>
    <mergeCell ref="B58:B59"/>
    <mergeCell ref="C58:C59"/>
    <mergeCell ref="D58:E58"/>
    <mergeCell ref="D59:E59"/>
    <mergeCell ref="B39:B41"/>
    <mergeCell ref="C39:C41"/>
    <mergeCell ref="D39:E39"/>
    <mergeCell ref="D40:E40"/>
    <mergeCell ref="D41:E41"/>
    <mergeCell ref="B42:B43"/>
    <mergeCell ref="D42:E42"/>
    <mergeCell ref="D43:E43"/>
    <mergeCell ref="C60:E60"/>
    <mergeCell ref="C50:E50"/>
    <mergeCell ref="A51:A69"/>
    <mergeCell ref="C51:E51"/>
    <mergeCell ref="C52:E52"/>
    <mergeCell ref="C53:E53"/>
    <mergeCell ref="C54:E54"/>
    <mergeCell ref="C55:E55"/>
    <mergeCell ref="C56:E56"/>
    <mergeCell ref="C65:E65"/>
    <mergeCell ref="C66:E66"/>
    <mergeCell ref="C67:E67"/>
    <mergeCell ref="C68:E68"/>
    <mergeCell ref="C69:E69"/>
    <mergeCell ref="A34:A50"/>
    <mergeCell ref="B34:B36"/>
    <mergeCell ref="C34:C36"/>
    <mergeCell ref="D34:E34"/>
    <mergeCell ref="D35:E35"/>
    <mergeCell ref="C44:E44"/>
    <mergeCell ref="C45:E45"/>
    <mergeCell ref="C46:E46"/>
    <mergeCell ref="C47:E47"/>
    <mergeCell ref="C48:E48"/>
    <mergeCell ref="A73:H73"/>
    <mergeCell ref="C75:E75"/>
    <mergeCell ref="F75:H76"/>
    <mergeCell ref="J75:J76"/>
    <mergeCell ref="G79:H79"/>
    <mergeCell ref="D80:E80"/>
    <mergeCell ref="G80:H80"/>
    <mergeCell ref="C70:E70"/>
    <mergeCell ref="C61:E61"/>
    <mergeCell ref="C62:E62"/>
    <mergeCell ref="B63:B64"/>
    <mergeCell ref="C63:C64"/>
    <mergeCell ref="D63:E63"/>
    <mergeCell ref="D64:E64"/>
    <mergeCell ref="B78:B80"/>
    <mergeCell ref="C78:C80"/>
    <mergeCell ref="D78:E78"/>
    <mergeCell ref="C81:E81"/>
    <mergeCell ref="G81:H81"/>
    <mergeCell ref="C82:E82"/>
    <mergeCell ref="F82:H82"/>
    <mergeCell ref="N75:O75"/>
    <mergeCell ref="P75:Q75"/>
    <mergeCell ref="C76:E76"/>
    <mergeCell ref="C77:E77"/>
    <mergeCell ref="G77:H77"/>
    <mergeCell ref="K75:K76"/>
    <mergeCell ref="L75:M75"/>
    <mergeCell ref="G78:H78"/>
    <mergeCell ref="D79:E79"/>
    <mergeCell ref="B87:B88"/>
    <mergeCell ref="C87:C88"/>
    <mergeCell ref="D87:E87"/>
    <mergeCell ref="G87:H87"/>
    <mergeCell ref="D88:E88"/>
    <mergeCell ref="G88:H88"/>
    <mergeCell ref="B83:B86"/>
    <mergeCell ref="C83:C86"/>
    <mergeCell ref="D83:E83"/>
    <mergeCell ref="G83:H83"/>
    <mergeCell ref="D84:E84"/>
    <mergeCell ref="G84:H84"/>
    <mergeCell ref="D85:E85"/>
    <mergeCell ref="G85:H85"/>
    <mergeCell ref="D86:E86"/>
    <mergeCell ref="G86:H86"/>
    <mergeCell ref="B89:B92"/>
    <mergeCell ref="C89:C92"/>
    <mergeCell ref="D89:E89"/>
    <mergeCell ref="G89:H89"/>
    <mergeCell ref="D90:E90"/>
    <mergeCell ref="G90:H90"/>
    <mergeCell ref="D91:E91"/>
    <mergeCell ref="G91:H91"/>
    <mergeCell ref="D92:E92"/>
    <mergeCell ref="G92:H92"/>
    <mergeCell ref="C95:E95"/>
    <mergeCell ref="G95:H95"/>
    <mergeCell ref="C96:E96"/>
    <mergeCell ref="G96:H96"/>
    <mergeCell ref="C97:E97"/>
    <mergeCell ref="G97:H97"/>
    <mergeCell ref="B93:B94"/>
    <mergeCell ref="C93:C94"/>
    <mergeCell ref="D93:E93"/>
    <mergeCell ref="G93:H93"/>
    <mergeCell ref="D94:E94"/>
    <mergeCell ref="G94:H94"/>
    <mergeCell ref="C101:E101"/>
    <mergeCell ref="G101:H101"/>
    <mergeCell ref="A104:H104"/>
    <mergeCell ref="C98:E98"/>
    <mergeCell ref="G98:H98"/>
    <mergeCell ref="C99:E99"/>
    <mergeCell ref="G99:H99"/>
    <mergeCell ref="C100:E100"/>
    <mergeCell ref="G100:H100"/>
  </mergeCells>
  <conditionalFormatting sqref="P17:Q70 P77:Q101">
    <cfRule type="cellIs" dxfId="317" priority="1" operator="equal">
      <formula>"Yes"</formula>
    </cfRule>
  </conditionalFormatting>
  <hyperlinks>
    <hyperlink ref="B107" display="See pages 17-19 of Kinetrics Report" xr:uid="{00000000-0004-0000-0B00-000000000000}"/>
  </hyperlink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tabColor rgb="FF00B0F0"/>
  </sheetPr>
  <dimension ref="A1:Y450"/>
  <sheetViews>
    <sheetView showGridLines="0" topLeftCell="A361" zoomScale="70" zoomScaleNormal="70" zoomScaleSheetLayoutView="40" workbookViewId="0">
      <selection activeCell="I384" sqref="I384:J431"/>
    </sheetView>
  </sheetViews>
  <sheetFormatPr defaultRowHeight="12.75" x14ac:dyDescent="0.2"/>
  <cols>
    <col min="1" max="1" width="9.28515625" style="38"/>
    <col min="2" max="2" width="42.28515625" style="38" customWidth="1"/>
    <col min="3" max="3" width="16.7109375" style="38" customWidth="1"/>
    <col min="4" max="4" width="18.140625" style="38" bestFit="1" customWidth="1"/>
    <col min="5" max="5" width="17.140625" style="38" bestFit="1" customWidth="1"/>
    <col min="6" max="6" width="19.5703125" style="38" customWidth="1"/>
    <col min="7" max="7" width="13.42578125" style="38" customWidth="1"/>
    <col min="8" max="8" width="17.5703125" style="38" customWidth="1"/>
    <col min="9" max="9" width="16.28515625" style="38" customWidth="1"/>
    <col min="10" max="10" width="16.5703125" style="38" customWidth="1"/>
    <col min="11" max="11" width="19.7109375" style="38" customWidth="1"/>
    <col min="12" max="12" width="14.5703125" style="38" customWidth="1"/>
    <col min="13" max="13" width="13" style="38" customWidth="1"/>
    <col min="14" max="14" width="18.5703125" style="38" customWidth="1"/>
    <col min="15" max="15" width="15.42578125" style="38" bestFit="1" customWidth="1"/>
    <col min="16" max="16" width="13" style="38" customWidth="1"/>
    <col min="17" max="17" width="15.85546875" style="38" bestFit="1" customWidth="1"/>
    <col min="18" max="18" width="15.5703125" style="38" customWidth="1"/>
    <col min="19" max="19" width="22" style="38" bestFit="1" customWidth="1"/>
    <col min="20" max="24" width="9.28515625" style="38"/>
    <col min="25" max="25" width="0" style="38" hidden="1" customWidth="1"/>
    <col min="26" max="260" width="9.28515625" style="38"/>
    <col min="261" max="261" width="2.7109375" style="38" customWidth="1"/>
    <col min="262" max="262" width="9.28515625" style="38"/>
    <col min="263" max="263" width="40.28515625" style="38" bestFit="1" customWidth="1"/>
    <col min="264" max="264" width="12" style="38" customWidth="1"/>
    <col min="265" max="265" width="10" style="38" customWidth="1"/>
    <col min="266" max="266" width="14.7109375" style="38" customWidth="1"/>
    <col min="267" max="267" width="9.5703125" style="38" customWidth="1"/>
    <col min="268" max="269" width="12.28515625" style="38" customWidth="1"/>
    <col min="270" max="273" width="12.7109375" style="38" customWidth="1"/>
    <col min="274" max="274" width="12.28515625" style="38" bestFit="1" customWidth="1"/>
    <col min="275" max="275" width="13.28515625" style="38" customWidth="1"/>
    <col min="276" max="516" width="9.28515625" style="38"/>
    <col min="517" max="517" width="2.7109375" style="38" customWidth="1"/>
    <col min="518" max="518" width="9.28515625" style="38"/>
    <col min="519" max="519" width="40.28515625" style="38" bestFit="1" customWidth="1"/>
    <col min="520" max="520" width="12" style="38" customWidth="1"/>
    <col min="521" max="521" width="10" style="38" customWidth="1"/>
    <col min="522" max="522" width="14.7109375" style="38" customWidth="1"/>
    <col min="523" max="523" width="9.5703125" style="38" customWidth="1"/>
    <col min="524" max="525" width="12.28515625" style="38" customWidth="1"/>
    <col min="526" max="529" width="12.7109375" style="38" customWidth="1"/>
    <col min="530" max="530" width="12.28515625" style="38" bestFit="1" customWidth="1"/>
    <col min="531" max="531" width="13.28515625" style="38" customWidth="1"/>
    <col min="532" max="772" width="9.28515625" style="38"/>
    <col min="773" max="773" width="2.7109375" style="38" customWidth="1"/>
    <col min="774" max="774" width="9.28515625" style="38"/>
    <col min="775" max="775" width="40.28515625" style="38" bestFit="1" customWidth="1"/>
    <col min="776" max="776" width="12" style="38" customWidth="1"/>
    <col min="777" max="777" width="10" style="38" customWidth="1"/>
    <col min="778" max="778" width="14.7109375" style="38" customWidth="1"/>
    <col min="779" max="779" width="9.5703125" style="38" customWidth="1"/>
    <col min="780" max="781" width="12.28515625" style="38" customWidth="1"/>
    <col min="782" max="785" width="12.7109375" style="38" customWidth="1"/>
    <col min="786" max="786" width="12.28515625" style="38" bestFit="1" customWidth="1"/>
    <col min="787" max="787" width="13.28515625" style="38" customWidth="1"/>
    <col min="788" max="1028" width="9.28515625" style="38"/>
    <col min="1029" max="1029" width="2.7109375" style="38" customWidth="1"/>
    <col min="1030" max="1030" width="9.28515625" style="38"/>
    <col min="1031" max="1031" width="40.28515625" style="38" bestFit="1" customWidth="1"/>
    <col min="1032" max="1032" width="12" style="38" customWidth="1"/>
    <col min="1033" max="1033" width="10" style="38" customWidth="1"/>
    <col min="1034" max="1034" width="14.7109375" style="38" customWidth="1"/>
    <col min="1035" max="1035" width="9.5703125" style="38" customWidth="1"/>
    <col min="1036" max="1037" width="12.28515625" style="38" customWidth="1"/>
    <col min="1038" max="1041" width="12.7109375" style="38" customWidth="1"/>
    <col min="1042" max="1042" width="12.28515625" style="38" bestFit="1" customWidth="1"/>
    <col min="1043" max="1043" width="13.28515625" style="38" customWidth="1"/>
    <col min="1044" max="1284" width="9.28515625" style="38"/>
    <col min="1285" max="1285" width="2.7109375" style="38" customWidth="1"/>
    <col min="1286" max="1286" width="9.28515625" style="38"/>
    <col min="1287" max="1287" width="40.28515625" style="38" bestFit="1" customWidth="1"/>
    <col min="1288" max="1288" width="12" style="38" customWidth="1"/>
    <col min="1289" max="1289" width="10" style="38" customWidth="1"/>
    <col min="1290" max="1290" width="14.7109375" style="38" customWidth="1"/>
    <col min="1291" max="1291" width="9.5703125" style="38" customWidth="1"/>
    <col min="1292" max="1293" width="12.28515625" style="38" customWidth="1"/>
    <col min="1294" max="1297" width="12.7109375" style="38" customWidth="1"/>
    <col min="1298" max="1298" width="12.28515625" style="38" bestFit="1" customWidth="1"/>
    <col min="1299" max="1299" width="13.28515625" style="38" customWidth="1"/>
    <col min="1300" max="1540" width="9.28515625" style="38"/>
    <col min="1541" max="1541" width="2.7109375" style="38" customWidth="1"/>
    <col min="1542" max="1542" width="9.28515625" style="38"/>
    <col min="1543" max="1543" width="40.28515625" style="38" bestFit="1" customWidth="1"/>
    <col min="1544" max="1544" width="12" style="38" customWidth="1"/>
    <col min="1545" max="1545" width="10" style="38" customWidth="1"/>
    <col min="1546" max="1546" width="14.7109375" style="38" customWidth="1"/>
    <col min="1547" max="1547" width="9.5703125" style="38" customWidth="1"/>
    <col min="1548" max="1549" width="12.28515625" style="38" customWidth="1"/>
    <col min="1550" max="1553" width="12.7109375" style="38" customWidth="1"/>
    <col min="1554" max="1554" width="12.28515625" style="38" bestFit="1" customWidth="1"/>
    <col min="1555" max="1555" width="13.28515625" style="38" customWidth="1"/>
    <col min="1556" max="1796" width="9.28515625" style="38"/>
    <col min="1797" max="1797" width="2.7109375" style="38" customWidth="1"/>
    <col min="1798" max="1798" width="9.28515625" style="38"/>
    <col min="1799" max="1799" width="40.28515625" style="38" bestFit="1" customWidth="1"/>
    <col min="1800" max="1800" width="12" style="38" customWidth="1"/>
    <col min="1801" max="1801" width="10" style="38" customWidth="1"/>
    <col min="1802" max="1802" width="14.7109375" style="38" customWidth="1"/>
    <col min="1803" max="1803" width="9.5703125" style="38" customWidth="1"/>
    <col min="1804" max="1805" width="12.28515625" style="38" customWidth="1"/>
    <col min="1806" max="1809" width="12.7109375" style="38" customWidth="1"/>
    <col min="1810" max="1810" width="12.28515625" style="38" bestFit="1" customWidth="1"/>
    <col min="1811" max="1811" width="13.28515625" style="38" customWidth="1"/>
    <col min="1812" max="2052" width="9.28515625" style="38"/>
    <col min="2053" max="2053" width="2.7109375" style="38" customWidth="1"/>
    <col min="2054" max="2054" width="9.28515625" style="38"/>
    <col min="2055" max="2055" width="40.28515625" style="38" bestFit="1" customWidth="1"/>
    <col min="2056" max="2056" width="12" style="38" customWidth="1"/>
    <col min="2057" max="2057" width="10" style="38" customWidth="1"/>
    <col min="2058" max="2058" width="14.7109375" style="38" customWidth="1"/>
    <col min="2059" max="2059" width="9.5703125" style="38" customWidth="1"/>
    <col min="2060" max="2061" width="12.28515625" style="38" customWidth="1"/>
    <col min="2062" max="2065" width="12.7109375" style="38" customWidth="1"/>
    <col min="2066" max="2066" width="12.28515625" style="38" bestFit="1" customWidth="1"/>
    <col min="2067" max="2067" width="13.28515625" style="38" customWidth="1"/>
    <col min="2068" max="2308" width="9.28515625" style="38"/>
    <col min="2309" max="2309" width="2.7109375" style="38" customWidth="1"/>
    <col min="2310" max="2310" width="9.28515625" style="38"/>
    <col min="2311" max="2311" width="40.28515625" style="38" bestFit="1" customWidth="1"/>
    <col min="2312" max="2312" width="12" style="38" customWidth="1"/>
    <col min="2313" max="2313" width="10" style="38" customWidth="1"/>
    <col min="2314" max="2314" width="14.7109375" style="38" customWidth="1"/>
    <col min="2315" max="2315" width="9.5703125" style="38" customWidth="1"/>
    <col min="2316" max="2317" width="12.28515625" style="38" customWidth="1"/>
    <col min="2318" max="2321" width="12.7109375" style="38" customWidth="1"/>
    <col min="2322" max="2322" width="12.28515625" style="38" bestFit="1" customWidth="1"/>
    <col min="2323" max="2323" width="13.28515625" style="38" customWidth="1"/>
    <col min="2324" max="2564" width="9.28515625" style="38"/>
    <col min="2565" max="2565" width="2.7109375" style="38" customWidth="1"/>
    <col min="2566" max="2566" width="9.28515625" style="38"/>
    <col min="2567" max="2567" width="40.28515625" style="38" bestFit="1" customWidth="1"/>
    <col min="2568" max="2568" width="12" style="38" customWidth="1"/>
    <col min="2569" max="2569" width="10" style="38" customWidth="1"/>
    <col min="2570" max="2570" width="14.7109375" style="38" customWidth="1"/>
    <col min="2571" max="2571" width="9.5703125" style="38" customWidth="1"/>
    <col min="2572" max="2573" width="12.28515625" style="38" customWidth="1"/>
    <col min="2574" max="2577" width="12.7109375" style="38" customWidth="1"/>
    <col min="2578" max="2578" width="12.28515625" style="38" bestFit="1" customWidth="1"/>
    <col min="2579" max="2579" width="13.28515625" style="38" customWidth="1"/>
    <col min="2580" max="2820" width="9.28515625" style="38"/>
    <col min="2821" max="2821" width="2.7109375" style="38" customWidth="1"/>
    <col min="2822" max="2822" width="9.28515625" style="38"/>
    <col min="2823" max="2823" width="40.28515625" style="38" bestFit="1" customWidth="1"/>
    <col min="2824" max="2824" width="12" style="38" customWidth="1"/>
    <col min="2825" max="2825" width="10" style="38" customWidth="1"/>
    <col min="2826" max="2826" width="14.7109375" style="38" customWidth="1"/>
    <col min="2827" max="2827" width="9.5703125" style="38" customWidth="1"/>
    <col min="2828" max="2829" width="12.28515625" style="38" customWidth="1"/>
    <col min="2830" max="2833" width="12.7109375" style="38" customWidth="1"/>
    <col min="2834" max="2834" width="12.28515625" style="38" bestFit="1" customWidth="1"/>
    <col min="2835" max="2835" width="13.28515625" style="38" customWidth="1"/>
    <col min="2836" max="3076" width="9.28515625" style="38"/>
    <col min="3077" max="3077" width="2.7109375" style="38" customWidth="1"/>
    <col min="3078" max="3078" width="9.28515625" style="38"/>
    <col min="3079" max="3079" width="40.28515625" style="38" bestFit="1" customWidth="1"/>
    <col min="3080" max="3080" width="12" style="38" customWidth="1"/>
    <col min="3081" max="3081" width="10" style="38" customWidth="1"/>
    <col min="3082" max="3082" width="14.7109375" style="38" customWidth="1"/>
    <col min="3083" max="3083" width="9.5703125" style="38" customWidth="1"/>
    <col min="3084" max="3085" width="12.28515625" style="38" customWidth="1"/>
    <col min="3086" max="3089" width="12.7109375" style="38" customWidth="1"/>
    <col min="3090" max="3090" width="12.28515625" style="38" bestFit="1" customWidth="1"/>
    <col min="3091" max="3091" width="13.28515625" style="38" customWidth="1"/>
    <col min="3092" max="3332" width="9.28515625" style="38"/>
    <col min="3333" max="3333" width="2.7109375" style="38" customWidth="1"/>
    <col min="3334" max="3334" width="9.28515625" style="38"/>
    <col min="3335" max="3335" width="40.28515625" style="38" bestFit="1" customWidth="1"/>
    <col min="3336" max="3336" width="12" style="38" customWidth="1"/>
    <col min="3337" max="3337" width="10" style="38" customWidth="1"/>
    <col min="3338" max="3338" width="14.7109375" style="38" customWidth="1"/>
    <col min="3339" max="3339" width="9.5703125" style="38" customWidth="1"/>
    <col min="3340" max="3341" width="12.28515625" style="38" customWidth="1"/>
    <col min="3342" max="3345" width="12.7109375" style="38" customWidth="1"/>
    <col min="3346" max="3346" width="12.28515625" style="38" bestFit="1" customWidth="1"/>
    <col min="3347" max="3347" width="13.28515625" style="38" customWidth="1"/>
    <col min="3348" max="3588" width="9.28515625" style="38"/>
    <col min="3589" max="3589" width="2.7109375" style="38" customWidth="1"/>
    <col min="3590" max="3590" width="9.28515625" style="38"/>
    <col min="3591" max="3591" width="40.28515625" style="38" bestFit="1" customWidth="1"/>
    <col min="3592" max="3592" width="12" style="38" customWidth="1"/>
    <col min="3593" max="3593" width="10" style="38" customWidth="1"/>
    <col min="3594" max="3594" width="14.7109375" style="38" customWidth="1"/>
    <col min="3595" max="3595" width="9.5703125" style="38" customWidth="1"/>
    <col min="3596" max="3597" width="12.28515625" style="38" customWidth="1"/>
    <col min="3598" max="3601" width="12.7109375" style="38" customWidth="1"/>
    <col min="3602" max="3602" width="12.28515625" style="38" bestFit="1" customWidth="1"/>
    <col min="3603" max="3603" width="13.28515625" style="38" customWidth="1"/>
    <col min="3604" max="3844" width="9.28515625" style="38"/>
    <col min="3845" max="3845" width="2.7109375" style="38" customWidth="1"/>
    <col min="3846" max="3846" width="9.28515625" style="38"/>
    <col min="3847" max="3847" width="40.28515625" style="38" bestFit="1" customWidth="1"/>
    <col min="3848" max="3848" width="12" style="38" customWidth="1"/>
    <col min="3849" max="3849" width="10" style="38" customWidth="1"/>
    <col min="3850" max="3850" width="14.7109375" style="38" customWidth="1"/>
    <col min="3851" max="3851" width="9.5703125" style="38" customWidth="1"/>
    <col min="3852" max="3853" width="12.28515625" style="38" customWidth="1"/>
    <col min="3854" max="3857" width="12.7109375" style="38" customWidth="1"/>
    <col min="3858" max="3858" width="12.28515625" style="38" bestFit="1" customWidth="1"/>
    <col min="3859" max="3859" width="13.28515625" style="38" customWidth="1"/>
    <col min="3860" max="4100" width="9.28515625" style="38"/>
    <col min="4101" max="4101" width="2.7109375" style="38" customWidth="1"/>
    <col min="4102" max="4102" width="9.28515625" style="38"/>
    <col min="4103" max="4103" width="40.28515625" style="38" bestFit="1" customWidth="1"/>
    <col min="4104" max="4104" width="12" style="38" customWidth="1"/>
    <col min="4105" max="4105" width="10" style="38" customWidth="1"/>
    <col min="4106" max="4106" width="14.7109375" style="38" customWidth="1"/>
    <col min="4107" max="4107" width="9.5703125" style="38" customWidth="1"/>
    <col min="4108" max="4109" width="12.28515625" style="38" customWidth="1"/>
    <col min="4110" max="4113" width="12.7109375" style="38" customWidth="1"/>
    <col min="4114" max="4114" width="12.28515625" style="38" bestFit="1" customWidth="1"/>
    <col min="4115" max="4115" width="13.28515625" style="38" customWidth="1"/>
    <col min="4116" max="4356" width="9.28515625" style="38"/>
    <col min="4357" max="4357" width="2.7109375" style="38" customWidth="1"/>
    <col min="4358" max="4358" width="9.28515625" style="38"/>
    <col min="4359" max="4359" width="40.28515625" style="38" bestFit="1" customWidth="1"/>
    <col min="4360" max="4360" width="12" style="38" customWidth="1"/>
    <col min="4361" max="4361" width="10" style="38" customWidth="1"/>
    <col min="4362" max="4362" width="14.7109375" style="38" customWidth="1"/>
    <col min="4363" max="4363" width="9.5703125" style="38" customWidth="1"/>
    <col min="4364" max="4365" width="12.28515625" style="38" customWidth="1"/>
    <col min="4366" max="4369" width="12.7109375" style="38" customWidth="1"/>
    <col min="4370" max="4370" width="12.28515625" style="38" bestFit="1" customWidth="1"/>
    <col min="4371" max="4371" width="13.28515625" style="38" customWidth="1"/>
    <col min="4372" max="4612" width="9.28515625" style="38"/>
    <col min="4613" max="4613" width="2.7109375" style="38" customWidth="1"/>
    <col min="4614" max="4614" width="9.28515625" style="38"/>
    <col min="4615" max="4615" width="40.28515625" style="38" bestFit="1" customWidth="1"/>
    <col min="4616" max="4616" width="12" style="38" customWidth="1"/>
    <col min="4617" max="4617" width="10" style="38" customWidth="1"/>
    <col min="4618" max="4618" width="14.7109375" style="38" customWidth="1"/>
    <col min="4619" max="4619" width="9.5703125" style="38" customWidth="1"/>
    <col min="4620" max="4621" width="12.28515625" style="38" customWidth="1"/>
    <col min="4622" max="4625" width="12.7109375" style="38" customWidth="1"/>
    <col min="4626" max="4626" width="12.28515625" style="38" bestFit="1" customWidth="1"/>
    <col min="4627" max="4627" width="13.28515625" style="38" customWidth="1"/>
    <col min="4628" max="4868" width="9.28515625" style="38"/>
    <col min="4869" max="4869" width="2.7109375" style="38" customWidth="1"/>
    <col min="4870" max="4870" width="9.28515625" style="38"/>
    <col min="4871" max="4871" width="40.28515625" style="38" bestFit="1" customWidth="1"/>
    <col min="4872" max="4872" width="12" style="38" customWidth="1"/>
    <col min="4873" max="4873" width="10" style="38" customWidth="1"/>
    <col min="4874" max="4874" width="14.7109375" style="38" customWidth="1"/>
    <col min="4875" max="4875" width="9.5703125" style="38" customWidth="1"/>
    <col min="4876" max="4877" width="12.28515625" style="38" customWidth="1"/>
    <col min="4878" max="4881" width="12.7109375" style="38" customWidth="1"/>
    <col min="4882" max="4882" width="12.28515625" style="38" bestFit="1" customWidth="1"/>
    <col min="4883" max="4883" width="13.28515625" style="38" customWidth="1"/>
    <col min="4884" max="5124" width="9.28515625" style="38"/>
    <col min="5125" max="5125" width="2.7109375" style="38" customWidth="1"/>
    <col min="5126" max="5126" width="9.28515625" style="38"/>
    <col min="5127" max="5127" width="40.28515625" style="38" bestFit="1" customWidth="1"/>
    <col min="5128" max="5128" width="12" style="38" customWidth="1"/>
    <col min="5129" max="5129" width="10" style="38" customWidth="1"/>
    <col min="5130" max="5130" width="14.7109375" style="38" customWidth="1"/>
    <col min="5131" max="5131" width="9.5703125" style="38" customWidth="1"/>
    <col min="5132" max="5133" width="12.28515625" style="38" customWidth="1"/>
    <col min="5134" max="5137" width="12.7109375" style="38" customWidth="1"/>
    <col min="5138" max="5138" width="12.28515625" style="38" bestFit="1" customWidth="1"/>
    <col min="5139" max="5139" width="13.28515625" style="38" customWidth="1"/>
    <col min="5140" max="5380" width="9.28515625" style="38"/>
    <col min="5381" max="5381" width="2.7109375" style="38" customWidth="1"/>
    <col min="5382" max="5382" width="9.28515625" style="38"/>
    <col min="5383" max="5383" width="40.28515625" style="38" bestFit="1" customWidth="1"/>
    <col min="5384" max="5384" width="12" style="38" customWidth="1"/>
    <col min="5385" max="5385" width="10" style="38" customWidth="1"/>
    <col min="5386" max="5386" width="14.7109375" style="38" customWidth="1"/>
    <col min="5387" max="5387" width="9.5703125" style="38" customWidth="1"/>
    <col min="5388" max="5389" width="12.28515625" style="38" customWidth="1"/>
    <col min="5390" max="5393" width="12.7109375" style="38" customWidth="1"/>
    <col min="5394" max="5394" width="12.28515625" style="38" bestFit="1" customWidth="1"/>
    <col min="5395" max="5395" width="13.28515625" style="38" customWidth="1"/>
    <col min="5396" max="5636" width="9.28515625" style="38"/>
    <col min="5637" max="5637" width="2.7109375" style="38" customWidth="1"/>
    <col min="5638" max="5638" width="9.28515625" style="38"/>
    <col min="5639" max="5639" width="40.28515625" style="38" bestFit="1" customWidth="1"/>
    <col min="5640" max="5640" width="12" style="38" customWidth="1"/>
    <col min="5641" max="5641" width="10" style="38" customWidth="1"/>
    <col min="5642" max="5642" width="14.7109375" style="38" customWidth="1"/>
    <col min="5643" max="5643" width="9.5703125" style="38" customWidth="1"/>
    <col min="5644" max="5645" width="12.28515625" style="38" customWidth="1"/>
    <col min="5646" max="5649" width="12.7109375" style="38" customWidth="1"/>
    <col min="5650" max="5650" width="12.28515625" style="38" bestFit="1" customWidth="1"/>
    <col min="5651" max="5651" width="13.28515625" style="38" customWidth="1"/>
    <col min="5652" max="5892" width="9.28515625" style="38"/>
    <col min="5893" max="5893" width="2.7109375" style="38" customWidth="1"/>
    <col min="5894" max="5894" width="9.28515625" style="38"/>
    <col min="5895" max="5895" width="40.28515625" style="38" bestFit="1" customWidth="1"/>
    <col min="5896" max="5896" width="12" style="38" customWidth="1"/>
    <col min="5897" max="5897" width="10" style="38" customWidth="1"/>
    <col min="5898" max="5898" width="14.7109375" style="38" customWidth="1"/>
    <col min="5899" max="5899" width="9.5703125" style="38" customWidth="1"/>
    <col min="5900" max="5901" width="12.28515625" style="38" customWidth="1"/>
    <col min="5902" max="5905" width="12.7109375" style="38" customWidth="1"/>
    <col min="5906" max="5906" width="12.28515625" style="38" bestFit="1" customWidth="1"/>
    <col min="5907" max="5907" width="13.28515625" style="38" customWidth="1"/>
    <col min="5908" max="6148" width="9.28515625" style="38"/>
    <col min="6149" max="6149" width="2.7109375" style="38" customWidth="1"/>
    <col min="6150" max="6150" width="9.28515625" style="38"/>
    <col min="6151" max="6151" width="40.28515625" style="38" bestFit="1" customWidth="1"/>
    <col min="6152" max="6152" width="12" style="38" customWidth="1"/>
    <col min="6153" max="6153" width="10" style="38" customWidth="1"/>
    <col min="6154" max="6154" width="14.7109375" style="38" customWidth="1"/>
    <col min="6155" max="6155" width="9.5703125" style="38" customWidth="1"/>
    <col min="6156" max="6157" width="12.28515625" style="38" customWidth="1"/>
    <col min="6158" max="6161" width="12.7109375" style="38" customWidth="1"/>
    <col min="6162" max="6162" width="12.28515625" style="38" bestFit="1" customWidth="1"/>
    <col min="6163" max="6163" width="13.28515625" style="38" customWidth="1"/>
    <col min="6164" max="6404" width="9.28515625" style="38"/>
    <col min="6405" max="6405" width="2.7109375" style="38" customWidth="1"/>
    <col min="6406" max="6406" width="9.28515625" style="38"/>
    <col min="6407" max="6407" width="40.28515625" style="38" bestFit="1" customWidth="1"/>
    <col min="6408" max="6408" width="12" style="38" customWidth="1"/>
    <col min="6409" max="6409" width="10" style="38" customWidth="1"/>
    <col min="6410" max="6410" width="14.7109375" style="38" customWidth="1"/>
    <col min="6411" max="6411" width="9.5703125" style="38" customWidth="1"/>
    <col min="6412" max="6413" width="12.28515625" style="38" customWidth="1"/>
    <col min="6414" max="6417" width="12.7109375" style="38" customWidth="1"/>
    <col min="6418" max="6418" width="12.28515625" style="38" bestFit="1" customWidth="1"/>
    <col min="6419" max="6419" width="13.28515625" style="38" customWidth="1"/>
    <col min="6420" max="6660" width="9.28515625" style="38"/>
    <col min="6661" max="6661" width="2.7109375" style="38" customWidth="1"/>
    <col min="6662" max="6662" width="9.28515625" style="38"/>
    <col min="6663" max="6663" width="40.28515625" style="38" bestFit="1" customWidth="1"/>
    <col min="6664" max="6664" width="12" style="38" customWidth="1"/>
    <col min="6665" max="6665" width="10" style="38" customWidth="1"/>
    <col min="6666" max="6666" width="14.7109375" style="38" customWidth="1"/>
    <col min="6667" max="6667" width="9.5703125" style="38" customWidth="1"/>
    <col min="6668" max="6669" width="12.28515625" style="38" customWidth="1"/>
    <col min="6670" max="6673" width="12.7109375" style="38" customWidth="1"/>
    <col min="6674" max="6674" width="12.28515625" style="38" bestFit="1" customWidth="1"/>
    <col min="6675" max="6675" width="13.28515625" style="38" customWidth="1"/>
    <col min="6676" max="6916" width="9.28515625" style="38"/>
    <col min="6917" max="6917" width="2.7109375" style="38" customWidth="1"/>
    <col min="6918" max="6918" width="9.28515625" style="38"/>
    <col min="6919" max="6919" width="40.28515625" style="38" bestFit="1" customWidth="1"/>
    <col min="6920" max="6920" width="12" style="38" customWidth="1"/>
    <col min="6921" max="6921" width="10" style="38" customWidth="1"/>
    <col min="6922" max="6922" width="14.7109375" style="38" customWidth="1"/>
    <col min="6923" max="6923" width="9.5703125" style="38" customWidth="1"/>
    <col min="6924" max="6925" width="12.28515625" style="38" customWidth="1"/>
    <col min="6926" max="6929" width="12.7109375" style="38" customWidth="1"/>
    <col min="6930" max="6930" width="12.28515625" style="38" bestFit="1" customWidth="1"/>
    <col min="6931" max="6931" width="13.28515625" style="38" customWidth="1"/>
    <col min="6932" max="7172" width="9.28515625" style="38"/>
    <col min="7173" max="7173" width="2.7109375" style="38" customWidth="1"/>
    <col min="7174" max="7174" width="9.28515625" style="38"/>
    <col min="7175" max="7175" width="40.28515625" style="38" bestFit="1" customWidth="1"/>
    <col min="7176" max="7176" width="12" style="38" customWidth="1"/>
    <col min="7177" max="7177" width="10" style="38" customWidth="1"/>
    <col min="7178" max="7178" width="14.7109375" style="38" customWidth="1"/>
    <col min="7179" max="7179" width="9.5703125" style="38" customWidth="1"/>
    <col min="7180" max="7181" width="12.28515625" style="38" customWidth="1"/>
    <col min="7182" max="7185" width="12.7109375" style="38" customWidth="1"/>
    <col min="7186" max="7186" width="12.28515625" style="38" bestFit="1" customWidth="1"/>
    <col min="7187" max="7187" width="13.28515625" style="38" customWidth="1"/>
    <col min="7188" max="7428" width="9.28515625" style="38"/>
    <col min="7429" max="7429" width="2.7109375" style="38" customWidth="1"/>
    <col min="7430" max="7430" width="9.28515625" style="38"/>
    <col min="7431" max="7431" width="40.28515625" style="38" bestFit="1" customWidth="1"/>
    <col min="7432" max="7432" width="12" style="38" customWidth="1"/>
    <col min="7433" max="7433" width="10" style="38" customWidth="1"/>
    <col min="7434" max="7434" width="14.7109375" style="38" customWidth="1"/>
    <col min="7435" max="7435" width="9.5703125" style="38" customWidth="1"/>
    <col min="7436" max="7437" width="12.28515625" style="38" customWidth="1"/>
    <col min="7438" max="7441" width="12.7109375" style="38" customWidth="1"/>
    <col min="7442" max="7442" width="12.28515625" style="38" bestFit="1" customWidth="1"/>
    <col min="7443" max="7443" width="13.28515625" style="38" customWidth="1"/>
    <col min="7444" max="7684" width="9.28515625" style="38"/>
    <col min="7685" max="7685" width="2.7109375" style="38" customWidth="1"/>
    <col min="7686" max="7686" width="9.28515625" style="38"/>
    <col min="7687" max="7687" width="40.28515625" style="38" bestFit="1" customWidth="1"/>
    <col min="7688" max="7688" width="12" style="38" customWidth="1"/>
    <col min="7689" max="7689" width="10" style="38" customWidth="1"/>
    <col min="7690" max="7690" width="14.7109375" style="38" customWidth="1"/>
    <col min="7691" max="7691" width="9.5703125" style="38" customWidth="1"/>
    <col min="7692" max="7693" width="12.28515625" style="38" customWidth="1"/>
    <col min="7694" max="7697" width="12.7109375" style="38" customWidth="1"/>
    <col min="7698" max="7698" width="12.28515625" style="38" bestFit="1" customWidth="1"/>
    <col min="7699" max="7699" width="13.28515625" style="38" customWidth="1"/>
    <col min="7700" max="7940" width="9.28515625" style="38"/>
    <col min="7941" max="7941" width="2.7109375" style="38" customWidth="1"/>
    <col min="7942" max="7942" width="9.28515625" style="38"/>
    <col min="7943" max="7943" width="40.28515625" style="38" bestFit="1" customWidth="1"/>
    <col min="7944" max="7944" width="12" style="38" customWidth="1"/>
    <col min="7945" max="7945" width="10" style="38" customWidth="1"/>
    <col min="7946" max="7946" width="14.7109375" style="38" customWidth="1"/>
    <col min="7947" max="7947" width="9.5703125" style="38" customWidth="1"/>
    <col min="7948" max="7949" width="12.28515625" style="38" customWidth="1"/>
    <col min="7950" max="7953" width="12.7109375" style="38" customWidth="1"/>
    <col min="7954" max="7954" width="12.28515625" style="38" bestFit="1" customWidth="1"/>
    <col min="7955" max="7955" width="13.28515625" style="38" customWidth="1"/>
    <col min="7956" max="8196" width="9.28515625" style="38"/>
    <col min="8197" max="8197" width="2.7109375" style="38" customWidth="1"/>
    <col min="8198" max="8198" width="9.28515625" style="38"/>
    <col min="8199" max="8199" width="40.28515625" style="38" bestFit="1" customWidth="1"/>
    <col min="8200" max="8200" width="12" style="38" customWidth="1"/>
    <col min="8201" max="8201" width="10" style="38" customWidth="1"/>
    <col min="8202" max="8202" width="14.7109375" style="38" customWidth="1"/>
    <col min="8203" max="8203" width="9.5703125" style="38" customWidth="1"/>
    <col min="8204" max="8205" width="12.28515625" style="38" customWidth="1"/>
    <col min="8206" max="8209" width="12.7109375" style="38" customWidth="1"/>
    <col min="8210" max="8210" width="12.28515625" style="38" bestFit="1" customWidth="1"/>
    <col min="8211" max="8211" width="13.28515625" style="38" customWidth="1"/>
    <col min="8212" max="8452" width="9.28515625" style="38"/>
    <col min="8453" max="8453" width="2.7109375" style="38" customWidth="1"/>
    <col min="8454" max="8454" width="9.28515625" style="38"/>
    <col min="8455" max="8455" width="40.28515625" style="38" bestFit="1" customWidth="1"/>
    <col min="8456" max="8456" width="12" style="38" customWidth="1"/>
    <col min="8457" max="8457" width="10" style="38" customWidth="1"/>
    <col min="8458" max="8458" width="14.7109375" style="38" customWidth="1"/>
    <col min="8459" max="8459" width="9.5703125" style="38" customWidth="1"/>
    <col min="8460" max="8461" width="12.28515625" style="38" customWidth="1"/>
    <col min="8462" max="8465" width="12.7109375" style="38" customWidth="1"/>
    <col min="8466" max="8466" width="12.28515625" style="38" bestFit="1" customWidth="1"/>
    <col min="8467" max="8467" width="13.28515625" style="38" customWidth="1"/>
    <col min="8468" max="8708" width="9.28515625" style="38"/>
    <col min="8709" max="8709" width="2.7109375" style="38" customWidth="1"/>
    <col min="8710" max="8710" width="9.28515625" style="38"/>
    <col min="8711" max="8711" width="40.28515625" style="38" bestFit="1" customWidth="1"/>
    <col min="8712" max="8712" width="12" style="38" customWidth="1"/>
    <col min="8713" max="8713" width="10" style="38" customWidth="1"/>
    <col min="8714" max="8714" width="14.7109375" style="38" customWidth="1"/>
    <col min="8715" max="8715" width="9.5703125" style="38" customWidth="1"/>
    <col min="8716" max="8717" width="12.28515625" style="38" customWidth="1"/>
    <col min="8718" max="8721" width="12.7109375" style="38" customWidth="1"/>
    <col min="8722" max="8722" width="12.28515625" style="38" bestFit="1" customWidth="1"/>
    <col min="8723" max="8723" width="13.28515625" style="38" customWidth="1"/>
    <col min="8724" max="8964" width="9.28515625" style="38"/>
    <col min="8965" max="8965" width="2.7109375" style="38" customWidth="1"/>
    <col min="8966" max="8966" width="9.28515625" style="38"/>
    <col min="8967" max="8967" width="40.28515625" style="38" bestFit="1" customWidth="1"/>
    <col min="8968" max="8968" width="12" style="38" customWidth="1"/>
    <col min="8969" max="8969" width="10" style="38" customWidth="1"/>
    <col min="8970" max="8970" width="14.7109375" style="38" customWidth="1"/>
    <col min="8971" max="8971" width="9.5703125" style="38" customWidth="1"/>
    <col min="8972" max="8973" width="12.28515625" style="38" customWidth="1"/>
    <col min="8974" max="8977" width="12.7109375" style="38" customWidth="1"/>
    <col min="8978" max="8978" width="12.28515625" style="38" bestFit="1" customWidth="1"/>
    <col min="8979" max="8979" width="13.28515625" style="38" customWidth="1"/>
    <col min="8980" max="9220" width="9.28515625" style="38"/>
    <col min="9221" max="9221" width="2.7109375" style="38" customWidth="1"/>
    <col min="9222" max="9222" width="9.28515625" style="38"/>
    <col min="9223" max="9223" width="40.28515625" style="38" bestFit="1" customWidth="1"/>
    <col min="9224" max="9224" width="12" style="38" customWidth="1"/>
    <col min="9225" max="9225" width="10" style="38" customWidth="1"/>
    <col min="9226" max="9226" width="14.7109375" style="38" customWidth="1"/>
    <col min="9227" max="9227" width="9.5703125" style="38" customWidth="1"/>
    <col min="9228" max="9229" width="12.28515625" style="38" customWidth="1"/>
    <col min="9230" max="9233" width="12.7109375" style="38" customWidth="1"/>
    <col min="9234" max="9234" width="12.28515625" style="38" bestFit="1" customWidth="1"/>
    <col min="9235" max="9235" width="13.28515625" style="38" customWidth="1"/>
    <col min="9236" max="9476" width="9.28515625" style="38"/>
    <col min="9477" max="9477" width="2.7109375" style="38" customWidth="1"/>
    <col min="9478" max="9478" width="9.28515625" style="38"/>
    <col min="9479" max="9479" width="40.28515625" style="38" bestFit="1" customWidth="1"/>
    <col min="9480" max="9480" width="12" style="38" customWidth="1"/>
    <col min="9481" max="9481" width="10" style="38" customWidth="1"/>
    <col min="9482" max="9482" width="14.7109375" style="38" customWidth="1"/>
    <col min="9483" max="9483" width="9.5703125" style="38" customWidth="1"/>
    <col min="9484" max="9485" width="12.28515625" style="38" customWidth="1"/>
    <col min="9486" max="9489" width="12.7109375" style="38" customWidth="1"/>
    <col min="9490" max="9490" width="12.28515625" style="38" bestFit="1" customWidth="1"/>
    <col min="9491" max="9491" width="13.28515625" style="38" customWidth="1"/>
    <col min="9492" max="9732" width="9.28515625" style="38"/>
    <col min="9733" max="9733" width="2.7109375" style="38" customWidth="1"/>
    <col min="9734" max="9734" width="9.28515625" style="38"/>
    <col min="9735" max="9735" width="40.28515625" style="38" bestFit="1" customWidth="1"/>
    <col min="9736" max="9736" width="12" style="38" customWidth="1"/>
    <col min="9737" max="9737" width="10" style="38" customWidth="1"/>
    <col min="9738" max="9738" width="14.7109375" style="38" customWidth="1"/>
    <col min="9739" max="9739" width="9.5703125" style="38" customWidth="1"/>
    <col min="9740" max="9741" width="12.28515625" style="38" customWidth="1"/>
    <col min="9742" max="9745" width="12.7109375" style="38" customWidth="1"/>
    <col min="9746" max="9746" width="12.28515625" style="38" bestFit="1" customWidth="1"/>
    <col min="9747" max="9747" width="13.28515625" style="38" customWidth="1"/>
    <col min="9748" max="9988" width="9.28515625" style="38"/>
    <col min="9989" max="9989" width="2.7109375" style="38" customWidth="1"/>
    <col min="9990" max="9990" width="9.28515625" style="38"/>
    <col min="9991" max="9991" width="40.28515625" style="38" bestFit="1" customWidth="1"/>
    <col min="9992" max="9992" width="12" style="38" customWidth="1"/>
    <col min="9993" max="9993" width="10" style="38" customWidth="1"/>
    <col min="9994" max="9994" width="14.7109375" style="38" customWidth="1"/>
    <col min="9995" max="9995" width="9.5703125" style="38" customWidth="1"/>
    <col min="9996" max="9997" width="12.28515625" style="38" customWidth="1"/>
    <col min="9998" max="10001" width="12.7109375" style="38" customWidth="1"/>
    <col min="10002" max="10002" width="12.28515625" style="38" bestFit="1" customWidth="1"/>
    <col min="10003" max="10003" width="13.28515625" style="38" customWidth="1"/>
    <col min="10004" max="10244" width="9.28515625" style="38"/>
    <col min="10245" max="10245" width="2.7109375" style="38" customWidth="1"/>
    <col min="10246" max="10246" width="9.28515625" style="38"/>
    <col min="10247" max="10247" width="40.28515625" style="38" bestFit="1" customWidth="1"/>
    <col min="10248" max="10248" width="12" style="38" customWidth="1"/>
    <col min="10249" max="10249" width="10" style="38" customWidth="1"/>
    <col min="10250" max="10250" width="14.7109375" style="38" customWidth="1"/>
    <col min="10251" max="10251" width="9.5703125" style="38" customWidth="1"/>
    <col min="10252" max="10253" width="12.28515625" style="38" customWidth="1"/>
    <col min="10254" max="10257" width="12.7109375" style="38" customWidth="1"/>
    <col min="10258" max="10258" width="12.28515625" style="38" bestFit="1" customWidth="1"/>
    <col min="10259" max="10259" width="13.28515625" style="38" customWidth="1"/>
    <col min="10260" max="10500" width="9.28515625" style="38"/>
    <col min="10501" max="10501" width="2.7109375" style="38" customWidth="1"/>
    <col min="10502" max="10502" width="9.28515625" style="38"/>
    <col min="10503" max="10503" width="40.28515625" style="38" bestFit="1" customWidth="1"/>
    <col min="10504" max="10504" width="12" style="38" customWidth="1"/>
    <col min="10505" max="10505" width="10" style="38" customWidth="1"/>
    <col min="10506" max="10506" width="14.7109375" style="38" customWidth="1"/>
    <col min="10507" max="10507" width="9.5703125" style="38" customWidth="1"/>
    <col min="10508" max="10509" width="12.28515625" style="38" customWidth="1"/>
    <col min="10510" max="10513" width="12.7109375" style="38" customWidth="1"/>
    <col min="10514" max="10514" width="12.28515625" style="38" bestFit="1" customWidth="1"/>
    <col min="10515" max="10515" width="13.28515625" style="38" customWidth="1"/>
    <col min="10516" max="10756" width="9.28515625" style="38"/>
    <col min="10757" max="10757" width="2.7109375" style="38" customWidth="1"/>
    <col min="10758" max="10758" width="9.28515625" style="38"/>
    <col min="10759" max="10759" width="40.28515625" style="38" bestFit="1" customWidth="1"/>
    <col min="10760" max="10760" width="12" style="38" customWidth="1"/>
    <col min="10761" max="10761" width="10" style="38" customWidth="1"/>
    <col min="10762" max="10762" width="14.7109375" style="38" customWidth="1"/>
    <col min="10763" max="10763" width="9.5703125" style="38" customWidth="1"/>
    <col min="10764" max="10765" width="12.28515625" style="38" customWidth="1"/>
    <col min="10766" max="10769" width="12.7109375" style="38" customWidth="1"/>
    <col min="10770" max="10770" width="12.28515625" style="38" bestFit="1" customWidth="1"/>
    <col min="10771" max="10771" width="13.28515625" style="38" customWidth="1"/>
    <col min="10772" max="11012" width="9.28515625" style="38"/>
    <col min="11013" max="11013" width="2.7109375" style="38" customWidth="1"/>
    <col min="11014" max="11014" width="9.28515625" style="38"/>
    <col min="11015" max="11015" width="40.28515625" style="38" bestFit="1" customWidth="1"/>
    <col min="11016" max="11016" width="12" style="38" customWidth="1"/>
    <col min="11017" max="11017" width="10" style="38" customWidth="1"/>
    <col min="11018" max="11018" width="14.7109375" style="38" customWidth="1"/>
    <col min="11019" max="11019" width="9.5703125" style="38" customWidth="1"/>
    <col min="11020" max="11021" width="12.28515625" style="38" customWidth="1"/>
    <col min="11022" max="11025" width="12.7109375" style="38" customWidth="1"/>
    <col min="11026" max="11026" width="12.28515625" style="38" bestFit="1" customWidth="1"/>
    <col min="11027" max="11027" width="13.28515625" style="38" customWidth="1"/>
    <col min="11028" max="11268" width="9.28515625" style="38"/>
    <col min="11269" max="11269" width="2.7109375" style="38" customWidth="1"/>
    <col min="11270" max="11270" width="9.28515625" style="38"/>
    <col min="11271" max="11271" width="40.28515625" style="38" bestFit="1" customWidth="1"/>
    <col min="11272" max="11272" width="12" style="38" customWidth="1"/>
    <col min="11273" max="11273" width="10" style="38" customWidth="1"/>
    <col min="11274" max="11274" width="14.7109375" style="38" customWidth="1"/>
    <col min="11275" max="11275" width="9.5703125" style="38" customWidth="1"/>
    <col min="11276" max="11277" width="12.28515625" style="38" customWidth="1"/>
    <col min="11278" max="11281" width="12.7109375" style="38" customWidth="1"/>
    <col min="11282" max="11282" width="12.28515625" style="38" bestFit="1" customWidth="1"/>
    <col min="11283" max="11283" width="13.28515625" style="38" customWidth="1"/>
    <col min="11284" max="11524" width="9.28515625" style="38"/>
    <col min="11525" max="11525" width="2.7109375" style="38" customWidth="1"/>
    <col min="11526" max="11526" width="9.28515625" style="38"/>
    <col min="11527" max="11527" width="40.28515625" style="38" bestFit="1" customWidth="1"/>
    <col min="11528" max="11528" width="12" style="38" customWidth="1"/>
    <col min="11529" max="11529" width="10" style="38" customWidth="1"/>
    <col min="11530" max="11530" width="14.7109375" style="38" customWidth="1"/>
    <col min="11531" max="11531" width="9.5703125" style="38" customWidth="1"/>
    <col min="11532" max="11533" width="12.28515625" style="38" customWidth="1"/>
    <col min="11534" max="11537" width="12.7109375" style="38" customWidth="1"/>
    <col min="11538" max="11538" width="12.28515625" style="38" bestFit="1" customWidth="1"/>
    <col min="11539" max="11539" width="13.28515625" style="38" customWidth="1"/>
    <col min="11540" max="11780" width="9.28515625" style="38"/>
    <col min="11781" max="11781" width="2.7109375" style="38" customWidth="1"/>
    <col min="11782" max="11782" width="9.28515625" style="38"/>
    <col min="11783" max="11783" width="40.28515625" style="38" bestFit="1" customWidth="1"/>
    <col min="11784" max="11784" width="12" style="38" customWidth="1"/>
    <col min="11785" max="11785" width="10" style="38" customWidth="1"/>
    <col min="11786" max="11786" width="14.7109375" style="38" customWidth="1"/>
    <col min="11787" max="11787" width="9.5703125" style="38" customWidth="1"/>
    <col min="11788" max="11789" width="12.28515625" style="38" customWidth="1"/>
    <col min="11790" max="11793" width="12.7109375" style="38" customWidth="1"/>
    <col min="11794" max="11794" width="12.28515625" style="38" bestFit="1" customWidth="1"/>
    <col min="11795" max="11795" width="13.28515625" style="38" customWidth="1"/>
    <col min="11796" max="12036" width="9.28515625" style="38"/>
    <col min="12037" max="12037" width="2.7109375" style="38" customWidth="1"/>
    <col min="12038" max="12038" width="9.28515625" style="38"/>
    <col min="12039" max="12039" width="40.28515625" style="38" bestFit="1" customWidth="1"/>
    <col min="12040" max="12040" width="12" style="38" customWidth="1"/>
    <col min="12041" max="12041" width="10" style="38" customWidth="1"/>
    <col min="12042" max="12042" width="14.7109375" style="38" customWidth="1"/>
    <col min="12043" max="12043" width="9.5703125" style="38" customWidth="1"/>
    <col min="12044" max="12045" width="12.28515625" style="38" customWidth="1"/>
    <col min="12046" max="12049" width="12.7109375" style="38" customWidth="1"/>
    <col min="12050" max="12050" width="12.28515625" style="38" bestFit="1" customWidth="1"/>
    <col min="12051" max="12051" width="13.28515625" style="38" customWidth="1"/>
    <col min="12052" max="12292" width="9.28515625" style="38"/>
    <col min="12293" max="12293" width="2.7109375" style="38" customWidth="1"/>
    <col min="12294" max="12294" width="9.28515625" style="38"/>
    <col min="12295" max="12295" width="40.28515625" style="38" bestFit="1" customWidth="1"/>
    <col min="12296" max="12296" width="12" style="38" customWidth="1"/>
    <col min="12297" max="12297" width="10" style="38" customWidth="1"/>
    <col min="12298" max="12298" width="14.7109375" style="38" customWidth="1"/>
    <col min="12299" max="12299" width="9.5703125" style="38" customWidth="1"/>
    <col min="12300" max="12301" width="12.28515625" style="38" customWidth="1"/>
    <col min="12302" max="12305" width="12.7109375" style="38" customWidth="1"/>
    <col min="12306" max="12306" width="12.28515625" style="38" bestFit="1" customWidth="1"/>
    <col min="12307" max="12307" width="13.28515625" style="38" customWidth="1"/>
    <col min="12308" max="12548" width="9.28515625" style="38"/>
    <col min="12549" max="12549" width="2.7109375" style="38" customWidth="1"/>
    <col min="12550" max="12550" width="9.28515625" style="38"/>
    <col min="12551" max="12551" width="40.28515625" style="38" bestFit="1" customWidth="1"/>
    <col min="12552" max="12552" width="12" style="38" customWidth="1"/>
    <col min="12553" max="12553" width="10" style="38" customWidth="1"/>
    <col min="12554" max="12554" width="14.7109375" style="38" customWidth="1"/>
    <col min="12555" max="12555" width="9.5703125" style="38" customWidth="1"/>
    <col min="12556" max="12557" width="12.28515625" style="38" customWidth="1"/>
    <col min="12558" max="12561" width="12.7109375" style="38" customWidth="1"/>
    <col min="12562" max="12562" width="12.28515625" style="38" bestFit="1" customWidth="1"/>
    <col min="12563" max="12563" width="13.28515625" style="38" customWidth="1"/>
    <col min="12564" max="12804" width="9.28515625" style="38"/>
    <col min="12805" max="12805" width="2.7109375" style="38" customWidth="1"/>
    <col min="12806" max="12806" width="9.28515625" style="38"/>
    <col min="12807" max="12807" width="40.28515625" style="38" bestFit="1" customWidth="1"/>
    <col min="12808" max="12808" width="12" style="38" customWidth="1"/>
    <col min="12809" max="12809" width="10" style="38" customWidth="1"/>
    <col min="12810" max="12810" width="14.7109375" style="38" customWidth="1"/>
    <col min="12811" max="12811" width="9.5703125" style="38" customWidth="1"/>
    <col min="12812" max="12813" width="12.28515625" style="38" customWidth="1"/>
    <col min="12814" max="12817" width="12.7109375" style="38" customWidth="1"/>
    <col min="12818" max="12818" width="12.28515625" style="38" bestFit="1" customWidth="1"/>
    <col min="12819" max="12819" width="13.28515625" style="38" customWidth="1"/>
    <col min="12820" max="13060" width="9.28515625" style="38"/>
    <col min="13061" max="13061" width="2.7109375" style="38" customWidth="1"/>
    <col min="13062" max="13062" width="9.28515625" style="38"/>
    <col min="13063" max="13063" width="40.28515625" style="38" bestFit="1" customWidth="1"/>
    <col min="13064" max="13064" width="12" style="38" customWidth="1"/>
    <col min="13065" max="13065" width="10" style="38" customWidth="1"/>
    <col min="13066" max="13066" width="14.7109375" style="38" customWidth="1"/>
    <col min="13067" max="13067" width="9.5703125" style="38" customWidth="1"/>
    <col min="13068" max="13069" width="12.28515625" style="38" customWidth="1"/>
    <col min="13070" max="13073" width="12.7109375" style="38" customWidth="1"/>
    <col min="13074" max="13074" width="12.28515625" style="38" bestFit="1" customWidth="1"/>
    <col min="13075" max="13075" width="13.28515625" style="38" customWidth="1"/>
    <col min="13076" max="13316" width="9.28515625" style="38"/>
    <col min="13317" max="13317" width="2.7109375" style="38" customWidth="1"/>
    <col min="13318" max="13318" width="9.28515625" style="38"/>
    <col min="13319" max="13319" width="40.28515625" style="38" bestFit="1" customWidth="1"/>
    <col min="13320" max="13320" width="12" style="38" customWidth="1"/>
    <col min="13321" max="13321" width="10" style="38" customWidth="1"/>
    <col min="13322" max="13322" width="14.7109375" style="38" customWidth="1"/>
    <col min="13323" max="13323" width="9.5703125" style="38" customWidth="1"/>
    <col min="13324" max="13325" width="12.28515625" style="38" customWidth="1"/>
    <col min="13326" max="13329" width="12.7109375" style="38" customWidth="1"/>
    <col min="13330" max="13330" width="12.28515625" style="38" bestFit="1" customWidth="1"/>
    <col min="13331" max="13331" width="13.28515625" style="38" customWidth="1"/>
    <col min="13332" max="13572" width="9.28515625" style="38"/>
    <col min="13573" max="13573" width="2.7109375" style="38" customWidth="1"/>
    <col min="13574" max="13574" width="9.28515625" style="38"/>
    <col min="13575" max="13575" width="40.28515625" style="38" bestFit="1" customWidth="1"/>
    <col min="13576" max="13576" width="12" style="38" customWidth="1"/>
    <col min="13577" max="13577" width="10" style="38" customWidth="1"/>
    <col min="13578" max="13578" width="14.7109375" style="38" customWidth="1"/>
    <col min="13579" max="13579" width="9.5703125" style="38" customWidth="1"/>
    <col min="13580" max="13581" width="12.28515625" style="38" customWidth="1"/>
    <col min="13582" max="13585" width="12.7109375" style="38" customWidth="1"/>
    <col min="13586" max="13586" width="12.28515625" style="38" bestFit="1" customWidth="1"/>
    <col min="13587" max="13587" width="13.28515625" style="38" customWidth="1"/>
    <col min="13588" max="13828" width="9.28515625" style="38"/>
    <col min="13829" max="13829" width="2.7109375" style="38" customWidth="1"/>
    <col min="13830" max="13830" width="9.28515625" style="38"/>
    <col min="13831" max="13831" width="40.28515625" style="38" bestFit="1" customWidth="1"/>
    <col min="13832" max="13832" width="12" style="38" customWidth="1"/>
    <col min="13833" max="13833" width="10" style="38" customWidth="1"/>
    <col min="13834" max="13834" width="14.7109375" style="38" customWidth="1"/>
    <col min="13835" max="13835" width="9.5703125" style="38" customWidth="1"/>
    <col min="13836" max="13837" width="12.28515625" style="38" customWidth="1"/>
    <col min="13838" max="13841" width="12.7109375" style="38" customWidth="1"/>
    <col min="13842" max="13842" width="12.28515625" style="38" bestFit="1" customWidth="1"/>
    <col min="13843" max="13843" width="13.28515625" style="38" customWidth="1"/>
    <col min="13844" max="14084" width="9.28515625" style="38"/>
    <col min="14085" max="14085" width="2.7109375" style="38" customWidth="1"/>
    <col min="14086" max="14086" width="9.28515625" style="38"/>
    <col min="14087" max="14087" width="40.28515625" style="38" bestFit="1" customWidth="1"/>
    <col min="14088" max="14088" width="12" style="38" customWidth="1"/>
    <col min="14089" max="14089" width="10" style="38" customWidth="1"/>
    <col min="14090" max="14090" width="14.7109375" style="38" customWidth="1"/>
    <col min="14091" max="14091" width="9.5703125" style="38" customWidth="1"/>
    <col min="14092" max="14093" width="12.28515625" style="38" customWidth="1"/>
    <col min="14094" max="14097" width="12.7109375" style="38" customWidth="1"/>
    <col min="14098" max="14098" width="12.28515625" style="38" bestFit="1" customWidth="1"/>
    <col min="14099" max="14099" width="13.28515625" style="38" customWidth="1"/>
    <col min="14100" max="14340" width="9.28515625" style="38"/>
    <col min="14341" max="14341" width="2.7109375" style="38" customWidth="1"/>
    <col min="14342" max="14342" width="9.28515625" style="38"/>
    <col min="14343" max="14343" width="40.28515625" style="38" bestFit="1" customWidth="1"/>
    <col min="14344" max="14344" width="12" style="38" customWidth="1"/>
    <col min="14345" max="14345" width="10" style="38" customWidth="1"/>
    <col min="14346" max="14346" width="14.7109375" style="38" customWidth="1"/>
    <col min="14347" max="14347" width="9.5703125" style="38" customWidth="1"/>
    <col min="14348" max="14349" width="12.28515625" style="38" customWidth="1"/>
    <col min="14350" max="14353" width="12.7109375" style="38" customWidth="1"/>
    <col min="14354" max="14354" width="12.28515625" style="38" bestFit="1" customWidth="1"/>
    <col min="14355" max="14355" width="13.28515625" style="38" customWidth="1"/>
    <col min="14356" max="14596" width="9.28515625" style="38"/>
    <col min="14597" max="14597" width="2.7109375" style="38" customWidth="1"/>
    <col min="14598" max="14598" width="9.28515625" style="38"/>
    <col min="14599" max="14599" width="40.28515625" style="38" bestFit="1" customWidth="1"/>
    <col min="14600" max="14600" width="12" style="38" customWidth="1"/>
    <col min="14601" max="14601" width="10" style="38" customWidth="1"/>
    <col min="14602" max="14602" width="14.7109375" style="38" customWidth="1"/>
    <col min="14603" max="14603" width="9.5703125" style="38" customWidth="1"/>
    <col min="14604" max="14605" width="12.28515625" style="38" customWidth="1"/>
    <col min="14606" max="14609" width="12.7109375" style="38" customWidth="1"/>
    <col min="14610" max="14610" width="12.28515625" style="38" bestFit="1" customWidth="1"/>
    <col min="14611" max="14611" width="13.28515625" style="38" customWidth="1"/>
    <col min="14612" max="14852" width="9.28515625" style="38"/>
    <col min="14853" max="14853" width="2.7109375" style="38" customWidth="1"/>
    <col min="14854" max="14854" width="9.28515625" style="38"/>
    <col min="14855" max="14855" width="40.28515625" style="38" bestFit="1" customWidth="1"/>
    <col min="14856" max="14856" width="12" style="38" customWidth="1"/>
    <col min="14857" max="14857" width="10" style="38" customWidth="1"/>
    <col min="14858" max="14858" width="14.7109375" style="38" customWidth="1"/>
    <col min="14859" max="14859" width="9.5703125" style="38" customWidth="1"/>
    <col min="14860" max="14861" width="12.28515625" style="38" customWidth="1"/>
    <col min="14862" max="14865" width="12.7109375" style="38" customWidth="1"/>
    <col min="14866" max="14866" width="12.28515625" style="38" bestFit="1" customWidth="1"/>
    <col min="14867" max="14867" width="13.28515625" style="38" customWidth="1"/>
    <col min="14868" max="15108" width="9.28515625" style="38"/>
    <col min="15109" max="15109" width="2.7109375" style="38" customWidth="1"/>
    <col min="15110" max="15110" width="9.28515625" style="38"/>
    <col min="15111" max="15111" width="40.28515625" style="38" bestFit="1" customWidth="1"/>
    <col min="15112" max="15112" width="12" style="38" customWidth="1"/>
    <col min="15113" max="15113" width="10" style="38" customWidth="1"/>
    <col min="15114" max="15114" width="14.7109375" style="38" customWidth="1"/>
    <col min="15115" max="15115" width="9.5703125" style="38" customWidth="1"/>
    <col min="15116" max="15117" width="12.28515625" style="38" customWidth="1"/>
    <col min="15118" max="15121" width="12.7109375" style="38" customWidth="1"/>
    <col min="15122" max="15122" width="12.28515625" style="38" bestFit="1" customWidth="1"/>
    <col min="15123" max="15123" width="13.28515625" style="38" customWidth="1"/>
    <col min="15124" max="15364" width="9.28515625" style="38"/>
    <col min="15365" max="15365" width="2.7109375" style="38" customWidth="1"/>
    <col min="15366" max="15366" width="9.28515625" style="38"/>
    <col min="15367" max="15367" width="40.28515625" style="38" bestFit="1" customWidth="1"/>
    <col min="15368" max="15368" width="12" style="38" customWidth="1"/>
    <col min="15369" max="15369" width="10" style="38" customWidth="1"/>
    <col min="15370" max="15370" width="14.7109375" style="38" customWidth="1"/>
    <col min="15371" max="15371" width="9.5703125" style="38" customWidth="1"/>
    <col min="15372" max="15373" width="12.28515625" style="38" customWidth="1"/>
    <col min="15374" max="15377" width="12.7109375" style="38" customWidth="1"/>
    <col min="15378" max="15378" width="12.28515625" style="38" bestFit="1" customWidth="1"/>
    <col min="15379" max="15379" width="13.28515625" style="38" customWidth="1"/>
    <col min="15380" max="15620" width="9.28515625" style="38"/>
    <col min="15621" max="15621" width="2.7109375" style="38" customWidth="1"/>
    <col min="15622" max="15622" width="9.28515625" style="38"/>
    <col min="15623" max="15623" width="40.28515625" style="38" bestFit="1" customWidth="1"/>
    <col min="15624" max="15624" width="12" style="38" customWidth="1"/>
    <col min="15625" max="15625" width="10" style="38" customWidth="1"/>
    <col min="15626" max="15626" width="14.7109375" style="38" customWidth="1"/>
    <col min="15627" max="15627" width="9.5703125" style="38" customWidth="1"/>
    <col min="15628" max="15629" width="12.28515625" style="38" customWidth="1"/>
    <col min="15630" max="15633" width="12.7109375" style="38" customWidth="1"/>
    <col min="15634" max="15634" width="12.28515625" style="38" bestFit="1" customWidth="1"/>
    <col min="15635" max="15635" width="13.28515625" style="38" customWidth="1"/>
    <col min="15636" max="15876" width="9.28515625" style="38"/>
    <col min="15877" max="15877" width="2.7109375" style="38" customWidth="1"/>
    <col min="15878" max="15878" width="9.28515625" style="38"/>
    <col min="15879" max="15879" width="40.28515625" style="38" bestFit="1" customWidth="1"/>
    <col min="15880" max="15880" width="12" style="38" customWidth="1"/>
    <col min="15881" max="15881" width="10" style="38" customWidth="1"/>
    <col min="15882" max="15882" width="14.7109375" style="38" customWidth="1"/>
    <col min="15883" max="15883" width="9.5703125" style="38" customWidth="1"/>
    <col min="15884" max="15885" width="12.28515625" style="38" customWidth="1"/>
    <col min="15886" max="15889" width="12.7109375" style="38" customWidth="1"/>
    <col min="15890" max="15890" width="12.28515625" style="38" bestFit="1" customWidth="1"/>
    <col min="15891" max="15891" width="13.28515625" style="38" customWidth="1"/>
    <col min="15892" max="16132" width="9.28515625" style="38"/>
    <col min="16133" max="16133" width="2.7109375" style="38" customWidth="1"/>
    <col min="16134" max="16134" width="9.28515625" style="38"/>
    <col min="16135" max="16135" width="40.28515625" style="38" bestFit="1" customWidth="1"/>
    <col min="16136" max="16136" width="12" style="38" customWidth="1"/>
    <col min="16137" max="16137" width="10" style="38" customWidth="1"/>
    <col min="16138" max="16138" width="14.7109375" style="38" customWidth="1"/>
    <col min="16139" max="16139" width="9.5703125" style="38" customWidth="1"/>
    <col min="16140" max="16141" width="12.28515625" style="38" customWidth="1"/>
    <col min="16142" max="16145" width="12.7109375" style="38" customWidth="1"/>
    <col min="16146" max="16146" width="12.28515625" style="38" bestFit="1" customWidth="1"/>
    <col min="16147" max="16147" width="13.28515625" style="38" customWidth="1"/>
    <col min="16148" max="16384" width="9.28515625" style="38"/>
  </cols>
  <sheetData>
    <row r="1" spans="1:25" x14ac:dyDescent="0.2">
      <c r="L1" s="80"/>
      <c r="M1" s="82"/>
      <c r="N1" s="82"/>
      <c r="O1" s="82"/>
      <c r="P1" s="82"/>
      <c r="Q1" s="82"/>
      <c r="R1" s="82"/>
      <c r="S1" s="82"/>
      <c r="T1" s="82"/>
    </row>
    <row r="2" spans="1:25" x14ac:dyDescent="0.2">
      <c r="L2" s="80"/>
      <c r="M2" s="82"/>
      <c r="P2" s="82"/>
      <c r="Q2" s="82"/>
      <c r="R2" s="79" t="s">
        <v>264</v>
      </c>
      <c r="S2" s="875" t="s">
        <v>1387</v>
      </c>
      <c r="T2" s="82"/>
    </row>
    <row r="3" spans="1:25" x14ac:dyDescent="0.2">
      <c r="L3" s="80"/>
      <c r="M3" s="82"/>
      <c r="P3" s="82"/>
      <c r="Q3" s="82"/>
      <c r="R3" s="79" t="s">
        <v>265</v>
      </c>
      <c r="S3" s="33"/>
      <c r="T3" s="82"/>
    </row>
    <row r="4" spans="1:25" x14ac:dyDescent="0.2">
      <c r="L4" s="80"/>
      <c r="M4" s="82"/>
      <c r="P4" s="82"/>
      <c r="Q4" s="82"/>
      <c r="R4" s="79" t="s">
        <v>266</v>
      </c>
      <c r="S4" s="33"/>
      <c r="T4" s="82"/>
    </row>
    <row r="5" spans="1:25" x14ac:dyDescent="0.2">
      <c r="L5" s="80"/>
      <c r="M5" s="82"/>
      <c r="P5" s="82"/>
      <c r="Q5" s="82"/>
      <c r="R5" s="79" t="s">
        <v>267</v>
      </c>
      <c r="S5" s="33"/>
      <c r="T5" s="82"/>
    </row>
    <row r="6" spans="1:25" x14ac:dyDescent="0.2">
      <c r="L6" s="80"/>
      <c r="M6" s="82"/>
      <c r="P6" s="82"/>
      <c r="Q6" s="82"/>
      <c r="R6" s="79" t="s">
        <v>268</v>
      </c>
      <c r="S6" s="448"/>
      <c r="T6" s="82"/>
    </row>
    <row r="7" spans="1:25" x14ac:dyDescent="0.2">
      <c r="L7" s="80"/>
      <c r="M7" s="82"/>
      <c r="P7" s="82"/>
      <c r="Q7" s="82"/>
      <c r="R7" s="79"/>
      <c r="S7" s="590"/>
      <c r="T7" s="727"/>
    </row>
    <row r="8" spans="1:25" x14ac:dyDescent="0.2">
      <c r="R8" s="79" t="s">
        <v>269</v>
      </c>
      <c r="S8" s="1697"/>
    </row>
    <row r="9" spans="1:25" ht="18" x14ac:dyDescent="0.25">
      <c r="A9" s="2015" t="s">
        <v>1020</v>
      </c>
      <c r="B9" s="2015"/>
      <c r="C9" s="2015"/>
      <c r="D9" s="2015"/>
      <c r="E9" s="2015"/>
      <c r="F9" s="2015"/>
      <c r="G9" s="2015"/>
      <c r="H9" s="2015"/>
      <c r="I9" s="2015"/>
      <c r="J9" s="2015"/>
      <c r="K9" s="2015"/>
      <c r="L9" s="2015"/>
      <c r="M9" s="2015"/>
      <c r="N9" s="2015"/>
      <c r="O9" s="2015"/>
      <c r="P9" s="2015"/>
      <c r="Q9" s="2015"/>
      <c r="R9" s="2015"/>
      <c r="S9" s="2015"/>
      <c r="Y9" s="38" t="s">
        <v>91</v>
      </c>
    </row>
    <row r="10" spans="1:25" ht="18" x14ac:dyDescent="0.25">
      <c r="A10" s="2015" t="s">
        <v>2</v>
      </c>
      <c r="B10" s="2015"/>
      <c r="C10" s="2015"/>
      <c r="D10" s="2015"/>
      <c r="E10" s="2015"/>
      <c r="F10" s="2015"/>
      <c r="G10" s="2015"/>
      <c r="H10" s="2015"/>
      <c r="I10" s="2015"/>
      <c r="J10" s="2015"/>
      <c r="K10" s="2015"/>
      <c r="L10" s="2015"/>
      <c r="M10" s="2015"/>
      <c r="N10" s="2015"/>
      <c r="O10" s="2015"/>
      <c r="P10" s="2015"/>
      <c r="Q10" s="2015"/>
      <c r="R10" s="2015"/>
      <c r="S10" s="2015"/>
      <c r="Y10" s="38" t="s">
        <v>787</v>
      </c>
    </row>
    <row r="11" spans="1:25" ht="18" x14ac:dyDescent="0.25">
      <c r="A11" s="2015"/>
      <c r="B11" s="2015"/>
      <c r="C11" s="2015"/>
      <c r="D11" s="2015"/>
      <c r="E11" s="2015"/>
      <c r="F11" s="2015"/>
      <c r="G11" s="2015"/>
      <c r="H11" s="2015"/>
      <c r="I11" s="2015"/>
      <c r="J11" s="2015"/>
      <c r="K11" s="2015"/>
      <c r="L11" s="2015"/>
      <c r="M11" s="2015"/>
      <c r="N11" s="2015"/>
      <c r="O11" s="2015"/>
      <c r="P11" s="2015"/>
      <c r="Q11" s="2015"/>
      <c r="R11" s="2015"/>
      <c r="S11" s="2015"/>
      <c r="Y11" s="38" t="s">
        <v>92</v>
      </c>
    </row>
    <row r="12" spans="1:25" ht="18" x14ac:dyDescent="0.25">
      <c r="A12" s="728" t="s">
        <v>1021</v>
      </c>
      <c r="B12" s="715"/>
      <c r="C12" s="715"/>
      <c r="D12" s="715"/>
      <c r="E12" s="715"/>
      <c r="F12" s="715"/>
      <c r="G12" s="715"/>
      <c r="H12" s="715"/>
      <c r="I12" s="715"/>
      <c r="J12" s="715"/>
      <c r="K12" s="715"/>
      <c r="L12" s="715"/>
      <c r="M12" s="715"/>
      <c r="N12" s="715"/>
      <c r="O12" s="715"/>
      <c r="P12" s="715"/>
      <c r="Q12" s="715"/>
      <c r="R12" s="715"/>
      <c r="S12" s="715"/>
    </row>
    <row r="13" spans="1:25" ht="18" x14ac:dyDescent="0.25">
      <c r="A13" s="715"/>
      <c r="B13" s="715"/>
      <c r="C13" s="715"/>
      <c r="D13" s="715"/>
      <c r="E13" s="715"/>
      <c r="F13" s="715"/>
      <c r="G13" s="715"/>
      <c r="H13" s="715"/>
      <c r="I13" s="715"/>
      <c r="J13" s="715"/>
      <c r="K13" s="715"/>
      <c r="L13" s="715"/>
      <c r="M13" s="715"/>
      <c r="N13" s="715"/>
      <c r="O13" s="715"/>
      <c r="P13" s="715"/>
      <c r="Q13" s="715"/>
      <c r="R13" s="715"/>
      <c r="S13" s="715"/>
    </row>
    <row r="14" spans="1:25" ht="51" customHeight="1" x14ac:dyDescent="0.2">
      <c r="A14" s="2016" t="s">
        <v>1022</v>
      </c>
      <c r="B14" s="2017"/>
      <c r="C14" s="2018" t="s">
        <v>1023</v>
      </c>
      <c r="D14" s="2018"/>
      <c r="E14" s="2018"/>
      <c r="F14" s="2018"/>
      <c r="G14" s="2018"/>
      <c r="H14" s="2018"/>
      <c r="I14" s="2018"/>
      <c r="J14" s="2018"/>
      <c r="K14" s="2018"/>
      <c r="L14" s="2018"/>
      <c r="M14" s="2018"/>
      <c r="N14" s="2018"/>
      <c r="O14" s="2018"/>
      <c r="P14" s="2018"/>
      <c r="Q14" s="2018"/>
      <c r="R14" s="720" t="s">
        <v>894</v>
      </c>
      <c r="S14" s="446" t="s">
        <v>1024</v>
      </c>
      <c r="Y14" s="38">
        <v>2012</v>
      </c>
    </row>
    <row r="15" spans="1:25" ht="35.25" customHeight="1" x14ac:dyDescent="0.2">
      <c r="A15" s="1971" t="s">
        <v>1025</v>
      </c>
      <c r="B15" s="2013"/>
      <c r="C15" s="2014" t="str">
        <f>"This appendix must be duplicated and completed for the years 2012 to " &amp; TestYear &amp; ". The appendix for 2012 is to be completed under CGAAP (prior to changes in depreciation policies)." &amp;" The appendix for 2012 to 2014 must be completed under Revised CGAAP (after changes in depreciation policies). The appendix for 2014 to " &amp; TestYear &amp; " is to be completed under MIFRS (2014 if changes to MIFRS are material)."</f>
        <v>This appendix must be duplicated and completed for the years 2012 to 2020. The appendix for 2012 is to be completed under CGAAP (prior to changes in depreciation policies). The appendix for 2012 to 2014 must be completed under Revised CGAAP (after changes in depreciation policies). The appendix for 2014 to 2020 is to be completed under MIFRS (2014 if changes to MIFRS are material).</v>
      </c>
      <c r="D15" s="2014"/>
      <c r="E15" s="2014"/>
      <c r="F15" s="2014"/>
      <c r="G15" s="2014"/>
      <c r="H15" s="2014"/>
      <c r="I15" s="2014"/>
      <c r="J15" s="2014"/>
      <c r="K15" s="2014"/>
      <c r="L15" s="2014"/>
      <c r="M15" s="2014"/>
      <c r="N15" s="2014"/>
      <c r="O15" s="2014"/>
      <c r="P15" s="2014"/>
      <c r="Q15" s="2014"/>
      <c r="R15" s="729"/>
      <c r="S15" s="730"/>
      <c r="Y15" s="38">
        <v>2013</v>
      </c>
    </row>
    <row r="16" spans="1:25" ht="30.75" customHeight="1" x14ac:dyDescent="0.2">
      <c r="A16" s="1971" t="s">
        <v>1026</v>
      </c>
      <c r="B16" s="2013"/>
      <c r="C16" s="2014" t="str">
        <f>"This appendix must be duplicated and completed for the years 2013 to " &amp; TestYear &amp; ". The appendix for 2013 is to be completed under CGAAP (prior to changes in depreciation policies)."&amp;" The appendix for 2013 to 2014 must be completed under Revised CGAAP (after changes in depreciation policies). The appendix for 2014 to " &amp; TestYear &amp; " is to be completed under MIFRS (2014 if changes to MIFRS are material)."</f>
        <v>This appendix must be duplicated and completed for the years 2013 to 2020. The appendix for 2013 is to be completed under CGAAP (prior to changes in depreciation policies). The appendix for 2013 to 2014 must be completed under Revised CGAAP (after changes in depreciation policies). The appendix for 2014 to 2020 is to be completed under MIFRS (2014 if changes to MIFRS are material).</v>
      </c>
      <c r="D16" s="2014"/>
      <c r="E16" s="2014"/>
      <c r="F16" s="2014"/>
      <c r="G16" s="2014"/>
      <c r="H16" s="2014"/>
      <c r="I16" s="2014"/>
      <c r="J16" s="2014"/>
      <c r="K16" s="2014"/>
      <c r="L16" s="2014"/>
      <c r="M16" s="2014"/>
      <c r="N16" s="2014"/>
      <c r="O16" s="2014"/>
      <c r="P16" s="2014"/>
      <c r="Q16" s="2014"/>
      <c r="R16" s="729"/>
      <c r="S16" s="729"/>
      <c r="Y16" s="38">
        <v>2014</v>
      </c>
    </row>
    <row r="17" spans="1:25" ht="36.75" customHeight="1" x14ac:dyDescent="0.2">
      <c r="A17" s="2014" t="s">
        <v>1235</v>
      </c>
      <c r="B17" s="2014"/>
      <c r="C17" s="2014" t="str">
        <f>"This appendix must be completed for 2014 to " &amp; TestYear &amp; ". The appendix for 2014 is to be completed under Revised CGAAP (after changes in depreciation policies)."&amp;" The appendix for 2014 to " &amp; TestYear &amp; " is to be completed under MIFRS (2014 if changes to MIFRS are material)."</f>
        <v>This appendix must be completed for 2014 to 2020. The appendix for 2014 is to be completed under Revised CGAAP (after changes in depreciation policies). The appendix for 2014 to 2020 is to be completed under MIFRS (2014 if changes to MIFRS are material).</v>
      </c>
      <c r="D17" s="2014"/>
      <c r="E17" s="2014"/>
      <c r="F17" s="2014"/>
      <c r="G17" s="2014"/>
      <c r="H17" s="2014"/>
      <c r="I17" s="2014"/>
      <c r="J17" s="2014"/>
      <c r="K17" s="2014"/>
      <c r="L17" s="2014"/>
      <c r="M17" s="2014"/>
      <c r="N17" s="2014"/>
      <c r="O17" s="2014"/>
      <c r="P17" s="2014"/>
      <c r="Q17" s="2014"/>
      <c r="R17" s="729"/>
      <c r="S17" s="729"/>
      <c r="Y17" s="38">
        <v>2015</v>
      </c>
    </row>
    <row r="18" spans="1:25" ht="36.75" customHeight="1" x14ac:dyDescent="0.2">
      <c r="A18" s="2014" t="s">
        <v>1236</v>
      </c>
      <c r="B18" s="2014"/>
      <c r="C18" s="2014" t="str">
        <f>"This appendix must be completed under MIFRS for each year for the earlier of: 1) all historical years back to its last rebasing; or 2) at least three years of historical actuals, in addition to Bridge Year and Test Year forecasts."</f>
        <v>This appendix must be completed under MIFRS for each year for the earlier of: 1) all historical years back to its last rebasing; or 2) at least three years of historical actuals, in addition to Bridge Year and Test Year forecasts.</v>
      </c>
      <c r="D18" s="2014"/>
      <c r="E18" s="2014"/>
      <c r="F18" s="2014"/>
      <c r="G18" s="2014"/>
      <c r="H18" s="2014"/>
      <c r="I18" s="2014"/>
      <c r="J18" s="2014"/>
      <c r="K18" s="2014"/>
      <c r="L18" s="2014"/>
      <c r="M18" s="2014"/>
      <c r="N18" s="2014"/>
      <c r="O18" s="2014"/>
      <c r="P18" s="2014"/>
      <c r="Q18" s="2014"/>
      <c r="R18" s="729">
        <v>2013</v>
      </c>
      <c r="S18" s="729" t="s">
        <v>92</v>
      </c>
      <c r="Y18" s="38">
        <v>2016</v>
      </c>
    </row>
    <row r="19" spans="1:25" ht="13.5" thickBot="1" x14ac:dyDescent="0.25">
      <c r="A19" s="445"/>
      <c r="B19" s="445"/>
      <c r="C19" s="445"/>
      <c r="D19" s="445"/>
      <c r="E19" s="445"/>
      <c r="F19" s="445"/>
      <c r="G19" s="445"/>
      <c r="H19" s="445"/>
      <c r="I19" s="445"/>
      <c r="J19" s="445"/>
      <c r="K19" s="445"/>
      <c r="L19" s="445"/>
      <c r="M19" s="445"/>
      <c r="N19" s="445"/>
      <c r="O19" s="445"/>
      <c r="P19" s="445"/>
      <c r="Q19" s="445"/>
      <c r="R19" s="445"/>
      <c r="S19" s="445"/>
      <c r="Y19" s="38">
        <v>2017</v>
      </c>
    </row>
    <row r="20" spans="1:25" ht="18.75" customHeight="1" thickBot="1" x14ac:dyDescent="0.3">
      <c r="A20" s="715">
        <v>2013</v>
      </c>
      <c r="B20" s="715"/>
      <c r="C20" s="2007" t="s">
        <v>1027</v>
      </c>
      <c r="D20" s="2008"/>
      <c r="E20" s="2008"/>
      <c r="F20" s="2008"/>
      <c r="G20" s="2008"/>
      <c r="H20" s="2008"/>
      <c r="I20" s="2009"/>
      <c r="J20" s="2010" t="s">
        <v>1028</v>
      </c>
      <c r="K20" s="2011"/>
      <c r="L20" s="2011"/>
      <c r="M20" s="2011"/>
      <c r="N20" s="2010" t="s">
        <v>1029</v>
      </c>
      <c r="O20" s="2011"/>
      <c r="P20" s="2011"/>
      <c r="Q20" s="2012"/>
      <c r="R20" s="715"/>
      <c r="S20" s="715"/>
      <c r="Y20" s="38">
        <v>2018</v>
      </c>
    </row>
    <row r="21" spans="1:25" ht="78" customHeight="1" x14ac:dyDescent="0.2">
      <c r="A21" s="2003" t="s">
        <v>3</v>
      </c>
      <c r="B21" s="2005" t="s">
        <v>205</v>
      </c>
      <c r="C21" s="731" t="s">
        <v>1030</v>
      </c>
      <c r="D21" s="732" t="s">
        <v>1031</v>
      </c>
      <c r="E21" s="733" t="s">
        <v>1032</v>
      </c>
      <c r="F21" s="731" t="s">
        <v>1033</v>
      </c>
      <c r="G21" s="732" t="s">
        <v>1034</v>
      </c>
      <c r="H21" s="733" t="s">
        <v>1035</v>
      </c>
      <c r="I21" s="734" t="s">
        <v>1036</v>
      </c>
      <c r="J21" s="731" t="s">
        <v>1037</v>
      </c>
      <c r="K21" s="735" t="s">
        <v>1038</v>
      </c>
      <c r="L21" s="735" t="s">
        <v>1039</v>
      </c>
      <c r="M21" s="736" t="s">
        <v>326</v>
      </c>
      <c r="N21" s="731" t="s">
        <v>1040</v>
      </c>
      <c r="O21" s="735" t="s">
        <v>1041</v>
      </c>
      <c r="P21" s="735" t="s">
        <v>1042</v>
      </c>
      <c r="Q21" s="733" t="s">
        <v>1043</v>
      </c>
      <c r="R21" s="737" t="s">
        <v>1044</v>
      </c>
      <c r="S21" s="738" t="s">
        <v>1045</v>
      </c>
    </row>
    <row r="22" spans="1:25" ht="13.5" thickBot="1" x14ac:dyDescent="0.25">
      <c r="A22" s="2004"/>
      <c r="B22" s="2006"/>
      <c r="C22" s="739" t="s">
        <v>1046</v>
      </c>
      <c r="D22" s="126" t="s">
        <v>1047</v>
      </c>
      <c r="E22" s="127" t="s">
        <v>1048</v>
      </c>
      <c r="F22" s="739" t="s">
        <v>1049</v>
      </c>
      <c r="G22" s="126" t="s">
        <v>662</v>
      </c>
      <c r="H22" s="127" t="s">
        <v>1050</v>
      </c>
      <c r="I22" s="740" t="s">
        <v>1051</v>
      </c>
      <c r="J22" s="741" t="s">
        <v>1052</v>
      </c>
      <c r="K22" s="742" t="s">
        <v>1053</v>
      </c>
      <c r="L22" s="126" t="s">
        <v>1054</v>
      </c>
      <c r="M22" s="742" t="s">
        <v>1055</v>
      </c>
      <c r="N22" s="743" t="s">
        <v>1056</v>
      </c>
      <c r="O22" s="744" t="s">
        <v>1057</v>
      </c>
      <c r="P22" s="744" t="s">
        <v>1058</v>
      </c>
      <c r="Q22" s="745" t="s">
        <v>1059</v>
      </c>
      <c r="R22" s="746" t="s">
        <v>1060</v>
      </c>
      <c r="S22" s="127" t="s">
        <v>1061</v>
      </c>
    </row>
    <row r="23" spans="1:25" ht="25.5" x14ac:dyDescent="0.2">
      <c r="A23" s="747">
        <v>1611</v>
      </c>
      <c r="B23" s="748" t="s">
        <v>325</v>
      </c>
      <c r="C23" s="749">
        <v>2651922.5900000003</v>
      </c>
      <c r="D23" s="749">
        <v>2124828.7959999996</v>
      </c>
      <c r="E23" s="1597">
        <f>C23-D23</f>
        <v>527093.79400000069</v>
      </c>
      <c r="F23" s="749"/>
      <c r="G23" s="750"/>
      <c r="H23" s="1597">
        <f>F23-G23</f>
        <v>0</v>
      </c>
      <c r="I23" s="751">
        <v>101413.56999999999</v>
      </c>
      <c r="J23" s="1598">
        <v>1.8700690459901648</v>
      </c>
      <c r="K23" s="1599">
        <f>IF(J23=0,0,1/J23)</f>
        <v>0.53473961410367055</v>
      </c>
      <c r="L23" s="752">
        <v>5</v>
      </c>
      <c r="M23" s="1600">
        <f>IF(L23=0,0,1/L23)</f>
        <v>0.2</v>
      </c>
      <c r="N23" s="1601">
        <f>IF(J23=0,0,+E23/J23)</f>
        <v>281857.93199999997</v>
      </c>
      <c r="O23" s="1601">
        <f>IF(L23=0,0,+H23/L23)</f>
        <v>0</v>
      </c>
      <c r="P23" s="1602">
        <f>IF(L23=0,0,+(I23*0.5)/L23)</f>
        <v>10141.357</v>
      </c>
      <c r="Q23" s="1603">
        <f>IF(ISERROR(+N23+O23+P23), 0, +N23+O23+P23)</f>
        <v>291999.28899999999</v>
      </c>
      <c r="R23" s="753">
        <v>291999.28899999999</v>
      </c>
      <c r="S23" s="110">
        <f>IF(ISERROR(+R23-122), 0, +R23-Q23)</f>
        <v>0</v>
      </c>
    </row>
    <row r="24" spans="1:25" ht="22.15" customHeight="1" x14ac:dyDescent="0.2">
      <c r="A24" s="105">
        <v>1612</v>
      </c>
      <c r="B24" s="754" t="s">
        <v>360</v>
      </c>
      <c r="C24" s="749"/>
      <c r="D24" s="750"/>
      <c r="E24" s="1597">
        <f t="shared" ref="E24:E62" si="0">C24-D24</f>
        <v>0</v>
      </c>
      <c r="F24" s="749"/>
      <c r="G24" s="750"/>
      <c r="H24" s="1597">
        <f t="shared" ref="H24:H63" si="1">F24-G24</f>
        <v>0</v>
      </c>
      <c r="I24" s="751">
        <v>9044.52</v>
      </c>
      <c r="J24" s="1598"/>
      <c r="K24" s="1599">
        <f t="shared" ref="K24:K63" si="2">IF(J24=0,0,1/J24)</f>
        <v>0</v>
      </c>
      <c r="L24" s="752"/>
      <c r="M24" s="1604">
        <f>IF(L24=0,0,1/L24)</f>
        <v>0</v>
      </c>
      <c r="N24" s="1601">
        <f t="shared" ref="N24:N62" si="3">IF(J24=0,0,+E24/J24)</f>
        <v>0</v>
      </c>
      <c r="O24" s="1601">
        <f>IF(L24=0,0,+H24/L24)</f>
        <v>0</v>
      </c>
      <c r="P24" s="1602">
        <f t="shared" ref="P24:P63" si="4">IF(L24=0,0,+(I24*0.5)/L24)</f>
        <v>0</v>
      </c>
      <c r="Q24" s="1603">
        <f t="shared" ref="Q24:Q63" si="5">IF(ISERROR(+N24+O24+P24), 0, +N24+O24+P24)</f>
        <v>0</v>
      </c>
      <c r="R24" s="753">
        <v>0</v>
      </c>
      <c r="S24" s="110">
        <f t="shared" ref="S24:S63" si="6">IF(ISERROR(+R24-122), 0, +R24-Q24)</f>
        <v>0</v>
      </c>
    </row>
    <row r="25" spans="1:25" ht="14.25" x14ac:dyDescent="0.2">
      <c r="A25" s="102">
        <v>1805</v>
      </c>
      <c r="B25" s="755" t="s">
        <v>236</v>
      </c>
      <c r="C25" s="749">
        <v>858551.45999999985</v>
      </c>
      <c r="D25" s="749">
        <v>0</v>
      </c>
      <c r="E25" s="1597">
        <f t="shared" si="0"/>
        <v>858551.45999999985</v>
      </c>
      <c r="F25" s="749"/>
      <c r="G25" s="750"/>
      <c r="H25" s="1597">
        <f t="shared" si="1"/>
        <v>0</v>
      </c>
      <c r="I25" s="751">
        <v>26005.55</v>
      </c>
      <c r="J25" s="1598"/>
      <c r="K25" s="1599">
        <f t="shared" si="2"/>
        <v>0</v>
      </c>
      <c r="L25" s="752"/>
      <c r="M25" s="1604">
        <f t="shared" ref="M25:M63" si="7">IF(L25=0,0,1/L25)</f>
        <v>0</v>
      </c>
      <c r="N25" s="1601">
        <f t="shared" si="3"/>
        <v>0</v>
      </c>
      <c r="O25" s="1601">
        <f t="shared" ref="O25:O63" si="8">IF(L25=0,0,+H25/L25)</f>
        <v>0</v>
      </c>
      <c r="P25" s="1602">
        <f t="shared" si="4"/>
        <v>0</v>
      </c>
      <c r="Q25" s="1603">
        <f t="shared" si="5"/>
        <v>0</v>
      </c>
      <c r="R25" s="753">
        <v>0</v>
      </c>
      <c r="S25" s="110">
        <f t="shared" si="6"/>
        <v>0</v>
      </c>
    </row>
    <row r="26" spans="1:25" ht="12.6" customHeight="1" x14ac:dyDescent="0.2">
      <c r="A26" s="105">
        <v>1808</v>
      </c>
      <c r="B26" s="754" t="s">
        <v>237</v>
      </c>
      <c r="C26" s="749">
        <v>10129356.539999999</v>
      </c>
      <c r="D26" s="749">
        <v>4624660.5143232271</v>
      </c>
      <c r="E26" s="1597">
        <f t="shared" si="0"/>
        <v>5504696.025676772</v>
      </c>
      <c r="F26" s="749"/>
      <c r="G26" s="750"/>
      <c r="H26" s="1597">
        <f t="shared" si="1"/>
        <v>0</v>
      </c>
      <c r="I26" s="751">
        <v>227203.47999999998</v>
      </c>
      <c r="J26" s="1598">
        <v>22.635405410748401</v>
      </c>
      <c r="K26" s="1599">
        <f>IF(J26=0,0,1/J26)</f>
        <v>4.4178576961787085E-2</v>
      </c>
      <c r="L26" s="752">
        <v>15</v>
      </c>
      <c r="M26" s="1604">
        <f t="shared" si="7"/>
        <v>6.6666666666666666E-2</v>
      </c>
      <c r="N26" s="1601">
        <f t="shared" si="3"/>
        <v>243189.63702160475</v>
      </c>
      <c r="O26" s="1601">
        <f t="shared" si="8"/>
        <v>0</v>
      </c>
      <c r="P26" s="1602">
        <f>IF(L26=0,0,+(I26*0.5)/L26)</f>
        <v>7573.449333333333</v>
      </c>
      <c r="Q26" s="1603">
        <f t="shared" si="5"/>
        <v>250763.08635493807</v>
      </c>
      <c r="R26" s="753">
        <v>250763.0863549381</v>
      </c>
      <c r="S26" s="110">
        <f>IF(ISERROR(+R26-122), 0, +R26-Q26)</f>
        <v>2.9103830456733704E-11</v>
      </c>
    </row>
    <row r="27" spans="1:25" ht="17.45" customHeight="1" x14ac:dyDescent="0.2">
      <c r="A27" s="105">
        <v>1810</v>
      </c>
      <c r="B27" s="754" t="s">
        <v>262</v>
      </c>
      <c r="C27" s="749"/>
      <c r="D27" s="750"/>
      <c r="E27" s="1597">
        <f t="shared" si="0"/>
        <v>0</v>
      </c>
      <c r="F27" s="749"/>
      <c r="G27" s="750"/>
      <c r="H27" s="1597">
        <f t="shared" si="1"/>
        <v>0</v>
      </c>
      <c r="I27" s="751">
        <v>0</v>
      </c>
      <c r="J27" s="1598"/>
      <c r="K27" s="1599">
        <f t="shared" si="2"/>
        <v>0</v>
      </c>
      <c r="L27" s="752"/>
      <c r="M27" s="1604">
        <f t="shared" si="7"/>
        <v>0</v>
      </c>
      <c r="N27" s="1601">
        <f t="shared" si="3"/>
        <v>0</v>
      </c>
      <c r="O27" s="1601">
        <f t="shared" si="8"/>
        <v>0</v>
      </c>
      <c r="P27" s="1602">
        <f t="shared" si="4"/>
        <v>0</v>
      </c>
      <c r="Q27" s="1603">
        <f t="shared" si="5"/>
        <v>0</v>
      </c>
      <c r="R27" s="753">
        <v>0</v>
      </c>
      <c r="S27" s="110">
        <f t="shared" si="6"/>
        <v>0</v>
      </c>
    </row>
    <row r="28" spans="1:25" ht="8.4499999999999993" customHeight="1" x14ac:dyDescent="0.2">
      <c r="A28" s="105">
        <v>1815</v>
      </c>
      <c r="B28" s="754" t="s">
        <v>238</v>
      </c>
      <c r="C28" s="749"/>
      <c r="D28" s="750"/>
      <c r="E28" s="1597">
        <f t="shared" si="0"/>
        <v>0</v>
      </c>
      <c r="F28" s="749"/>
      <c r="G28" s="750"/>
      <c r="H28" s="1597">
        <f t="shared" si="1"/>
        <v>0</v>
      </c>
      <c r="I28" s="751">
        <v>0</v>
      </c>
      <c r="J28" s="1598"/>
      <c r="K28" s="1599">
        <f t="shared" si="2"/>
        <v>0</v>
      </c>
      <c r="L28" s="752"/>
      <c r="M28" s="1604">
        <f t="shared" si="7"/>
        <v>0</v>
      </c>
      <c r="N28" s="1601">
        <f t="shared" si="3"/>
        <v>0</v>
      </c>
      <c r="O28" s="1601">
        <f t="shared" si="8"/>
        <v>0</v>
      </c>
      <c r="P28" s="1602">
        <f t="shared" si="4"/>
        <v>0</v>
      </c>
      <c r="Q28" s="1603">
        <f t="shared" si="5"/>
        <v>0</v>
      </c>
      <c r="R28" s="753">
        <v>0</v>
      </c>
      <c r="S28" s="110">
        <f t="shared" si="6"/>
        <v>0</v>
      </c>
    </row>
    <row r="29" spans="1:25" ht="14.25" x14ac:dyDescent="0.2">
      <c r="A29" s="105">
        <v>1820</v>
      </c>
      <c r="B29" s="754" t="s">
        <v>178</v>
      </c>
      <c r="C29" s="749">
        <v>17547705.690000001</v>
      </c>
      <c r="D29" s="749">
        <v>11226787.926014977</v>
      </c>
      <c r="E29" s="1597">
        <f t="shared" si="0"/>
        <v>6320917.7639850248</v>
      </c>
      <c r="F29" s="749"/>
      <c r="G29" s="750"/>
      <c r="H29" s="1597">
        <f t="shared" si="1"/>
        <v>0</v>
      </c>
      <c r="I29" s="751">
        <v>359532.43000000005</v>
      </c>
      <c r="J29" s="1598">
        <v>29.421566983484311</v>
      </c>
      <c r="K29" s="1599">
        <f t="shared" si="2"/>
        <v>3.3988672342344865E-2</v>
      </c>
      <c r="L29" s="752">
        <v>45</v>
      </c>
      <c r="M29" s="1604">
        <f t="shared" si="7"/>
        <v>2.2222222222222223E-2</v>
      </c>
      <c r="N29" s="1601">
        <f t="shared" si="3"/>
        <v>214839.60278299416</v>
      </c>
      <c r="O29" s="1601">
        <f t="shared" si="8"/>
        <v>0</v>
      </c>
      <c r="P29" s="1602">
        <f t="shared" si="4"/>
        <v>3994.8047777777783</v>
      </c>
      <c r="Q29" s="1603">
        <f t="shared" si="5"/>
        <v>218834.40756077194</v>
      </c>
      <c r="R29" s="753">
        <v>218937.92870123943</v>
      </c>
      <c r="S29" s="110">
        <f t="shared" si="6"/>
        <v>103.52114046749193</v>
      </c>
    </row>
    <row r="30" spans="1:25" ht="14.25" hidden="1" x14ac:dyDescent="0.2">
      <c r="A30" s="105">
        <v>1825</v>
      </c>
      <c r="B30" s="754" t="s">
        <v>239</v>
      </c>
      <c r="C30" s="749"/>
      <c r="D30" s="750"/>
      <c r="E30" s="1597">
        <f t="shared" si="0"/>
        <v>0</v>
      </c>
      <c r="F30" s="749"/>
      <c r="G30" s="750"/>
      <c r="H30" s="1597">
        <f t="shared" si="1"/>
        <v>0</v>
      </c>
      <c r="I30" s="751">
        <v>0</v>
      </c>
      <c r="J30" s="1598"/>
      <c r="K30" s="1599">
        <f t="shared" si="2"/>
        <v>0</v>
      </c>
      <c r="L30" s="752"/>
      <c r="M30" s="1604">
        <f t="shared" si="7"/>
        <v>0</v>
      </c>
      <c r="N30" s="1601">
        <f t="shared" si="3"/>
        <v>0</v>
      </c>
      <c r="O30" s="1601">
        <f t="shared" si="8"/>
        <v>0</v>
      </c>
      <c r="P30" s="1602">
        <f t="shared" si="4"/>
        <v>0</v>
      </c>
      <c r="Q30" s="1603">
        <f t="shared" si="5"/>
        <v>0</v>
      </c>
      <c r="R30" s="753">
        <v>0</v>
      </c>
      <c r="S30" s="110">
        <f t="shared" si="6"/>
        <v>0</v>
      </c>
    </row>
    <row r="31" spans="1:25" ht="14.25" x14ac:dyDescent="0.2">
      <c r="A31" s="105">
        <v>1830</v>
      </c>
      <c r="B31" s="754" t="s">
        <v>240</v>
      </c>
      <c r="C31" s="749">
        <v>19238774.109999999</v>
      </c>
      <c r="D31" s="750">
        <v>9065588.3328476083</v>
      </c>
      <c r="E31" s="1597">
        <f t="shared" si="0"/>
        <v>10173185.777152391</v>
      </c>
      <c r="F31" s="749"/>
      <c r="G31" s="750"/>
      <c r="H31" s="1597">
        <f t="shared" si="1"/>
        <v>0</v>
      </c>
      <c r="I31" s="751">
        <v>1205309.4999999991</v>
      </c>
      <c r="J31" s="1598">
        <v>29.31882189816271</v>
      </c>
      <c r="K31" s="1599">
        <f>IF(J31=0,0,1/J31)</f>
        <v>3.4107782484352346E-2</v>
      </c>
      <c r="L31" s="752">
        <v>40</v>
      </c>
      <c r="M31" s="1604">
        <f t="shared" si="7"/>
        <v>2.5000000000000001E-2</v>
      </c>
      <c r="N31" s="1601">
        <f t="shared" si="3"/>
        <v>346984.80766002071</v>
      </c>
      <c r="O31" s="1601">
        <f t="shared" si="8"/>
        <v>0</v>
      </c>
      <c r="P31" s="1602">
        <f t="shared" si="4"/>
        <v>15066.368749999989</v>
      </c>
      <c r="Q31" s="1603">
        <f>IF(ISERROR(+N31+O31+P31), 0, +N31+O31+P31)</f>
        <v>362051.17641002068</v>
      </c>
      <c r="R31" s="753">
        <v>362173.91966002068</v>
      </c>
      <c r="S31" s="110">
        <f t="shared" si="6"/>
        <v>122.74324999999953</v>
      </c>
    </row>
    <row r="32" spans="1:25" ht="14.25" x14ac:dyDescent="0.2">
      <c r="A32" s="105">
        <v>1835</v>
      </c>
      <c r="B32" s="754" t="s">
        <v>1473</v>
      </c>
      <c r="C32" s="749">
        <v>32287397.02</v>
      </c>
      <c r="D32" s="750">
        <v>21602233.694095131</v>
      </c>
      <c r="E32" s="1597">
        <f t="shared" si="0"/>
        <v>10685163.325904869</v>
      </c>
      <c r="F32" s="749"/>
      <c r="G32" s="750"/>
      <c r="H32" s="1597">
        <f t="shared" si="1"/>
        <v>0</v>
      </c>
      <c r="I32" s="751">
        <v>606347.22</v>
      </c>
      <c r="J32" s="1598">
        <v>23.937646512757958</v>
      </c>
      <c r="K32" s="1599">
        <f t="shared" si="2"/>
        <v>4.1775201228200678E-2</v>
      </c>
      <c r="L32" s="752">
        <v>40</v>
      </c>
      <c r="M32" s="1604">
        <f t="shared" si="7"/>
        <v>2.5000000000000001E-2</v>
      </c>
      <c r="N32" s="1601">
        <f t="shared" si="3"/>
        <v>446374.84809586592</v>
      </c>
      <c r="O32" s="1601">
        <f t="shared" si="8"/>
        <v>0</v>
      </c>
      <c r="P32" s="1602">
        <f>IF(L32=0,0,+(I32*0.5)/L32)</f>
        <v>7579.3402499999993</v>
      </c>
      <c r="Q32" s="1603">
        <f t="shared" si="5"/>
        <v>453954.18834586593</v>
      </c>
      <c r="R32" s="753">
        <v>454076.9315958661</v>
      </c>
      <c r="S32" s="110">
        <f t="shared" si="6"/>
        <v>122.74325000017416</v>
      </c>
    </row>
    <row r="33" spans="1:19" ht="14.25" x14ac:dyDescent="0.2">
      <c r="A33" s="105">
        <v>1835</v>
      </c>
      <c r="B33" s="754" t="s">
        <v>1474</v>
      </c>
      <c r="C33" s="749">
        <v>9768757</v>
      </c>
      <c r="D33" s="753">
        <v>6712011.325488192</v>
      </c>
      <c r="E33" s="1597">
        <f t="shared" si="0"/>
        <v>3056745.674511808</v>
      </c>
      <c r="F33" s="749"/>
      <c r="G33" s="750"/>
      <c r="H33" s="1597">
        <f t="shared" si="1"/>
        <v>0</v>
      </c>
      <c r="I33" s="751">
        <v>390152.47</v>
      </c>
      <c r="J33" s="1605">
        <v>31.909616081008405</v>
      </c>
      <c r="K33" s="1599">
        <f t="shared" si="2"/>
        <v>3.1338515557859326E-2</v>
      </c>
      <c r="L33" s="752">
        <v>50</v>
      </c>
      <c r="M33" s="1604">
        <f t="shared" si="7"/>
        <v>0.02</v>
      </c>
      <c r="N33" s="1601">
        <f>IF(J33=0,0,+E33/J33)</f>
        <v>95793.871877107493</v>
      </c>
      <c r="O33" s="1601">
        <f t="shared" si="8"/>
        <v>0</v>
      </c>
      <c r="P33" s="1602">
        <f>IF(L33=0,0,+(I33*0.5)/L33)</f>
        <v>3901.5246999999999</v>
      </c>
      <c r="Q33" s="1603">
        <f t="shared" si="5"/>
        <v>99695.396577107487</v>
      </c>
      <c r="R33" s="753">
        <v>99695.396577107487</v>
      </c>
      <c r="S33" s="110">
        <f t="shared" si="6"/>
        <v>0</v>
      </c>
    </row>
    <row r="34" spans="1:19" s="82" customFormat="1" ht="14.25" x14ac:dyDescent="0.2">
      <c r="A34" s="102">
        <v>1840</v>
      </c>
      <c r="B34" s="755" t="s">
        <v>180</v>
      </c>
      <c r="C34" s="749">
        <v>20841499.539999999</v>
      </c>
      <c r="D34" s="749">
        <v>12176064.896733059</v>
      </c>
      <c r="E34" s="1597">
        <f t="shared" si="0"/>
        <v>8665434.6432669405</v>
      </c>
      <c r="F34" s="749"/>
      <c r="G34" s="749"/>
      <c r="H34" s="1597">
        <f t="shared" si="1"/>
        <v>0</v>
      </c>
      <c r="I34" s="749">
        <v>670006.09000000008</v>
      </c>
      <c r="J34" s="1605">
        <v>38.144264154552815</v>
      </c>
      <c r="K34" s="1606">
        <f t="shared" si="2"/>
        <v>2.6216261400356367E-2</v>
      </c>
      <c r="L34" s="752">
        <v>50</v>
      </c>
      <c r="M34" s="1607">
        <f>IF(L34=0,0,1/L34)</f>
        <v>0.02</v>
      </c>
      <c r="N34" s="1608">
        <f t="shared" si="3"/>
        <v>227175.29975558995</v>
      </c>
      <c r="O34" s="1608">
        <f t="shared" si="8"/>
        <v>0</v>
      </c>
      <c r="P34" s="1609">
        <f t="shared" si="4"/>
        <v>6700.0609000000004</v>
      </c>
      <c r="Q34" s="1610">
        <f t="shared" si="5"/>
        <v>233875.36065558996</v>
      </c>
      <c r="R34" s="753">
        <v>233875.36065558996</v>
      </c>
      <c r="S34" s="1611">
        <f t="shared" si="6"/>
        <v>0</v>
      </c>
    </row>
    <row r="35" spans="1:19" ht="14.25" x14ac:dyDescent="0.2">
      <c r="A35" s="102">
        <v>1845</v>
      </c>
      <c r="B35" s="755" t="s">
        <v>181</v>
      </c>
      <c r="C35" s="749">
        <v>21270551.890000004</v>
      </c>
      <c r="D35" s="749">
        <v>11662374.440973222</v>
      </c>
      <c r="E35" s="1597">
        <f t="shared" si="0"/>
        <v>9608177.4490267821</v>
      </c>
      <c r="F35" s="749"/>
      <c r="G35" s="749"/>
      <c r="H35" s="1597">
        <f t="shared" si="1"/>
        <v>0</v>
      </c>
      <c r="I35" s="749">
        <v>615323.20000000007</v>
      </c>
      <c r="J35" s="1605">
        <v>23.743783249025043</v>
      </c>
      <c r="K35" s="1606">
        <f t="shared" si="2"/>
        <v>4.2116287430355545E-2</v>
      </c>
      <c r="L35" s="752">
        <v>40</v>
      </c>
      <c r="M35" s="1607">
        <f t="shared" si="7"/>
        <v>2.5000000000000001E-2</v>
      </c>
      <c r="N35" s="1608">
        <f t="shared" si="3"/>
        <v>404660.76312507229</v>
      </c>
      <c r="O35" s="1601">
        <f t="shared" si="8"/>
        <v>0</v>
      </c>
      <c r="P35" s="1609">
        <f t="shared" si="4"/>
        <v>7691.5400000000009</v>
      </c>
      <c r="Q35" s="1610">
        <f t="shared" si="5"/>
        <v>412352.30312507227</v>
      </c>
      <c r="R35" s="753">
        <v>412720.53287507233</v>
      </c>
      <c r="S35" s="1611">
        <f t="shared" si="6"/>
        <v>368.22975000005681</v>
      </c>
    </row>
    <row r="36" spans="1:19" ht="14.25" x14ac:dyDescent="0.2">
      <c r="A36" s="105">
        <v>1850</v>
      </c>
      <c r="B36" s="754" t="s">
        <v>241</v>
      </c>
      <c r="C36" s="749">
        <v>29393619.989999991</v>
      </c>
      <c r="D36" s="749">
        <v>17956843.743688975</v>
      </c>
      <c r="E36" s="1597">
        <f t="shared" si="0"/>
        <v>11436776.246311016</v>
      </c>
      <c r="F36" s="749"/>
      <c r="G36" s="750"/>
      <c r="H36" s="1597">
        <f t="shared" si="1"/>
        <v>0</v>
      </c>
      <c r="I36" s="751">
        <v>1030063.1900000002</v>
      </c>
      <c r="J36" s="1598">
        <v>25.303358154613342</v>
      </c>
      <c r="K36" s="1599">
        <f t="shared" si="2"/>
        <v>3.952044601707061E-2</v>
      </c>
      <c r="L36" s="752">
        <v>40</v>
      </c>
      <c r="M36" s="1604">
        <f t="shared" si="7"/>
        <v>2.5000000000000001E-2</v>
      </c>
      <c r="N36" s="1601">
        <f t="shared" si="3"/>
        <v>451986.49825164996</v>
      </c>
      <c r="O36" s="1601">
        <f t="shared" si="8"/>
        <v>0</v>
      </c>
      <c r="P36" s="1602">
        <f t="shared" si="4"/>
        <v>12875.789875000002</v>
      </c>
      <c r="Q36" s="1603">
        <f t="shared" si="5"/>
        <v>464862.28812664998</v>
      </c>
      <c r="R36" s="753">
        <v>464862.28812664998</v>
      </c>
      <c r="S36" s="110">
        <f t="shared" si="6"/>
        <v>0</v>
      </c>
    </row>
    <row r="37" spans="1:19" ht="14.25" x14ac:dyDescent="0.2">
      <c r="A37" s="105">
        <v>1855</v>
      </c>
      <c r="B37" s="754" t="s">
        <v>182</v>
      </c>
      <c r="C37" s="749">
        <v>12342929.799999999</v>
      </c>
      <c r="D37" s="749">
        <v>6500462.1358982157</v>
      </c>
      <c r="E37" s="1597">
        <f t="shared" si="0"/>
        <v>5842467.6641017832</v>
      </c>
      <c r="F37" s="749"/>
      <c r="G37" s="750"/>
      <c r="H37" s="1597">
        <f t="shared" si="1"/>
        <v>0</v>
      </c>
      <c r="I37" s="751">
        <v>1068304.96</v>
      </c>
      <c r="J37" s="1598">
        <v>29.258866884696523</v>
      </c>
      <c r="K37" s="1599">
        <f t="shared" si="2"/>
        <v>3.4177673521698725E-2</v>
      </c>
      <c r="L37" s="752">
        <v>40</v>
      </c>
      <c r="M37" s="1604">
        <f t="shared" si="7"/>
        <v>2.5000000000000001E-2</v>
      </c>
      <c r="N37" s="1601">
        <f t="shared" si="3"/>
        <v>199681.95238475251</v>
      </c>
      <c r="O37" s="1601">
        <f t="shared" si="8"/>
        <v>0</v>
      </c>
      <c r="P37" s="1602">
        <f t="shared" si="4"/>
        <v>13353.812</v>
      </c>
      <c r="Q37" s="1603">
        <f t="shared" si="5"/>
        <v>213035.76438475252</v>
      </c>
      <c r="R37" s="753">
        <v>213035.76438475255</v>
      </c>
      <c r="S37" s="110">
        <f t="shared" si="6"/>
        <v>2.9103830456733704E-11</v>
      </c>
    </row>
    <row r="38" spans="1:19" ht="14.25" x14ac:dyDescent="0.2">
      <c r="A38" s="105">
        <v>1860</v>
      </c>
      <c r="B38" s="754" t="s">
        <v>242</v>
      </c>
      <c r="C38" s="749">
        <v>8935155.4499999993</v>
      </c>
      <c r="D38" s="749">
        <v>6817799.92275065</v>
      </c>
      <c r="E38" s="1597">
        <f t="shared" si="0"/>
        <v>2117355.5272493493</v>
      </c>
      <c r="F38" s="749"/>
      <c r="G38" s="750"/>
      <c r="H38" s="1597">
        <f t="shared" si="1"/>
        <v>0</v>
      </c>
      <c r="I38" s="751">
        <v>107883.42</v>
      </c>
      <c r="J38" s="1598">
        <v>4.389477099124476</v>
      </c>
      <c r="K38" s="1599">
        <f t="shared" si="2"/>
        <v>0.22781756856630139</v>
      </c>
      <c r="L38" s="752">
        <v>15</v>
      </c>
      <c r="M38" s="1604">
        <f t="shared" si="7"/>
        <v>6.6666666666666666E-2</v>
      </c>
      <c r="N38" s="1601">
        <f>IF(J38=0,0,+E38/J38)</f>
        <v>482370.78800836584</v>
      </c>
      <c r="O38" s="1601">
        <f t="shared" si="8"/>
        <v>0</v>
      </c>
      <c r="P38" s="1602">
        <f t="shared" si="4"/>
        <v>3596.114</v>
      </c>
      <c r="Q38" s="1603">
        <f t="shared" si="5"/>
        <v>485966.90200836584</v>
      </c>
      <c r="R38" s="753">
        <v>485966.90200836584</v>
      </c>
      <c r="S38" s="110">
        <f t="shared" si="6"/>
        <v>0</v>
      </c>
    </row>
    <row r="39" spans="1:19" ht="14.25" hidden="1" x14ac:dyDescent="0.2">
      <c r="A39" s="102">
        <v>1860</v>
      </c>
      <c r="B39" s="755" t="s">
        <v>183</v>
      </c>
      <c r="C39" s="749"/>
      <c r="D39" s="750"/>
      <c r="E39" s="1597">
        <f t="shared" si="0"/>
        <v>0</v>
      </c>
      <c r="F39" s="749"/>
      <c r="G39" s="750"/>
      <c r="H39" s="1597">
        <f t="shared" si="1"/>
        <v>0</v>
      </c>
      <c r="I39" s="751">
        <v>0</v>
      </c>
      <c r="J39" s="1598"/>
      <c r="K39" s="1599">
        <f t="shared" si="2"/>
        <v>0</v>
      </c>
      <c r="L39" s="752"/>
      <c r="M39" s="1604">
        <f t="shared" si="7"/>
        <v>0</v>
      </c>
      <c r="N39" s="1601">
        <f t="shared" si="3"/>
        <v>0</v>
      </c>
      <c r="O39" s="1601">
        <f t="shared" si="8"/>
        <v>0</v>
      </c>
      <c r="P39" s="1602">
        <f t="shared" si="4"/>
        <v>0</v>
      </c>
      <c r="Q39" s="1603">
        <f t="shared" si="5"/>
        <v>0</v>
      </c>
      <c r="R39" s="753">
        <v>0</v>
      </c>
      <c r="S39" s="110">
        <f t="shared" si="6"/>
        <v>0</v>
      </c>
    </row>
    <row r="40" spans="1:19" ht="14.25" hidden="1" x14ac:dyDescent="0.2">
      <c r="A40" s="102">
        <v>1905</v>
      </c>
      <c r="B40" s="755" t="s">
        <v>236</v>
      </c>
      <c r="C40" s="749"/>
      <c r="D40" s="750"/>
      <c r="E40" s="1597">
        <f t="shared" si="0"/>
        <v>0</v>
      </c>
      <c r="F40" s="749"/>
      <c r="G40" s="750"/>
      <c r="H40" s="1597">
        <f t="shared" si="1"/>
        <v>0</v>
      </c>
      <c r="I40" s="751">
        <v>0</v>
      </c>
      <c r="J40" s="1598"/>
      <c r="K40" s="1599">
        <f t="shared" si="2"/>
        <v>0</v>
      </c>
      <c r="L40" s="752"/>
      <c r="M40" s="1604">
        <f t="shared" si="7"/>
        <v>0</v>
      </c>
      <c r="N40" s="1601">
        <f t="shared" si="3"/>
        <v>0</v>
      </c>
      <c r="O40" s="1601">
        <f t="shared" si="8"/>
        <v>0</v>
      </c>
      <c r="P40" s="1602">
        <f t="shared" si="4"/>
        <v>0</v>
      </c>
      <c r="Q40" s="1603">
        <f t="shared" si="5"/>
        <v>0</v>
      </c>
      <c r="R40" s="753">
        <v>0</v>
      </c>
      <c r="S40" s="110">
        <f t="shared" si="6"/>
        <v>0</v>
      </c>
    </row>
    <row r="41" spans="1:19" ht="14.25" hidden="1" x14ac:dyDescent="0.2">
      <c r="A41" s="105">
        <v>1908</v>
      </c>
      <c r="B41" s="754" t="s">
        <v>244</v>
      </c>
      <c r="C41" s="749"/>
      <c r="D41" s="750"/>
      <c r="E41" s="1597">
        <f t="shared" si="0"/>
        <v>0</v>
      </c>
      <c r="F41" s="749"/>
      <c r="G41" s="750"/>
      <c r="H41" s="1597">
        <f t="shared" si="1"/>
        <v>0</v>
      </c>
      <c r="I41" s="751">
        <v>0</v>
      </c>
      <c r="J41" s="1598"/>
      <c r="K41" s="1599">
        <f t="shared" si="2"/>
        <v>0</v>
      </c>
      <c r="L41" s="752"/>
      <c r="M41" s="1604">
        <f t="shared" si="7"/>
        <v>0</v>
      </c>
      <c r="N41" s="1601">
        <f t="shared" si="3"/>
        <v>0</v>
      </c>
      <c r="O41" s="1601">
        <f t="shared" si="8"/>
        <v>0</v>
      </c>
      <c r="P41" s="1602">
        <f t="shared" si="4"/>
        <v>0</v>
      </c>
      <c r="Q41" s="1603">
        <f t="shared" si="5"/>
        <v>0</v>
      </c>
      <c r="R41" s="753">
        <v>0</v>
      </c>
      <c r="S41" s="110">
        <f t="shared" si="6"/>
        <v>0</v>
      </c>
    </row>
    <row r="42" spans="1:19" ht="14.25" hidden="1" x14ac:dyDescent="0.2">
      <c r="A42" s="105">
        <v>1910</v>
      </c>
      <c r="B42" s="754" t="s">
        <v>262</v>
      </c>
      <c r="C42" s="749"/>
      <c r="D42" s="750"/>
      <c r="E42" s="1597">
        <f t="shared" si="0"/>
        <v>0</v>
      </c>
      <c r="F42" s="749"/>
      <c r="G42" s="750"/>
      <c r="H42" s="1597">
        <f t="shared" si="1"/>
        <v>0</v>
      </c>
      <c r="I42" s="751">
        <v>0</v>
      </c>
      <c r="J42" s="1598"/>
      <c r="K42" s="1599">
        <f t="shared" si="2"/>
        <v>0</v>
      </c>
      <c r="L42" s="752"/>
      <c r="M42" s="1604">
        <f t="shared" si="7"/>
        <v>0</v>
      </c>
      <c r="N42" s="1601">
        <f t="shared" si="3"/>
        <v>0</v>
      </c>
      <c r="O42" s="1601">
        <f t="shared" si="8"/>
        <v>0</v>
      </c>
      <c r="P42" s="1602">
        <f t="shared" si="4"/>
        <v>0</v>
      </c>
      <c r="Q42" s="1603">
        <f t="shared" si="5"/>
        <v>0</v>
      </c>
      <c r="R42" s="753">
        <v>0</v>
      </c>
      <c r="S42" s="110">
        <f t="shared" si="6"/>
        <v>0</v>
      </c>
    </row>
    <row r="43" spans="1:19" ht="14.25" x14ac:dyDescent="0.2">
      <c r="A43" s="105">
        <v>1915</v>
      </c>
      <c r="B43" s="754" t="s">
        <v>184</v>
      </c>
      <c r="C43" s="749">
        <v>44314.559999999998</v>
      </c>
      <c r="D43" s="749">
        <v>41713.569499999991</v>
      </c>
      <c r="E43" s="1597">
        <f t="shared" si="0"/>
        <v>2600.9905000000072</v>
      </c>
      <c r="F43" s="749"/>
      <c r="G43" s="750"/>
      <c r="H43" s="1597">
        <f t="shared" si="1"/>
        <v>0</v>
      </c>
      <c r="I43" s="751">
        <v>31740</v>
      </c>
      <c r="J43" s="1612">
        <v>2.7713790404771017</v>
      </c>
      <c r="K43" s="1599">
        <f t="shared" si="2"/>
        <v>0.36083119104048894</v>
      </c>
      <c r="L43" s="752">
        <v>10</v>
      </c>
      <c r="M43" s="1604">
        <f t="shared" si="7"/>
        <v>0.1</v>
      </c>
      <c r="N43" s="1601">
        <f t="shared" si="3"/>
        <v>938.51849999999945</v>
      </c>
      <c r="O43" s="1601">
        <f t="shared" si="8"/>
        <v>0</v>
      </c>
      <c r="P43" s="1602">
        <f t="shared" si="4"/>
        <v>1587</v>
      </c>
      <c r="Q43" s="1603">
        <f t="shared" si="5"/>
        <v>2525.5184999999992</v>
      </c>
      <c r="R43" s="753">
        <v>2525.5184999999992</v>
      </c>
      <c r="S43" s="110">
        <f t="shared" si="6"/>
        <v>0</v>
      </c>
    </row>
    <row r="44" spans="1:19" ht="14.25" hidden="1" x14ac:dyDescent="0.2">
      <c r="A44" s="105">
        <v>1915</v>
      </c>
      <c r="B44" s="754" t="s">
        <v>185</v>
      </c>
      <c r="C44" s="749"/>
      <c r="D44" s="750"/>
      <c r="E44" s="1597">
        <f t="shared" si="0"/>
        <v>0</v>
      </c>
      <c r="F44" s="749"/>
      <c r="G44" s="750"/>
      <c r="H44" s="1597">
        <f t="shared" si="1"/>
        <v>0</v>
      </c>
      <c r="I44" s="751">
        <v>0</v>
      </c>
      <c r="J44" s="1598"/>
      <c r="K44" s="1599">
        <f t="shared" si="2"/>
        <v>0</v>
      </c>
      <c r="L44" s="752"/>
      <c r="M44" s="1604">
        <f t="shared" si="7"/>
        <v>0</v>
      </c>
      <c r="N44" s="1601">
        <f t="shared" si="3"/>
        <v>0</v>
      </c>
      <c r="O44" s="1601">
        <f t="shared" si="8"/>
        <v>0</v>
      </c>
      <c r="P44" s="1602">
        <f t="shared" si="4"/>
        <v>0</v>
      </c>
      <c r="Q44" s="1603">
        <f t="shared" si="5"/>
        <v>0</v>
      </c>
      <c r="R44" s="753">
        <v>0</v>
      </c>
      <c r="S44" s="110">
        <f t="shared" si="6"/>
        <v>0</v>
      </c>
    </row>
    <row r="45" spans="1:19" ht="14.25" x14ac:dyDescent="0.2">
      <c r="A45" s="105">
        <v>1920</v>
      </c>
      <c r="B45" s="754" t="s">
        <v>186</v>
      </c>
      <c r="C45" s="749">
        <v>162987.72</v>
      </c>
      <c r="D45" s="749">
        <v>47096.116000000002</v>
      </c>
      <c r="E45" s="1597">
        <f t="shared" si="0"/>
        <v>115891.60399999999</v>
      </c>
      <c r="F45" s="749"/>
      <c r="G45" s="750"/>
      <c r="H45" s="1597">
        <f t="shared" si="1"/>
        <v>0</v>
      </c>
      <c r="I45" s="751">
        <v>341012.65</v>
      </c>
      <c r="J45" s="1598">
        <v>1.575458767678499</v>
      </c>
      <c r="K45" s="1599">
        <f>IF(J45=0,0,1/J45)</f>
        <v>0.63473574841538993</v>
      </c>
      <c r="L45" s="752">
        <v>5</v>
      </c>
      <c r="M45" s="1604">
        <f t="shared" si="7"/>
        <v>0.2</v>
      </c>
      <c r="N45" s="1601">
        <f t="shared" si="3"/>
        <v>73560.543999999994</v>
      </c>
      <c r="O45" s="1601">
        <f t="shared" si="8"/>
        <v>0</v>
      </c>
      <c r="P45" s="1602">
        <f t="shared" si="4"/>
        <v>34101.264999999999</v>
      </c>
      <c r="Q45" s="1603">
        <f t="shared" si="5"/>
        <v>107661.80899999999</v>
      </c>
      <c r="R45" s="753">
        <v>107661.80899999999</v>
      </c>
      <c r="S45" s="110">
        <f t="shared" si="6"/>
        <v>0</v>
      </c>
    </row>
    <row r="46" spans="1:19" ht="14.25" hidden="1" x14ac:dyDescent="0.2">
      <c r="A46" s="105">
        <v>1920</v>
      </c>
      <c r="B46" s="754" t="s">
        <v>188</v>
      </c>
      <c r="C46" s="749"/>
      <c r="D46" s="750"/>
      <c r="E46" s="1597">
        <f t="shared" si="0"/>
        <v>0</v>
      </c>
      <c r="F46" s="749"/>
      <c r="G46" s="750"/>
      <c r="H46" s="1597">
        <f t="shared" si="1"/>
        <v>0</v>
      </c>
      <c r="I46" s="751">
        <v>0</v>
      </c>
      <c r="J46" s="1598"/>
      <c r="K46" s="1599">
        <f t="shared" si="2"/>
        <v>0</v>
      </c>
      <c r="L46" s="752"/>
      <c r="M46" s="1604">
        <f t="shared" si="7"/>
        <v>0</v>
      </c>
      <c r="N46" s="1601">
        <f t="shared" si="3"/>
        <v>0</v>
      </c>
      <c r="O46" s="1601">
        <f t="shared" si="8"/>
        <v>0</v>
      </c>
      <c r="P46" s="1602">
        <f t="shared" si="4"/>
        <v>0</v>
      </c>
      <c r="Q46" s="1603">
        <f t="shared" si="5"/>
        <v>0</v>
      </c>
      <c r="R46" s="753">
        <v>0</v>
      </c>
      <c r="S46" s="110">
        <f t="shared" si="6"/>
        <v>0</v>
      </c>
    </row>
    <row r="47" spans="1:19" ht="14.25" hidden="1" x14ac:dyDescent="0.2">
      <c r="A47" s="105">
        <v>1920</v>
      </c>
      <c r="B47" s="754" t="s">
        <v>187</v>
      </c>
      <c r="C47" s="749"/>
      <c r="D47" s="750"/>
      <c r="E47" s="1597">
        <f t="shared" si="0"/>
        <v>0</v>
      </c>
      <c r="F47" s="749"/>
      <c r="G47" s="750"/>
      <c r="H47" s="1597">
        <f t="shared" si="1"/>
        <v>0</v>
      </c>
      <c r="I47" s="751">
        <v>0</v>
      </c>
      <c r="J47" s="1598"/>
      <c r="K47" s="1599">
        <f t="shared" si="2"/>
        <v>0</v>
      </c>
      <c r="L47" s="752"/>
      <c r="M47" s="1604">
        <f t="shared" si="7"/>
        <v>0</v>
      </c>
      <c r="N47" s="1601">
        <f t="shared" si="3"/>
        <v>0</v>
      </c>
      <c r="O47" s="1601">
        <f t="shared" si="8"/>
        <v>0</v>
      </c>
      <c r="P47" s="1602">
        <f t="shared" si="4"/>
        <v>0</v>
      </c>
      <c r="Q47" s="1603">
        <f t="shared" si="5"/>
        <v>0</v>
      </c>
      <c r="R47" s="753">
        <v>0</v>
      </c>
      <c r="S47" s="110">
        <f t="shared" si="6"/>
        <v>0</v>
      </c>
    </row>
    <row r="48" spans="1:19" ht="14.25" x14ac:dyDescent="0.2">
      <c r="A48" s="105">
        <v>1930</v>
      </c>
      <c r="B48" s="754" t="s">
        <v>250</v>
      </c>
      <c r="C48" s="749">
        <v>5258637.3600000003</v>
      </c>
      <c r="D48" s="749">
        <v>3864504.7662976189</v>
      </c>
      <c r="E48" s="1597">
        <f t="shared" si="0"/>
        <v>1394132.5937023815</v>
      </c>
      <c r="F48" s="749"/>
      <c r="G48" s="750"/>
      <c r="H48" s="1597">
        <f t="shared" si="1"/>
        <v>0</v>
      </c>
      <c r="I48" s="751">
        <v>533800</v>
      </c>
      <c r="J48" s="1598">
        <v>10.173433661180498</v>
      </c>
      <c r="K48" s="1599">
        <f t="shared" si="2"/>
        <v>9.8295229841206103E-2</v>
      </c>
      <c r="L48" s="752">
        <v>12</v>
      </c>
      <c r="M48" s="1604">
        <f t="shared" si="7"/>
        <v>8.3333333333333329E-2</v>
      </c>
      <c r="N48" s="1601">
        <f t="shared" si="3"/>
        <v>137036.58372709239</v>
      </c>
      <c r="O48" s="1601">
        <f t="shared" si="8"/>
        <v>0</v>
      </c>
      <c r="P48" s="1602">
        <f t="shared" si="4"/>
        <v>22241.666666666668</v>
      </c>
      <c r="Q48" s="1603">
        <f t="shared" si="5"/>
        <v>159278.25039375905</v>
      </c>
      <c r="R48" s="753">
        <v>159278.07039375906</v>
      </c>
      <c r="S48" s="110">
        <f t="shared" si="6"/>
        <v>-0.17999999999301508</v>
      </c>
    </row>
    <row r="49" spans="1:19" ht="14.25" hidden="1" x14ac:dyDescent="0.2">
      <c r="A49" s="105">
        <v>1935</v>
      </c>
      <c r="B49" s="754" t="s">
        <v>251</v>
      </c>
      <c r="C49" s="749"/>
      <c r="D49" s="750"/>
      <c r="E49" s="1597">
        <f t="shared" si="0"/>
        <v>0</v>
      </c>
      <c r="F49" s="749"/>
      <c r="G49" s="750"/>
      <c r="H49" s="1597">
        <f t="shared" si="1"/>
        <v>0</v>
      </c>
      <c r="I49" s="751">
        <v>0</v>
      </c>
      <c r="J49" s="1598"/>
      <c r="K49" s="1599">
        <f t="shared" si="2"/>
        <v>0</v>
      </c>
      <c r="L49" s="752"/>
      <c r="M49" s="1604">
        <f t="shared" si="7"/>
        <v>0</v>
      </c>
      <c r="N49" s="1601">
        <f t="shared" si="3"/>
        <v>0</v>
      </c>
      <c r="O49" s="1601">
        <f t="shared" si="8"/>
        <v>0</v>
      </c>
      <c r="P49" s="1602">
        <f t="shared" si="4"/>
        <v>0</v>
      </c>
      <c r="Q49" s="1603">
        <f t="shared" si="5"/>
        <v>0</v>
      </c>
      <c r="R49" s="753">
        <v>0</v>
      </c>
      <c r="S49" s="110">
        <f t="shared" si="6"/>
        <v>0</v>
      </c>
    </row>
    <row r="50" spans="1:19" ht="14.25" x14ac:dyDescent="0.2">
      <c r="A50" s="105">
        <v>1940</v>
      </c>
      <c r="B50" s="754" t="s">
        <v>252</v>
      </c>
      <c r="C50" s="749">
        <v>1961496.07</v>
      </c>
      <c r="D50" s="749">
        <v>1467290.8274999999</v>
      </c>
      <c r="E50" s="1597">
        <f t="shared" si="0"/>
        <v>494205.24250000017</v>
      </c>
      <c r="F50" s="749"/>
      <c r="G50" s="750"/>
      <c r="H50" s="1597">
        <f t="shared" si="1"/>
        <v>0</v>
      </c>
      <c r="I50" s="751">
        <v>77672.09</v>
      </c>
      <c r="J50" s="1598">
        <v>5.8332011178712095</v>
      </c>
      <c r="K50" s="1599">
        <f t="shared" si="2"/>
        <v>0.1714324570322622</v>
      </c>
      <c r="L50" s="752">
        <v>10</v>
      </c>
      <c r="M50" s="1604">
        <f t="shared" si="7"/>
        <v>0.1</v>
      </c>
      <c r="N50" s="1601">
        <f t="shared" si="3"/>
        <v>84722.819000000003</v>
      </c>
      <c r="O50" s="1601">
        <f t="shared" si="8"/>
        <v>0</v>
      </c>
      <c r="P50" s="1602">
        <f t="shared" si="4"/>
        <v>3883.6044999999999</v>
      </c>
      <c r="Q50" s="1603">
        <f t="shared" si="5"/>
        <v>88606.423500000004</v>
      </c>
      <c r="R50" s="753">
        <v>88606.423500000004</v>
      </c>
      <c r="S50" s="110">
        <f t="shared" si="6"/>
        <v>0</v>
      </c>
    </row>
    <row r="51" spans="1:19" ht="14.25" hidden="1" x14ac:dyDescent="0.2">
      <c r="A51" s="105">
        <v>1945</v>
      </c>
      <c r="B51" s="754" t="s">
        <v>253</v>
      </c>
      <c r="C51" s="749"/>
      <c r="D51" s="750"/>
      <c r="E51" s="1597">
        <f t="shared" si="0"/>
        <v>0</v>
      </c>
      <c r="F51" s="749"/>
      <c r="G51" s="750"/>
      <c r="H51" s="1597">
        <f t="shared" si="1"/>
        <v>0</v>
      </c>
      <c r="I51" s="751">
        <v>0</v>
      </c>
      <c r="J51" s="1598"/>
      <c r="K51" s="1599">
        <f t="shared" si="2"/>
        <v>0</v>
      </c>
      <c r="L51" s="752"/>
      <c r="M51" s="1604">
        <f t="shared" si="7"/>
        <v>0</v>
      </c>
      <c r="N51" s="1601">
        <f t="shared" si="3"/>
        <v>0</v>
      </c>
      <c r="O51" s="1601">
        <f t="shared" si="8"/>
        <v>0</v>
      </c>
      <c r="P51" s="1602">
        <f t="shared" si="4"/>
        <v>0</v>
      </c>
      <c r="Q51" s="1603">
        <f t="shared" si="5"/>
        <v>0</v>
      </c>
      <c r="R51" s="753">
        <v>0</v>
      </c>
      <c r="S51" s="110">
        <f t="shared" si="6"/>
        <v>0</v>
      </c>
    </row>
    <row r="52" spans="1:19" ht="14.25" hidden="1" x14ac:dyDescent="0.2">
      <c r="A52" s="105">
        <v>1950</v>
      </c>
      <c r="B52" s="754" t="s">
        <v>189</v>
      </c>
      <c r="C52" s="749"/>
      <c r="D52" s="750"/>
      <c r="E52" s="1597">
        <f t="shared" si="0"/>
        <v>0</v>
      </c>
      <c r="F52" s="749"/>
      <c r="G52" s="750"/>
      <c r="H52" s="1597">
        <f t="shared" si="1"/>
        <v>0</v>
      </c>
      <c r="I52" s="751">
        <v>0</v>
      </c>
      <c r="J52" s="1598"/>
      <c r="K52" s="1599">
        <f t="shared" si="2"/>
        <v>0</v>
      </c>
      <c r="L52" s="752"/>
      <c r="M52" s="1604">
        <f t="shared" si="7"/>
        <v>0</v>
      </c>
      <c r="N52" s="1601">
        <f t="shared" si="3"/>
        <v>0</v>
      </c>
      <c r="O52" s="1601">
        <f t="shared" si="8"/>
        <v>0</v>
      </c>
      <c r="P52" s="1602">
        <f t="shared" si="4"/>
        <v>0</v>
      </c>
      <c r="Q52" s="1603">
        <f t="shared" si="5"/>
        <v>0</v>
      </c>
      <c r="R52" s="753">
        <v>0</v>
      </c>
      <c r="S52" s="110">
        <f t="shared" si="6"/>
        <v>0</v>
      </c>
    </row>
    <row r="53" spans="1:19" ht="14.25" x14ac:dyDescent="0.2">
      <c r="A53" s="105">
        <v>1955</v>
      </c>
      <c r="B53" s="754" t="s">
        <v>254</v>
      </c>
      <c r="C53" s="749">
        <v>2262458.79</v>
      </c>
      <c r="D53" s="749">
        <v>1307813.078</v>
      </c>
      <c r="E53" s="1597">
        <f t="shared" si="0"/>
        <v>954645.71200000006</v>
      </c>
      <c r="F53" s="749"/>
      <c r="G53" s="750"/>
      <c r="H53" s="1597">
        <f t="shared" si="1"/>
        <v>0</v>
      </c>
      <c r="I53" s="751">
        <v>912</v>
      </c>
      <c r="J53" s="1598">
        <v>11.622961107020863</v>
      </c>
      <c r="K53" s="1599">
        <f t="shared" si="2"/>
        <v>8.6036595218059259E-2</v>
      </c>
      <c r="L53" s="752">
        <v>10</v>
      </c>
      <c r="M53" s="1604">
        <f>IF(L53=0,0,1/L53)</f>
        <v>0.1</v>
      </c>
      <c r="N53" s="1601">
        <f t="shared" si="3"/>
        <v>82134.46669999999</v>
      </c>
      <c r="O53" s="1601">
        <f t="shared" si="8"/>
        <v>0</v>
      </c>
      <c r="P53" s="1602">
        <f t="shared" si="4"/>
        <v>45.6</v>
      </c>
      <c r="Q53" s="1603">
        <f t="shared" si="5"/>
        <v>82180.066699999996</v>
      </c>
      <c r="R53" s="753">
        <v>82180.066699999996</v>
      </c>
      <c r="S53" s="110">
        <f t="shared" si="6"/>
        <v>0</v>
      </c>
    </row>
    <row r="54" spans="1:19" ht="14.25" hidden="1" x14ac:dyDescent="0.2">
      <c r="A54" s="102">
        <v>1955</v>
      </c>
      <c r="B54" s="755" t="s">
        <v>190</v>
      </c>
      <c r="C54" s="749"/>
      <c r="D54" s="750"/>
      <c r="E54" s="1597">
        <f t="shared" si="0"/>
        <v>0</v>
      </c>
      <c r="F54" s="749"/>
      <c r="G54" s="750"/>
      <c r="H54" s="1597">
        <f t="shared" si="1"/>
        <v>0</v>
      </c>
      <c r="I54" s="751">
        <v>0</v>
      </c>
      <c r="J54" s="1598"/>
      <c r="K54" s="1599">
        <f t="shared" si="2"/>
        <v>0</v>
      </c>
      <c r="L54" s="752"/>
      <c r="M54" s="1604">
        <f t="shared" si="7"/>
        <v>0</v>
      </c>
      <c r="N54" s="1601">
        <f t="shared" si="3"/>
        <v>0</v>
      </c>
      <c r="O54" s="1601">
        <f t="shared" si="8"/>
        <v>0</v>
      </c>
      <c r="P54" s="1602">
        <f t="shared" si="4"/>
        <v>0</v>
      </c>
      <c r="Q54" s="1603">
        <f t="shared" si="5"/>
        <v>0</v>
      </c>
      <c r="R54" s="753">
        <v>0</v>
      </c>
      <c r="S54" s="110">
        <f t="shared" si="6"/>
        <v>0</v>
      </c>
    </row>
    <row r="55" spans="1:19" ht="14.25" hidden="1" x14ac:dyDescent="0.2">
      <c r="A55" s="105">
        <v>1960</v>
      </c>
      <c r="B55" s="754" t="s">
        <v>191</v>
      </c>
      <c r="C55" s="749"/>
      <c r="D55" s="750"/>
      <c r="E55" s="1597">
        <f t="shared" si="0"/>
        <v>0</v>
      </c>
      <c r="F55" s="749"/>
      <c r="G55" s="750"/>
      <c r="H55" s="1597">
        <f t="shared" si="1"/>
        <v>0</v>
      </c>
      <c r="I55" s="751">
        <v>0</v>
      </c>
      <c r="J55" s="1598"/>
      <c r="K55" s="1599">
        <f t="shared" si="2"/>
        <v>0</v>
      </c>
      <c r="L55" s="752"/>
      <c r="M55" s="1604">
        <f t="shared" si="7"/>
        <v>0</v>
      </c>
      <c r="N55" s="1601">
        <f t="shared" si="3"/>
        <v>0</v>
      </c>
      <c r="O55" s="1601">
        <f t="shared" si="8"/>
        <v>0</v>
      </c>
      <c r="P55" s="1602">
        <f t="shared" si="4"/>
        <v>0</v>
      </c>
      <c r="Q55" s="1603">
        <f t="shared" si="5"/>
        <v>0</v>
      </c>
      <c r="R55" s="753">
        <v>0</v>
      </c>
      <c r="S55" s="110">
        <f t="shared" si="6"/>
        <v>0</v>
      </c>
    </row>
    <row r="56" spans="1:19" ht="14.25" hidden="1" x14ac:dyDescent="0.2">
      <c r="A56" s="102">
        <v>1970</v>
      </c>
      <c r="B56" s="756" t="s">
        <v>410</v>
      </c>
      <c r="C56" s="749"/>
      <c r="D56" s="750"/>
      <c r="E56" s="1597">
        <f t="shared" si="0"/>
        <v>0</v>
      </c>
      <c r="F56" s="749"/>
      <c r="G56" s="750"/>
      <c r="H56" s="1597">
        <f t="shared" si="1"/>
        <v>0</v>
      </c>
      <c r="I56" s="751">
        <v>0</v>
      </c>
      <c r="J56" s="1598"/>
      <c r="K56" s="1599">
        <f t="shared" si="2"/>
        <v>0</v>
      </c>
      <c r="L56" s="752"/>
      <c r="M56" s="1604">
        <f t="shared" si="7"/>
        <v>0</v>
      </c>
      <c r="N56" s="1601">
        <f t="shared" si="3"/>
        <v>0</v>
      </c>
      <c r="O56" s="1601">
        <f t="shared" si="8"/>
        <v>0</v>
      </c>
      <c r="P56" s="1602">
        <f t="shared" si="4"/>
        <v>0</v>
      </c>
      <c r="Q56" s="1603">
        <f t="shared" si="5"/>
        <v>0</v>
      </c>
      <c r="R56" s="753">
        <v>0</v>
      </c>
      <c r="S56" s="110">
        <f t="shared" si="6"/>
        <v>0</v>
      </c>
    </row>
    <row r="57" spans="1:19" ht="14.25" hidden="1" x14ac:dyDescent="0.2">
      <c r="A57" s="105">
        <v>1975</v>
      </c>
      <c r="B57" s="754" t="s">
        <v>255</v>
      </c>
      <c r="C57" s="749"/>
      <c r="D57" s="750"/>
      <c r="E57" s="1597">
        <f t="shared" si="0"/>
        <v>0</v>
      </c>
      <c r="F57" s="749"/>
      <c r="G57" s="750"/>
      <c r="H57" s="1597">
        <f t="shared" si="1"/>
        <v>0</v>
      </c>
      <c r="I57" s="751">
        <v>0</v>
      </c>
      <c r="J57" s="1598"/>
      <c r="K57" s="1599">
        <f t="shared" si="2"/>
        <v>0</v>
      </c>
      <c r="L57" s="752"/>
      <c r="M57" s="1604">
        <f t="shared" si="7"/>
        <v>0</v>
      </c>
      <c r="N57" s="1601">
        <f t="shared" si="3"/>
        <v>0</v>
      </c>
      <c r="O57" s="1601">
        <f t="shared" si="8"/>
        <v>0</v>
      </c>
      <c r="P57" s="1602">
        <f t="shared" si="4"/>
        <v>0</v>
      </c>
      <c r="Q57" s="1603">
        <f t="shared" si="5"/>
        <v>0</v>
      </c>
      <c r="R57" s="753">
        <v>0</v>
      </c>
      <c r="S57" s="110">
        <f t="shared" si="6"/>
        <v>0</v>
      </c>
    </row>
    <row r="58" spans="1:19" ht="14.25" x14ac:dyDescent="0.2">
      <c r="A58" s="105">
        <v>1980</v>
      </c>
      <c r="B58" s="754" t="s">
        <v>256</v>
      </c>
      <c r="C58" s="749">
        <v>1573528.65</v>
      </c>
      <c r="D58" s="749">
        <v>1274629.6876041666</v>
      </c>
      <c r="E58" s="1597">
        <f t="shared" si="0"/>
        <v>298898.96239583334</v>
      </c>
      <c r="F58" s="749"/>
      <c r="G58" s="750"/>
      <c r="H58" s="1597">
        <f t="shared" si="1"/>
        <v>0</v>
      </c>
      <c r="I58" s="751">
        <v>59389.240000000013</v>
      </c>
      <c r="J58" s="1598">
        <v>12.810749149649221</v>
      </c>
      <c r="K58" s="1599">
        <f>IF(J58=0,0,1/J58)</f>
        <v>7.80594474467078E-2</v>
      </c>
      <c r="L58" s="752">
        <v>20</v>
      </c>
      <c r="M58" s="1604">
        <f t="shared" si="7"/>
        <v>0.05</v>
      </c>
      <c r="N58" s="1601">
        <f t="shared" si="3"/>
        <v>23331.887847013044</v>
      </c>
      <c r="O58" s="1601">
        <f t="shared" si="8"/>
        <v>0</v>
      </c>
      <c r="P58" s="1602">
        <f>IF(L58=0,0,+(I58*0.5)/L58)</f>
        <v>1484.7310000000002</v>
      </c>
      <c r="Q58" s="1603">
        <f t="shared" si="5"/>
        <v>24816.618847013044</v>
      </c>
      <c r="R58" s="753">
        <v>26377.489898295094</v>
      </c>
      <c r="S58" s="110">
        <f t="shared" si="6"/>
        <v>1560.8710512820508</v>
      </c>
    </row>
    <row r="59" spans="1:19" ht="14.25" x14ac:dyDescent="0.2">
      <c r="A59" s="105">
        <v>1985</v>
      </c>
      <c r="B59" s="754" t="s">
        <v>257</v>
      </c>
      <c r="C59" s="749">
        <v>42116.86</v>
      </c>
      <c r="D59" s="749">
        <v>42116.858000000007</v>
      </c>
      <c r="E59" s="1597">
        <f t="shared" si="0"/>
        <v>1.999999993131496E-3</v>
      </c>
      <c r="F59" s="749"/>
      <c r="G59" s="750"/>
      <c r="H59" s="1597">
        <f t="shared" si="1"/>
        <v>0</v>
      </c>
      <c r="I59" s="751">
        <v>0</v>
      </c>
      <c r="J59" s="1598"/>
      <c r="K59" s="1599">
        <f t="shared" si="2"/>
        <v>0</v>
      </c>
      <c r="L59" s="752"/>
      <c r="M59" s="1604">
        <f t="shared" si="7"/>
        <v>0</v>
      </c>
      <c r="N59" s="1601">
        <f t="shared" si="3"/>
        <v>0</v>
      </c>
      <c r="O59" s="1601">
        <f t="shared" si="8"/>
        <v>0</v>
      </c>
      <c r="P59" s="1602">
        <f t="shared" si="4"/>
        <v>0</v>
      </c>
      <c r="Q59" s="1603">
        <f t="shared" si="5"/>
        <v>0</v>
      </c>
      <c r="R59" s="753">
        <v>0</v>
      </c>
      <c r="S59" s="110">
        <f t="shared" si="6"/>
        <v>0</v>
      </c>
    </row>
    <row r="60" spans="1:19" ht="14.25" hidden="1" x14ac:dyDescent="0.2">
      <c r="A60" s="105">
        <v>1990</v>
      </c>
      <c r="B60" s="1544" t="s">
        <v>411</v>
      </c>
      <c r="C60" s="749"/>
      <c r="D60" s="750"/>
      <c r="E60" s="1597">
        <f t="shared" si="0"/>
        <v>0</v>
      </c>
      <c r="F60" s="749"/>
      <c r="G60" s="750"/>
      <c r="H60" s="1597">
        <f t="shared" si="1"/>
        <v>0</v>
      </c>
      <c r="I60" s="751">
        <v>0</v>
      </c>
      <c r="J60" s="1598"/>
      <c r="K60" s="1599">
        <f t="shared" si="2"/>
        <v>0</v>
      </c>
      <c r="L60" s="752"/>
      <c r="M60" s="1604">
        <f t="shared" si="7"/>
        <v>0</v>
      </c>
      <c r="N60" s="1601">
        <f t="shared" si="3"/>
        <v>0</v>
      </c>
      <c r="O60" s="1601">
        <f t="shared" si="8"/>
        <v>0</v>
      </c>
      <c r="P60" s="1602">
        <f t="shared" si="4"/>
        <v>0</v>
      </c>
      <c r="Q60" s="1603">
        <f t="shared" si="5"/>
        <v>0</v>
      </c>
      <c r="R60" s="753">
        <v>0</v>
      </c>
      <c r="S60" s="110">
        <f t="shared" si="6"/>
        <v>0</v>
      </c>
    </row>
    <row r="61" spans="1:19" ht="14.25" x14ac:dyDescent="0.2">
      <c r="A61" s="105">
        <v>1995</v>
      </c>
      <c r="B61" s="754" t="s">
        <v>258</v>
      </c>
      <c r="C61" s="749">
        <v>-16556417.08</v>
      </c>
      <c r="D61" s="750">
        <v>-4367724.4871047614</v>
      </c>
      <c r="E61" s="1597">
        <f t="shared" si="0"/>
        <v>-12188692.59289524</v>
      </c>
      <c r="F61" s="749"/>
      <c r="G61" s="750"/>
      <c r="H61" s="1597">
        <f t="shared" si="1"/>
        <v>0</v>
      </c>
      <c r="I61" s="751"/>
      <c r="J61" s="1598">
        <v>33.456625859541333</v>
      </c>
      <c r="K61" s="1666">
        <f t="shared" si="2"/>
        <v>2.9889445642194513E-2</v>
      </c>
      <c r="L61" s="752"/>
      <c r="M61" s="1604">
        <f t="shared" si="7"/>
        <v>0</v>
      </c>
      <c r="N61" s="1667">
        <f t="shared" si="3"/>
        <v>-364313.26470476115</v>
      </c>
      <c r="O61" s="1667">
        <f t="shared" si="8"/>
        <v>0</v>
      </c>
      <c r="P61" s="110">
        <f t="shared" si="4"/>
        <v>0</v>
      </c>
      <c r="Q61" s="1668">
        <f t="shared" si="5"/>
        <v>-364313.26470476115</v>
      </c>
      <c r="R61" s="753">
        <v>-364313.26470476121</v>
      </c>
      <c r="S61" s="110">
        <f t="shared" si="6"/>
        <v>-5.8207660913467407E-11</v>
      </c>
    </row>
    <row r="62" spans="1:19" ht="14.25" x14ac:dyDescent="0.2">
      <c r="A62" s="1664">
        <v>2440</v>
      </c>
      <c r="B62" s="754" t="s">
        <v>1532</v>
      </c>
      <c r="C62" s="749"/>
      <c r="D62" s="753"/>
      <c r="E62" s="1597">
        <f t="shared" si="0"/>
        <v>0</v>
      </c>
      <c r="F62" s="749"/>
      <c r="G62" s="753"/>
      <c r="H62" s="1597">
        <f t="shared" si="1"/>
        <v>0</v>
      </c>
      <c r="I62" s="751"/>
      <c r="J62" s="1598">
        <v>0</v>
      </c>
      <c r="K62" s="1666">
        <f t="shared" si="2"/>
        <v>0</v>
      </c>
      <c r="L62" s="752"/>
      <c r="M62" s="1604">
        <f t="shared" si="7"/>
        <v>0</v>
      </c>
      <c r="N62" s="1667">
        <f t="shared" si="3"/>
        <v>0</v>
      </c>
      <c r="O62" s="1667">
        <f t="shared" si="8"/>
        <v>0</v>
      </c>
      <c r="P62" s="110">
        <f t="shared" si="4"/>
        <v>0</v>
      </c>
      <c r="Q62" s="1668">
        <f t="shared" si="5"/>
        <v>0</v>
      </c>
      <c r="R62" s="753"/>
      <c r="S62" s="110">
        <f t="shared" si="6"/>
        <v>0</v>
      </c>
    </row>
    <row r="63" spans="1:19" ht="15" thickBot="1" x14ac:dyDescent="0.25">
      <c r="A63" s="1664"/>
      <c r="B63" s="1665" t="s">
        <v>1533</v>
      </c>
      <c r="C63" s="1660">
        <v>-129739</v>
      </c>
      <c r="D63" s="1661">
        <v>-64281</v>
      </c>
      <c r="E63" s="1597">
        <f>C63-D63</f>
        <v>-65458</v>
      </c>
      <c r="F63" s="1660"/>
      <c r="G63" s="1661"/>
      <c r="H63" s="1597">
        <f t="shared" si="1"/>
        <v>0</v>
      </c>
      <c r="I63" s="751"/>
      <c r="J63" s="1598">
        <v>2.5226607060274393</v>
      </c>
      <c r="K63" s="1666">
        <f t="shared" si="2"/>
        <v>0.39640685630480615</v>
      </c>
      <c r="L63" s="752"/>
      <c r="M63" s="1604">
        <f t="shared" si="7"/>
        <v>0</v>
      </c>
      <c r="N63" s="1667">
        <f>IF(J63=0,0,+E63/J63)</f>
        <v>-25948.000000000004</v>
      </c>
      <c r="O63" s="1667">
        <f t="shared" si="8"/>
        <v>0</v>
      </c>
      <c r="P63" s="110">
        <f t="shared" si="4"/>
        <v>0</v>
      </c>
      <c r="Q63" s="1668">
        <f t="shared" si="5"/>
        <v>-25948.000000000004</v>
      </c>
      <c r="R63" s="753">
        <v>-25948</v>
      </c>
      <c r="S63" s="110">
        <f t="shared" si="6"/>
        <v>3.637978807091713E-12</v>
      </c>
    </row>
    <row r="64" spans="1:19" ht="15.75" thickTop="1" thickBot="1" x14ac:dyDescent="0.25">
      <c r="A64" s="124"/>
      <c r="B64" s="757" t="s">
        <v>259</v>
      </c>
      <c r="C64" s="1384">
        <f>SUM(C23:C63)</f>
        <v>179885605.00999999</v>
      </c>
      <c r="D64" s="1384">
        <f>SUM(D23:D63)</f>
        <v>114082815.14461029</v>
      </c>
      <c r="E64" s="1384">
        <f>SUM(E23:E63)</f>
        <v>65802789.86538972</v>
      </c>
      <c r="F64" s="1384">
        <f>SUM(F23:F61)</f>
        <v>0</v>
      </c>
      <c r="G64" s="1384">
        <f>SUM(G23:G61)</f>
        <v>0</v>
      </c>
      <c r="H64" s="1384">
        <f>SUM(H23:H61)</f>
        <v>0</v>
      </c>
      <c r="I64" s="1384">
        <f>SUM(I23:I63)</f>
        <v>7461115.5800000001</v>
      </c>
      <c r="J64" s="1384"/>
      <c r="K64" s="1385"/>
      <c r="L64" s="1387"/>
      <c r="M64" s="1386"/>
      <c r="N64" s="1384">
        <f>SUM(N23:N63)</f>
        <v>3406379.556032368</v>
      </c>
      <c r="O64" s="1384">
        <f>SUM(O23:O61)</f>
        <v>0</v>
      </c>
      <c r="P64" s="1384">
        <f>SUM(P23:P63)</f>
        <v>155818.02875277778</v>
      </c>
      <c r="Q64" s="1384">
        <f>SUM(Q23:Q63)</f>
        <v>3562197.5847851448</v>
      </c>
      <c r="R64" s="1384">
        <f>SUM(R23:R63)</f>
        <v>3564475.5132268947</v>
      </c>
      <c r="S64" s="1384">
        <f>SUM(S23:S63)</f>
        <v>2277.9284417497838</v>
      </c>
    </row>
    <row r="65" spans="1:25" ht="14.25" x14ac:dyDescent="0.2">
      <c r="A65" s="128"/>
      <c r="B65" s="129"/>
      <c r="C65" s="1625"/>
      <c r="D65" s="1625"/>
      <c r="E65" s="1625"/>
      <c r="F65" s="1625"/>
      <c r="G65" s="1625"/>
      <c r="H65" s="1625"/>
      <c r="I65" s="1625"/>
      <c r="J65" s="1625"/>
      <c r="K65" s="1626"/>
      <c r="L65" s="1627"/>
      <c r="M65" s="1628"/>
      <c r="N65" s="1625"/>
      <c r="O65" s="1625"/>
      <c r="P65" s="1625"/>
      <c r="Q65" s="1625"/>
      <c r="R65" s="1625"/>
      <c r="S65" s="1625"/>
    </row>
    <row r="66" spans="1:25" ht="14.25" x14ac:dyDescent="0.2">
      <c r="A66" s="128"/>
      <c r="B66" s="129"/>
      <c r="C66" s="1625"/>
      <c r="D66" s="1625"/>
      <c r="E66" s="1625"/>
      <c r="F66" s="1625"/>
      <c r="G66" s="1625"/>
      <c r="H66" s="1625"/>
      <c r="I66" s="1625"/>
      <c r="J66" s="1625"/>
      <c r="K66" s="1626"/>
      <c r="L66" s="1627"/>
      <c r="M66" s="1628"/>
      <c r="N66" s="1625"/>
      <c r="O66" s="1625"/>
      <c r="P66" s="1625"/>
      <c r="Q66" s="1625"/>
      <c r="R66" s="1625"/>
      <c r="S66" s="1625"/>
    </row>
    <row r="67" spans="1:25" ht="15" thickBot="1" x14ac:dyDescent="0.25">
      <c r="A67" s="128"/>
      <c r="B67" s="129"/>
      <c r="C67" s="130"/>
      <c r="D67" s="130"/>
      <c r="E67" s="130"/>
      <c r="F67" s="130"/>
      <c r="G67" s="130"/>
      <c r="H67" s="130"/>
      <c r="I67" s="130"/>
      <c r="J67" s="130"/>
      <c r="K67" s="130"/>
      <c r="L67" s="758"/>
      <c r="M67" s="759"/>
      <c r="N67" s="130"/>
      <c r="O67" s="130"/>
      <c r="P67" s="130"/>
      <c r="Q67" s="130"/>
      <c r="R67" s="130"/>
      <c r="S67" s="130"/>
    </row>
    <row r="68" spans="1:25" ht="18.75" customHeight="1" thickBot="1" x14ac:dyDescent="0.3">
      <c r="A68" s="1552">
        <v>2014</v>
      </c>
      <c r="B68" s="1552"/>
      <c r="C68" s="2007" t="s">
        <v>1027</v>
      </c>
      <c r="D68" s="2008"/>
      <c r="E68" s="2008"/>
      <c r="F68" s="2008"/>
      <c r="G68" s="2008"/>
      <c r="H68" s="2008"/>
      <c r="I68" s="2009"/>
      <c r="J68" s="2010" t="s">
        <v>1028</v>
      </c>
      <c r="K68" s="2011"/>
      <c r="L68" s="2011"/>
      <c r="M68" s="2011"/>
      <c r="N68" s="2010" t="s">
        <v>1029</v>
      </c>
      <c r="O68" s="2011"/>
      <c r="P68" s="2011"/>
      <c r="Q68" s="2012"/>
      <c r="R68" s="1552"/>
      <c r="S68" s="1552"/>
      <c r="Y68" s="38">
        <v>2018</v>
      </c>
    </row>
    <row r="69" spans="1:25" ht="87" customHeight="1" x14ac:dyDescent="0.2">
      <c r="A69" s="2003" t="s">
        <v>3</v>
      </c>
      <c r="B69" s="2005" t="s">
        <v>205</v>
      </c>
      <c r="C69" s="731" t="s">
        <v>1030</v>
      </c>
      <c r="D69" s="732" t="s">
        <v>1031</v>
      </c>
      <c r="E69" s="733" t="s">
        <v>1032</v>
      </c>
      <c r="F69" s="731" t="s">
        <v>1033</v>
      </c>
      <c r="G69" s="732" t="s">
        <v>1034</v>
      </c>
      <c r="H69" s="733" t="s">
        <v>1035</v>
      </c>
      <c r="I69" s="734" t="s">
        <v>1036</v>
      </c>
      <c r="J69" s="731" t="s">
        <v>1037</v>
      </c>
      <c r="K69" s="735" t="s">
        <v>1038</v>
      </c>
      <c r="L69" s="735" t="s">
        <v>1039</v>
      </c>
      <c r="M69" s="736" t="s">
        <v>326</v>
      </c>
      <c r="N69" s="731" t="s">
        <v>1040</v>
      </c>
      <c r="O69" s="735" t="s">
        <v>1041</v>
      </c>
      <c r="P69" s="735" t="s">
        <v>1042</v>
      </c>
      <c r="Q69" s="733" t="s">
        <v>1043</v>
      </c>
      <c r="R69" s="737" t="s">
        <v>1044</v>
      </c>
      <c r="S69" s="738" t="s">
        <v>1045</v>
      </c>
    </row>
    <row r="70" spans="1:25" ht="13.5" thickBot="1" x14ac:dyDescent="0.25">
      <c r="A70" s="2004"/>
      <c r="B70" s="2006"/>
      <c r="C70" s="739" t="s">
        <v>1046</v>
      </c>
      <c r="D70" s="126" t="s">
        <v>1047</v>
      </c>
      <c r="E70" s="127" t="s">
        <v>1048</v>
      </c>
      <c r="F70" s="739" t="s">
        <v>1049</v>
      </c>
      <c r="G70" s="126" t="s">
        <v>662</v>
      </c>
      <c r="H70" s="127" t="s">
        <v>1050</v>
      </c>
      <c r="I70" s="740" t="s">
        <v>1051</v>
      </c>
      <c r="J70" s="741" t="s">
        <v>1052</v>
      </c>
      <c r="K70" s="742" t="s">
        <v>1053</v>
      </c>
      <c r="L70" s="126" t="s">
        <v>1054</v>
      </c>
      <c r="M70" s="742" t="s">
        <v>1055</v>
      </c>
      <c r="N70" s="743" t="s">
        <v>1056</v>
      </c>
      <c r="O70" s="744" t="s">
        <v>1057</v>
      </c>
      <c r="P70" s="744" t="s">
        <v>1058</v>
      </c>
      <c r="Q70" s="745" t="s">
        <v>1059</v>
      </c>
      <c r="R70" s="746" t="s">
        <v>1060</v>
      </c>
      <c r="S70" s="127" t="s">
        <v>1061</v>
      </c>
    </row>
    <row r="71" spans="1:25" ht="25.5" x14ac:dyDescent="0.2">
      <c r="A71" s="747">
        <v>1611</v>
      </c>
      <c r="B71" s="748" t="s">
        <v>325</v>
      </c>
      <c r="C71" s="749">
        <v>2651922.5900000003</v>
      </c>
      <c r="D71" s="750">
        <f t="shared" ref="D71:D79" si="9">D23</f>
        <v>2124828.7959999996</v>
      </c>
      <c r="E71" s="1597">
        <f>C71-D71</f>
        <v>527093.79400000069</v>
      </c>
      <c r="F71" s="749">
        <f t="shared" ref="F71:F97" si="10">I23</f>
        <v>101413.56999999999</v>
      </c>
      <c r="G71" s="750"/>
      <c r="H71" s="1597">
        <f>F71-G71</f>
        <v>101413.56999999999</v>
      </c>
      <c r="I71" s="751">
        <v>48679.240000000005</v>
      </c>
      <c r="J71" s="1616">
        <v>2.1109209551155561</v>
      </c>
      <c r="K71" s="1599">
        <f>IF(J71=0,0,1/J71)</f>
        <v>0.47372688095052712</v>
      </c>
      <c r="L71" s="752">
        <v>5</v>
      </c>
      <c r="M71" s="1600">
        <f>IF(L71=0,0,1/L71)</f>
        <v>0.2</v>
      </c>
      <c r="N71" s="1601">
        <f>IF(J71=0,0,+E71/J71)</f>
        <v>249698.49899999998</v>
      </c>
      <c r="O71" s="1601">
        <f>IF(L71=0,0,+H71/L71)</f>
        <v>20282.714</v>
      </c>
      <c r="P71" s="1602">
        <f>IF(L71=0,0,+(I71*0.5)/L71)</f>
        <v>4867.9240000000009</v>
      </c>
      <c r="Q71" s="1603">
        <f>IF(ISERROR(+N71+O71+P71), 0, +N71+O71+P71)</f>
        <v>274849.13699999999</v>
      </c>
      <c r="R71" s="753">
        <f>-'App.2-BA_Fixed Asset Cont'!K82</f>
        <v>274849.13699999999</v>
      </c>
      <c r="S71" s="110">
        <f>IF(ISERROR(+R71-122), 0, +R71-Q71)</f>
        <v>0</v>
      </c>
    </row>
    <row r="72" spans="1:25" ht="14.25" x14ac:dyDescent="0.2">
      <c r="A72" s="105">
        <v>1612</v>
      </c>
      <c r="B72" s="754" t="s">
        <v>360</v>
      </c>
      <c r="C72" s="749">
        <v>0</v>
      </c>
      <c r="D72" s="750">
        <f t="shared" si="9"/>
        <v>0</v>
      </c>
      <c r="E72" s="1597">
        <f t="shared" ref="E72:E95" si="11">C72-D72</f>
        <v>0</v>
      </c>
      <c r="F72" s="749">
        <f t="shared" si="10"/>
        <v>9044.52</v>
      </c>
      <c r="G72" s="750"/>
      <c r="H72" s="1597">
        <f t="shared" ref="H72:H95" si="12">F72-G72</f>
        <v>9044.52</v>
      </c>
      <c r="I72" s="751">
        <v>13654.66</v>
      </c>
      <c r="J72" s="1616">
        <v>0</v>
      </c>
      <c r="K72" s="1599">
        <f t="shared" ref="K72:K111" si="13">IF(J72=0,0,1/J72)</f>
        <v>0</v>
      </c>
      <c r="L72" s="752">
        <v>0</v>
      </c>
      <c r="M72" s="1604">
        <f t="shared" ref="M72:M112" si="14">IF(L72=0,0,1/L72)</f>
        <v>0</v>
      </c>
      <c r="N72" s="1601">
        <f t="shared" ref="N72:N112" si="15">IF(J72=0,0,+E72/J72)</f>
        <v>0</v>
      </c>
      <c r="O72" s="1601">
        <f>IF(L72=0,0,+H72/L72)</f>
        <v>0</v>
      </c>
      <c r="P72" s="1602">
        <f>IF(L72=0,0,+(I72*0.5)/L72)</f>
        <v>0</v>
      </c>
      <c r="Q72" s="1603">
        <f t="shared" ref="Q72:Q112" si="16">IF(ISERROR(+N72+O72+P72), 0, +N72+O72+P72)</f>
        <v>0</v>
      </c>
      <c r="R72" s="753">
        <f>-'App.2-BA_Fixed Asset Cont'!K83</f>
        <v>0</v>
      </c>
      <c r="S72" s="110">
        <f t="shared" ref="S72:S112" si="17">IF(ISERROR(+R72-122), 0, +R72-Q72)</f>
        <v>0</v>
      </c>
    </row>
    <row r="73" spans="1:25" ht="14.25" x14ac:dyDescent="0.2">
      <c r="A73" s="102">
        <v>1805</v>
      </c>
      <c r="B73" s="755" t="s">
        <v>236</v>
      </c>
      <c r="C73" s="749">
        <v>858551.45999999985</v>
      </c>
      <c r="D73" s="750">
        <f t="shared" si="9"/>
        <v>0</v>
      </c>
      <c r="E73" s="1597">
        <f t="shared" si="11"/>
        <v>858551.45999999985</v>
      </c>
      <c r="F73" s="749">
        <f t="shared" si="10"/>
        <v>26005.55</v>
      </c>
      <c r="G73" s="750"/>
      <c r="H73" s="1597">
        <f t="shared" si="12"/>
        <v>26005.55</v>
      </c>
      <c r="I73" s="751">
        <v>23467.199999999997</v>
      </c>
      <c r="J73" s="1616">
        <v>0</v>
      </c>
      <c r="K73" s="1599">
        <f t="shared" si="13"/>
        <v>0</v>
      </c>
      <c r="L73" s="752">
        <v>0</v>
      </c>
      <c r="M73" s="1604">
        <f t="shared" si="14"/>
        <v>0</v>
      </c>
      <c r="N73" s="1601">
        <f t="shared" si="15"/>
        <v>0</v>
      </c>
      <c r="O73" s="1601">
        <f t="shared" ref="O73:O112" si="18">IF(L73=0,0,+H73/L73)</f>
        <v>0</v>
      </c>
      <c r="P73" s="1602">
        <f>IF(L73=0,0,+(I73*0.5)/L73)</f>
        <v>0</v>
      </c>
      <c r="Q73" s="1603">
        <f t="shared" si="16"/>
        <v>0</v>
      </c>
      <c r="R73" s="753">
        <f>-'App.2-BA_Fixed Asset Cont'!K84</f>
        <v>0</v>
      </c>
      <c r="S73" s="110">
        <f t="shared" si="17"/>
        <v>0</v>
      </c>
    </row>
    <row r="74" spans="1:25" ht="14.25" x14ac:dyDescent="0.2">
      <c r="A74" s="105">
        <v>1808</v>
      </c>
      <c r="B74" s="754" t="s">
        <v>237</v>
      </c>
      <c r="C74" s="749">
        <v>10129356.539999999</v>
      </c>
      <c r="D74" s="750">
        <f t="shared" si="9"/>
        <v>4624660.5143232271</v>
      </c>
      <c r="E74" s="1597">
        <f t="shared" si="11"/>
        <v>5504696.025676772</v>
      </c>
      <c r="F74" s="749">
        <f t="shared" si="10"/>
        <v>227203.47999999998</v>
      </c>
      <c r="G74" s="750"/>
      <c r="H74" s="1597">
        <f t="shared" si="12"/>
        <v>227203.47999999998</v>
      </c>
      <c r="I74" s="751">
        <v>1483777.61</v>
      </c>
      <c r="J74" s="1616">
        <v>22.690727230083834</v>
      </c>
      <c r="K74" s="1599">
        <f t="shared" si="13"/>
        <v>4.4070866035275387E-2</v>
      </c>
      <c r="L74" s="752">
        <v>15</v>
      </c>
      <c r="M74" s="1604">
        <f t="shared" si="14"/>
        <v>6.6666666666666666E-2</v>
      </c>
      <c r="N74" s="1601">
        <f>IF(J74=0,0,+E74/J74)</f>
        <v>242596.72111251386</v>
      </c>
      <c r="O74" s="1601">
        <f>IF(L74=0,0,+H74/L74)</f>
        <v>15146.898666666666</v>
      </c>
      <c r="P74" s="1602">
        <f>IF(L74=0,0,+(I74*0.5)/L74)</f>
        <v>49459.253666666671</v>
      </c>
      <c r="Q74" s="1603">
        <f t="shared" si="16"/>
        <v>307202.87344584719</v>
      </c>
      <c r="R74" s="753">
        <f>-'App.2-BA_Fixed Asset Cont'!K85</f>
        <v>307418.87344584719</v>
      </c>
      <c r="S74" s="110">
        <f>IF(ISERROR(+R74-122), 0, +R74-Q74)</f>
        <v>216</v>
      </c>
    </row>
    <row r="75" spans="1:25" ht="14.25" hidden="1" x14ac:dyDescent="0.2">
      <c r="A75" s="105">
        <v>1810</v>
      </c>
      <c r="B75" s="754" t="s">
        <v>262</v>
      </c>
      <c r="C75" s="749">
        <v>0</v>
      </c>
      <c r="D75" s="750">
        <f t="shared" si="9"/>
        <v>0</v>
      </c>
      <c r="E75" s="1597">
        <f t="shared" si="11"/>
        <v>0</v>
      </c>
      <c r="F75" s="749">
        <f t="shared" si="10"/>
        <v>0</v>
      </c>
      <c r="G75" s="750"/>
      <c r="H75" s="1597">
        <f t="shared" si="12"/>
        <v>0</v>
      </c>
      <c r="I75" s="751">
        <v>0</v>
      </c>
      <c r="J75" s="1616">
        <v>0</v>
      </c>
      <c r="K75" s="1599">
        <f t="shared" si="13"/>
        <v>0</v>
      </c>
      <c r="L75" s="752">
        <v>0</v>
      </c>
      <c r="M75" s="1604">
        <f t="shared" si="14"/>
        <v>0</v>
      </c>
      <c r="N75" s="1601">
        <f t="shared" si="15"/>
        <v>0</v>
      </c>
      <c r="O75" s="1601">
        <f t="shared" si="18"/>
        <v>0</v>
      </c>
      <c r="P75" s="1602">
        <f t="shared" ref="P75:P85" si="19">IF(L75=0,0,+(I75*0.5)/L75)</f>
        <v>0</v>
      </c>
      <c r="Q75" s="1603">
        <f t="shared" si="16"/>
        <v>0</v>
      </c>
      <c r="R75" s="753">
        <f>-'App.2-BA_Fixed Asset Cont'!K86</f>
        <v>0</v>
      </c>
      <c r="S75" s="110">
        <f t="shared" si="17"/>
        <v>0</v>
      </c>
    </row>
    <row r="76" spans="1:25" ht="14.25" hidden="1" x14ac:dyDescent="0.2">
      <c r="A76" s="105">
        <v>1815</v>
      </c>
      <c r="B76" s="754" t="s">
        <v>238</v>
      </c>
      <c r="C76" s="749">
        <v>0</v>
      </c>
      <c r="D76" s="750">
        <f t="shared" si="9"/>
        <v>0</v>
      </c>
      <c r="E76" s="1597">
        <f t="shared" si="11"/>
        <v>0</v>
      </c>
      <c r="F76" s="749">
        <f t="shared" si="10"/>
        <v>0</v>
      </c>
      <c r="G76" s="750"/>
      <c r="H76" s="1597">
        <f t="shared" si="12"/>
        <v>0</v>
      </c>
      <c r="I76" s="751">
        <v>0</v>
      </c>
      <c r="J76" s="1616">
        <v>0</v>
      </c>
      <c r="K76" s="1599">
        <f t="shared" si="13"/>
        <v>0</v>
      </c>
      <c r="L76" s="752">
        <v>0</v>
      </c>
      <c r="M76" s="1604">
        <f t="shared" si="14"/>
        <v>0</v>
      </c>
      <c r="N76" s="1601">
        <f t="shared" si="15"/>
        <v>0</v>
      </c>
      <c r="O76" s="1601">
        <f t="shared" si="18"/>
        <v>0</v>
      </c>
      <c r="P76" s="1602">
        <f t="shared" si="19"/>
        <v>0</v>
      </c>
      <c r="Q76" s="1603">
        <f t="shared" si="16"/>
        <v>0</v>
      </c>
      <c r="R76" s="753">
        <f>-'App.2-BA_Fixed Asset Cont'!K87</f>
        <v>0</v>
      </c>
      <c r="S76" s="110">
        <f t="shared" si="17"/>
        <v>0</v>
      </c>
    </row>
    <row r="77" spans="1:25" ht="14.25" x14ac:dyDescent="0.2">
      <c r="A77" s="105">
        <v>1820</v>
      </c>
      <c r="B77" s="754" t="s">
        <v>178</v>
      </c>
      <c r="C77" s="749">
        <v>17547705.690000001</v>
      </c>
      <c r="D77" s="750">
        <f t="shared" si="9"/>
        <v>11226787.926014977</v>
      </c>
      <c r="E77" s="1597">
        <f t="shared" si="11"/>
        <v>6320917.7639850248</v>
      </c>
      <c r="F77" s="749">
        <f t="shared" si="10"/>
        <v>359532.43000000005</v>
      </c>
      <c r="G77" s="750"/>
      <c r="H77" s="1597">
        <f t="shared" si="12"/>
        <v>359532.43000000005</v>
      </c>
      <c r="I77" s="751">
        <v>404330.35000000003</v>
      </c>
      <c r="J77" s="1616">
        <v>30.092793928076045</v>
      </c>
      <c r="K77" s="1599">
        <f t="shared" si="13"/>
        <v>3.3230546900698966E-2</v>
      </c>
      <c r="L77" s="752">
        <v>45</v>
      </c>
      <c r="M77" s="1604">
        <f t="shared" si="14"/>
        <v>2.2222222222222223E-2</v>
      </c>
      <c r="N77" s="1601">
        <f>IF(J77=0,0,+E77/J77)</f>
        <v>210047.55421156558</v>
      </c>
      <c r="O77" s="1601">
        <f>IF(L77=0,0,+H77/L77)</f>
        <v>7989.6095555555567</v>
      </c>
      <c r="P77" s="1602">
        <f t="shared" si="19"/>
        <v>4492.559444444445</v>
      </c>
      <c r="Q77" s="1603">
        <f>IF(ISERROR(+N77+O77+P77), 0, +N77+O77+P77)</f>
        <v>222529.72321156561</v>
      </c>
      <c r="R77" s="753">
        <f>-'App.2-BA_Fixed Asset Cont'!K88</f>
        <v>222693.15528379902</v>
      </c>
      <c r="S77" s="110">
        <f t="shared" si="17"/>
        <v>163.43207223340869</v>
      </c>
    </row>
    <row r="78" spans="1:25" ht="14.25" hidden="1" x14ac:dyDescent="0.2">
      <c r="A78" s="105">
        <v>1825</v>
      </c>
      <c r="B78" s="754" t="s">
        <v>239</v>
      </c>
      <c r="C78" s="749">
        <v>0</v>
      </c>
      <c r="D78" s="750">
        <f t="shared" si="9"/>
        <v>0</v>
      </c>
      <c r="E78" s="1597">
        <f t="shared" si="11"/>
        <v>0</v>
      </c>
      <c r="F78" s="749">
        <f t="shared" si="10"/>
        <v>0</v>
      </c>
      <c r="G78" s="750"/>
      <c r="H78" s="1597">
        <f t="shared" si="12"/>
        <v>0</v>
      </c>
      <c r="I78" s="751">
        <v>0</v>
      </c>
      <c r="J78" s="1616">
        <v>0</v>
      </c>
      <c r="K78" s="1599">
        <f t="shared" si="13"/>
        <v>0</v>
      </c>
      <c r="L78" s="752">
        <v>0</v>
      </c>
      <c r="M78" s="1604">
        <f t="shared" si="14"/>
        <v>0</v>
      </c>
      <c r="N78" s="1601">
        <f t="shared" si="15"/>
        <v>0</v>
      </c>
      <c r="O78" s="1601">
        <f t="shared" si="18"/>
        <v>0</v>
      </c>
      <c r="P78" s="1602">
        <f t="shared" si="19"/>
        <v>0</v>
      </c>
      <c r="Q78" s="1603">
        <f t="shared" si="16"/>
        <v>0</v>
      </c>
      <c r="R78" s="753">
        <f>-'App.2-BA_Fixed Asset Cont'!K89</f>
        <v>0</v>
      </c>
      <c r="S78" s="110">
        <f t="shared" si="17"/>
        <v>0</v>
      </c>
    </row>
    <row r="79" spans="1:25" ht="14.25" x14ac:dyDescent="0.2">
      <c r="A79" s="105">
        <v>1830</v>
      </c>
      <c r="B79" s="754" t="s">
        <v>240</v>
      </c>
      <c r="C79" s="749">
        <v>19238774.109999999</v>
      </c>
      <c r="D79" s="750">
        <f t="shared" si="9"/>
        <v>9065588.3328476083</v>
      </c>
      <c r="E79" s="1597">
        <f t="shared" si="11"/>
        <v>10173185.777152391</v>
      </c>
      <c r="F79" s="749">
        <f t="shared" si="10"/>
        <v>1205309.4999999991</v>
      </c>
      <c r="G79" s="750"/>
      <c r="H79" s="1597">
        <f t="shared" si="12"/>
        <v>1205309.4999999991</v>
      </c>
      <c r="I79" s="751">
        <v>1247407.6099999999</v>
      </c>
      <c r="J79" s="1616">
        <v>29.31882189816271</v>
      </c>
      <c r="K79" s="1599">
        <f t="shared" si="13"/>
        <v>3.4107782484352346E-2</v>
      </c>
      <c r="L79" s="752">
        <v>40</v>
      </c>
      <c r="M79" s="1604">
        <f t="shared" si="14"/>
        <v>2.5000000000000001E-2</v>
      </c>
      <c r="N79" s="1601">
        <f t="shared" si="15"/>
        <v>346984.80766002071</v>
      </c>
      <c r="O79" s="1601">
        <f>IF(L79=0,0,+H79/L79)</f>
        <v>30132.737499999977</v>
      </c>
      <c r="P79" s="1602">
        <f t="shared" si="19"/>
        <v>15592.595124999998</v>
      </c>
      <c r="Q79" s="1603">
        <f t="shared" si="16"/>
        <v>392710.14028502069</v>
      </c>
      <c r="R79" s="753">
        <f>-'App.2-BA_Fixed Asset Cont'!K90</f>
        <v>392464.6537850207</v>
      </c>
      <c r="S79" s="110">
        <f t="shared" si="17"/>
        <v>-245.48649999999907</v>
      </c>
    </row>
    <row r="80" spans="1:25" s="82" customFormat="1" ht="14.25" x14ac:dyDescent="0.2">
      <c r="A80" s="105">
        <v>1835</v>
      </c>
      <c r="B80" s="754" t="s">
        <v>1473</v>
      </c>
      <c r="C80" s="749">
        <v>29187086.480131183</v>
      </c>
      <c r="D80" s="749">
        <f t="shared" ref="D80:D95" si="20">D32</f>
        <v>21602233.694095131</v>
      </c>
      <c r="E80" s="1597">
        <f t="shared" si="11"/>
        <v>7584852.7860360518</v>
      </c>
      <c r="F80" s="749">
        <f t="shared" si="10"/>
        <v>606347.22</v>
      </c>
      <c r="G80" s="750"/>
      <c r="H80" s="1597">
        <f t="shared" si="12"/>
        <v>606347.22</v>
      </c>
      <c r="I80" s="751">
        <v>432271.56</v>
      </c>
      <c r="J80" s="1616">
        <v>22.086643092089325</v>
      </c>
      <c r="K80" s="1599">
        <f t="shared" si="13"/>
        <v>4.5276233053187044E-2</v>
      </c>
      <c r="L80" s="752">
        <v>40</v>
      </c>
      <c r="M80" s="1604">
        <f t="shared" si="14"/>
        <v>2.5000000000000001E-2</v>
      </c>
      <c r="N80" s="1601">
        <f>IF(J80=0,0,+E80/J80)</f>
        <v>343413.56241468334</v>
      </c>
      <c r="O80" s="1601">
        <f>IF(L80=0,0,+H80/L80)</f>
        <v>15158.680499999999</v>
      </c>
      <c r="P80" s="1601">
        <f t="shared" si="19"/>
        <v>5403.3945000000003</v>
      </c>
      <c r="Q80" s="1601">
        <f>IF(ISERROR(+N80+O80+P80), 0, +N80+O80+P80)</f>
        <v>363975.63741468336</v>
      </c>
      <c r="R80" s="753">
        <f>-'App.2-BA_Fixed Asset Cont'!K91-106890</f>
        <v>363975.51257297333</v>
      </c>
      <c r="S80" s="110">
        <f t="shared" si="17"/>
        <v>-0.12484171002870426</v>
      </c>
    </row>
    <row r="81" spans="1:19" ht="14.25" x14ac:dyDescent="0.2">
      <c r="A81" s="105">
        <v>1835</v>
      </c>
      <c r="B81" s="755" t="s">
        <v>1474</v>
      </c>
      <c r="C81" s="749">
        <v>9768757</v>
      </c>
      <c r="D81" s="750">
        <f t="shared" si="20"/>
        <v>6712011.325488192</v>
      </c>
      <c r="E81" s="1597">
        <f t="shared" si="11"/>
        <v>3056745.674511808</v>
      </c>
      <c r="F81" s="749">
        <f t="shared" si="10"/>
        <v>390152.47</v>
      </c>
      <c r="G81" s="750"/>
      <c r="H81" s="1597">
        <f t="shared" si="12"/>
        <v>390152.47</v>
      </c>
      <c r="I81" s="751">
        <v>329297.82</v>
      </c>
      <c r="J81" s="1616">
        <v>31.909616081008405</v>
      </c>
      <c r="K81" s="1599">
        <f t="shared" si="13"/>
        <v>3.1338515557859326E-2</v>
      </c>
      <c r="L81" s="752">
        <v>50</v>
      </c>
      <c r="M81" s="1604">
        <f t="shared" si="14"/>
        <v>0.02</v>
      </c>
      <c r="N81" s="1601">
        <f>IF(J81=0,0,+E81/J81)</f>
        <v>95793.871877107493</v>
      </c>
      <c r="O81" s="1601">
        <f t="shared" si="18"/>
        <v>7803.0493999999999</v>
      </c>
      <c r="P81" s="1602">
        <f t="shared" si="19"/>
        <v>3292.9782</v>
      </c>
      <c r="Q81" s="1603">
        <f t="shared" si="16"/>
        <v>106889.89947710749</v>
      </c>
      <c r="R81" s="753">
        <v>106890</v>
      </c>
      <c r="S81" s="110">
        <f t="shared" si="17"/>
        <v>0.10052289250597823</v>
      </c>
    </row>
    <row r="82" spans="1:19" s="82" customFormat="1" ht="14.25" x14ac:dyDescent="0.2">
      <c r="A82" s="105">
        <v>1840</v>
      </c>
      <c r="B82" s="755" t="s">
        <v>180</v>
      </c>
      <c r="C82" s="749">
        <v>20841499.539999999</v>
      </c>
      <c r="D82" s="750">
        <f t="shared" si="20"/>
        <v>12176064.896733059</v>
      </c>
      <c r="E82" s="1597">
        <f t="shared" si="11"/>
        <v>8665434.6432669405</v>
      </c>
      <c r="F82" s="749">
        <f t="shared" si="10"/>
        <v>670006.09000000008</v>
      </c>
      <c r="G82" s="750"/>
      <c r="H82" s="1597">
        <f t="shared" si="12"/>
        <v>670006.09000000008</v>
      </c>
      <c r="I82" s="751">
        <v>634436.62</v>
      </c>
      <c r="J82" s="1616">
        <v>38.144264154552815</v>
      </c>
      <c r="K82" s="1599">
        <f t="shared" si="13"/>
        <v>2.6216261400356367E-2</v>
      </c>
      <c r="L82" s="752">
        <v>50</v>
      </c>
      <c r="M82" s="1607">
        <f t="shared" si="14"/>
        <v>0.02</v>
      </c>
      <c r="N82" s="1608">
        <f t="shared" si="15"/>
        <v>227175.29975558995</v>
      </c>
      <c r="O82" s="1608">
        <f t="shared" si="18"/>
        <v>13400.121800000001</v>
      </c>
      <c r="P82" s="1602">
        <f t="shared" si="19"/>
        <v>6344.3662000000004</v>
      </c>
      <c r="Q82" s="1610">
        <f t="shared" si="16"/>
        <v>246919.78775558993</v>
      </c>
      <c r="R82" s="753">
        <f>-'App.2-BA_Fixed Asset Cont'!K92</f>
        <v>246919.53775558996</v>
      </c>
      <c r="S82" s="110">
        <f t="shared" si="17"/>
        <v>-0.24999999997089617</v>
      </c>
    </row>
    <row r="83" spans="1:19" ht="14.25" x14ac:dyDescent="0.2">
      <c r="A83" s="105">
        <v>1845</v>
      </c>
      <c r="B83" s="754" t="s">
        <v>181</v>
      </c>
      <c r="C83" s="749">
        <v>15719869.667285465</v>
      </c>
      <c r="D83" s="749">
        <f t="shared" si="20"/>
        <v>11662374.440973222</v>
      </c>
      <c r="E83" s="1597">
        <f t="shared" si="11"/>
        <v>4057495.2263122424</v>
      </c>
      <c r="F83" s="749">
        <f t="shared" si="10"/>
        <v>615323.20000000007</v>
      </c>
      <c r="G83" s="750"/>
      <c r="H83" s="1597">
        <f t="shared" si="12"/>
        <v>615323.20000000007</v>
      </c>
      <c r="I83" s="751">
        <v>676224.89</v>
      </c>
      <c r="J83" s="1616">
        <v>17.227550217275297</v>
      </c>
      <c r="K83" s="1599">
        <f>IF(J83=0,0,1/J83)</f>
        <v>5.8046558413002242E-2</v>
      </c>
      <c r="L83" s="752">
        <v>40</v>
      </c>
      <c r="M83" s="1604">
        <f t="shared" si="14"/>
        <v>2.5000000000000001E-2</v>
      </c>
      <c r="N83" s="1601">
        <f t="shared" si="15"/>
        <v>235523.63366461132</v>
      </c>
      <c r="O83" s="1601">
        <f>IF(L83=0,0,+H83/L83)</f>
        <v>15383.080000000002</v>
      </c>
      <c r="P83" s="1601">
        <f t="shared" si="19"/>
        <v>8452.8111250000002</v>
      </c>
      <c r="Q83" s="1601">
        <f t="shared" si="16"/>
        <v>259359.52478961134</v>
      </c>
      <c r="R83" s="753">
        <f>-'App.2-BA_Fixed Asset Cont'!K93</f>
        <v>258623.3686250723</v>
      </c>
      <c r="S83" s="110">
        <f t="shared" si="17"/>
        <v>-736.15616453904659</v>
      </c>
    </row>
    <row r="84" spans="1:19" ht="14.25" x14ac:dyDescent="0.2">
      <c r="A84" s="105">
        <v>1850</v>
      </c>
      <c r="B84" s="754" t="s">
        <v>241</v>
      </c>
      <c r="C84" s="749">
        <v>25892036.769088108</v>
      </c>
      <c r="D84" s="749">
        <f t="shared" si="20"/>
        <v>17956843.743688975</v>
      </c>
      <c r="E84" s="1597">
        <f t="shared" si="11"/>
        <v>7935193.0253991336</v>
      </c>
      <c r="F84" s="749">
        <f t="shared" si="10"/>
        <v>1030063.1900000002</v>
      </c>
      <c r="G84" s="750"/>
      <c r="H84" s="1597">
        <f t="shared" si="12"/>
        <v>1030063.1900000002</v>
      </c>
      <c r="I84" s="751">
        <v>1397762.8500000003</v>
      </c>
      <c r="J84" s="1616">
        <v>22.886705689794354</v>
      </c>
      <c r="K84" s="1599">
        <f t="shared" si="13"/>
        <v>4.3693487981798985E-2</v>
      </c>
      <c r="L84" s="752">
        <v>40</v>
      </c>
      <c r="M84" s="1604">
        <f t="shared" si="14"/>
        <v>2.5000000000000001E-2</v>
      </c>
      <c r="N84" s="1601">
        <f t="shared" si="15"/>
        <v>346716.26108853216</v>
      </c>
      <c r="O84" s="1601">
        <f t="shared" si="18"/>
        <v>25751.579750000004</v>
      </c>
      <c r="P84" s="1601">
        <f t="shared" si="19"/>
        <v>17472.035625000004</v>
      </c>
      <c r="Q84" s="1601">
        <f t="shared" si="16"/>
        <v>389939.87646353221</v>
      </c>
      <c r="R84" s="753">
        <f>-'App.2-BA_Fixed Asset Cont'!K94</f>
        <v>389939.86362664995</v>
      </c>
      <c r="S84" s="110">
        <f t="shared" si="17"/>
        <v>-1.283688226249069E-2</v>
      </c>
    </row>
    <row r="85" spans="1:19" ht="14.25" x14ac:dyDescent="0.2">
      <c r="A85" s="105">
        <v>1855</v>
      </c>
      <c r="B85" s="754" t="s">
        <v>182</v>
      </c>
      <c r="C85" s="749">
        <v>12342929.799999999</v>
      </c>
      <c r="D85" s="750">
        <f t="shared" si="20"/>
        <v>6500462.1358982157</v>
      </c>
      <c r="E85" s="1597">
        <f t="shared" si="11"/>
        <v>5842467.6641017832</v>
      </c>
      <c r="F85" s="749">
        <f t="shared" si="10"/>
        <v>1068304.96</v>
      </c>
      <c r="G85" s="750"/>
      <c r="H85" s="1597">
        <f t="shared" si="12"/>
        <v>1068304.96</v>
      </c>
      <c r="I85" s="751">
        <v>1078440.8</v>
      </c>
      <c r="J85" s="1616">
        <v>29.258866884696523</v>
      </c>
      <c r="K85" s="1599">
        <f t="shared" si="13"/>
        <v>3.4177673521698725E-2</v>
      </c>
      <c r="L85" s="752">
        <v>40</v>
      </c>
      <c r="M85" s="1604">
        <f t="shared" si="14"/>
        <v>2.5000000000000001E-2</v>
      </c>
      <c r="N85" s="1601">
        <f t="shared" si="15"/>
        <v>199681.95238475251</v>
      </c>
      <c r="O85" s="1601">
        <f t="shared" si="18"/>
        <v>26707.624</v>
      </c>
      <c r="P85" s="1602">
        <f t="shared" si="19"/>
        <v>13480.51</v>
      </c>
      <c r="Q85" s="1603">
        <f t="shared" si="16"/>
        <v>239870.08638475253</v>
      </c>
      <c r="R85" s="753">
        <f>-'App.2-BA_Fixed Asset Cont'!K95</f>
        <v>239870.08638475253</v>
      </c>
      <c r="S85" s="110">
        <f t="shared" si="17"/>
        <v>0</v>
      </c>
    </row>
    <row r="86" spans="1:19" ht="14.25" x14ac:dyDescent="0.2">
      <c r="A86" s="105">
        <v>1860</v>
      </c>
      <c r="B86" s="754" t="s">
        <v>242</v>
      </c>
      <c r="C86" s="749">
        <v>8900387.9934</v>
      </c>
      <c r="D86" s="750">
        <f t="shared" si="20"/>
        <v>6817799.92275065</v>
      </c>
      <c r="E86" s="1597">
        <f t="shared" si="11"/>
        <v>2082588.0706493501</v>
      </c>
      <c r="F86" s="749">
        <f t="shared" si="10"/>
        <v>107883.42</v>
      </c>
      <c r="G86" s="750"/>
      <c r="H86" s="1597">
        <f t="shared" si="12"/>
        <v>107883.42</v>
      </c>
      <c r="I86" s="751">
        <v>81419.98</v>
      </c>
      <c r="J86" s="1616">
        <v>4.3401461778797268</v>
      </c>
      <c r="K86" s="1599">
        <f t="shared" si="13"/>
        <v>0.23040698608186644</v>
      </c>
      <c r="L86" s="752">
        <v>15</v>
      </c>
      <c r="M86" s="1604">
        <f t="shared" si="14"/>
        <v>6.6666666666666666E-2</v>
      </c>
      <c r="N86" s="1601">
        <f t="shared" si="15"/>
        <v>479842.84060836589</v>
      </c>
      <c r="O86" s="1601">
        <f t="shared" si="18"/>
        <v>7192.2280000000001</v>
      </c>
      <c r="P86" s="1602">
        <f>IF(L86=0,0,+(I86*0.5)/L86)</f>
        <v>2713.9993333333332</v>
      </c>
      <c r="Q86" s="1603">
        <f t="shared" si="16"/>
        <v>489749.06794169924</v>
      </c>
      <c r="R86" s="753">
        <f>-'App.2-BA_Fixed Asset Cont'!K96</f>
        <v>489325.60616303247</v>
      </c>
      <c r="S86" s="110">
        <f t="shared" si="17"/>
        <v>-423.46177866676589</v>
      </c>
    </row>
    <row r="87" spans="1:19" ht="14.25" hidden="1" x14ac:dyDescent="0.2">
      <c r="A87" s="102">
        <v>1860</v>
      </c>
      <c r="B87" s="755" t="s">
        <v>183</v>
      </c>
      <c r="C87" s="749">
        <v>0</v>
      </c>
      <c r="D87" s="750">
        <f t="shared" si="20"/>
        <v>0</v>
      </c>
      <c r="E87" s="1597">
        <f t="shared" si="11"/>
        <v>0</v>
      </c>
      <c r="F87" s="749">
        <f t="shared" si="10"/>
        <v>0</v>
      </c>
      <c r="G87" s="750"/>
      <c r="H87" s="1597">
        <f t="shared" si="12"/>
        <v>0</v>
      </c>
      <c r="I87" s="751">
        <v>0</v>
      </c>
      <c r="J87" s="1616">
        <v>0</v>
      </c>
      <c r="K87" s="1599">
        <f t="shared" si="13"/>
        <v>0</v>
      </c>
      <c r="L87" s="752">
        <v>0</v>
      </c>
      <c r="M87" s="1604">
        <f t="shared" si="14"/>
        <v>0</v>
      </c>
      <c r="N87" s="1601">
        <f t="shared" si="15"/>
        <v>0</v>
      </c>
      <c r="O87" s="1601">
        <f t="shared" si="18"/>
        <v>0</v>
      </c>
      <c r="P87" s="1602">
        <f t="shared" ref="P87:P112" si="21">IF(L87=0,0,+(I87*0.5)/L87)</f>
        <v>0</v>
      </c>
      <c r="Q87" s="1603">
        <f t="shared" si="16"/>
        <v>0</v>
      </c>
      <c r="R87" s="753">
        <f>-'App.2-BA_Fixed Asset Cont'!K98</f>
        <v>0</v>
      </c>
      <c r="S87" s="110">
        <f t="shared" si="17"/>
        <v>0</v>
      </c>
    </row>
    <row r="88" spans="1:19" ht="14.25" hidden="1" x14ac:dyDescent="0.2">
      <c r="A88" s="102">
        <v>1905</v>
      </c>
      <c r="B88" s="755" t="s">
        <v>236</v>
      </c>
      <c r="C88" s="749">
        <v>0</v>
      </c>
      <c r="D88" s="750">
        <f t="shared" si="20"/>
        <v>0</v>
      </c>
      <c r="E88" s="1597">
        <f t="shared" si="11"/>
        <v>0</v>
      </c>
      <c r="F88" s="749">
        <f t="shared" si="10"/>
        <v>0</v>
      </c>
      <c r="G88" s="750"/>
      <c r="H88" s="1597">
        <f t="shared" si="12"/>
        <v>0</v>
      </c>
      <c r="I88" s="751">
        <v>0</v>
      </c>
      <c r="J88" s="1616">
        <v>0</v>
      </c>
      <c r="K88" s="1599">
        <f t="shared" si="13"/>
        <v>0</v>
      </c>
      <c r="L88" s="752">
        <v>0</v>
      </c>
      <c r="M88" s="1604">
        <f t="shared" si="14"/>
        <v>0</v>
      </c>
      <c r="N88" s="1601">
        <f t="shared" si="15"/>
        <v>0</v>
      </c>
      <c r="O88" s="1601">
        <f t="shared" si="18"/>
        <v>0</v>
      </c>
      <c r="P88" s="1602">
        <f t="shared" si="21"/>
        <v>0</v>
      </c>
      <c r="Q88" s="1603">
        <f t="shared" si="16"/>
        <v>0</v>
      </c>
      <c r="R88" s="753">
        <f>-'App.2-BA_Fixed Asset Cont'!K99</f>
        <v>0</v>
      </c>
      <c r="S88" s="110">
        <f t="shared" si="17"/>
        <v>0</v>
      </c>
    </row>
    <row r="89" spans="1:19" ht="14.25" hidden="1" x14ac:dyDescent="0.2">
      <c r="A89" s="105">
        <v>1908</v>
      </c>
      <c r="B89" s="754" t="s">
        <v>244</v>
      </c>
      <c r="C89" s="749">
        <v>0</v>
      </c>
      <c r="D89" s="750">
        <f t="shared" si="20"/>
        <v>0</v>
      </c>
      <c r="E89" s="1597">
        <f t="shared" si="11"/>
        <v>0</v>
      </c>
      <c r="F89" s="749">
        <f t="shared" si="10"/>
        <v>0</v>
      </c>
      <c r="G89" s="750"/>
      <c r="H89" s="1597">
        <f t="shared" si="12"/>
        <v>0</v>
      </c>
      <c r="I89" s="751">
        <v>0</v>
      </c>
      <c r="J89" s="1616">
        <v>0</v>
      </c>
      <c r="K89" s="1599">
        <f t="shared" si="13"/>
        <v>0</v>
      </c>
      <c r="L89" s="752">
        <v>0</v>
      </c>
      <c r="M89" s="1604">
        <f t="shared" si="14"/>
        <v>0</v>
      </c>
      <c r="N89" s="1601">
        <f t="shared" si="15"/>
        <v>0</v>
      </c>
      <c r="O89" s="1601">
        <f t="shared" si="18"/>
        <v>0</v>
      </c>
      <c r="P89" s="1602">
        <f t="shared" si="21"/>
        <v>0</v>
      </c>
      <c r="Q89" s="1603">
        <f t="shared" si="16"/>
        <v>0</v>
      </c>
      <c r="R89" s="753">
        <f>-'App.2-BA_Fixed Asset Cont'!K100</f>
        <v>0</v>
      </c>
      <c r="S89" s="110">
        <f t="shared" si="17"/>
        <v>0</v>
      </c>
    </row>
    <row r="90" spans="1:19" ht="14.25" hidden="1" x14ac:dyDescent="0.2">
      <c r="A90" s="105">
        <v>1910</v>
      </c>
      <c r="B90" s="754" t="s">
        <v>262</v>
      </c>
      <c r="C90" s="749">
        <v>0</v>
      </c>
      <c r="D90" s="750">
        <f t="shared" si="20"/>
        <v>0</v>
      </c>
      <c r="E90" s="1597">
        <f t="shared" si="11"/>
        <v>0</v>
      </c>
      <c r="F90" s="749">
        <f t="shared" si="10"/>
        <v>0</v>
      </c>
      <c r="G90" s="750"/>
      <c r="H90" s="1597">
        <f t="shared" si="12"/>
        <v>0</v>
      </c>
      <c r="I90" s="751">
        <v>0</v>
      </c>
      <c r="J90" s="1616">
        <v>0</v>
      </c>
      <c r="K90" s="1599">
        <f t="shared" si="13"/>
        <v>0</v>
      </c>
      <c r="L90" s="752">
        <v>0</v>
      </c>
      <c r="M90" s="1604">
        <f t="shared" si="14"/>
        <v>0</v>
      </c>
      <c r="N90" s="1601">
        <f t="shared" si="15"/>
        <v>0</v>
      </c>
      <c r="O90" s="1601">
        <f t="shared" si="18"/>
        <v>0</v>
      </c>
      <c r="P90" s="1602">
        <f t="shared" si="21"/>
        <v>0</v>
      </c>
      <c r="Q90" s="1603">
        <f t="shared" si="16"/>
        <v>0</v>
      </c>
      <c r="R90" s="753"/>
      <c r="S90" s="110">
        <f t="shared" si="17"/>
        <v>0</v>
      </c>
    </row>
    <row r="91" spans="1:19" ht="14.25" x14ac:dyDescent="0.2">
      <c r="A91" s="105">
        <v>1915</v>
      </c>
      <c r="B91" s="754" t="s">
        <v>184</v>
      </c>
      <c r="C91" s="749">
        <v>44314.559999999998</v>
      </c>
      <c r="D91" s="750">
        <f t="shared" si="20"/>
        <v>41713.569499999991</v>
      </c>
      <c r="E91" s="1597">
        <f t="shared" si="11"/>
        <v>2600.9905000000072</v>
      </c>
      <c r="F91" s="749">
        <f t="shared" si="10"/>
        <v>31740</v>
      </c>
      <c r="G91" s="750"/>
      <c r="H91" s="1597">
        <f t="shared" si="12"/>
        <v>31740</v>
      </c>
      <c r="I91" s="751">
        <v>0</v>
      </c>
      <c r="J91" s="1616">
        <v>3.1290638278419212</v>
      </c>
      <c r="K91" s="1599">
        <f t="shared" si="13"/>
        <v>0.31958440447975406</v>
      </c>
      <c r="L91" s="752">
        <v>10</v>
      </c>
      <c r="M91" s="1604">
        <f t="shared" si="14"/>
        <v>0.1</v>
      </c>
      <c r="N91" s="1601">
        <f t="shared" si="15"/>
        <v>831.23599999999999</v>
      </c>
      <c r="O91" s="1601">
        <f t="shared" si="18"/>
        <v>3174</v>
      </c>
      <c r="P91" s="1602">
        <f t="shared" si="21"/>
        <v>0</v>
      </c>
      <c r="Q91" s="1603">
        <f t="shared" si="16"/>
        <v>4005.2359999999999</v>
      </c>
      <c r="R91" s="753">
        <f>-'App.2-BA_Fixed Asset Cont'!K101</f>
        <v>4005.2359999999999</v>
      </c>
      <c r="S91" s="110">
        <f t="shared" si="17"/>
        <v>0</v>
      </c>
    </row>
    <row r="92" spans="1:19" ht="14.25" hidden="1" x14ac:dyDescent="0.2">
      <c r="A92" s="105">
        <v>1915</v>
      </c>
      <c r="B92" s="754" t="s">
        <v>185</v>
      </c>
      <c r="C92" s="749">
        <v>0</v>
      </c>
      <c r="D92" s="750">
        <f t="shared" si="20"/>
        <v>0</v>
      </c>
      <c r="E92" s="1597">
        <f t="shared" si="11"/>
        <v>0</v>
      </c>
      <c r="F92" s="749">
        <f t="shared" si="10"/>
        <v>0</v>
      </c>
      <c r="G92" s="750"/>
      <c r="H92" s="1597">
        <f t="shared" si="12"/>
        <v>0</v>
      </c>
      <c r="I92" s="751"/>
      <c r="J92" s="1616">
        <v>0</v>
      </c>
      <c r="K92" s="1599">
        <f t="shared" si="13"/>
        <v>0</v>
      </c>
      <c r="L92" s="752">
        <v>0</v>
      </c>
      <c r="M92" s="1604">
        <f t="shared" si="14"/>
        <v>0</v>
      </c>
      <c r="N92" s="1601">
        <f t="shared" si="15"/>
        <v>0</v>
      </c>
      <c r="O92" s="1601">
        <f t="shared" si="18"/>
        <v>0</v>
      </c>
      <c r="P92" s="1602">
        <f t="shared" si="21"/>
        <v>0</v>
      </c>
      <c r="Q92" s="1603">
        <f t="shared" si="16"/>
        <v>0</v>
      </c>
      <c r="R92" s="753">
        <f>-'App.2-BA_Fixed Asset Cont'!K102</f>
        <v>0</v>
      </c>
      <c r="S92" s="110">
        <f t="shared" si="17"/>
        <v>0</v>
      </c>
    </row>
    <row r="93" spans="1:19" ht="14.25" x14ac:dyDescent="0.2">
      <c r="A93" s="105">
        <v>1920</v>
      </c>
      <c r="B93" s="754" t="s">
        <v>186</v>
      </c>
      <c r="C93" s="749">
        <v>162987.72</v>
      </c>
      <c r="D93" s="750">
        <f t="shared" si="20"/>
        <v>47096.116000000002</v>
      </c>
      <c r="E93" s="1597">
        <f t="shared" si="11"/>
        <v>115891.60399999999</v>
      </c>
      <c r="F93" s="749">
        <f t="shared" si="10"/>
        <v>341012.65</v>
      </c>
      <c r="G93" s="750"/>
      <c r="H93" s="1597">
        <f t="shared" si="12"/>
        <v>341012.65</v>
      </c>
      <c r="I93" s="751">
        <v>29499.09</v>
      </c>
      <c r="J93" s="1616">
        <v>1.6439214671185363</v>
      </c>
      <c r="K93" s="1599">
        <f t="shared" si="13"/>
        <v>0.60830156427897919</v>
      </c>
      <c r="L93" s="752">
        <v>5</v>
      </c>
      <c r="M93" s="1604">
        <f t="shared" si="14"/>
        <v>0.2</v>
      </c>
      <c r="N93" s="1601">
        <f t="shared" si="15"/>
        <v>70497.043999999994</v>
      </c>
      <c r="O93" s="1601">
        <f t="shared" si="18"/>
        <v>68202.53</v>
      </c>
      <c r="P93" s="1602">
        <f t="shared" si="21"/>
        <v>2949.9090000000001</v>
      </c>
      <c r="Q93" s="1603">
        <f t="shared" si="16"/>
        <v>141649.48300000001</v>
      </c>
      <c r="R93" s="753">
        <f>-'App.2-BA_Fixed Asset Cont'!K103</f>
        <v>138699.57499999995</v>
      </c>
      <c r="S93" s="110">
        <f t="shared" si="17"/>
        <v>-2949.908000000054</v>
      </c>
    </row>
    <row r="94" spans="1:19" ht="14.25" hidden="1" x14ac:dyDescent="0.2">
      <c r="A94" s="105">
        <v>1920</v>
      </c>
      <c r="B94" s="754" t="s">
        <v>188</v>
      </c>
      <c r="C94" s="749">
        <v>0</v>
      </c>
      <c r="D94" s="750">
        <f t="shared" si="20"/>
        <v>0</v>
      </c>
      <c r="E94" s="1597">
        <f t="shared" si="11"/>
        <v>0</v>
      </c>
      <c r="F94" s="749">
        <f t="shared" si="10"/>
        <v>0</v>
      </c>
      <c r="G94" s="750"/>
      <c r="H94" s="1597">
        <f t="shared" si="12"/>
        <v>0</v>
      </c>
      <c r="I94" s="751">
        <v>0</v>
      </c>
      <c r="J94" s="1616">
        <v>0</v>
      </c>
      <c r="K94" s="1599">
        <f t="shared" si="13"/>
        <v>0</v>
      </c>
      <c r="L94" s="752">
        <v>0</v>
      </c>
      <c r="M94" s="1604">
        <f t="shared" si="14"/>
        <v>0</v>
      </c>
      <c r="N94" s="1601">
        <f t="shared" si="15"/>
        <v>0</v>
      </c>
      <c r="O94" s="1601">
        <f t="shared" si="18"/>
        <v>0</v>
      </c>
      <c r="P94" s="1602">
        <f t="shared" si="21"/>
        <v>0</v>
      </c>
      <c r="Q94" s="1603">
        <f t="shared" si="16"/>
        <v>0</v>
      </c>
      <c r="R94" s="753">
        <f>-'App.2-BA_Fixed Asset Cont'!K104</f>
        <v>0</v>
      </c>
      <c r="S94" s="110">
        <f t="shared" si="17"/>
        <v>0</v>
      </c>
    </row>
    <row r="95" spans="1:19" ht="14.25" hidden="1" x14ac:dyDescent="0.2">
      <c r="A95" s="105">
        <v>1920</v>
      </c>
      <c r="B95" s="754" t="s">
        <v>187</v>
      </c>
      <c r="C95" s="749">
        <v>0</v>
      </c>
      <c r="D95" s="750">
        <f t="shared" si="20"/>
        <v>0</v>
      </c>
      <c r="E95" s="1597">
        <f t="shared" si="11"/>
        <v>0</v>
      </c>
      <c r="F95" s="749">
        <f t="shared" si="10"/>
        <v>0</v>
      </c>
      <c r="G95" s="750"/>
      <c r="H95" s="1597">
        <f t="shared" si="12"/>
        <v>0</v>
      </c>
      <c r="I95" s="751">
        <v>0</v>
      </c>
      <c r="J95" s="1616">
        <v>0</v>
      </c>
      <c r="K95" s="1599">
        <f t="shared" si="13"/>
        <v>0</v>
      </c>
      <c r="L95" s="752">
        <v>0</v>
      </c>
      <c r="M95" s="1604">
        <f t="shared" si="14"/>
        <v>0</v>
      </c>
      <c r="N95" s="1601">
        <f t="shared" si="15"/>
        <v>0</v>
      </c>
      <c r="O95" s="1601">
        <f t="shared" si="18"/>
        <v>0</v>
      </c>
      <c r="P95" s="1602">
        <f t="shared" si="21"/>
        <v>0</v>
      </c>
      <c r="Q95" s="1603">
        <f t="shared" si="16"/>
        <v>0</v>
      </c>
      <c r="R95" s="753">
        <f>-'App.2-BA_Fixed Asset Cont'!K105</f>
        <v>0</v>
      </c>
      <c r="S95" s="110">
        <f t="shared" si="17"/>
        <v>0</v>
      </c>
    </row>
    <row r="96" spans="1:19" ht="14.25" x14ac:dyDescent="0.2">
      <c r="A96" s="105">
        <v>1930</v>
      </c>
      <c r="B96" s="754" t="s">
        <v>1487</v>
      </c>
      <c r="C96" s="749">
        <v>5258637.3600000003</v>
      </c>
      <c r="D96" s="750">
        <f>D48+13467.6+27498.96+43028.6+5110.92+211561.2+5110.92</f>
        <v>4170282.966297619</v>
      </c>
      <c r="E96" s="1597">
        <f>C96-D96</f>
        <v>1088354.3937023813</v>
      </c>
      <c r="F96" s="749">
        <f t="shared" si="10"/>
        <v>533800</v>
      </c>
      <c r="G96" s="750"/>
      <c r="H96" s="1597">
        <f>F96-G96</f>
        <v>533800</v>
      </c>
      <c r="I96" s="751">
        <v>63625.97000000003</v>
      </c>
      <c r="J96" s="1612">
        <v>6.7200937188341889</v>
      </c>
      <c r="K96" s="1599">
        <f t="shared" si="13"/>
        <v>0.14880744850288805</v>
      </c>
      <c r="L96" s="752">
        <v>12</v>
      </c>
      <c r="M96" s="1604">
        <f t="shared" si="14"/>
        <v>8.3333333333333329E-2</v>
      </c>
      <c r="N96" s="1601">
        <f t="shared" si="15"/>
        <v>161955.24039375904</v>
      </c>
      <c r="O96" s="1601">
        <f>IF(L96=0,0,+H96/L96)</f>
        <v>44483.333333333336</v>
      </c>
      <c r="P96" s="1602">
        <f t="shared" si="21"/>
        <v>2651.0820833333346</v>
      </c>
      <c r="Q96" s="1603">
        <f t="shared" si="16"/>
        <v>209089.65581042573</v>
      </c>
      <c r="R96" s="753">
        <f>-'App.2-BA_Fixed Asset Cont'!K106-10128</f>
        <v>211111.19154906209</v>
      </c>
      <c r="S96" s="110">
        <f t="shared" si="17"/>
        <v>2021.5357386363612</v>
      </c>
    </row>
    <row r="97" spans="1:19" ht="14.25" x14ac:dyDescent="0.2">
      <c r="A97" s="105">
        <v>1930</v>
      </c>
      <c r="B97" s="754" t="s">
        <v>1488</v>
      </c>
      <c r="C97" s="749">
        <v>0</v>
      </c>
      <c r="D97" s="750"/>
      <c r="E97" s="1597">
        <f>C97-D97</f>
        <v>0</v>
      </c>
      <c r="F97" s="749">
        <f t="shared" si="10"/>
        <v>0</v>
      </c>
      <c r="G97" s="750"/>
      <c r="H97" s="1597">
        <f t="shared" ref="H97:H107" si="22">F97-G97</f>
        <v>0</v>
      </c>
      <c r="I97" s="751">
        <v>162041</v>
      </c>
      <c r="J97" s="1616"/>
      <c r="K97" s="1599">
        <f t="shared" si="13"/>
        <v>0</v>
      </c>
      <c r="L97" s="752">
        <v>8</v>
      </c>
      <c r="M97" s="1604">
        <f t="shared" si="14"/>
        <v>0.125</v>
      </c>
      <c r="N97" s="1601">
        <f t="shared" si="15"/>
        <v>0</v>
      </c>
      <c r="O97" s="1601">
        <f t="shared" si="18"/>
        <v>0</v>
      </c>
      <c r="P97" s="1602">
        <f t="shared" si="21"/>
        <v>10127.5625</v>
      </c>
      <c r="Q97" s="1603">
        <f t="shared" si="16"/>
        <v>10127.5625</v>
      </c>
      <c r="R97" s="753">
        <v>10128</v>
      </c>
      <c r="S97" s="110">
        <f t="shared" si="17"/>
        <v>0.4375</v>
      </c>
    </row>
    <row r="98" spans="1:19" ht="14.25" hidden="1" x14ac:dyDescent="0.2">
      <c r="A98" s="105">
        <v>1935</v>
      </c>
      <c r="B98" s="754" t="s">
        <v>251</v>
      </c>
      <c r="C98" s="749"/>
      <c r="D98" s="750">
        <f t="shared" ref="D98:D109" si="23">D49</f>
        <v>0</v>
      </c>
      <c r="E98" s="1597">
        <f t="shared" ref="E98:E104" si="24">C98-D98</f>
        <v>0</v>
      </c>
      <c r="F98" s="749"/>
      <c r="G98" s="750"/>
      <c r="H98" s="1597">
        <f t="shared" si="22"/>
        <v>0</v>
      </c>
      <c r="I98" s="751"/>
      <c r="J98" s="1616">
        <v>0</v>
      </c>
      <c r="K98" s="1599">
        <f t="shared" si="13"/>
        <v>0</v>
      </c>
      <c r="L98" s="752">
        <v>0</v>
      </c>
      <c r="M98" s="1604">
        <f t="shared" si="14"/>
        <v>0</v>
      </c>
      <c r="N98" s="1601">
        <f t="shared" si="15"/>
        <v>0</v>
      </c>
      <c r="O98" s="1601">
        <f t="shared" si="18"/>
        <v>0</v>
      </c>
      <c r="P98" s="1602">
        <f t="shared" si="21"/>
        <v>0</v>
      </c>
      <c r="Q98" s="1603">
        <f t="shared" si="16"/>
        <v>0</v>
      </c>
      <c r="R98" s="753"/>
      <c r="S98" s="110">
        <f t="shared" si="17"/>
        <v>0</v>
      </c>
    </row>
    <row r="99" spans="1:19" ht="14.25" x14ac:dyDescent="0.2">
      <c r="A99" s="105">
        <v>1940</v>
      </c>
      <c r="B99" s="754" t="s">
        <v>252</v>
      </c>
      <c r="C99" s="749">
        <v>1961496.07</v>
      </c>
      <c r="D99" s="750">
        <f t="shared" si="23"/>
        <v>1467290.8274999999</v>
      </c>
      <c r="E99" s="1597">
        <f t="shared" si="24"/>
        <v>494205.24250000017</v>
      </c>
      <c r="F99" s="749">
        <f>I50</f>
        <v>77672.09</v>
      </c>
      <c r="G99" s="750"/>
      <c r="H99" s="1597">
        <f t="shared" si="22"/>
        <v>77672.09</v>
      </c>
      <c r="I99" s="751">
        <v>85031.51</v>
      </c>
      <c r="J99" s="1616">
        <v>5.9587082836669074</v>
      </c>
      <c r="K99" s="1599">
        <f t="shared" si="13"/>
        <v>0.16782160703202167</v>
      </c>
      <c r="L99" s="752">
        <v>10</v>
      </c>
      <c r="M99" s="1604">
        <f t="shared" si="14"/>
        <v>0.1</v>
      </c>
      <c r="N99" s="1601">
        <f t="shared" si="15"/>
        <v>82938.317999999999</v>
      </c>
      <c r="O99" s="1601">
        <f t="shared" si="18"/>
        <v>7767.2089999999998</v>
      </c>
      <c r="P99" s="1602">
        <f t="shared" si="21"/>
        <v>4251.5754999999999</v>
      </c>
      <c r="Q99" s="1603">
        <f t="shared" si="16"/>
        <v>94957.102500000008</v>
      </c>
      <c r="R99" s="753">
        <f>-'App.2-BA_Fixed Asset Cont'!K108</f>
        <v>94957.102500000008</v>
      </c>
      <c r="S99" s="110">
        <f t="shared" si="17"/>
        <v>0</v>
      </c>
    </row>
    <row r="100" spans="1:19" ht="14.25" hidden="1" x14ac:dyDescent="0.2">
      <c r="A100" s="105">
        <v>1945</v>
      </c>
      <c r="B100" s="754" t="s">
        <v>253</v>
      </c>
      <c r="C100" s="749">
        <v>0</v>
      </c>
      <c r="D100" s="750">
        <f t="shared" si="23"/>
        <v>0</v>
      </c>
      <c r="E100" s="1597">
        <f t="shared" si="24"/>
        <v>0</v>
      </c>
      <c r="F100" s="749">
        <f>I52</f>
        <v>0</v>
      </c>
      <c r="G100" s="750"/>
      <c r="H100" s="1597">
        <f t="shared" si="22"/>
        <v>0</v>
      </c>
      <c r="I100" s="751">
        <v>0</v>
      </c>
      <c r="J100" s="1616">
        <v>0</v>
      </c>
      <c r="K100" s="1599">
        <f t="shared" si="13"/>
        <v>0</v>
      </c>
      <c r="L100" s="752">
        <v>0</v>
      </c>
      <c r="M100" s="1604">
        <f t="shared" si="14"/>
        <v>0</v>
      </c>
      <c r="N100" s="1601">
        <f t="shared" si="15"/>
        <v>0</v>
      </c>
      <c r="O100" s="1601">
        <f t="shared" si="18"/>
        <v>0</v>
      </c>
      <c r="P100" s="1602">
        <f t="shared" si="21"/>
        <v>0</v>
      </c>
      <c r="Q100" s="1603">
        <f t="shared" si="16"/>
        <v>0</v>
      </c>
      <c r="R100" s="753">
        <f>-'App.2-BA_Fixed Asset Cont'!K109</f>
        <v>0</v>
      </c>
      <c r="S100" s="110">
        <f t="shared" si="17"/>
        <v>0</v>
      </c>
    </row>
    <row r="101" spans="1:19" ht="14.25" hidden="1" x14ac:dyDescent="0.2">
      <c r="A101" s="105">
        <v>1950</v>
      </c>
      <c r="B101" s="754" t="s">
        <v>189</v>
      </c>
      <c r="C101" s="749">
        <v>0</v>
      </c>
      <c r="D101" s="750">
        <f t="shared" si="23"/>
        <v>0</v>
      </c>
      <c r="E101" s="1597">
        <f t="shared" si="24"/>
        <v>0</v>
      </c>
      <c r="F101" s="749"/>
      <c r="G101" s="750"/>
      <c r="H101" s="1597">
        <f t="shared" si="22"/>
        <v>0</v>
      </c>
      <c r="I101" s="751">
        <v>0</v>
      </c>
      <c r="J101" s="1616">
        <v>0</v>
      </c>
      <c r="K101" s="1599">
        <f t="shared" si="13"/>
        <v>0</v>
      </c>
      <c r="L101" s="752">
        <v>0</v>
      </c>
      <c r="M101" s="1604">
        <f t="shared" si="14"/>
        <v>0</v>
      </c>
      <c r="N101" s="1601">
        <f t="shared" si="15"/>
        <v>0</v>
      </c>
      <c r="O101" s="1601">
        <f t="shared" si="18"/>
        <v>0</v>
      </c>
      <c r="P101" s="1602">
        <f t="shared" si="21"/>
        <v>0</v>
      </c>
      <c r="Q101" s="1603">
        <f t="shared" si="16"/>
        <v>0</v>
      </c>
      <c r="R101" s="753">
        <f>-'App.2-BA_Fixed Asset Cont'!K110</f>
        <v>0</v>
      </c>
      <c r="S101" s="110">
        <f t="shared" si="17"/>
        <v>0</v>
      </c>
    </row>
    <row r="102" spans="1:19" ht="14.25" x14ac:dyDescent="0.2">
      <c r="A102" s="105">
        <v>1955</v>
      </c>
      <c r="B102" s="754" t="s">
        <v>254</v>
      </c>
      <c r="C102" s="749">
        <v>2262458.79</v>
      </c>
      <c r="D102" s="750">
        <f t="shared" si="23"/>
        <v>1307813.078</v>
      </c>
      <c r="E102" s="1597">
        <f t="shared" si="24"/>
        <v>954645.71200000006</v>
      </c>
      <c r="F102" s="749">
        <f>I53</f>
        <v>912</v>
      </c>
      <c r="G102" s="750"/>
      <c r="H102" s="1597">
        <f t="shared" si="22"/>
        <v>912</v>
      </c>
      <c r="I102" s="751">
        <v>64352.36</v>
      </c>
      <c r="J102" s="1616">
        <v>12.221231744466687</v>
      </c>
      <c r="K102" s="1599">
        <f>IF(J102=0,0,1/J102)</f>
        <v>8.1824812826478174E-2</v>
      </c>
      <c r="L102" s="752">
        <v>10</v>
      </c>
      <c r="M102" s="1604">
        <f t="shared" si="14"/>
        <v>0.1</v>
      </c>
      <c r="N102" s="1601">
        <f t="shared" si="15"/>
        <v>78113.706699999995</v>
      </c>
      <c r="O102" s="1601">
        <f t="shared" si="18"/>
        <v>91.2</v>
      </c>
      <c r="P102" s="1602">
        <f t="shared" si="21"/>
        <v>3217.6179999999999</v>
      </c>
      <c r="Q102" s="1603">
        <f t="shared" si="16"/>
        <v>81422.524699999994</v>
      </c>
      <c r="R102" s="753">
        <f>-'App.2-BA_Fixed Asset Cont'!K111</f>
        <v>81422.524699999994</v>
      </c>
      <c r="S102" s="110">
        <f t="shared" si="17"/>
        <v>0</v>
      </c>
    </row>
    <row r="103" spans="1:19" ht="14.25" hidden="1" x14ac:dyDescent="0.2">
      <c r="A103" s="102">
        <v>1955</v>
      </c>
      <c r="B103" s="755" t="s">
        <v>190</v>
      </c>
      <c r="C103" s="749">
        <v>0</v>
      </c>
      <c r="D103" s="750">
        <f t="shared" si="23"/>
        <v>0</v>
      </c>
      <c r="E103" s="1597">
        <f t="shared" si="24"/>
        <v>0</v>
      </c>
      <c r="F103" s="749">
        <f>I54</f>
        <v>0</v>
      </c>
      <c r="G103" s="750"/>
      <c r="H103" s="1597">
        <f t="shared" si="22"/>
        <v>0</v>
      </c>
      <c r="I103" s="751">
        <v>0</v>
      </c>
      <c r="J103" s="1616">
        <v>0</v>
      </c>
      <c r="K103" s="1599">
        <f t="shared" si="13"/>
        <v>0</v>
      </c>
      <c r="L103" s="752">
        <v>0</v>
      </c>
      <c r="M103" s="1604">
        <f t="shared" si="14"/>
        <v>0</v>
      </c>
      <c r="N103" s="1601">
        <f t="shared" si="15"/>
        <v>0</v>
      </c>
      <c r="O103" s="1601">
        <f t="shared" si="18"/>
        <v>0</v>
      </c>
      <c r="P103" s="1602">
        <f t="shared" si="21"/>
        <v>0</v>
      </c>
      <c r="Q103" s="1603">
        <f t="shared" si="16"/>
        <v>0</v>
      </c>
      <c r="R103" s="753">
        <f>-'App.2-BA_Fixed Asset Cont'!K114</f>
        <v>0</v>
      </c>
      <c r="S103" s="110">
        <f t="shared" si="17"/>
        <v>0</v>
      </c>
    </row>
    <row r="104" spans="1:19" ht="14.25" hidden="1" x14ac:dyDescent="0.2">
      <c r="A104" s="105">
        <v>1960</v>
      </c>
      <c r="B104" s="754" t="s">
        <v>191</v>
      </c>
      <c r="C104" s="749">
        <v>0</v>
      </c>
      <c r="D104" s="750">
        <f t="shared" si="23"/>
        <v>0</v>
      </c>
      <c r="E104" s="1597">
        <f t="shared" si="24"/>
        <v>0</v>
      </c>
      <c r="F104" s="749">
        <f>I55</f>
        <v>0</v>
      </c>
      <c r="G104" s="750"/>
      <c r="H104" s="1597">
        <f t="shared" si="22"/>
        <v>0</v>
      </c>
      <c r="I104" s="751">
        <v>0</v>
      </c>
      <c r="J104" s="1616">
        <v>0</v>
      </c>
      <c r="K104" s="1599">
        <f t="shared" si="13"/>
        <v>0</v>
      </c>
      <c r="L104" s="752">
        <v>0</v>
      </c>
      <c r="M104" s="1604">
        <f t="shared" si="14"/>
        <v>0</v>
      </c>
      <c r="N104" s="1601">
        <f t="shared" si="15"/>
        <v>0</v>
      </c>
      <c r="O104" s="1601">
        <f t="shared" si="18"/>
        <v>0</v>
      </c>
      <c r="P104" s="1602">
        <f t="shared" si="21"/>
        <v>0</v>
      </c>
      <c r="Q104" s="1603">
        <f t="shared" si="16"/>
        <v>0</v>
      </c>
      <c r="R104" s="753">
        <f>-'App.2-BA_Fixed Asset Cont'!K115</f>
        <v>0</v>
      </c>
      <c r="S104" s="110">
        <f t="shared" si="17"/>
        <v>0</v>
      </c>
    </row>
    <row r="105" spans="1:19" ht="14.25" hidden="1" x14ac:dyDescent="0.2">
      <c r="A105" s="102">
        <v>1970</v>
      </c>
      <c r="B105" s="756" t="s">
        <v>410</v>
      </c>
      <c r="C105" s="749">
        <v>0</v>
      </c>
      <c r="D105" s="750">
        <f t="shared" si="23"/>
        <v>0</v>
      </c>
      <c r="E105" s="1597">
        <f t="shared" ref="E105:E112" si="25">C105-D105</f>
        <v>0</v>
      </c>
      <c r="F105" s="749">
        <f>I57</f>
        <v>0</v>
      </c>
      <c r="G105" s="750"/>
      <c r="H105" s="1597">
        <f t="shared" si="22"/>
        <v>0</v>
      </c>
      <c r="I105" s="751">
        <v>0</v>
      </c>
      <c r="J105" s="1616">
        <v>0</v>
      </c>
      <c r="K105" s="1599">
        <f t="shared" si="13"/>
        <v>0</v>
      </c>
      <c r="L105" s="752">
        <v>0</v>
      </c>
      <c r="M105" s="1604">
        <f t="shared" si="14"/>
        <v>0</v>
      </c>
      <c r="N105" s="1601">
        <f t="shared" si="15"/>
        <v>0</v>
      </c>
      <c r="O105" s="1601">
        <f t="shared" si="18"/>
        <v>0</v>
      </c>
      <c r="P105" s="1602">
        <f t="shared" si="21"/>
        <v>0</v>
      </c>
      <c r="Q105" s="1603">
        <f t="shared" si="16"/>
        <v>0</v>
      </c>
      <c r="R105" s="753"/>
      <c r="S105" s="110">
        <f t="shared" si="17"/>
        <v>0</v>
      </c>
    </row>
    <row r="106" spans="1:19" ht="14.25" hidden="1" x14ac:dyDescent="0.2">
      <c r="A106" s="105">
        <v>1975</v>
      </c>
      <c r="B106" s="754" t="s">
        <v>255</v>
      </c>
      <c r="C106" s="749">
        <v>0</v>
      </c>
      <c r="D106" s="750">
        <f t="shared" si="23"/>
        <v>0</v>
      </c>
      <c r="E106" s="1597">
        <f t="shared" si="25"/>
        <v>0</v>
      </c>
      <c r="F106" s="749"/>
      <c r="G106" s="750"/>
      <c r="H106" s="1597">
        <f t="shared" si="22"/>
        <v>0</v>
      </c>
      <c r="I106" s="751">
        <v>0</v>
      </c>
      <c r="J106" s="1616">
        <v>0</v>
      </c>
      <c r="K106" s="1599">
        <f t="shared" si="13"/>
        <v>0</v>
      </c>
      <c r="L106" s="752">
        <v>0</v>
      </c>
      <c r="M106" s="1604">
        <f t="shared" si="14"/>
        <v>0</v>
      </c>
      <c r="N106" s="1601">
        <f t="shared" si="15"/>
        <v>0</v>
      </c>
      <c r="O106" s="1601">
        <f t="shared" si="18"/>
        <v>0</v>
      </c>
      <c r="P106" s="1602">
        <f t="shared" si="21"/>
        <v>0</v>
      </c>
      <c r="Q106" s="1603">
        <f t="shared" si="16"/>
        <v>0</v>
      </c>
      <c r="R106" s="753">
        <f>-'App.2-BA_Fixed Asset Cont'!K117</f>
        <v>0</v>
      </c>
      <c r="S106" s="110">
        <f t="shared" si="17"/>
        <v>0</v>
      </c>
    </row>
    <row r="107" spans="1:19" ht="14.25" x14ac:dyDescent="0.2">
      <c r="A107" s="105">
        <v>1980</v>
      </c>
      <c r="B107" s="754" t="s">
        <v>256</v>
      </c>
      <c r="C107" s="749">
        <v>1573528.65</v>
      </c>
      <c r="D107" s="750">
        <f t="shared" si="23"/>
        <v>1274629.6876041666</v>
      </c>
      <c r="E107" s="1597">
        <f t="shared" si="25"/>
        <v>298898.96239583334</v>
      </c>
      <c r="F107" s="749">
        <f>I58</f>
        <v>59389.240000000013</v>
      </c>
      <c r="G107" s="750"/>
      <c r="H107" s="1597">
        <f t="shared" si="22"/>
        <v>59389.240000000013</v>
      </c>
      <c r="I107" s="751">
        <v>94893.969999999972</v>
      </c>
      <c r="J107" s="1616">
        <v>12.810749149649221</v>
      </c>
      <c r="K107" s="1599">
        <f t="shared" si="13"/>
        <v>7.80594474467078E-2</v>
      </c>
      <c r="L107" s="752">
        <v>20</v>
      </c>
      <c r="M107" s="1604">
        <f t="shared" si="14"/>
        <v>0.05</v>
      </c>
      <c r="N107" s="1601">
        <f t="shared" si="15"/>
        <v>23331.887847013044</v>
      </c>
      <c r="O107" s="1601">
        <f t="shared" si="18"/>
        <v>2969.4620000000004</v>
      </c>
      <c r="P107" s="1602">
        <f t="shared" si="21"/>
        <v>2372.3492499999993</v>
      </c>
      <c r="Q107" s="1603">
        <f t="shared" si="16"/>
        <v>28673.699097013043</v>
      </c>
      <c r="R107" s="753">
        <f>-'App.2-BA_Fixed Asset Cont'!K116</f>
        <v>28749.839148295094</v>
      </c>
      <c r="S107" s="110">
        <f t="shared" si="17"/>
        <v>76.14005128205099</v>
      </c>
    </row>
    <row r="108" spans="1:19" ht="14.25" x14ac:dyDescent="0.2">
      <c r="A108" s="105">
        <v>1985</v>
      </c>
      <c r="B108" s="754" t="s">
        <v>257</v>
      </c>
      <c r="C108" s="749">
        <v>42116.86</v>
      </c>
      <c r="D108" s="750">
        <f t="shared" si="23"/>
        <v>42116.858000000007</v>
      </c>
      <c r="E108" s="1597">
        <f t="shared" si="25"/>
        <v>1.999999993131496E-3</v>
      </c>
      <c r="F108" s="749">
        <f>I60</f>
        <v>0</v>
      </c>
      <c r="G108" s="750"/>
      <c r="H108" s="1597">
        <f>F108-G108</f>
        <v>0</v>
      </c>
      <c r="I108" s="751">
        <v>0</v>
      </c>
      <c r="J108" s="1616">
        <v>0</v>
      </c>
      <c r="K108" s="1599">
        <f t="shared" si="13"/>
        <v>0</v>
      </c>
      <c r="L108" s="752">
        <v>0</v>
      </c>
      <c r="M108" s="1604">
        <f t="shared" si="14"/>
        <v>0</v>
      </c>
      <c r="N108" s="1601">
        <f t="shared" si="15"/>
        <v>0</v>
      </c>
      <c r="O108" s="1601">
        <f t="shared" si="18"/>
        <v>0</v>
      </c>
      <c r="P108" s="1602">
        <f t="shared" si="21"/>
        <v>0</v>
      </c>
      <c r="Q108" s="1603">
        <f t="shared" si="16"/>
        <v>0</v>
      </c>
      <c r="R108" s="753"/>
      <c r="S108" s="110">
        <f t="shared" si="17"/>
        <v>0</v>
      </c>
    </row>
    <row r="109" spans="1:19" ht="14.25" hidden="1" x14ac:dyDescent="0.2">
      <c r="A109" s="105">
        <v>1990</v>
      </c>
      <c r="B109" s="1551" t="s">
        <v>411</v>
      </c>
      <c r="C109" s="749">
        <v>0</v>
      </c>
      <c r="D109" s="750">
        <f t="shared" si="23"/>
        <v>0</v>
      </c>
      <c r="E109" s="1597">
        <f t="shared" si="25"/>
        <v>0</v>
      </c>
      <c r="F109" s="749">
        <f>I61</f>
        <v>0</v>
      </c>
      <c r="G109" s="750"/>
      <c r="H109" s="1597">
        <f>F109-G109</f>
        <v>0</v>
      </c>
      <c r="I109" s="751">
        <v>0</v>
      </c>
      <c r="J109" s="1616">
        <v>0</v>
      </c>
      <c r="K109" s="1599">
        <f t="shared" si="13"/>
        <v>0</v>
      </c>
      <c r="L109" s="752">
        <v>0</v>
      </c>
      <c r="M109" s="1604">
        <f t="shared" si="14"/>
        <v>0</v>
      </c>
      <c r="N109" s="1601">
        <f t="shared" si="15"/>
        <v>0</v>
      </c>
      <c r="O109" s="1601">
        <f t="shared" si="18"/>
        <v>0</v>
      </c>
      <c r="P109" s="1602">
        <f t="shared" si="21"/>
        <v>0</v>
      </c>
      <c r="Q109" s="1603">
        <f t="shared" si="16"/>
        <v>0</v>
      </c>
      <c r="R109" s="753">
        <f>-'App.2-BA_Fixed Asset Cont'!K120</f>
        <v>0</v>
      </c>
      <c r="S109" s="110">
        <f t="shared" si="17"/>
        <v>0</v>
      </c>
    </row>
    <row r="110" spans="1:19" ht="15" thickBot="1" x14ac:dyDescent="0.25">
      <c r="A110" s="105">
        <v>1995</v>
      </c>
      <c r="B110" s="754" t="s">
        <v>258</v>
      </c>
      <c r="C110" s="749"/>
      <c r="D110" s="750"/>
      <c r="E110" s="1597">
        <f t="shared" si="25"/>
        <v>0</v>
      </c>
      <c r="F110" s="749"/>
      <c r="G110" s="750"/>
      <c r="H110" s="1597">
        <f>F110-G110</f>
        <v>0</v>
      </c>
      <c r="I110" s="751">
        <v>0</v>
      </c>
      <c r="J110" s="1616">
        <v>0</v>
      </c>
      <c r="K110" s="1599">
        <f t="shared" si="13"/>
        <v>0</v>
      </c>
      <c r="L110" s="752">
        <v>0</v>
      </c>
      <c r="M110" s="1613">
        <f t="shared" si="14"/>
        <v>0</v>
      </c>
      <c r="N110" s="1601">
        <f t="shared" si="15"/>
        <v>0</v>
      </c>
      <c r="O110" s="1601">
        <f t="shared" si="18"/>
        <v>0</v>
      </c>
      <c r="P110" s="1602">
        <f t="shared" si="21"/>
        <v>0</v>
      </c>
      <c r="Q110" s="1603">
        <f t="shared" si="16"/>
        <v>0</v>
      </c>
      <c r="R110" s="753"/>
      <c r="S110" s="110">
        <f t="shared" si="17"/>
        <v>0</v>
      </c>
    </row>
    <row r="111" spans="1:19" ht="15.75" thickTop="1" thickBot="1" x14ac:dyDescent="0.25">
      <c r="A111" s="1664">
        <v>2440</v>
      </c>
      <c r="B111" s="754" t="s">
        <v>1532</v>
      </c>
      <c r="C111" s="749"/>
      <c r="D111" s="753"/>
      <c r="E111" s="1597">
        <f t="shared" si="25"/>
        <v>0</v>
      </c>
      <c r="F111" s="749"/>
      <c r="G111" s="753"/>
      <c r="H111" s="1597">
        <f>F111-G111</f>
        <v>0</v>
      </c>
      <c r="I111" s="751">
        <v>-898556.67</v>
      </c>
      <c r="J111" s="1616"/>
      <c r="K111" s="1599">
        <f t="shared" si="13"/>
        <v>0</v>
      </c>
      <c r="L111" s="752"/>
      <c r="M111" s="1613">
        <f t="shared" si="14"/>
        <v>0</v>
      </c>
      <c r="N111" s="1601">
        <f t="shared" si="15"/>
        <v>0</v>
      </c>
      <c r="O111" s="1601">
        <f t="shared" si="18"/>
        <v>0</v>
      </c>
      <c r="P111" s="1602">
        <f t="shared" si="21"/>
        <v>0</v>
      </c>
      <c r="Q111" s="1603">
        <f t="shared" si="16"/>
        <v>0</v>
      </c>
      <c r="R111" s="749"/>
      <c r="S111" s="110">
        <f t="shared" si="17"/>
        <v>0</v>
      </c>
    </row>
    <row r="112" spans="1:19" ht="15.75" thickTop="1" thickBot="1" x14ac:dyDescent="0.25">
      <c r="A112" s="1664"/>
      <c r="B112" s="1665" t="s">
        <v>1533</v>
      </c>
      <c r="C112" s="1660">
        <v>-129739</v>
      </c>
      <c r="D112" s="1661">
        <f>D63+R63</f>
        <v>-90229</v>
      </c>
      <c r="E112" s="1597">
        <f t="shared" si="25"/>
        <v>-39510</v>
      </c>
      <c r="F112" s="1660"/>
      <c r="G112" s="1661"/>
      <c r="H112" s="1662"/>
      <c r="I112" s="1672"/>
      <c r="J112" s="1673">
        <v>1.5226607060274395</v>
      </c>
      <c r="K112" s="1599">
        <f>IF(J112=0,0,1/J112)</f>
        <v>0.65674512781574279</v>
      </c>
      <c r="L112" s="1663"/>
      <c r="M112" s="1613">
        <f t="shared" si="14"/>
        <v>0</v>
      </c>
      <c r="N112" s="1601">
        <f t="shared" si="15"/>
        <v>-25948</v>
      </c>
      <c r="O112" s="1601">
        <f t="shared" si="18"/>
        <v>0</v>
      </c>
      <c r="P112" s="1602">
        <f t="shared" si="21"/>
        <v>0</v>
      </c>
      <c r="Q112" s="1603">
        <f t="shared" si="16"/>
        <v>-25948</v>
      </c>
      <c r="R112" s="1661">
        <f>-'App.2-BA_Fixed Asset Cont'!K126</f>
        <v>-25948</v>
      </c>
      <c r="S112" s="110">
        <f t="shared" si="17"/>
        <v>0</v>
      </c>
    </row>
    <row r="113" spans="1:25" ht="15.75" thickTop="1" thickBot="1" x14ac:dyDescent="0.25">
      <c r="A113" s="124"/>
      <c r="B113" s="757" t="s">
        <v>259</v>
      </c>
      <c r="C113" s="1617">
        <f>SUM(C71:C112)</f>
        <v>184254678.64990482</v>
      </c>
      <c r="D113" s="1617">
        <f>SUM(D71:D112)</f>
        <v>118730369.83171503</v>
      </c>
      <c r="E113" s="1617">
        <f>SUM(E71:E112)</f>
        <v>65524308.81818971</v>
      </c>
      <c r="F113" s="1617">
        <f>SUM(F71:F112)</f>
        <v>7461115.5800000001</v>
      </c>
      <c r="G113" s="1617">
        <f>SUM(G71:G110)</f>
        <v>0</v>
      </c>
      <c r="H113" s="1617">
        <f>SUM(H71:H112)</f>
        <v>7461115.5800000001</v>
      </c>
      <c r="I113" s="1618">
        <f>SUM(I71:I112)</f>
        <v>7452058.4199999999</v>
      </c>
      <c r="J113" s="1617"/>
      <c r="K113" s="1619"/>
      <c r="L113" s="1620"/>
      <c r="M113" s="1621"/>
      <c r="N113" s="1617">
        <f t="shared" ref="N113:S113" si="26">SUM(N71:N112)</f>
        <v>3369194.4367185147</v>
      </c>
      <c r="O113" s="1622">
        <f t="shared" si="26"/>
        <v>311636.05750555557</v>
      </c>
      <c r="P113" s="1622">
        <f t="shared" si="26"/>
        <v>157142.5235527778</v>
      </c>
      <c r="Q113" s="1623">
        <f t="shared" si="26"/>
        <v>3837973.0177768487</v>
      </c>
      <c r="R113" s="1624">
        <f t="shared" si="26"/>
        <v>3836095.2635400943</v>
      </c>
      <c r="S113" s="1622">
        <f t="shared" si="26"/>
        <v>-1877.7542367538008</v>
      </c>
    </row>
    <row r="114" spans="1:25" ht="14.25" x14ac:dyDescent="0.2">
      <c r="A114" s="128"/>
      <c r="B114" s="129"/>
      <c r="C114" s="130"/>
      <c r="D114" s="130"/>
      <c r="E114" s="130"/>
      <c r="F114" s="130"/>
      <c r="G114" s="130"/>
      <c r="H114" s="130"/>
      <c r="I114" s="130"/>
      <c r="J114" s="130"/>
      <c r="K114" s="1629"/>
      <c r="L114" s="758"/>
      <c r="M114" s="759"/>
      <c r="N114" s="130"/>
      <c r="O114" s="130"/>
      <c r="P114" s="130"/>
      <c r="Q114" s="130"/>
      <c r="R114" s="130"/>
      <c r="S114" s="130"/>
    </row>
    <row r="115" spans="1:25" ht="15" thickBot="1" x14ac:dyDescent="0.25">
      <c r="A115" s="128"/>
      <c r="B115" s="129"/>
      <c r="C115" s="130"/>
      <c r="D115" s="130"/>
      <c r="E115" s="130"/>
      <c r="F115" s="130"/>
      <c r="G115" s="130"/>
      <c r="H115" s="130"/>
      <c r="I115" s="130"/>
      <c r="J115" s="130"/>
      <c r="K115" s="130"/>
      <c r="L115" s="758"/>
      <c r="M115" s="759"/>
      <c r="N115" s="130"/>
      <c r="O115" s="130"/>
      <c r="P115" s="130"/>
      <c r="Q115" s="130"/>
      <c r="R115" s="130"/>
      <c r="S115" s="130"/>
    </row>
    <row r="116" spans="1:25" ht="18.75" customHeight="1" thickBot="1" x14ac:dyDescent="0.3">
      <c r="A116" s="1552">
        <v>2015</v>
      </c>
      <c r="B116" s="1552"/>
      <c r="C116" s="2007" t="s">
        <v>1027</v>
      </c>
      <c r="D116" s="2008"/>
      <c r="E116" s="2008"/>
      <c r="F116" s="2008"/>
      <c r="G116" s="2008"/>
      <c r="H116" s="2008"/>
      <c r="I116" s="2009"/>
      <c r="J116" s="2010" t="s">
        <v>1028</v>
      </c>
      <c r="K116" s="2011"/>
      <c r="L116" s="2011"/>
      <c r="M116" s="2011"/>
      <c r="N116" s="2010" t="s">
        <v>1029</v>
      </c>
      <c r="O116" s="2011"/>
      <c r="P116" s="2011"/>
      <c r="Q116" s="2012"/>
      <c r="R116" s="1552"/>
      <c r="S116" s="1552"/>
      <c r="Y116" s="38">
        <v>2018</v>
      </c>
    </row>
    <row r="117" spans="1:25" ht="87" customHeight="1" x14ac:dyDescent="0.2">
      <c r="A117" s="2003" t="s">
        <v>3</v>
      </c>
      <c r="B117" s="2005" t="s">
        <v>205</v>
      </c>
      <c r="C117" s="731" t="s">
        <v>1030</v>
      </c>
      <c r="D117" s="732" t="s">
        <v>1031</v>
      </c>
      <c r="E117" s="733" t="s">
        <v>1032</v>
      </c>
      <c r="F117" s="731" t="s">
        <v>1033</v>
      </c>
      <c r="G117" s="732" t="s">
        <v>1034</v>
      </c>
      <c r="H117" s="733" t="s">
        <v>1035</v>
      </c>
      <c r="I117" s="734" t="s">
        <v>1036</v>
      </c>
      <c r="J117" s="731" t="s">
        <v>1037</v>
      </c>
      <c r="K117" s="735" t="s">
        <v>1038</v>
      </c>
      <c r="L117" s="735" t="s">
        <v>1039</v>
      </c>
      <c r="M117" s="736" t="s">
        <v>326</v>
      </c>
      <c r="N117" s="731" t="s">
        <v>1040</v>
      </c>
      <c r="O117" s="735" t="s">
        <v>1041</v>
      </c>
      <c r="P117" s="735" t="s">
        <v>1042</v>
      </c>
      <c r="Q117" s="733" t="s">
        <v>1043</v>
      </c>
      <c r="R117" s="737" t="s">
        <v>1044</v>
      </c>
      <c r="S117" s="738" t="s">
        <v>1045</v>
      </c>
    </row>
    <row r="118" spans="1:25" ht="13.5" thickBot="1" x14ac:dyDescent="0.25">
      <c r="A118" s="2004"/>
      <c r="B118" s="2006"/>
      <c r="C118" s="739" t="s">
        <v>1046</v>
      </c>
      <c r="D118" s="126" t="s">
        <v>1047</v>
      </c>
      <c r="E118" s="127" t="s">
        <v>1048</v>
      </c>
      <c r="F118" s="739" t="s">
        <v>1049</v>
      </c>
      <c r="G118" s="126" t="s">
        <v>662</v>
      </c>
      <c r="H118" s="127" t="s">
        <v>1050</v>
      </c>
      <c r="I118" s="740" t="s">
        <v>1051</v>
      </c>
      <c r="J118" s="741" t="s">
        <v>1052</v>
      </c>
      <c r="K118" s="742" t="s">
        <v>1053</v>
      </c>
      <c r="L118" s="126" t="s">
        <v>1054</v>
      </c>
      <c r="M118" s="742" t="s">
        <v>1055</v>
      </c>
      <c r="N118" s="743" t="s">
        <v>1056</v>
      </c>
      <c r="O118" s="744" t="s">
        <v>1057</v>
      </c>
      <c r="P118" s="744" t="s">
        <v>1058</v>
      </c>
      <c r="Q118" s="745" t="s">
        <v>1059</v>
      </c>
      <c r="R118" s="746" t="s">
        <v>1060</v>
      </c>
      <c r="S118" s="127" t="s">
        <v>1061</v>
      </c>
    </row>
    <row r="119" spans="1:25" ht="25.5" x14ac:dyDescent="0.2">
      <c r="A119" s="747">
        <v>1611</v>
      </c>
      <c r="B119" s="748" t="s">
        <v>325</v>
      </c>
      <c r="C119" s="749">
        <f t="shared" ref="C119:D124" si="27">C71</f>
        <v>2651922.5900000003</v>
      </c>
      <c r="D119" s="749">
        <f t="shared" si="27"/>
        <v>2124828.7959999996</v>
      </c>
      <c r="E119" s="1597">
        <f>C119-D119</f>
        <v>527093.79400000069</v>
      </c>
      <c r="F119" s="749">
        <f t="shared" ref="F119:F124" si="28">F71+I71</f>
        <v>150092.81</v>
      </c>
      <c r="G119" s="750"/>
      <c r="H119" s="1597">
        <f>F119-G119</f>
        <v>150092.81</v>
      </c>
      <c r="I119" s="751">
        <v>114872.93</v>
      </c>
      <c r="J119" s="1616">
        <v>3.5660952965111941</v>
      </c>
      <c r="K119" s="1599">
        <f>IF(J119=0,0,1/J119)</f>
        <v>0.28041875408610828</v>
      </c>
      <c r="L119" s="752">
        <v>5</v>
      </c>
      <c r="M119" s="1600">
        <f t="shared" ref="M119:M125" si="29">IF(L119=0,0,1/L119)</f>
        <v>0.2</v>
      </c>
      <c r="N119" s="1601">
        <f>IF(J119=0,0,+E119/J119)</f>
        <v>147806.98500000002</v>
      </c>
      <c r="O119" s="1601">
        <f>IF(L119=0,0,+H119/L119)</f>
        <v>30018.561999999998</v>
      </c>
      <c r="P119" s="1602">
        <f>IF(L119=0,0,+(I119*0.5)/L119)</f>
        <v>11487.293</v>
      </c>
      <c r="Q119" s="1603">
        <f t="shared" ref="Q119:Q127" si="30">IF(ISERROR(+N119+O119+P119), 0, +N119+O119+P119)</f>
        <v>189312.84000000003</v>
      </c>
      <c r="R119" s="753">
        <f>-'App.2-BA_Fixed Asset Cont'!J145</f>
        <v>189312.84000000003</v>
      </c>
      <c r="S119" s="110">
        <f>IF(ISERROR(+R119-122), 0, +R119-Q119)</f>
        <v>0</v>
      </c>
    </row>
    <row r="120" spans="1:25" ht="14.25" x14ac:dyDescent="0.2">
      <c r="A120" s="105">
        <v>1612</v>
      </c>
      <c r="B120" s="754" t="s">
        <v>360</v>
      </c>
      <c r="C120" s="749">
        <f t="shared" si="27"/>
        <v>0</v>
      </c>
      <c r="D120" s="749">
        <f t="shared" si="27"/>
        <v>0</v>
      </c>
      <c r="E120" s="1597">
        <f>C120-D120</f>
        <v>0</v>
      </c>
      <c r="F120" s="749">
        <f t="shared" si="28"/>
        <v>22699.18</v>
      </c>
      <c r="G120" s="750"/>
      <c r="H120" s="1597">
        <f>F120-G120</f>
        <v>22699.18</v>
      </c>
      <c r="I120" s="751">
        <v>13433.49</v>
      </c>
      <c r="J120" s="1616">
        <v>0</v>
      </c>
      <c r="K120" s="1599">
        <f t="shared" ref="K120:K164" si="31">IF(J120=0,0,1/J120)</f>
        <v>0</v>
      </c>
      <c r="L120" s="752">
        <v>0</v>
      </c>
      <c r="M120" s="1604">
        <f t="shared" si="29"/>
        <v>0</v>
      </c>
      <c r="N120" s="1601">
        <f t="shared" ref="N120:N163" si="32">IF(J120=0,0,+E120/J120)</f>
        <v>0</v>
      </c>
      <c r="O120" s="1601">
        <f t="shared" ref="O120:O163" si="33">IF(L120=0,0,+H120/L120)</f>
        <v>0</v>
      </c>
      <c r="P120" s="1602">
        <f t="shared" ref="P120:P164" si="34">IF(L120=0,0,+(I120*0.5)/L120)</f>
        <v>0</v>
      </c>
      <c r="Q120" s="1603">
        <f t="shared" si="30"/>
        <v>0</v>
      </c>
      <c r="R120" s="753">
        <f>-'App.2-BA_Fixed Asset Cont'!J146</f>
        <v>0</v>
      </c>
      <c r="S120" s="110">
        <f t="shared" ref="S120:S164" si="35">IF(ISERROR(+R120-122), 0, +R120-Q120)</f>
        <v>0</v>
      </c>
    </row>
    <row r="121" spans="1:25" ht="14.25" x14ac:dyDescent="0.2">
      <c r="A121" s="102">
        <v>1805</v>
      </c>
      <c r="B121" s="755" t="s">
        <v>236</v>
      </c>
      <c r="C121" s="749">
        <f t="shared" si="27"/>
        <v>858551.45999999985</v>
      </c>
      <c r="D121" s="749">
        <f t="shared" si="27"/>
        <v>0</v>
      </c>
      <c r="E121" s="1597">
        <f>C121-D121</f>
        <v>858551.45999999985</v>
      </c>
      <c r="F121" s="749">
        <f t="shared" si="28"/>
        <v>49472.75</v>
      </c>
      <c r="G121" s="750"/>
      <c r="H121" s="1597">
        <f>F121-G121</f>
        <v>49472.75</v>
      </c>
      <c r="I121" s="751">
        <v>32054.59</v>
      </c>
      <c r="J121" s="1616">
        <v>0</v>
      </c>
      <c r="K121" s="1599">
        <f t="shared" si="31"/>
        <v>0</v>
      </c>
      <c r="L121" s="752">
        <v>0</v>
      </c>
      <c r="M121" s="1604">
        <f t="shared" si="29"/>
        <v>0</v>
      </c>
      <c r="N121" s="1601">
        <f t="shared" si="32"/>
        <v>0</v>
      </c>
      <c r="O121" s="1601">
        <f t="shared" si="33"/>
        <v>0</v>
      </c>
      <c r="P121" s="1602">
        <f t="shared" si="34"/>
        <v>0</v>
      </c>
      <c r="Q121" s="1603">
        <f t="shared" si="30"/>
        <v>0</v>
      </c>
      <c r="R121" s="753">
        <f>-'App.2-BA_Fixed Asset Cont'!J147</f>
        <v>0</v>
      </c>
      <c r="S121" s="110">
        <f t="shared" si="35"/>
        <v>0</v>
      </c>
    </row>
    <row r="122" spans="1:25" s="82" customFormat="1" ht="14.25" x14ac:dyDescent="0.2">
      <c r="A122" s="102">
        <v>1808</v>
      </c>
      <c r="B122" s="755" t="s">
        <v>1489</v>
      </c>
      <c r="C122" s="749">
        <f t="shared" si="27"/>
        <v>10129356.539999999</v>
      </c>
      <c r="D122" s="749">
        <f t="shared" si="27"/>
        <v>4624660.5143232271</v>
      </c>
      <c r="E122" s="1597">
        <f>C122-D122</f>
        <v>5504696.025676772</v>
      </c>
      <c r="F122" s="749">
        <f t="shared" si="28"/>
        <v>1710981.09</v>
      </c>
      <c r="G122" s="750"/>
      <c r="H122" s="1597">
        <f>F122-G122</f>
        <v>1710981.09</v>
      </c>
      <c r="I122" s="751"/>
      <c r="J122" s="1616">
        <v>21.581058245418276</v>
      </c>
      <c r="K122" s="1599">
        <f>IF(J122=0,0,1/J122)</f>
        <v>4.6336930683753795E-2</v>
      </c>
      <c r="L122" s="752">
        <v>15</v>
      </c>
      <c r="M122" s="1607">
        <f t="shared" si="29"/>
        <v>6.6666666666666666E-2</v>
      </c>
      <c r="N122" s="1601">
        <f t="shared" si="32"/>
        <v>255070.71817691959</v>
      </c>
      <c r="O122" s="1601">
        <f t="shared" si="33"/>
        <v>114065.406</v>
      </c>
      <c r="P122" s="1602">
        <f t="shared" si="34"/>
        <v>0</v>
      </c>
      <c r="Q122" s="1610">
        <f t="shared" si="30"/>
        <v>369136.12417691958</v>
      </c>
      <c r="R122" s="753">
        <f>-'App.2-BA_Fixed Asset Cont'!J148-26200-110</f>
        <v>352316.45538609161</v>
      </c>
      <c r="S122" s="110">
        <f t="shared" si="35"/>
        <v>-16819.668790827971</v>
      </c>
    </row>
    <row r="123" spans="1:25" s="82" customFormat="1" ht="14.25" x14ac:dyDescent="0.2">
      <c r="A123" s="102">
        <v>1808</v>
      </c>
      <c r="B123" s="755" t="s">
        <v>1489</v>
      </c>
      <c r="C123" s="749">
        <f t="shared" si="27"/>
        <v>0</v>
      </c>
      <c r="D123" s="749">
        <f t="shared" si="27"/>
        <v>0</v>
      </c>
      <c r="E123" s="1597"/>
      <c r="F123" s="749">
        <f t="shared" si="28"/>
        <v>0</v>
      </c>
      <c r="G123" s="750"/>
      <c r="H123" s="1597"/>
      <c r="I123" s="751">
        <v>1309995.71</v>
      </c>
      <c r="J123" s="1616">
        <v>0</v>
      </c>
      <c r="K123" s="1599">
        <f t="shared" si="31"/>
        <v>0</v>
      </c>
      <c r="L123" s="752">
        <v>25</v>
      </c>
      <c r="M123" s="1607">
        <f t="shared" si="29"/>
        <v>0.04</v>
      </c>
      <c r="N123" s="1601">
        <f t="shared" si="32"/>
        <v>0</v>
      </c>
      <c r="O123" s="1601">
        <f t="shared" si="33"/>
        <v>0</v>
      </c>
      <c r="P123" s="1602">
        <f t="shared" si="34"/>
        <v>26199.914199999999</v>
      </c>
      <c r="Q123" s="1610">
        <f t="shared" si="30"/>
        <v>26199.914199999999</v>
      </c>
      <c r="R123" s="753">
        <v>26200</v>
      </c>
      <c r="S123" s="110">
        <f t="shared" si="35"/>
        <v>8.5800000000745058E-2</v>
      </c>
    </row>
    <row r="124" spans="1:25" s="82" customFormat="1" ht="14.25" x14ac:dyDescent="0.2">
      <c r="A124" s="102">
        <v>1808</v>
      </c>
      <c r="B124" s="755" t="s">
        <v>237</v>
      </c>
      <c r="C124" s="749">
        <f t="shared" si="27"/>
        <v>0</v>
      </c>
      <c r="D124" s="749">
        <f t="shared" si="27"/>
        <v>0</v>
      </c>
      <c r="E124" s="1597"/>
      <c r="F124" s="749">
        <f t="shared" si="28"/>
        <v>0</v>
      </c>
      <c r="G124" s="750"/>
      <c r="H124" s="1597"/>
      <c r="I124" s="751">
        <v>10998</v>
      </c>
      <c r="J124" s="1616"/>
      <c r="K124" s="1599">
        <f t="shared" si="31"/>
        <v>0</v>
      </c>
      <c r="L124" s="752">
        <v>50</v>
      </c>
      <c r="M124" s="1607">
        <f t="shared" si="29"/>
        <v>0.02</v>
      </c>
      <c r="N124" s="1601">
        <f t="shared" si="32"/>
        <v>0</v>
      </c>
      <c r="O124" s="1601">
        <f t="shared" si="33"/>
        <v>0</v>
      </c>
      <c r="P124" s="1602">
        <f t="shared" si="34"/>
        <v>109.98</v>
      </c>
      <c r="Q124" s="1610">
        <f t="shared" si="30"/>
        <v>109.98</v>
      </c>
      <c r="R124" s="753">
        <v>110</v>
      </c>
      <c r="S124" s="110">
        <f t="shared" si="35"/>
        <v>1.9999999999996021E-2</v>
      </c>
    </row>
    <row r="125" spans="1:25" ht="14.25" hidden="1" x14ac:dyDescent="0.2">
      <c r="A125" s="105">
        <v>1810</v>
      </c>
      <c r="B125" s="754" t="s">
        <v>262</v>
      </c>
      <c r="C125" s="749"/>
      <c r="D125" s="749"/>
      <c r="E125" s="1597"/>
      <c r="F125" s="749" t="s">
        <v>1493</v>
      </c>
      <c r="G125" s="750"/>
      <c r="H125" s="1597"/>
      <c r="I125" s="751"/>
      <c r="J125" s="1616"/>
      <c r="K125" s="1599">
        <f t="shared" si="31"/>
        <v>0</v>
      </c>
      <c r="L125" s="752">
        <v>0</v>
      </c>
      <c r="M125" s="1607">
        <f t="shared" si="29"/>
        <v>0</v>
      </c>
      <c r="N125" s="1601">
        <f t="shared" si="32"/>
        <v>0</v>
      </c>
      <c r="O125" s="1601">
        <f t="shared" si="33"/>
        <v>0</v>
      </c>
      <c r="P125" s="1602">
        <f t="shared" si="34"/>
        <v>0</v>
      </c>
      <c r="Q125" s="1610">
        <f t="shared" si="30"/>
        <v>0</v>
      </c>
      <c r="R125" s="753"/>
      <c r="S125" s="110">
        <f t="shared" si="35"/>
        <v>0</v>
      </c>
    </row>
    <row r="126" spans="1:25" ht="14.25" hidden="1" x14ac:dyDescent="0.2">
      <c r="A126" s="105">
        <v>1815</v>
      </c>
      <c r="B126" s="754" t="s">
        <v>238</v>
      </c>
      <c r="C126" s="749"/>
      <c r="D126" s="749"/>
      <c r="E126" s="1597"/>
      <c r="F126" s="749"/>
      <c r="G126" s="750"/>
      <c r="I126" s="751"/>
      <c r="J126" s="1616">
        <v>0</v>
      </c>
      <c r="K126" s="1599">
        <f t="shared" si="31"/>
        <v>0</v>
      </c>
      <c r="L126" s="752">
        <v>0</v>
      </c>
      <c r="M126" s="1604">
        <f t="shared" ref="M126:M157" si="36">IF(L126=0,0,1/L126)</f>
        <v>0</v>
      </c>
      <c r="N126" s="1601">
        <f t="shared" si="32"/>
        <v>0</v>
      </c>
      <c r="O126" s="1601">
        <f t="shared" si="33"/>
        <v>0</v>
      </c>
      <c r="P126" s="1602">
        <f t="shared" si="34"/>
        <v>0</v>
      </c>
      <c r="Q126" s="1610">
        <f t="shared" si="30"/>
        <v>0</v>
      </c>
      <c r="R126" s="753"/>
      <c r="S126" s="110">
        <f t="shared" si="35"/>
        <v>0</v>
      </c>
    </row>
    <row r="127" spans="1:25" s="82" customFormat="1" ht="14.25" x14ac:dyDescent="0.2">
      <c r="A127" s="102">
        <v>1820</v>
      </c>
      <c r="B127" s="755" t="s">
        <v>178</v>
      </c>
      <c r="C127" s="749">
        <f>C77</f>
        <v>17547705.690000001</v>
      </c>
      <c r="D127" s="749">
        <f>D77</f>
        <v>11226787.926014977</v>
      </c>
      <c r="E127" s="1597">
        <f>C127-D127</f>
        <v>6320917.7639850248</v>
      </c>
      <c r="F127" s="749">
        <f>F77+I77</f>
        <v>763862.78</v>
      </c>
      <c r="G127" s="749"/>
      <c r="H127" s="1597">
        <f>F127-G126</f>
        <v>763862.78</v>
      </c>
      <c r="I127" s="751">
        <v>92091.270000000019</v>
      </c>
      <c r="J127" s="1616">
        <v>17.953954701309524</v>
      </c>
      <c r="K127" s="1599">
        <f>IF(J127=0,0,1/J127)</f>
        <v>5.5698035148048032E-2</v>
      </c>
      <c r="L127" s="752">
        <v>45</v>
      </c>
      <c r="M127" s="1604">
        <f t="shared" si="36"/>
        <v>2.2222222222222223E-2</v>
      </c>
      <c r="N127" s="1601">
        <f t="shared" si="32"/>
        <v>352062.69978635904</v>
      </c>
      <c r="O127" s="1601">
        <f t="shared" si="33"/>
        <v>16974.728444444445</v>
      </c>
      <c r="P127" s="1602">
        <f t="shared" si="34"/>
        <v>1023.2363333333335</v>
      </c>
      <c r="Q127" s="1610">
        <f t="shared" si="30"/>
        <v>370060.66456413676</v>
      </c>
      <c r="R127" s="753">
        <f>-'App.2-BA_Fixed Asset Cont'!J151-1782</f>
        <v>370028.8158681799</v>
      </c>
      <c r="S127" s="110">
        <f t="shared" si="35"/>
        <v>-31.848695956869051</v>
      </c>
    </row>
    <row r="128" spans="1:25" s="82" customFormat="1" ht="14.25" x14ac:dyDescent="0.2">
      <c r="A128" s="102">
        <v>1820</v>
      </c>
      <c r="B128" s="755" t="s">
        <v>178</v>
      </c>
      <c r="C128" s="749"/>
      <c r="D128" s="749"/>
      <c r="E128" s="1597"/>
      <c r="F128" s="749"/>
      <c r="G128" s="749"/>
      <c r="H128" s="1597">
        <f>F128-G127</f>
        <v>0</v>
      </c>
      <c r="I128" s="751">
        <v>71291</v>
      </c>
      <c r="J128" s="1616"/>
      <c r="K128" s="1599">
        <f t="shared" si="31"/>
        <v>0</v>
      </c>
      <c r="L128" s="752">
        <v>20</v>
      </c>
      <c r="M128" s="1607">
        <f t="shared" si="36"/>
        <v>0.05</v>
      </c>
      <c r="N128" s="1601">
        <f t="shared" si="32"/>
        <v>0</v>
      </c>
      <c r="O128" s="1601">
        <f t="shared" si="33"/>
        <v>0</v>
      </c>
      <c r="P128" s="1602">
        <f t="shared" si="34"/>
        <v>1782.2750000000001</v>
      </c>
      <c r="Q128" s="1610">
        <f t="shared" ref="Q128:Q157" si="37">IF(ISERROR(+N128+O128+P128), 0, +N128+O128+P128)</f>
        <v>1782.2750000000001</v>
      </c>
      <c r="R128" s="753">
        <v>1782</v>
      </c>
      <c r="S128" s="110">
        <f t="shared" si="35"/>
        <v>-0.27500000000009095</v>
      </c>
    </row>
    <row r="129" spans="1:19" ht="14.25" hidden="1" x14ac:dyDescent="0.2">
      <c r="A129" s="105">
        <v>1825</v>
      </c>
      <c r="B129" s="754" t="s">
        <v>239</v>
      </c>
      <c r="C129" s="749"/>
      <c r="D129" s="749"/>
      <c r="E129" s="1597"/>
      <c r="F129" s="749"/>
      <c r="G129" s="749"/>
      <c r="H129" s="1597"/>
      <c r="I129" s="751"/>
      <c r="J129" s="1616"/>
      <c r="K129" s="1599">
        <f t="shared" si="31"/>
        <v>0</v>
      </c>
      <c r="L129" s="752">
        <v>0</v>
      </c>
      <c r="M129" s="1607">
        <f t="shared" si="36"/>
        <v>0</v>
      </c>
      <c r="N129" s="1601">
        <f t="shared" si="32"/>
        <v>0</v>
      </c>
      <c r="O129" s="1601">
        <f t="shared" si="33"/>
        <v>0</v>
      </c>
      <c r="P129" s="1602">
        <f t="shared" si="34"/>
        <v>0</v>
      </c>
      <c r="Q129" s="1610">
        <f t="shared" si="37"/>
        <v>0</v>
      </c>
      <c r="R129" s="753"/>
      <c r="S129" s="110">
        <f t="shared" si="35"/>
        <v>0</v>
      </c>
    </row>
    <row r="130" spans="1:19" ht="14.25" x14ac:dyDescent="0.2">
      <c r="A130" s="105">
        <v>1830</v>
      </c>
      <c r="B130" s="754" t="s">
        <v>240</v>
      </c>
      <c r="C130" s="749">
        <f t="shared" ref="C130:D137" si="38">C79</f>
        <v>19238774.109999999</v>
      </c>
      <c r="D130" s="749">
        <f t="shared" si="38"/>
        <v>9065588.3328476083</v>
      </c>
      <c r="E130" s="1597">
        <f t="shared" ref="E130:E139" si="39">C130-D130</f>
        <v>10173185.777152391</v>
      </c>
      <c r="F130" s="749">
        <f t="shared" ref="F130:F137" si="40">F79+I79</f>
        <v>2452717.1099999989</v>
      </c>
      <c r="G130" s="749"/>
      <c r="H130" s="1597">
        <f t="shared" ref="H130:H139" si="41">F130-G130</f>
        <v>2452717.1099999989</v>
      </c>
      <c r="I130" s="751">
        <v>1620239.1800000006</v>
      </c>
      <c r="J130" s="1616">
        <v>29.31882189816271</v>
      </c>
      <c r="K130" s="1599">
        <f t="shared" si="31"/>
        <v>3.4107782484352346E-2</v>
      </c>
      <c r="L130" s="752">
        <v>40</v>
      </c>
      <c r="M130" s="1604">
        <f t="shared" si="36"/>
        <v>2.5000000000000001E-2</v>
      </c>
      <c r="N130" s="1601">
        <f t="shared" si="32"/>
        <v>346984.80766002071</v>
      </c>
      <c r="O130" s="1601">
        <f t="shared" si="33"/>
        <v>61317.927749999973</v>
      </c>
      <c r="P130" s="1602">
        <f t="shared" si="34"/>
        <v>20252.989750000008</v>
      </c>
      <c r="Q130" s="1603">
        <f t="shared" si="37"/>
        <v>428555.72516002069</v>
      </c>
      <c r="R130" s="753">
        <f>-'App.2-BA_Fixed Asset Cont'!J153</f>
        <v>428839.50285478774</v>
      </c>
      <c r="S130" s="110">
        <f t="shared" si="35"/>
        <v>283.77769476704998</v>
      </c>
    </row>
    <row r="131" spans="1:19" ht="14.25" x14ac:dyDescent="0.2">
      <c r="A131" s="105">
        <v>1835</v>
      </c>
      <c r="B131" s="754" t="s">
        <v>1473</v>
      </c>
      <c r="C131" s="749">
        <f t="shared" si="38"/>
        <v>29187086.480131183</v>
      </c>
      <c r="D131" s="749">
        <f t="shared" si="38"/>
        <v>21602233.694095131</v>
      </c>
      <c r="E131" s="1597">
        <f t="shared" si="39"/>
        <v>7584852.7860360518</v>
      </c>
      <c r="F131" s="749">
        <f t="shared" si="40"/>
        <v>1038618.78</v>
      </c>
      <c r="G131" s="749"/>
      <c r="H131" s="1597">
        <f t="shared" si="41"/>
        <v>1038618.78</v>
      </c>
      <c r="I131" s="751">
        <v>394521.88000000018</v>
      </c>
      <c r="J131" s="1616">
        <v>22.086643092089325</v>
      </c>
      <c r="K131" s="1599">
        <f t="shared" si="31"/>
        <v>4.5276233053187044E-2</v>
      </c>
      <c r="L131" s="752">
        <v>40</v>
      </c>
      <c r="M131" s="1604">
        <f t="shared" si="36"/>
        <v>2.5000000000000001E-2</v>
      </c>
      <c r="N131" s="1601">
        <f t="shared" si="32"/>
        <v>343413.56241468334</v>
      </c>
      <c r="O131" s="1601">
        <f t="shared" si="33"/>
        <v>25965.469499999999</v>
      </c>
      <c r="P131" s="1602">
        <f t="shared" si="34"/>
        <v>4931.5235000000021</v>
      </c>
      <c r="Q131" s="1603">
        <f t="shared" si="37"/>
        <v>374310.55541468336</v>
      </c>
      <c r="R131" s="753">
        <f>-'App.2-BA_Fixed Asset Cont'!J154-113118</f>
        <v>373486.74451819627</v>
      </c>
      <c r="S131" s="110">
        <f t="shared" si="35"/>
        <v>-823.81089648709167</v>
      </c>
    </row>
    <row r="132" spans="1:19" ht="14.25" x14ac:dyDescent="0.2">
      <c r="A132" s="105">
        <v>1835</v>
      </c>
      <c r="B132" s="754" t="s">
        <v>1474</v>
      </c>
      <c r="C132" s="749">
        <f t="shared" si="38"/>
        <v>9768757</v>
      </c>
      <c r="D132" s="749">
        <f t="shared" si="38"/>
        <v>6712011.325488192</v>
      </c>
      <c r="E132" s="1597">
        <f t="shared" si="39"/>
        <v>3056745.674511808</v>
      </c>
      <c r="F132" s="749">
        <f t="shared" si="40"/>
        <v>719450.29</v>
      </c>
      <c r="G132" s="749"/>
      <c r="H132" s="1597">
        <f t="shared" si="41"/>
        <v>719450.29</v>
      </c>
      <c r="I132" s="751">
        <v>329269.47000000003</v>
      </c>
      <c r="J132" s="1616">
        <v>32.029122728742202</v>
      </c>
      <c r="K132" s="1599">
        <f t="shared" si="31"/>
        <v>3.1221585694653536E-2</v>
      </c>
      <c r="L132" s="752">
        <v>50</v>
      </c>
      <c r="M132" s="1604">
        <f t="shared" si="36"/>
        <v>0.02</v>
      </c>
      <c r="N132" s="1601">
        <f t="shared" si="32"/>
        <v>95436.447023531946</v>
      </c>
      <c r="O132" s="1601">
        <f t="shared" si="33"/>
        <v>14389.005800000001</v>
      </c>
      <c r="P132" s="1602">
        <f t="shared" si="34"/>
        <v>3292.6947000000005</v>
      </c>
      <c r="Q132" s="1603">
        <f t="shared" si="37"/>
        <v>113118.14752353195</v>
      </c>
      <c r="R132" s="753">
        <v>113118</v>
      </c>
      <c r="S132" s="110">
        <f t="shared" si="35"/>
        <v>-0.14752353195217438</v>
      </c>
    </row>
    <row r="133" spans="1:19" s="82" customFormat="1" ht="14.25" x14ac:dyDescent="0.2">
      <c r="A133" s="102">
        <v>1840</v>
      </c>
      <c r="B133" s="755" t="s">
        <v>180</v>
      </c>
      <c r="C133" s="749">
        <f t="shared" si="38"/>
        <v>20841499.539999999</v>
      </c>
      <c r="D133" s="749">
        <f t="shared" si="38"/>
        <v>12176064.896733059</v>
      </c>
      <c r="E133" s="1597">
        <f t="shared" si="39"/>
        <v>8665434.6432669405</v>
      </c>
      <c r="F133" s="749">
        <f t="shared" si="40"/>
        <v>1304442.71</v>
      </c>
      <c r="G133" s="749"/>
      <c r="H133" s="1597">
        <f t="shared" si="41"/>
        <v>1304442.71</v>
      </c>
      <c r="I133" s="751">
        <v>576755.81000000017</v>
      </c>
      <c r="J133" s="1616">
        <v>38.144264154552815</v>
      </c>
      <c r="K133" s="1599">
        <f t="shared" si="31"/>
        <v>2.6216261400356367E-2</v>
      </c>
      <c r="L133" s="752">
        <v>50</v>
      </c>
      <c r="M133" s="1604">
        <f t="shared" si="36"/>
        <v>0.02</v>
      </c>
      <c r="N133" s="1601">
        <f t="shared" si="32"/>
        <v>227175.29975558995</v>
      </c>
      <c r="O133" s="1601">
        <f t="shared" si="33"/>
        <v>26088.854199999998</v>
      </c>
      <c r="P133" s="1602">
        <f t="shared" si="34"/>
        <v>5767.558100000002</v>
      </c>
      <c r="Q133" s="1603">
        <f t="shared" si="37"/>
        <v>259031.71205558995</v>
      </c>
      <c r="R133" s="753">
        <f>-'App.2-BA_Fixed Asset Cont'!J155</f>
        <v>259530.24452565666</v>
      </c>
      <c r="S133" s="110">
        <f t="shared" si="35"/>
        <v>498.53247006671154</v>
      </c>
    </row>
    <row r="134" spans="1:19" ht="14.25" x14ac:dyDescent="0.2">
      <c r="A134" s="105">
        <v>1845</v>
      </c>
      <c r="B134" s="754" t="s">
        <v>181</v>
      </c>
      <c r="C134" s="749">
        <f t="shared" si="38"/>
        <v>15719869.667285465</v>
      </c>
      <c r="D134" s="749">
        <f t="shared" si="38"/>
        <v>11662374.440973222</v>
      </c>
      <c r="E134" s="1597">
        <f t="shared" si="39"/>
        <v>4057495.2263122424</v>
      </c>
      <c r="F134" s="749">
        <f t="shared" si="40"/>
        <v>1291548.0900000001</v>
      </c>
      <c r="G134" s="750"/>
      <c r="H134" s="1597">
        <f t="shared" si="41"/>
        <v>1291548.0900000001</v>
      </c>
      <c r="I134" s="751">
        <v>615640.23999999987</v>
      </c>
      <c r="J134" s="1616">
        <v>17.227550217275297</v>
      </c>
      <c r="K134" s="1599">
        <f t="shared" si="31"/>
        <v>5.8046558413002242E-2</v>
      </c>
      <c r="L134" s="752">
        <v>40</v>
      </c>
      <c r="M134" s="1607">
        <f t="shared" si="36"/>
        <v>2.5000000000000001E-2</v>
      </c>
      <c r="N134" s="1601">
        <f t="shared" si="32"/>
        <v>235523.63366461132</v>
      </c>
      <c r="O134" s="1601">
        <f t="shared" si="33"/>
        <v>32288.702250000002</v>
      </c>
      <c r="P134" s="1602">
        <f t="shared" si="34"/>
        <v>7695.5029999999988</v>
      </c>
      <c r="Q134" s="1610">
        <f t="shared" si="37"/>
        <v>275507.83891461138</v>
      </c>
      <c r="R134" s="753">
        <f>-'App.2-BA_Fixed Asset Cont'!J156</f>
        <v>278978.26878267783</v>
      </c>
      <c r="S134" s="110">
        <f t="shared" si="35"/>
        <v>3470.4298680664506</v>
      </c>
    </row>
    <row r="135" spans="1:19" s="82" customFormat="1" ht="14.25" x14ac:dyDescent="0.2">
      <c r="A135" s="102">
        <v>1850</v>
      </c>
      <c r="B135" s="755" t="s">
        <v>241</v>
      </c>
      <c r="C135" s="749">
        <f t="shared" si="38"/>
        <v>25892036.769088108</v>
      </c>
      <c r="D135" s="749">
        <f t="shared" si="38"/>
        <v>17956843.743688975</v>
      </c>
      <c r="E135" s="1597">
        <f t="shared" si="39"/>
        <v>7935193.0253991336</v>
      </c>
      <c r="F135" s="749">
        <f t="shared" si="40"/>
        <v>2427826.0400000005</v>
      </c>
      <c r="G135" s="750"/>
      <c r="H135" s="1597">
        <f t="shared" si="41"/>
        <v>2427826.0400000005</v>
      </c>
      <c r="I135" s="751">
        <v>1362816.6400000008</v>
      </c>
      <c r="J135" s="1616">
        <v>22.886705689794354</v>
      </c>
      <c r="K135" s="1599">
        <f t="shared" si="31"/>
        <v>4.3693487981798985E-2</v>
      </c>
      <c r="L135" s="752">
        <v>40</v>
      </c>
      <c r="M135" s="1604">
        <f t="shared" si="36"/>
        <v>2.5000000000000001E-2</v>
      </c>
      <c r="N135" s="1601">
        <f t="shared" si="32"/>
        <v>346716.26108853216</v>
      </c>
      <c r="O135" s="1601">
        <f t="shared" si="33"/>
        <v>60695.651000000013</v>
      </c>
      <c r="P135" s="1602">
        <f t="shared" si="34"/>
        <v>17035.20800000001</v>
      </c>
      <c r="Q135" s="1603">
        <f t="shared" si="37"/>
        <v>424447.12008853216</v>
      </c>
      <c r="R135" s="753">
        <f>-'App.2-BA_Fixed Asset Cont'!J157</f>
        <v>416435.29568125348</v>
      </c>
      <c r="S135" s="110">
        <f t="shared" si="35"/>
        <v>-8011.8244072786765</v>
      </c>
    </row>
    <row r="136" spans="1:19" ht="14.25" x14ac:dyDescent="0.2">
      <c r="A136" s="105">
        <v>1855</v>
      </c>
      <c r="B136" s="754" t="s">
        <v>182</v>
      </c>
      <c r="C136" s="749">
        <f t="shared" si="38"/>
        <v>12342929.799999999</v>
      </c>
      <c r="D136" s="749">
        <f t="shared" si="38"/>
        <v>6500462.1358982157</v>
      </c>
      <c r="E136" s="1597">
        <f t="shared" si="39"/>
        <v>5842467.6641017832</v>
      </c>
      <c r="F136" s="749">
        <f t="shared" si="40"/>
        <v>2146745.7599999998</v>
      </c>
      <c r="G136" s="750"/>
      <c r="H136" s="1597">
        <f t="shared" si="41"/>
        <v>2146745.7599999998</v>
      </c>
      <c r="I136" s="751">
        <v>1147044.9399999997</v>
      </c>
      <c r="J136" s="1616">
        <v>29.258866884696523</v>
      </c>
      <c r="K136" s="1599">
        <f t="shared" si="31"/>
        <v>3.4177673521698725E-2</v>
      </c>
      <c r="L136" s="752">
        <v>40</v>
      </c>
      <c r="M136" s="1607">
        <f t="shared" si="36"/>
        <v>2.5000000000000001E-2</v>
      </c>
      <c r="N136" s="1601">
        <f t="shared" si="32"/>
        <v>199681.95238475251</v>
      </c>
      <c r="O136" s="1601">
        <f t="shared" si="33"/>
        <v>53668.643999999993</v>
      </c>
      <c r="P136" s="1602">
        <f t="shared" si="34"/>
        <v>14338.061749999997</v>
      </c>
      <c r="Q136" s="1610">
        <f t="shared" si="37"/>
        <v>267688.65813475254</v>
      </c>
      <c r="R136" s="753">
        <f>-'App.2-BA_Fixed Asset Cont'!J158</f>
        <v>268102.70870702591</v>
      </c>
      <c r="S136" s="110">
        <f t="shared" si="35"/>
        <v>414.05057227337966</v>
      </c>
    </row>
    <row r="137" spans="1:19" ht="14.25" x14ac:dyDescent="0.2">
      <c r="A137" s="105">
        <v>1860</v>
      </c>
      <c r="B137" s="754" t="s">
        <v>242</v>
      </c>
      <c r="C137" s="749">
        <f t="shared" si="38"/>
        <v>8900387.9934</v>
      </c>
      <c r="D137" s="749">
        <f t="shared" si="38"/>
        <v>6817799.92275065</v>
      </c>
      <c r="E137" s="1597">
        <f t="shared" si="39"/>
        <v>2082588.0706493501</v>
      </c>
      <c r="F137" s="749">
        <f t="shared" si="40"/>
        <v>189303.4</v>
      </c>
      <c r="G137" s="750"/>
      <c r="H137" s="1597">
        <f t="shared" si="41"/>
        <v>189303.4</v>
      </c>
      <c r="I137" s="751">
        <v>51973.279999999999</v>
      </c>
      <c r="J137" s="1616">
        <v>4.3435425942359798</v>
      </c>
      <c r="K137" s="1599">
        <f>IF(J137=0,0,1/J137)</f>
        <v>0.23022682022896057</v>
      </c>
      <c r="L137" s="752">
        <v>15</v>
      </c>
      <c r="M137" s="1604">
        <f t="shared" si="36"/>
        <v>6.6666666666666666E-2</v>
      </c>
      <c r="N137" s="1601">
        <f t="shared" si="32"/>
        <v>479467.6293523658</v>
      </c>
      <c r="O137" s="1601">
        <f t="shared" si="33"/>
        <v>12620.226666666666</v>
      </c>
      <c r="P137" s="1602">
        <f t="shared" si="34"/>
        <v>1732.4426666666666</v>
      </c>
      <c r="Q137" s="1603">
        <f t="shared" si="37"/>
        <v>493820.29868569912</v>
      </c>
      <c r="R137" s="753">
        <f>-'App.2-BA_Fixed Asset Cont'!J159-879-613</f>
        <v>493440.93420747691</v>
      </c>
      <c r="S137" s="110">
        <f t="shared" si="35"/>
        <v>-379.36447822221089</v>
      </c>
    </row>
    <row r="138" spans="1:19" ht="14.25" x14ac:dyDescent="0.2">
      <c r="A138" s="102">
        <v>1860</v>
      </c>
      <c r="B138" s="755" t="s">
        <v>1490</v>
      </c>
      <c r="C138" s="749">
        <f>C89</f>
        <v>0</v>
      </c>
      <c r="D138" s="749">
        <f>D89</f>
        <v>0</v>
      </c>
      <c r="E138" s="1597">
        <f t="shared" si="39"/>
        <v>0</v>
      </c>
      <c r="F138" s="749">
        <f>F89+I89</f>
        <v>0</v>
      </c>
      <c r="G138" s="750"/>
      <c r="H138" s="1597">
        <f t="shared" si="41"/>
        <v>0</v>
      </c>
      <c r="I138" s="751">
        <v>79083</v>
      </c>
      <c r="J138" s="1616">
        <v>0</v>
      </c>
      <c r="K138" s="1599">
        <f t="shared" si="31"/>
        <v>0</v>
      </c>
      <c r="L138" s="752">
        <v>45</v>
      </c>
      <c r="M138" s="1604">
        <f t="shared" si="36"/>
        <v>2.2222222222222223E-2</v>
      </c>
      <c r="N138" s="1601">
        <f t="shared" si="32"/>
        <v>0</v>
      </c>
      <c r="O138" s="1601">
        <f t="shared" si="33"/>
        <v>0</v>
      </c>
      <c r="P138" s="1602">
        <f t="shared" si="34"/>
        <v>878.7</v>
      </c>
      <c r="Q138" s="1603">
        <f t="shared" si="37"/>
        <v>878.7</v>
      </c>
      <c r="R138" s="753">
        <v>879</v>
      </c>
      <c r="S138" s="110">
        <f t="shared" si="35"/>
        <v>0.29999999999995453</v>
      </c>
    </row>
    <row r="139" spans="1:19" ht="14.25" x14ac:dyDescent="0.2">
      <c r="A139" s="102">
        <v>1860</v>
      </c>
      <c r="B139" s="755" t="s">
        <v>1490</v>
      </c>
      <c r="C139" s="749">
        <f>C90</f>
        <v>0</v>
      </c>
      <c r="D139" s="749">
        <f>D90</f>
        <v>0</v>
      </c>
      <c r="E139" s="1597">
        <f t="shared" si="39"/>
        <v>0</v>
      </c>
      <c r="F139" s="749">
        <f>F90+I90</f>
        <v>0</v>
      </c>
      <c r="G139" s="750"/>
      <c r="H139" s="1597">
        <f t="shared" si="41"/>
        <v>0</v>
      </c>
      <c r="I139" s="751">
        <v>30628</v>
      </c>
      <c r="J139" s="1616">
        <v>0</v>
      </c>
      <c r="K139" s="1599">
        <f t="shared" si="31"/>
        <v>0</v>
      </c>
      <c r="L139" s="752">
        <v>25</v>
      </c>
      <c r="M139" s="1604">
        <f t="shared" si="36"/>
        <v>0.04</v>
      </c>
      <c r="N139" s="1601">
        <f t="shared" si="32"/>
        <v>0</v>
      </c>
      <c r="O139" s="1601">
        <f t="shared" si="33"/>
        <v>0</v>
      </c>
      <c r="P139" s="1602">
        <f t="shared" si="34"/>
        <v>612.55999999999995</v>
      </c>
      <c r="Q139" s="1603">
        <f t="shared" si="37"/>
        <v>612.55999999999995</v>
      </c>
      <c r="R139" s="753">
        <v>613</v>
      </c>
      <c r="S139" s="110">
        <f t="shared" si="35"/>
        <v>0.44000000000005457</v>
      </c>
    </row>
    <row r="140" spans="1:19" ht="14.25" hidden="1" x14ac:dyDescent="0.2">
      <c r="A140" s="102">
        <v>1905</v>
      </c>
      <c r="B140" s="755" t="s">
        <v>236</v>
      </c>
      <c r="C140" s="749"/>
      <c r="D140" s="749"/>
      <c r="E140" s="1597"/>
      <c r="F140" s="749"/>
      <c r="G140" s="750"/>
      <c r="H140" s="1597">
        <f>F140-G140</f>
        <v>0</v>
      </c>
      <c r="I140" s="751">
        <v>0</v>
      </c>
      <c r="J140" s="1616"/>
      <c r="K140" s="1599">
        <f t="shared" si="31"/>
        <v>0</v>
      </c>
      <c r="L140" s="752">
        <v>0</v>
      </c>
      <c r="M140" s="1604">
        <f t="shared" si="36"/>
        <v>0</v>
      </c>
      <c r="N140" s="1601">
        <f t="shared" si="32"/>
        <v>0</v>
      </c>
      <c r="O140" s="1601">
        <f t="shared" si="33"/>
        <v>0</v>
      </c>
      <c r="P140" s="1602">
        <f t="shared" si="34"/>
        <v>0</v>
      </c>
      <c r="Q140" s="1603">
        <f t="shared" si="37"/>
        <v>0</v>
      </c>
      <c r="R140" s="753"/>
      <c r="S140" s="110">
        <f t="shared" si="35"/>
        <v>0</v>
      </c>
    </row>
    <row r="141" spans="1:19" ht="14.25" hidden="1" x14ac:dyDescent="0.2">
      <c r="A141" s="105">
        <v>1908</v>
      </c>
      <c r="B141" s="754" t="s">
        <v>244</v>
      </c>
      <c r="C141" s="749"/>
      <c r="D141" s="749"/>
      <c r="E141" s="1597"/>
      <c r="F141" s="749"/>
      <c r="G141" s="750"/>
      <c r="H141" s="1597">
        <f>F141-G141</f>
        <v>0</v>
      </c>
      <c r="I141" s="751">
        <v>0</v>
      </c>
      <c r="J141" s="1616">
        <v>0</v>
      </c>
      <c r="K141" s="1599">
        <f t="shared" si="31"/>
        <v>0</v>
      </c>
      <c r="L141" s="752">
        <v>0</v>
      </c>
      <c r="M141" s="1604">
        <f t="shared" si="36"/>
        <v>0</v>
      </c>
      <c r="N141" s="1601">
        <f t="shared" si="32"/>
        <v>0</v>
      </c>
      <c r="O141" s="1601">
        <f t="shared" si="33"/>
        <v>0</v>
      </c>
      <c r="P141" s="1602">
        <f t="shared" si="34"/>
        <v>0</v>
      </c>
      <c r="Q141" s="1603">
        <f t="shared" si="37"/>
        <v>0</v>
      </c>
      <c r="R141" s="753"/>
      <c r="S141" s="110">
        <f t="shared" si="35"/>
        <v>0</v>
      </c>
    </row>
    <row r="142" spans="1:19" ht="14.25" hidden="1" x14ac:dyDescent="0.2">
      <c r="A142" s="105">
        <v>1910</v>
      </c>
      <c r="B142" s="754" t="s">
        <v>262</v>
      </c>
      <c r="C142" s="749"/>
      <c r="D142" s="749"/>
      <c r="E142" s="1597"/>
      <c r="F142" s="749"/>
      <c r="G142" s="750"/>
      <c r="H142" s="1597">
        <f>F142-G142</f>
        <v>0</v>
      </c>
      <c r="I142" s="751">
        <v>0</v>
      </c>
      <c r="J142" s="1616">
        <v>0</v>
      </c>
      <c r="K142" s="1599">
        <f t="shared" si="31"/>
        <v>0</v>
      </c>
      <c r="L142" s="752">
        <v>0</v>
      </c>
      <c r="M142" s="1604">
        <f t="shared" si="36"/>
        <v>0</v>
      </c>
      <c r="N142" s="1601">
        <f t="shared" si="32"/>
        <v>0</v>
      </c>
      <c r="O142" s="1601">
        <f t="shared" si="33"/>
        <v>0</v>
      </c>
      <c r="P142" s="1602">
        <f t="shared" si="34"/>
        <v>0</v>
      </c>
      <c r="Q142" s="1603">
        <f t="shared" si="37"/>
        <v>0</v>
      </c>
      <c r="R142" s="753"/>
      <c r="S142" s="110">
        <f t="shared" si="35"/>
        <v>0</v>
      </c>
    </row>
    <row r="143" spans="1:19" ht="14.25" x14ac:dyDescent="0.2">
      <c r="A143" s="105">
        <v>1915</v>
      </c>
      <c r="B143" s="754" t="s">
        <v>184</v>
      </c>
      <c r="C143" s="749">
        <f t="shared" ref="C143:D160" si="42">C91</f>
        <v>44314.559999999998</v>
      </c>
      <c r="D143" s="749">
        <f t="shared" si="42"/>
        <v>41713.569499999991</v>
      </c>
      <c r="E143" s="1597">
        <f t="shared" ref="E143:E160" si="43">C143-D143</f>
        <v>2600.9905000000072</v>
      </c>
      <c r="F143" s="749">
        <f t="shared" ref="F143:F160" si="44">F91+I91</f>
        <v>31740</v>
      </c>
      <c r="G143" s="750"/>
      <c r="H143" s="1597">
        <f t="shared" ref="H143:H160" si="45">F143-G143</f>
        <v>31740</v>
      </c>
      <c r="I143" s="751">
        <v>0</v>
      </c>
      <c r="J143" s="1616">
        <v>3.1290638278419207</v>
      </c>
      <c r="K143" s="1599">
        <f t="shared" si="31"/>
        <v>0.31958440447975411</v>
      </c>
      <c r="L143" s="752">
        <v>10</v>
      </c>
      <c r="M143" s="1604">
        <f t="shared" si="36"/>
        <v>0.1</v>
      </c>
      <c r="N143" s="1601">
        <f t="shared" si="32"/>
        <v>831.2360000000001</v>
      </c>
      <c r="O143" s="1601">
        <f t="shared" si="33"/>
        <v>3174</v>
      </c>
      <c r="P143" s="1602">
        <f t="shared" si="34"/>
        <v>0</v>
      </c>
      <c r="Q143" s="1603">
        <f t="shared" si="37"/>
        <v>4005.2359999999999</v>
      </c>
      <c r="R143" s="753">
        <f>-'App.2-BA_Fixed Asset Cont'!J164</f>
        <v>4005.2359999999999</v>
      </c>
      <c r="S143" s="110">
        <f t="shared" si="35"/>
        <v>0</v>
      </c>
    </row>
    <row r="144" spans="1:19" ht="14.25" hidden="1" x14ac:dyDescent="0.2">
      <c r="A144" s="105">
        <v>1915</v>
      </c>
      <c r="B144" s="754" t="s">
        <v>185</v>
      </c>
      <c r="C144" s="749">
        <f t="shared" si="42"/>
        <v>0</v>
      </c>
      <c r="D144" s="749">
        <f t="shared" si="42"/>
        <v>0</v>
      </c>
      <c r="E144" s="1597">
        <f t="shared" si="43"/>
        <v>0</v>
      </c>
      <c r="F144" s="749">
        <f t="shared" si="44"/>
        <v>0</v>
      </c>
      <c r="G144" s="750"/>
      <c r="H144" s="1597">
        <f t="shared" si="45"/>
        <v>0</v>
      </c>
      <c r="I144" s="751"/>
      <c r="J144" s="1616">
        <v>0</v>
      </c>
      <c r="K144" s="1599">
        <f t="shared" si="31"/>
        <v>0</v>
      </c>
      <c r="L144" s="752">
        <v>0</v>
      </c>
      <c r="M144" s="1604">
        <f t="shared" si="36"/>
        <v>0</v>
      </c>
      <c r="N144" s="1601">
        <f t="shared" si="32"/>
        <v>0</v>
      </c>
      <c r="O144" s="1601">
        <f t="shared" si="33"/>
        <v>0</v>
      </c>
      <c r="P144" s="1602">
        <f t="shared" si="34"/>
        <v>0</v>
      </c>
      <c r="Q144" s="1603">
        <f t="shared" si="37"/>
        <v>0</v>
      </c>
      <c r="R144" s="753">
        <f>-'App.2-BA_Fixed Asset Cont'!J165</f>
        <v>0</v>
      </c>
      <c r="S144" s="110">
        <f t="shared" si="35"/>
        <v>0</v>
      </c>
    </row>
    <row r="145" spans="1:19" ht="14.25" x14ac:dyDescent="0.2">
      <c r="A145" s="105">
        <v>1920</v>
      </c>
      <c r="B145" s="754" t="s">
        <v>186</v>
      </c>
      <c r="C145" s="749">
        <f t="shared" si="42"/>
        <v>162987.72</v>
      </c>
      <c r="D145" s="749">
        <f t="shared" si="42"/>
        <v>47096.116000000002</v>
      </c>
      <c r="E145" s="1597">
        <f t="shared" si="43"/>
        <v>115891.60399999999</v>
      </c>
      <c r="F145" s="749">
        <f t="shared" si="44"/>
        <v>370511.74000000005</v>
      </c>
      <c r="G145" s="750"/>
      <c r="H145" s="1597">
        <f t="shared" si="45"/>
        <v>370511.74000000005</v>
      </c>
      <c r="I145" s="751"/>
      <c r="J145" s="1616">
        <v>2.1709684929374911</v>
      </c>
      <c r="K145" s="1599">
        <f t="shared" si="31"/>
        <v>0.46062391197899027</v>
      </c>
      <c r="L145" s="752">
        <v>5</v>
      </c>
      <c r="M145" s="1604">
        <f t="shared" si="36"/>
        <v>0.2</v>
      </c>
      <c r="N145" s="1601">
        <f t="shared" si="32"/>
        <v>53382.443999999989</v>
      </c>
      <c r="O145" s="1601">
        <f t="shared" si="33"/>
        <v>74102.348000000013</v>
      </c>
      <c r="P145" s="1602">
        <f t="shared" si="34"/>
        <v>0</v>
      </c>
      <c r="Q145" s="1603">
        <f t="shared" si="37"/>
        <v>127484.792</v>
      </c>
      <c r="R145" s="753">
        <f>-'App.2-BA_Fixed Asset Cont'!J166</f>
        <v>127484.79199999999</v>
      </c>
      <c r="S145" s="110">
        <f t="shared" si="35"/>
        <v>-1.4551915228366852E-11</v>
      </c>
    </row>
    <row r="146" spans="1:19" ht="14.25" hidden="1" x14ac:dyDescent="0.2">
      <c r="A146" s="105">
        <v>1920</v>
      </c>
      <c r="B146" s="754" t="s">
        <v>188</v>
      </c>
      <c r="C146" s="749">
        <f t="shared" si="42"/>
        <v>0</v>
      </c>
      <c r="D146" s="749">
        <f t="shared" si="42"/>
        <v>0</v>
      </c>
      <c r="E146" s="1597">
        <f t="shared" si="43"/>
        <v>0</v>
      </c>
      <c r="F146" s="749">
        <f t="shared" si="44"/>
        <v>0</v>
      </c>
      <c r="G146" s="750"/>
      <c r="H146" s="1597">
        <f t="shared" si="45"/>
        <v>0</v>
      </c>
      <c r="I146" s="751"/>
      <c r="J146" s="1616">
        <v>0</v>
      </c>
      <c r="K146" s="1599">
        <f t="shared" si="31"/>
        <v>0</v>
      </c>
      <c r="L146" s="752">
        <v>0</v>
      </c>
      <c r="M146" s="1604">
        <f t="shared" si="36"/>
        <v>0</v>
      </c>
      <c r="N146" s="1601">
        <f t="shared" si="32"/>
        <v>0</v>
      </c>
      <c r="O146" s="1601">
        <f t="shared" si="33"/>
        <v>0</v>
      </c>
      <c r="P146" s="1602">
        <f t="shared" si="34"/>
        <v>0</v>
      </c>
      <c r="Q146" s="1603">
        <f t="shared" si="37"/>
        <v>0</v>
      </c>
      <c r="R146" s="753">
        <f>-'App.2-BA_Fixed Asset Cont'!J167</f>
        <v>0</v>
      </c>
      <c r="S146" s="110">
        <f t="shared" si="35"/>
        <v>0</v>
      </c>
    </row>
    <row r="147" spans="1:19" ht="14.25" hidden="1" x14ac:dyDescent="0.2">
      <c r="A147" s="105">
        <v>1920</v>
      </c>
      <c r="B147" s="754" t="s">
        <v>187</v>
      </c>
      <c r="C147" s="749">
        <f t="shared" si="42"/>
        <v>0</v>
      </c>
      <c r="D147" s="749">
        <f t="shared" si="42"/>
        <v>0</v>
      </c>
      <c r="E147" s="1597">
        <f t="shared" si="43"/>
        <v>0</v>
      </c>
      <c r="F147" s="749">
        <f t="shared" si="44"/>
        <v>0</v>
      </c>
      <c r="G147" s="750"/>
      <c r="H147" s="1597">
        <f t="shared" si="45"/>
        <v>0</v>
      </c>
      <c r="I147" s="751"/>
      <c r="J147" s="1616">
        <v>0</v>
      </c>
      <c r="K147" s="1599">
        <f t="shared" si="31"/>
        <v>0</v>
      </c>
      <c r="L147" s="752">
        <v>0</v>
      </c>
      <c r="M147" s="1604">
        <f t="shared" si="36"/>
        <v>0</v>
      </c>
      <c r="N147" s="1601">
        <f t="shared" si="32"/>
        <v>0</v>
      </c>
      <c r="O147" s="1601">
        <f t="shared" si="33"/>
        <v>0</v>
      </c>
      <c r="P147" s="1602">
        <f t="shared" si="34"/>
        <v>0</v>
      </c>
      <c r="Q147" s="1603">
        <f t="shared" si="37"/>
        <v>0</v>
      </c>
      <c r="R147" s="753">
        <f>-'App.2-BA_Fixed Asset Cont'!J168</f>
        <v>0</v>
      </c>
      <c r="S147" s="110">
        <f t="shared" si="35"/>
        <v>0</v>
      </c>
    </row>
    <row r="148" spans="1:19" ht="14.25" x14ac:dyDescent="0.2">
      <c r="A148" s="105">
        <v>1930</v>
      </c>
      <c r="B148" s="754" t="s">
        <v>1491</v>
      </c>
      <c r="C148" s="749">
        <f t="shared" si="42"/>
        <v>5258637.3600000003</v>
      </c>
      <c r="D148" s="749">
        <f t="shared" si="42"/>
        <v>4170282.966297619</v>
      </c>
      <c r="E148" s="1597">
        <f t="shared" si="43"/>
        <v>1088354.3937023813</v>
      </c>
      <c r="F148" s="749">
        <f t="shared" si="44"/>
        <v>597425.97</v>
      </c>
      <c r="G148" s="750"/>
      <c r="H148" s="1597">
        <f t="shared" si="45"/>
        <v>597425.97</v>
      </c>
      <c r="I148" s="751">
        <v>637437.44999999995</v>
      </c>
      <c r="J148" s="1616">
        <v>6.7576710723296864</v>
      </c>
      <c r="K148" s="1599">
        <f>IF(J148=0,0,1/J148)</f>
        <v>0.14797997554137435</v>
      </c>
      <c r="L148" s="752">
        <v>12</v>
      </c>
      <c r="M148" s="1604">
        <f t="shared" si="36"/>
        <v>8.3333333333333329E-2</v>
      </c>
      <c r="N148" s="1601">
        <f t="shared" si="32"/>
        <v>161054.6565604257</v>
      </c>
      <c r="O148" s="1601">
        <f t="shared" si="33"/>
        <v>49785.497499999998</v>
      </c>
      <c r="P148" s="1602">
        <f t="shared" si="34"/>
        <v>26559.893749999999</v>
      </c>
      <c r="Q148" s="1603">
        <f t="shared" si="37"/>
        <v>237400.04781042569</v>
      </c>
      <c r="R148" s="753">
        <f>-'App.2-BA_Fixed Asset Cont'!J169-27717</f>
        <v>241110.26006962487</v>
      </c>
      <c r="S148" s="110">
        <f t="shared" si="35"/>
        <v>3710.2122591991792</v>
      </c>
    </row>
    <row r="149" spans="1:19" ht="14.25" x14ac:dyDescent="0.2">
      <c r="A149" s="105">
        <v>1930</v>
      </c>
      <c r="B149" s="754" t="s">
        <v>1492</v>
      </c>
      <c r="C149" s="749">
        <f t="shared" si="42"/>
        <v>0</v>
      </c>
      <c r="D149" s="749">
        <f t="shared" si="42"/>
        <v>0</v>
      </c>
      <c r="E149" s="1597">
        <f t="shared" si="43"/>
        <v>0</v>
      </c>
      <c r="F149" s="749">
        <f t="shared" si="44"/>
        <v>162041</v>
      </c>
      <c r="G149" s="750"/>
      <c r="H149" s="1597">
        <f t="shared" si="45"/>
        <v>162041</v>
      </c>
      <c r="I149" s="751">
        <v>119397</v>
      </c>
      <c r="J149" s="1616">
        <v>0</v>
      </c>
      <c r="K149" s="1599">
        <f t="shared" si="31"/>
        <v>0</v>
      </c>
      <c r="L149" s="752">
        <v>8</v>
      </c>
      <c r="M149" s="1604">
        <f t="shared" si="36"/>
        <v>0.125</v>
      </c>
      <c r="N149" s="1601">
        <f t="shared" si="32"/>
        <v>0</v>
      </c>
      <c r="O149" s="1601">
        <f t="shared" si="33"/>
        <v>20255.125</v>
      </c>
      <c r="P149" s="1602">
        <f t="shared" si="34"/>
        <v>7462.3125</v>
      </c>
      <c r="Q149" s="1603">
        <f t="shared" si="37"/>
        <v>27717.4375</v>
      </c>
      <c r="R149" s="753">
        <v>27717</v>
      </c>
      <c r="S149" s="110">
        <f t="shared" si="35"/>
        <v>-0.4375</v>
      </c>
    </row>
    <row r="150" spans="1:19" ht="14.25" hidden="1" x14ac:dyDescent="0.2">
      <c r="A150" s="105">
        <v>1935</v>
      </c>
      <c r="B150" s="754" t="s">
        <v>251</v>
      </c>
      <c r="C150" s="749">
        <f t="shared" si="42"/>
        <v>0</v>
      </c>
      <c r="D150" s="749">
        <f t="shared" si="42"/>
        <v>0</v>
      </c>
      <c r="E150" s="1597">
        <f t="shared" si="43"/>
        <v>0</v>
      </c>
      <c r="F150" s="749">
        <f t="shared" si="44"/>
        <v>0</v>
      </c>
      <c r="G150" s="750"/>
      <c r="H150" s="1597">
        <f t="shared" si="45"/>
        <v>0</v>
      </c>
      <c r="I150" s="751"/>
      <c r="J150" s="1616">
        <v>0</v>
      </c>
      <c r="K150" s="1599">
        <f t="shared" si="31"/>
        <v>0</v>
      </c>
      <c r="L150" s="752">
        <v>0</v>
      </c>
      <c r="M150" s="1604">
        <f t="shared" si="36"/>
        <v>0</v>
      </c>
      <c r="N150" s="1601">
        <f t="shared" si="32"/>
        <v>0</v>
      </c>
      <c r="O150" s="1601">
        <f t="shared" si="33"/>
        <v>0</v>
      </c>
      <c r="P150" s="1602">
        <f t="shared" si="34"/>
        <v>0</v>
      </c>
      <c r="Q150" s="1603">
        <f t="shared" si="37"/>
        <v>0</v>
      </c>
      <c r="R150" s="753"/>
      <c r="S150" s="110">
        <f t="shared" si="35"/>
        <v>0</v>
      </c>
    </row>
    <row r="151" spans="1:19" ht="14.25" x14ac:dyDescent="0.2">
      <c r="A151" s="105">
        <v>1940</v>
      </c>
      <c r="B151" s="754" t="s">
        <v>252</v>
      </c>
      <c r="C151" s="749">
        <f t="shared" si="42"/>
        <v>1961496.07</v>
      </c>
      <c r="D151" s="749">
        <f t="shared" si="42"/>
        <v>1467290.8274999999</v>
      </c>
      <c r="E151" s="1597">
        <f t="shared" si="43"/>
        <v>494205.24250000017</v>
      </c>
      <c r="F151" s="749">
        <f t="shared" si="44"/>
        <v>162703.59999999998</v>
      </c>
      <c r="G151" s="750"/>
      <c r="H151" s="1597">
        <f t="shared" si="45"/>
        <v>162703.59999999998</v>
      </c>
      <c r="I151" s="751">
        <v>69666.34</v>
      </c>
      <c r="J151" s="1616">
        <v>6.3584561371664261</v>
      </c>
      <c r="K151" s="1599">
        <f t="shared" si="31"/>
        <v>0.15727088123716124</v>
      </c>
      <c r="L151" s="752">
        <v>10</v>
      </c>
      <c r="M151" s="1604">
        <f t="shared" si="36"/>
        <v>0.1</v>
      </c>
      <c r="N151" s="1601">
        <f t="shared" si="32"/>
        <v>77724.093999999997</v>
      </c>
      <c r="O151" s="1601">
        <f t="shared" si="33"/>
        <v>16270.359999999997</v>
      </c>
      <c r="P151" s="1602">
        <f t="shared" si="34"/>
        <v>3483.317</v>
      </c>
      <c r="Q151" s="1603">
        <f t="shared" si="37"/>
        <v>97477.770999999993</v>
      </c>
      <c r="R151" s="753">
        <f>-'App.2-BA_Fixed Asset Cont'!J171</f>
        <v>97477.770999999993</v>
      </c>
      <c r="S151" s="110">
        <f t="shared" si="35"/>
        <v>0</v>
      </c>
    </row>
    <row r="152" spans="1:19" ht="14.25" hidden="1" x14ac:dyDescent="0.2">
      <c r="A152" s="105">
        <v>1945</v>
      </c>
      <c r="B152" s="754" t="s">
        <v>253</v>
      </c>
      <c r="C152" s="749">
        <f t="shared" si="42"/>
        <v>0</v>
      </c>
      <c r="D152" s="749">
        <f t="shared" si="42"/>
        <v>0</v>
      </c>
      <c r="E152" s="1597">
        <f t="shared" si="43"/>
        <v>0</v>
      </c>
      <c r="F152" s="749">
        <f t="shared" si="44"/>
        <v>0</v>
      </c>
      <c r="G152" s="750"/>
      <c r="H152" s="1597">
        <f t="shared" si="45"/>
        <v>0</v>
      </c>
      <c r="I152" s="751">
        <v>0</v>
      </c>
      <c r="J152" s="1616">
        <v>0</v>
      </c>
      <c r="K152" s="1599">
        <f t="shared" si="31"/>
        <v>0</v>
      </c>
      <c r="L152" s="752">
        <v>0</v>
      </c>
      <c r="M152" s="1604">
        <f t="shared" si="36"/>
        <v>0</v>
      </c>
      <c r="N152" s="1601">
        <f t="shared" si="32"/>
        <v>0</v>
      </c>
      <c r="O152" s="1601">
        <f t="shared" si="33"/>
        <v>0</v>
      </c>
      <c r="P152" s="1602">
        <f t="shared" si="34"/>
        <v>0</v>
      </c>
      <c r="Q152" s="1603">
        <f t="shared" si="37"/>
        <v>0</v>
      </c>
      <c r="R152" s="753">
        <f>-'App.2-BA_Fixed Asset Cont'!J173</f>
        <v>0</v>
      </c>
      <c r="S152" s="110">
        <f t="shared" si="35"/>
        <v>0</v>
      </c>
    </row>
    <row r="153" spans="1:19" ht="14.25" hidden="1" x14ac:dyDescent="0.2">
      <c r="A153" s="105">
        <v>1950</v>
      </c>
      <c r="B153" s="754" t="s">
        <v>189</v>
      </c>
      <c r="C153" s="749">
        <f t="shared" si="42"/>
        <v>0</v>
      </c>
      <c r="D153" s="749">
        <f t="shared" si="42"/>
        <v>0</v>
      </c>
      <c r="E153" s="1597">
        <f t="shared" si="43"/>
        <v>0</v>
      </c>
      <c r="F153" s="749">
        <f t="shared" si="44"/>
        <v>0</v>
      </c>
      <c r="G153" s="750"/>
      <c r="H153" s="1597">
        <f t="shared" si="45"/>
        <v>0</v>
      </c>
      <c r="I153" s="751">
        <v>0</v>
      </c>
      <c r="J153" s="1616">
        <v>0</v>
      </c>
      <c r="K153" s="1599">
        <f t="shared" si="31"/>
        <v>0</v>
      </c>
      <c r="L153" s="752">
        <v>0</v>
      </c>
      <c r="M153" s="1604">
        <f t="shared" si="36"/>
        <v>0</v>
      </c>
      <c r="N153" s="1601">
        <f t="shared" si="32"/>
        <v>0</v>
      </c>
      <c r="O153" s="1601">
        <f t="shared" si="33"/>
        <v>0</v>
      </c>
      <c r="P153" s="1602">
        <f t="shared" si="34"/>
        <v>0</v>
      </c>
      <c r="Q153" s="1603">
        <f t="shared" si="37"/>
        <v>0</v>
      </c>
      <c r="R153" s="753"/>
      <c r="S153" s="110">
        <f t="shared" si="35"/>
        <v>0</v>
      </c>
    </row>
    <row r="154" spans="1:19" ht="14.25" x14ac:dyDescent="0.2">
      <c r="A154" s="105">
        <v>1955</v>
      </c>
      <c r="B154" s="754" t="s">
        <v>254</v>
      </c>
      <c r="C154" s="749">
        <f t="shared" si="42"/>
        <v>2262458.79</v>
      </c>
      <c r="D154" s="749">
        <f t="shared" si="42"/>
        <v>1307813.078</v>
      </c>
      <c r="E154" s="1597">
        <f t="shared" si="43"/>
        <v>954645.71200000006</v>
      </c>
      <c r="F154" s="749">
        <f t="shared" si="44"/>
        <v>65264.36</v>
      </c>
      <c r="G154" s="750"/>
      <c r="H154" s="1597">
        <f t="shared" si="45"/>
        <v>65264.36</v>
      </c>
      <c r="I154" s="751">
        <v>5085.7299999999996</v>
      </c>
      <c r="J154" s="1616">
        <v>12.221231744466687</v>
      </c>
      <c r="K154" s="1599">
        <f t="shared" si="31"/>
        <v>8.1824812826478174E-2</v>
      </c>
      <c r="L154" s="752">
        <v>10</v>
      </c>
      <c r="M154" s="1604">
        <f t="shared" si="36"/>
        <v>0.1</v>
      </c>
      <c r="N154" s="1601">
        <f t="shared" si="32"/>
        <v>78113.706699999995</v>
      </c>
      <c r="O154" s="1601">
        <f t="shared" si="33"/>
        <v>6526.4359999999997</v>
      </c>
      <c r="P154" s="1602">
        <f t="shared" si="34"/>
        <v>254.28649999999999</v>
      </c>
      <c r="Q154" s="1603">
        <f t="shared" si="37"/>
        <v>84894.429199999999</v>
      </c>
      <c r="R154" s="753">
        <f>-'App.2-BA_Fixed Asset Cont'!J174</f>
        <v>84894.429199999984</v>
      </c>
      <c r="S154" s="110">
        <f t="shared" si="35"/>
        <v>-1.4551915228366852E-11</v>
      </c>
    </row>
    <row r="155" spans="1:19" ht="14.25" hidden="1" x14ac:dyDescent="0.2">
      <c r="A155" s="102">
        <v>1955</v>
      </c>
      <c r="B155" s="755" t="s">
        <v>190</v>
      </c>
      <c r="C155" s="749">
        <f t="shared" si="42"/>
        <v>0</v>
      </c>
      <c r="D155" s="749">
        <f t="shared" si="42"/>
        <v>0</v>
      </c>
      <c r="E155" s="1597">
        <f t="shared" si="43"/>
        <v>0</v>
      </c>
      <c r="F155" s="749">
        <f t="shared" si="44"/>
        <v>0</v>
      </c>
      <c r="G155" s="750"/>
      <c r="H155" s="1597">
        <f t="shared" si="45"/>
        <v>0</v>
      </c>
      <c r="I155" s="751">
        <v>0</v>
      </c>
      <c r="J155" s="1616">
        <v>0</v>
      </c>
      <c r="K155" s="1599">
        <f t="shared" si="31"/>
        <v>0</v>
      </c>
      <c r="L155" s="752">
        <v>0</v>
      </c>
      <c r="M155" s="1604">
        <f t="shared" si="36"/>
        <v>0</v>
      </c>
      <c r="N155" s="1601">
        <f t="shared" si="32"/>
        <v>0</v>
      </c>
      <c r="O155" s="1601">
        <f t="shared" si="33"/>
        <v>0</v>
      </c>
      <c r="P155" s="1602">
        <f t="shared" si="34"/>
        <v>0</v>
      </c>
      <c r="Q155" s="1603">
        <f t="shared" si="37"/>
        <v>0</v>
      </c>
      <c r="R155" s="753">
        <f>-'App.2-BA_Fixed Asset Cont'!J176</f>
        <v>0</v>
      </c>
      <c r="S155" s="110">
        <f t="shared" si="35"/>
        <v>0</v>
      </c>
    </row>
    <row r="156" spans="1:19" ht="14.25" hidden="1" x14ac:dyDescent="0.2">
      <c r="A156" s="105">
        <v>1960</v>
      </c>
      <c r="B156" s="754" t="s">
        <v>191</v>
      </c>
      <c r="C156" s="749">
        <f t="shared" si="42"/>
        <v>0</v>
      </c>
      <c r="D156" s="749">
        <f t="shared" si="42"/>
        <v>0</v>
      </c>
      <c r="E156" s="1597">
        <f t="shared" si="43"/>
        <v>0</v>
      </c>
      <c r="F156" s="749">
        <f t="shared" si="44"/>
        <v>0</v>
      </c>
      <c r="G156" s="750"/>
      <c r="H156" s="1597">
        <f t="shared" si="45"/>
        <v>0</v>
      </c>
      <c r="I156" s="751">
        <v>0</v>
      </c>
      <c r="J156" s="1616">
        <v>0</v>
      </c>
      <c r="K156" s="1599">
        <f t="shared" si="31"/>
        <v>0</v>
      </c>
      <c r="L156" s="752">
        <v>0</v>
      </c>
      <c r="M156" s="1604">
        <f t="shared" si="36"/>
        <v>0</v>
      </c>
      <c r="N156" s="1601">
        <f t="shared" si="32"/>
        <v>0</v>
      </c>
      <c r="O156" s="1601">
        <f t="shared" si="33"/>
        <v>0</v>
      </c>
      <c r="P156" s="1602">
        <f t="shared" si="34"/>
        <v>0</v>
      </c>
      <c r="Q156" s="1603">
        <f t="shared" si="37"/>
        <v>0</v>
      </c>
      <c r="R156" s="753">
        <f>-'App.2-BA_Fixed Asset Cont'!J177</f>
        <v>0</v>
      </c>
      <c r="S156" s="110">
        <f t="shared" si="35"/>
        <v>0</v>
      </c>
    </row>
    <row r="157" spans="1:19" ht="14.25" hidden="1" x14ac:dyDescent="0.2">
      <c r="A157" s="102">
        <v>1970</v>
      </c>
      <c r="B157" s="756" t="s">
        <v>410</v>
      </c>
      <c r="C157" s="749">
        <f t="shared" si="42"/>
        <v>0</v>
      </c>
      <c r="D157" s="749">
        <f t="shared" si="42"/>
        <v>0</v>
      </c>
      <c r="E157" s="1597">
        <f t="shared" si="43"/>
        <v>0</v>
      </c>
      <c r="F157" s="749">
        <f t="shared" si="44"/>
        <v>0</v>
      </c>
      <c r="G157" s="750"/>
      <c r="H157" s="1597">
        <f t="shared" si="45"/>
        <v>0</v>
      </c>
      <c r="I157" s="751">
        <v>0</v>
      </c>
      <c r="J157" s="1616">
        <v>0</v>
      </c>
      <c r="K157" s="1599">
        <f t="shared" si="31"/>
        <v>0</v>
      </c>
      <c r="L157" s="752">
        <v>0</v>
      </c>
      <c r="M157" s="1604">
        <f t="shared" si="36"/>
        <v>0</v>
      </c>
      <c r="N157" s="1601">
        <f t="shared" si="32"/>
        <v>0</v>
      </c>
      <c r="O157" s="1601">
        <f t="shared" si="33"/>
        <v>0</v>
      </c>
      <c r="P157" s="1602">
        <f t="shared" si="34"/>
        <v>0</v>
      </c>
      <c r="Q157" s="1603">
        <f t="shared" si="37"/>
        <v>0</v>
      </c>
      <c r="R157" s="753">
        <f>-'App.2-BA_Fixed Asset Cont'!J178</f>
        <v>0</v>
      </c>
      <c r="S157" s="110">
        <f t="shared" si="35"/>
        <v>0</v>
      </c>
    </row>
    <row r="158" spans="1:19" ht="14.25" hidden="1" x14ac:dyDescent="0.2">
      <c r="A158" s="105">
        <v>1975</v>
      </c>
      <c r="B158" s="754" t="s">
        <v>255</v>
      </c>
      <c r="C158" s="749">
        <f t="shared" si="42"/>
        <v>0</v>
      </c>
      <c r="D158" s="749">
        <f t="shared" si="42"/>
        <v>0</v>
      </c>
      <c r="E158" s="1597">
        <f t="shared" si="43"/>
        <v>0</v>
      </c>
      <c r="F158" s="749">
        <f t="shared" si="44"/>
        <v>0</v>
      </c>
      <c r="G158" s="750"/>
      <c r="H158" s="1597">
        <f t="shared" si="45"/>
        <v>0</v>
      </c>
      <c r="I158" s="751"/>
      <c r="J158" s="1616">
        <v>0</v>
      </c>
      <c r="K158" s="1599">
        <f t="shared" si="31"/>
        <v>0</v>
      </c>
      <c r="L158" s="752">
        <v>0</v>
      </c>
      <c r="M158" s="1604">
        <f t="shared" ref="M158:M164" si="46">IF(L158=0,0,1/L158)</f>
        <v>0</v>
      </c>
      <c r="N158" s="1601">
        <f t="shared" si="32"/>
        <v>0</v>
      </c>
      <c r="O158" s="1601">
        <f t="shared" si="33"/>
        <v>0</v>
      </c>
      <c r="P158" s="1602">
        <f t="shared" si="34"/>
        <v>0</v>
      </c>
      <c r="Q158" s="1603">
        <f t="shared" ref="Q158:Q164" si="47">IF(ISERROR(+N158+O158+P158), 0, +N158+O158+P158)</f>
        <v>0</v>
      </c>
      <c r="R158" s="753"/>
      <c r="S158" s="110">
        <f t="shared" si="35"/>
        <v>0</v>
      </c>
    </row>
    <row r="159" spans="1:19" ht="14.25" x14ac:dyDescent="0.2">
      <c r="A159" s="105">
        <v>1980</v>
      </c>
      <c r="B159" s="754" t="s">
        <v>256</v>
      </c>
      <c r="C159" s="749">
        <f t="shared" si="42"/>
        <v>1573528.65</v>
      </c>
      <c r="D159" s="749">
        <f t="shared" si="42"/>
        <v>1274629.6876041666</v>
      </c>
      <c r="E159" s="1597">
        <f t="shared" si="43"/>
        <v>298898.96239583334</v>
      </c>
      <c r="F159" s="749">
        <f t="shared" si="44"/>
        <v>154283.21</v>
      </c>
      <c r="G159" s="750"/>
      <c r="H159" s="1597">
        <f t="shared" si="45"/>
        <v>154283.21</v>
      </c>
      <c r="I159" s="751">
        <v>207501.11</v>
      </c>
      <c r="J159" s="1616">
        <v>12.810749149649221</v>
      </c>
      <c r="K159" s="1599">
        <f>IF(J159=0,0,1/J159)</f>
        <v>7.80594474467078E-2</v>
      </c>
      <c r="L159" s="752">
        <v>20</v>
      </c>
      <c r="M159" s="1604">
        <f t="shared" si="46"/>
        <v>0.05</v>
      </c>
      <c r="N159" s="1601">
        <f t="shared" si="32"/>
        <v>23331.887847013044</v>
      </c>
      <c r="O159" s="1601">
        <f t="shared" si="33"/>
        <v>7714.1605</v>
      </c>
      <c r="P159" s="1602">
        <f t="shared" si="34"/>
        <v>5187.5277499999993</v>
      </c>
      <c r="Q159" s="1603">
        <f t="shared" si="47"/>
        <v>36233.576097013043</v>
      </c>
      <c r="R159" s="753">
        <f>-'App.2-BA_Fixed Asset Cont'!J179</f>
        <v>36309.716148295091</v>
      </c>
      <c r="S159" s="110">
        <f t="shared" si="35"/>
        <v>76.140051282047352</v>
      </c>
    </row>
    <row r="160" spans="1:19" ht="14.25" x14ac:dyDescent="0.2">
      <c r="A160" s="105">
        <v>1985</v>
      </c>
      <c r="B160" s="754" t="s">
        <v>257</v>
      </c>
      <c r="C160" s="749">
        <f t="shared" si="42"/>
        <v>42116.86</v>
      </c>
      <c r="D160" s="749">
        <f t="shared" si="42"/>
        <v>42116.858000000007</v>
      </c>
      <c r="E160" s="1597">
        <f t="shared" si="43"/>
        <v>1.999999993131496E-3</v>
      </c>
      <c r="F160" s="749">
        <f t="shared" si="44"/>
        <v>0</v>
      </c>
      <c r="G160" s="750"/>
      <c r="H160" s="1597">
        <f t="shared" si="45"/>
        <v>0</v>
      </c>
      <c r="I160" s="751"/>
      <c r="J160" s="1616">
        <v>0</v>
      </c>
      <c r="K160" s="1599">
        <f t="shared" si="31"/>
        <v>0</v>
      </c>
      <c r="L160" s="752">
        <v>0</v>
      </c>
      <c r="M160" s="1604">
        <f t="shared" si="46"/>
        <v>0</v>
      </c>
      <c r="N160" s="1601">
        <f t="shared" si="32"/>
        <v>0</v>
      </c>
      <c r="O160" s="1601">
        <f t="shared" si="33"/>
        <v>0</v>
      </c>
      <c r="P160" s="1602">
        <f t="shared" si="34"/>
        <v>0</v>
      </c>
      <c r="Q160" s="1603">
        <f t="shared" si="47"/>
        <v>0</v>
      </c>
      <c r="R160" s="753">
        <f>-'App.2-BA_Fixed Asset Cont'!J181</f>
        <v>0</v>
      </c>
      <c r="S160" s="110">
        <f t="shared" si="35"/>
        <v>0</v>
      </c>
    </row>
    <row r="161" spans="1:25" ht="14.25" hidden="1" x14ac:dyDescent="0.2">
      <c r="A161" s="105">
        <v>1990</v>
      </c>
      <c r="B161" s="1551" t="s">
        <v>411</v>
      </c>
      <c r="C161" s="749"/>
      <c r="D161" s="749"/>
      <c r="E161" s="1597">
        <f>C161-D161</f>
        <v>0</v>
      </c>
      <c r="F161" s="749">
        <f>F116+I116</f>
        <v>0</v>
      </c>
      <c r="G161" s="750"/>
      <c r="H161" s="1597">
        <f>F161-G161</f>
        <v>0</v>
      </c>
      <c r="I161" s="751"/>
      <c r="J161" s="1616">
        <v>0</v>
      </c>
      <c r="K161" s="1599">
        <f t="shared" si="31"/>
        <v>0</v>
      </c>
      <c r="L161" s="752">
        <v>0</v>
      </c>
      <c r="M161" s="1604">
        <f t="shared" si="46"/>
        <v>0</v>
      </c>
      <c r="N161" s="1601">
        <f t="shared" si="32"/>
        <v>0</v>
      </c>
      <c r="O161" s="1601">
        <f t="shared" si="33"/>
        <v>0</v>
      </c>
      <c r="P161" s="1602">
        <f t="shared" si="34"/>
        <v>0</v>
      </c>
      <c r="Q161" s="1603">
        <f t="shared" si="47"/>
        <v>0</v>
      </c>
      <c r="R161" s="753"/>
      <c r="S161" s="110">
        <f t="shared" si="35"/>
        <v>0</v>
      </c>
    </row>
    <row r="162" spans="1:25" ht="14.25" hidden="1" x14ac:dyDescent="0.2">
      <c r="A162" s="105">
        <v>1995</v>
      </c>
      <c r="B162" s="754" t="s">
        <v>258</v>
      </c>
      <c r="C162" s="749"/>
      <c r="D162" s="749"/>
      <c r="E162" s="1597">
        <f>C162-D162</f>
        <v>0</v>
      </c>
      <c r="F162" s="749"/>
      <c r="G162" s="750"/>
      <c r="H162" s="1597">
        <f>F162-G162</f>
        <v>0</v>
      </c>
      <c r="I162" s="751"/>
      <c r="J162" s="1616">
        <v>0</v>
      </c>
      <c r="K162" s="1599">
        <f t="shared" si="31"/>
        <v>0</v>
      </c>
      <c r="L162" s="752">
        <v>0</v>
      </c>
      <c r="M162" s="1677">
        <f t="shared" si="46"/>
        <v>0</v>
      </c>
      <c r="N162" s="1601">
        <f t="shared" si="32"/>
        <v>0</v>
      </c>
      <c r="O162" s="1601">
        <f t="shared" si="33"/>
        <v>0</v>
      </c>
      <c r="P162" s="1602">
        <f t="shared" si="34"/>
        <v>0</v>
      </c>
      <c r="Q162" s="1603">
        <f t="shared" si="47"/>
        <v>0</v>
      </c>
      <c r="R162" s="753"/>
      <c r="S162" s="110">
        <f t="shared" si="35"/>
        <v>0</v>
      </c>
    </row>
    <row r="163" spans="1:25" ht="14.25" x14ac:dyDescent="0.2">
      <c r="A163" s="1664">
        <v>2440</v>
      </c>
      <c r="B163" s="754" t="s">
        <v>1532</v>
      </c>
      <c r="C163" s="749"/>
      <c r="D163" s="749"/>
      <c r="E163" s="1597">
        <f>C163-D163</f>
        <v>0</v>
      </c>
      <c r="F163" s="1674">
        <f>I111</f>
        <v>-898556.67</v>
      </c>
      <c r="G163" s="1675"/>
      <c r="H163" s="1597">
        <f>F163-G163</f>
        <v>-898556.67</v>
      </c>
      <c r="I163" s="751">
        <v>-1327041.4400000004</v>
      </c>
      <c r="J163" s="1616"/>
      <c r="K163" s="1599">
        <f>IF(J163=0,0,1/J163)</f>
        <v>0</v>
      </c>
      <c r="L163" s="752">
        <f>-(H163+(I163/2))/'App.2-BA_Fixed Asset Cont'!J183</f>
        <v>29.271688617517668</v>
      </c>
      <c r="M163" s="1677">
        <f t="shared" si="46"/>
        <v>3.4162702844602863E-2</v>
      </c>
      <c r="N163" s="1601">
        <f t="shared" si="32"/>
        <v>0</v>
      </c>
      <c r="O163" s="1601">
        <f t="shared" si="33"/>
        <v>-30697.124506245873</v>
      </c>
      <c r="P163" s="1602">
        <f t="shared" si="34"/>
        <v>-22667.661188596943</v>
      </c>
      <c r="Q163" s="1603">
        <f t="shared" si="47"/>
        <v>-53364.785694842816</v>
      </c>
      <c r="R163" s="749">
        <f>-'App.2-BA_Fixed Asset Cont'!J183</f>
        <v>-53364.785694842816</v>
      </c>
      <c r="S163" s="110">
        <f t="shared" si="35"/>
        <v>0</v>
      </c>
    </row>
    <row r="164" spans="1:25" ht="15" thickBot="1" x14ac:dyDescent="0.25">
      <c r="A164" s="1664"/>
      <c r="B164" s="1665" t="s">
        <v>1533</v>
      </c>
      <c r="C164" s="1660">
        <f>C112</f>
        <v>-129739</v>
      </c>
      <c r="D164" s="1660">
        <f>D112+R112</f>
        <v>-116177</v>
      </c>
      <c r="E164" s="1597">
        <f>C164-D164</f>
        <v>-13562</v>
      </c>
      <c r="F164" s="1660"/>
      <c r="G164" s="1661"/>
      <c r="H164" s="1597">
        <f>F164-G164</f>
        <v>0</v>
      </c>
      <c r="I164" s="1672"/>
      <c r="J164" s="1673">
        <v>1</v>
      </c>
      <c r="K164" s="1599">
        <f t="shared" si="31"/>
        <v>1</v>
      </c>
      <c r="L164" s="1663"/>
      <c r="M164" s="1676">
        <f t="shared" si="46"/>
        <v>0</v>
      </c>
      <c r="N164" s="1601">
        <f>IF(J164=0,0,+E164/J164)</f>
        <v>-13562</v>
      </c>
      <c r="O164" s="1601">
        <f>IF(L164=0,0,+H164/L164)</f>
        <v>0</v>
      </c>
      <c r="P164" s="1602">
        <f t="shared" si="34"/>
        <v>0</v>
      </c>
      <c r="Q164" s="1603">
        <f t="shared" si="47"/>
        <v>-13562</v>
      </c>
      <c r="R164" s="1661">
        <f>-'App.2-BA_Fixed Asset Cont'!J189</f>
        <v>-13562</v>
      </c>
      <c r="S164" s="110">
        <f t="shared" si="35"/>
        <v>0</v>
      </c>
    </row>
    <row r="165" spans="1:25" ht="15.75" thickTop="1" thickBot="1" x14ac:dyDescent="0.25">
      <c r="A165" s="124"/>
      <c r="B165" s="757" t="s">
        <v>259</v>
      </c>
      <c r="C165" s="1617">
        <f>SUM(C119:C164)</f>
        <v>184254678.64990482</v>
      </c>
      <c r="D165" s="1617">
        <f>SUM(D119:D164)</f>
        <v>118704421.83171503</v>
      </c>
      <c r="E165" s="1617">
        <f>SUM(E119:E164)</f>
        <v>65550256.81818971</v>
      </c>
      <c r="F165" s="1617">
        <f>SUM(F119:F164)</f>
        <v>14913174.000000002</v>
      </c>
      <c r="G165" s="1617">
        <f>SUM(G119:G162)</f>
        <v>0</v>
      </c>
      <c r="H165" s="1617">
        <f>SUM(H119:H164)</f>
        <v>14913174.000000002</v>
      </c>
      <c r="I165" s="1618">
        <f>SUM(I119:I164)</f>
        <v>7564755.620000002</v>
      </c>
      <c r="J165" s="1617"/>
      <c r="K165" s="1619"/>
      <c r="L165" s="1620"/>
      <c r="M165" s="1621"/>
      <c r="N165" s="1617">
        <f t="shared" ref="N165:S165" si="48">SUM(N119:N164)</f>
        <v>3410216.0214148047</v>
      </c>
      <c r="O165" s="1622">
        <f t="shared" si="48"/>
        <v>595223.98010486539</v>
      </c>
      <c r="P165" s="1622">
        <f t="shared" si="48"/>
        <v>137419.61631140308</v>
      </c>
      <c r="Q165" s="1623">
        <f t="shared" si="48"/>
        <v>4142859.6178310742</v>
      </c>
      <c r="R165" s="1624">
        <f t="shared" si="48"/>
        <v>4125246.2292544236</v>
      </c>
      <c r="S165" s="1622">
        <f t="shared" si="48"/>
        <v>-17613.388576649984</v>
      </c>
    </row>
    <row r="166" spans="1:25" ht="14.25" x14ac:dyDescent="0.2">
      <c r="A166" s="128"/>
      <c r="B166" s="129"/>
      <c r="C166" s="130"/>
      <c r="D166" s="130"/>
      <c r="E166" s="130"/>
      <c r="F166" s="130"/>
      <c r="G166" s="130"/>
      <c r="H166" s="130"/>
      <c r="I166" s="130"/>
      <c r="J166" s="130"/>
      <c r="K166" s="130"/>
      <c r="L166" s="758"/>
      <c r="M166" s="759"/>
      <c r="N166" s="130"/>
      <c r="O166" s="130"/>
      <c r="P166" s="130"/>
      <c r="Q166" s="130"/>
      <c r="R166" s="130"/>
      <c r="S166" s="130"/>
    </row>
    <row r="167" spans="1:25" ht="15" thickBot="1" x14ac:dyDescent="0.25">
      <c r="A167" s="128"/>
      <c r="B167" s="129"/>
      <c r="C167" s="130"/>
      <c r="D167" s="130"/>
      <c r="E167" s="130"/>
      <c r="F167" s="130"/>
      <c r="G167" s="130"/>
      <c r="H167" s="130"/>
      <c r="I167" s="130"/>
      <c r="J167" s="130"/>
      <c r="K167" s="130"/>
      <c r="L167" s="758"/>
      <c r="M167" s="759"/>
      <c r="N167" s="130"/>
      <c r="O167" s="130"/>
      <c r="P167" s="130"/>
      <c r="Q167" s="130"/>
      <c r="R167" s="130"/>
      <c r="S167" s="130"/>
    </row>
    <row r="168" spans="1:25" ht="18.75" customHeight="1" thickBot="1" x14ac:dyDescent="0.3">
      <c r="A168" s="1552">
        <v>2016</v>
      </c>
      <c r="B168" s="1552"/>
      <c r="C168" s="2007" t="s">
        <v>1027</v>
      </c>
      <c r="D168" s="2008"/>
      <c r="E168" s="2008"/>
      <c r="F168" s="2008"/>
      <c r="G168" s="2008"/>
      <c r="H168" s="2008"/>
      <c r="I168" s="2009"/>
      <c r="J168" s="2010" t="s">
        <v>1028</v>
      </c>
      <c r="K168" s="2011"/>
      <c r="L168" s="2011"/>
      <c r="M168" s="2011"/>
      <c r="N168" s="2010" t="s">
        <v>1029</v>
      </c>
      <c r="O168" s="2011"/>
      <c r="P168" s="2011"/>
      <c r="Q168" s="2012"/>
      <c r="R168" s="1552"/>
      <c r="S168" s="1552"/>
      <c r="Y168" s="38">
        <v>2018</v>
      </c>
    </row>
    <row r="169" spans="1:25" ht="87" customHeight="1" x14ac:dyDescent="0.2">
      <c r="A169" s="2003" t="s">
        <v>3</v>
      </c>
      <c r="B169" s="2005" t="s">
        <v>205</v>
      </c>
      <c r="C169" s="731" t="s">
        <v>1030</v>
      </c>
      <c r="D169" s="732" t="s">
        <v>1031</v>
      </c>
      <c r="E169" s="733" t="s">
        <v>1032</v>
      </c>
      <c r="F169" s="731" t="s">
        <v>1033</v>
      </c>
      <c r="G169" s="732" t="s">
        <v>1034</v>
      </c>
      <c r="H169" s="733" t="s">
        <v>1035</v>
      </c>
      <c r="I169" s="734" t="s">
        <v>1036</v>
      </c>
      <c r="J169" s="731" t="s">
        <v>1037</v>
      </c>
      <c r="K169" s="735" t="s">
        <v>1038</v>
      </c>
      <c r="L169" s="735" t="s">
        <v>1039</v>
      </c>
      <c r="M169" s="736" t="s">
        <v>326</v>
      </c>
      <c r="N169" s="731" t="s">
        <v>1040</v>
      </c>
      <c r="O169" s="735" t="s">
        <v>1041</v>
      </c>
      <c r="P169" s="735" t="s">
        <v>1042</v>
      </c>
      <c r="Q169" s="733" t="s">
        <v>1043</v>
      </c>
      <c r="R169" s="737" t="s">
        <v>1044</v>
      </c>
      <c r="S169" s="738" t="s">
        <v>1045</v>
      </c>
    </row>
    <row r="170" spans="1:25" ht="13.5" thickBot="1" x14ac:dyDescent="0.25">
      <c r="A170" s="2004"/>
      <c r="B170" s="2006"/>
      <c r="C170" s="739" t="s">
        <v>1046</v>
      </c>
      <c r="D170" s="126" t="s">
        <v>1047</v>
      </c>
      <c r="E170" s="127" t="s">
        <v>1048</v>
      </c>
      <c r="F170" s="739" t="s">
        <v>1049</v>
      </c>
      <c r="G170" s="126" t="s">
        <v>662</v>
      </c>
      <c r="H170" s="127" t="s">
        <v>1050</v>
      </c>
      <c r="I170" s="740" t="s">
        <v>1051</v>
      </c>
      <c r="J170" s="741" t="s">
        <v>1052</v>
      </c>
      <c r="K170" s="742" t="s">
        <v>1053</v>
      </c>
      <c r="L170" s="126" t="s">
        <v>1054</v>
      </c>
      <c r="M170" s="742" t="s">
        <v>1055</v>
      </c>
      <c r="N170" s="743" t="s">
        <v>1056</v>
      </c>
      <c r="O170" s="744" t="s">
        <v>1057</v>
      </c>
      <c r="P170" s="744" t="s">
        <v>1058</v>
      </c>
      <c r="Q170" s="745" t="s">
        <v>1059</v>
      </c>
      <c r="R170" s="746" t="s">
        <v>1060</v>
      </c>
      <c r="S170" s="127" t="s">
        <v>1061</v>
      </c>
    </row>
    <row r="171" spans="1:25" ht="25.5" x14ac:dyDescent="0.2">
      <c r="A171" s="747">
        <v>1611</v>
      </c>
      <c r="B171" s="748" t="s">
        <v>325</v>
      </c>
      <c r="C171" s="749">
        <f>391465.09</f>
        <v>391465.09</v>
      </c>
      <c r="D171" s="750">
        <v>338863.06</v>
      </c>
      <c r="E171" s="1597">
        <f>C171-D171</f>
        <v>52602.030000000028</v>
      </c>
      <c r="F171" s="749">
        <f t="shared" ref="F171:F176" si="49">F119+I119</f>
        <v>264965.74</v>
      </c>
      <c r="G171" s="750"/>
      <c r="H171" s="1597">
        <f>F171-G171</f>
        <v>264965.74</v>
      </c>
      <c r="I171" s="751">
        <v>13239.43</v>
      </c>
      <c r="J171" s="1616">
        <v>1.1466564776582506</v>
      </c>
      <c r="K171" s="1599">
        <f>IF(J171=0,0,1/J171)</f>
        <v>0.87210077253672469</v>
      </c>
      <c r="L171" s="752">
        <v>5</v>
      </c>
      <c r="M171" s="1600">
        <f>IF(L171=0,0,1/L171)</f>
        <v>0.2</v>
      </c>
      <c r="N171" s="1601">
        <f>IF(J171=0,0,+E171/J171)</f>
        <v>45874.270999999993</v>
      </c>
      <c r="O171" s="1601">
        <f>IF(L171=0,0,+H171/L171)</f>
        <v>52993.148000000001</v>
      </c>
      <c r="P171" s="1602">
        <f>IF(L171=0,0,+(I171*0.5)/L171)</f>
        <v>1323.943</v>
      </c>
      <c r="Q171" s="1603">
        <f>IF(ISERROR(+N171+O171+P171), 0, +N171+O171+P171)</f>
        <v>100191.36199999999</v>
      </c>
      <c r="R171" s="753">
        <f>-'App.2-BA_Fixed Asset Cont'!I209</f>
        <v>100191.39</v>
      </c>
      <c r="S171" s="110">
        <f>IF(ISERROR(+R171-122), 0, +R171-Q171)</f>
        <v>2.8000000005704351E-2</v>
      </c>
    </row>
    <row r="172" spans="1:25" ht="14.25" x14ac:dyDescent="0.2">
      <c r="A172" s="105">
        <v>1612</v>
      </c>
      <c r="B172" s="754" t="s">
        <v>360</v>
      </c>
      <c r="C172" s="749">
        <f t="shared" ref="C172:C181" si="50">C120</f>
        <v>0</v>
      </c>
      <c r="D172" s="750">
        <v>0</v>
      </c>
      <c r="E172" s="1597">
        <f t="shared" ref="E172:E213" si="51">C172-D172</f>
        <v>0</v>
      </c>
      <c r="F172" s="749">
        <f t="shared" si="49"/>
        <v>36132.67</v>
      </c>
      <c r="G172" s="750"/>
      <c r="H172" s="1597">
        <f t="shared" ref="H172:H213" si="52">F172-G172</f>
        <v>36132.67</v>
      </c>
      <c r="I172" s="751">
        <v>9045.7000000000007</v>
      </c>
      <c r="J172" s="1616">
        <v>0</v>
      </c>
      <c r="K172" s="1599">
        <f t="shared" ref="K172:K217" si="53">IF(J172=0,0,1/J172)</f>
        <v>0</v>
      </c>
      <c r="L172" s="752">
        <v>0</v>
      </c>
      <c r="M172" s="1600">
        <f t="shared" ref="M172:M217" si="54">IF(L172=0,0,1/L172)</f>
        <v>0</v>
      </c>
      <c r="N172" s="1601">
        <f t="shared" ref="N172:N217" si="55">IF(J172=0,0,+E172/J172)</f>
        <v>0</v>
      </c>
      <c r="O172" s="1601">
        <f t="shared" ref="O172:O217" si="56">IF(L172=0,0,+H172/L172)</f>
        <v>0</v>
      </c>
      <c r="P172" s="1602">
        <f t="shared" ref="P172:P217" si="57">IF(L172=0,0,+(I172*0.5)/L172)</f>
        <v>0</v>
      </c>
      <c r="Q172" s="1603">
        <f t="shared" ref="Q172:Q217" si="58">IF(ISERROR(+N172+O172+P172), 0, +N172+O172+P172)</f>
        <v>0</v>
      </c>
      <c r="R172" s="753">
        <f>-'App.2-BA_Fixed Asset Cont'!I210</f>
        <v>0</v>
      </c>
      <c r="S172" s="110">
        <f t="shared" ref="S172:S217" si="59">IF(ISERROR(+R172-122), 0, +R172-Q172)</f>
        <v>0</v>
      </c>
    </row>
    <row r="173" spans="1:25" ht="14.25" x14ac:dyDescent="0.2">
      <c r="A173" s="102">
        <v>1805</v>
      </c>
      <c r="B173" s="755" t="s">
        <v>236</v>
      </c>
      <c r="C173" s="749">
        <f t="shared" si="50"/>
        <v>858551.45999999985</v>
      </c>
      <c r="D173" s="749">
        <v>0</v>
      </c>
      <c r="E173" s="1597">
        <f t="shared" si="51"/>
        <v>858551.45999999985</v>
      </c>
      <c r="F173" s="749">
        <f t="shared" si="49"/>
        <v>81527.34</v>
      </c>
      <c r="G173" s="750"/>
      <c r="H173" s="1597">
        <f t="shared" si="52"/>
        <v>81527.34</v>
      </c>
      <c r="I173" s="751">
        <v>0</v>
      </c>
      <c r="J173" s="1616">
        <v>0</v>
      </c>
      <c r="K173" s="1599">
        <f t="shared" si="53"/>
        <v>0</v>
      </c>
      <c r="L173" s="752">
        <v>0</v>
      </c>
      <c r="M173" s="1600">
        <f t="shared" si="54"/>
        <v>0</v>
      </c>
      <c r="N173" s="1601">
        <f t="shared" si="55"/>
        <v>0</v>
      </c>
      <c r="O173" s="1601">
        <f t="shared" si="56"/>
        <v>0</v>
      </c>
      <c r="P173" s="1602">
        <f t="shared" si="57"/>
        <v>0</v>
      </c>
      <c r="Q173" s="1603">
        <f t="shared" si="58"/>
        <v>0</v>
      </c>
      <c r="R173" s="753">
        <f>-'App.2-BA_Fixed Asset Cont'!I211</f>
        <v>0</v>
      </c>
      <c r="S173" s="110">
        <f t="shared" si="59"/>
        <v>0</v>
      </c>
    </row>
    <row r="174" spans="1:25" ht="14.25" x14ac:dyDescent="0.2">
      <c r="A174" s="105">
        <v>1808</v>
      </c>
      <c r="B174" s="754" t="s">
        <v>237</v>
      </c>
      <c r="C174" s="749">
        <f t="shared" si="50"/>
        <v>10129356.539999999</v>
      </c>
      <c r="D174" s="749">
        <v>4624660.5143232271</v>
      </c>
      <c r="E174" s="1597">
        <f t="shared" si="51"/>
        <v>5504696.025676772</v>
      </c>
      <c r="F174" s="749">
        <f t="shared" si="49"/>
        <v>1710981.09</v>
      </c>
      <c r="G174" s="750"/>
      <c r="H174" s="1597">
        <f t="shared" si="52"/>
        <v>1710981.09</v>
      </c>
      <c r="I174" s="751">
        <v>8.0000000074505806E-2</v>
      </c>
      <c r="J174" s="1616">
        <v>29.119587226571085</v>
      </c>
      <c r="K174" s="1599">
        <f t="shared" si="53"/>
        <v>3.4341146123373564E-2</v>
      </c>
      <c r="L174" s="752">
        <v>15</v>
      </c>
      <c r="M174" s="1600">
        <f t="shared" si="54"/>
        <v>6.6666666666666666E-2</v>
      </c>
      <c r="N174" s="1601">
        <f t="shared" si="55"/>
        <v>189037.57058251975</v>
      </c>
      <c r="O174" s="1601">
        <f t="shared" si="56"/>
        <v>114065.406</v>
      </c>
      <c r="P174" s="1602">
        <f t="shared" si="57"/>
        <v>2.6666666691501934E-3</v>
      </c>
      <c r="Q174" s="1603">
        <f t="shared" si="58"/>
        <v>303102.97924918646</v>
      </c>
      <c r="R174" s="753">
        <f>-'App.2-BA_Fixed Asset Cont'!I212-58228-11276</f>
        <v>312157.11</v>
      </c>
      <c r="S174" s="110">
        <f>IF(ISERROR(+R174-122), 0, +R174-Q174)</f>
        <v>9054.1307508135214</v>
      </c>
    </row>
    <row r="175" spans="1:25" ht="14.25" x14ac:dyDescent="0.2">
      <c r="A175" s="105">
        <v>1808</v>
      </c>
      <c r="B175" s="754" t="s">
        <v>237</v>
      </c>
      <c r="C175" s="749">
        <f t="shared" si="50"/>
        <v>0</v>
      </c>
      <c r="D175" s="749">
        <v>0</v>
      </c>
      <c r="E175" s="1597">
        <f t="shared" si="51"/>
        <v>0</v>
      </c>
      <c r="F175" s="749">
        <f t="shared" si="49"/>
        <v>1309995.71</v>
      </c>
      <c r="G175" s="750"/>
      <c r="H175" s="1597">
        <f t="shared" si="52"/>
        <v>1309995.71</v>
      </c>
      <c r="I175" s="751">
        <v>291420</v>
      </c>
      <c r="J175" s="1616">
        <v>0</v>
      </c>
      <c r="K175" s="1599">
        <f t="shared" si="53"/>
        <v>0</v>
      </c>
      <c r="L175" s="752">
        <v>25</v>
      </c>
      <c r="M175" s="1600">
        <f t="shared" si="54"/>
        <v>0.04</v>
      </c>
      <c r="N175" s="1601">
        <f t="shared" si="55"/>
        <v>0</v>
      </c>
      <c r="O175" s="1601">
        <f t="shared" si="56"/>
        <v>52399.828399999999</v>
      </c>
      <c r="P175" s="1602">
        <f t="shared" si="57"/>
        <v>5828.4</v>
      </c>
      <c r="Q175" s="1603">
        <f t="shared" si="58"/>
        <v>58228.2284</v>
      </c>
      <c r="R175" s="753">
        <v>58228</v>
      </c>
      <c r="S175" s="110">
        <f t="shared" si="59"/>
        <v>-0.22839999999996508</v>
      </c>
    </row>
    <row r="176" spans="1:25" ht="14.25" x14ac:dyDescent="0.2">
      <c r="A176" s="105">
        <v>1808</v>
      </c>
      <c r="B176" s="754" t="s">
        <v>237</v>
      </c>
      <c r="C176" s="749">
        <f t="shared" si="50"/>
        <v>0</v>
      </c>
      <c r="D176" s="749">
        <v>0</v>
      </c>
      <c r="E176" s="1597">
        <f t="shared" si="51"/>
        <v>0</v>
      </c>
      <c r="F176" s="749">
        <f t="shared" si="49"/>
        <v>10998</v>
      </c>
      <c r="G176" s="750"/>
      <c r="H176" s="1597">
        <f t="shared" si="52"/>
        <v>10998</v>
      </c>
      <c r="I176" s="751">
        <v>1105590</v>
      </c>
      <c r="J176" s="1616">
        <v>0</v>
      </c>
      <c r="K176" s="1599">
        <f t="shared" si="53"/>
        <v>0</v>
      </c>
      <c r="L176" s="752">
        <v>50</v>
      </c>
      <c r="M176" s="1600">
        <f t="shared" si="54"/>
        <v>0.02</v>
      </c>
      <c r="N176" s="1601">
        <f t="shared" si="55"/>
        <v>0</v>
      </c>
      <c r="O176" s="1601">
        <f t="shared" si="56"/>
        <v>219.96</v>
      </c>
      <c r="P176" s="1602">
        <f t="shared" si="57"/>
        <v>11055.9</v>
      </c>
      <c r="Q176" s="1603">
        <f t="shared" si="58"/>
        <v>11275.859999999999</v>
      </c>
      <c r="R176" s="753">
        <v>11276</v>
      </c>
      <c r="S176" s="110">
        <f t="shared" si="59"/>
        <v>0.14000000000123691</v>
      </c>
    </row>
    <row r="177" spans="1:19" ht="14.25" hidden="1" x14ac:dyDescent="0.2">
      <c r="A177" s="105">
        <v>1810</v>
      </c>
      <c r="B177" s="754" t="s">
        <v>262</v>
      </c>
      <c r="C177" s="749">
        <f t="shared" si="50"/>
        <v>0</v>
      </c>
      <c r="D177" s="749">
        <v>0</v>
      </c>
      <c r="E177" s="1597">
        <f t="shared" si="51"/>
        <v>0</v>
      </c>
      <c r="F177" s="749"/>
      <c r="G177" s="750"/>
      <c r="H177" s="1597">
        <f t="shared" si="52"/>
        <v>0</v>
      </c>
      <c r="I177" s="751"/>
      <c r="J177" s="1616">
        <v>0</v>
      </c>
      <c r="K177" s="1599">
        <f t="shared" si="53"/>
        <v>0</v>
      </c>
      <c r="L177" s="752">
        <v>0</v>
      </c>
      <c r="M177" s="1600">
        <f t="shared" si="54"/>
        <v>0</v>
      </c>
      <c r="N177" s="1601">
        <f t="shared" si="55"/>
        <v>0</v>
      </c>
      <c r="O177" s="1601">
        <f t="shared" si="56"/>
        <v>0</v>
      </c>
      <c r="P177" s="1602">
        <f t="shared" si="57"/>
        <v>0</v>
      </c>
      <c r="Q177" s="1603">
        <f t="shared" si="58"/>
        <v>0</v>
      </c>
      <c r="R177" s="753"/>
      <c r="S177" s="110">
        <f t="shared" si="59"/>
        <v>0</v>
      </c>
    </row>
    <row r="178" spans="1:19" ht="14.25" hidden="1" x14ac:dyDescent="0.2">
      <c r="A178" s="105">
        <v>1815</v>
      </c>
      <c r="B178" s="754" t="s">
        <v>238</v>
      </c>
      <c r="C178" s="749">
        <f t="shared" si="50"/>
        <v>0</v>
      </c>
      <c r="D178" s="749">
        <v>0</v>
      </c>
      <c r="E178" s="1597">
        <f t="shared" si="51"/>
        <v>0</v>
      </c>
      <c r="F178" s="749">
        <f>F126+I126</f>
        <v>0</v>
      </c>
      <c r="G178" s="750"/>
      <c r="H178" s="1597">
        <f t="shared" si="52"/>
        <v>0</v>
      </c>
      <c r="I178" s="751"/>
      <c r="J178" s="1616">
        <v>0</v>
      </c>
      <c r="K178" s="1599">
        <f t="shared" si="53"/>
        <v>0</v>
      </c>
      <c r="L178" s="752">
        <v>0</v>
      </c>
      <c r="M178" s="1600">
        <f t="shared" si="54"/>
        <v>0</v>
      </c>
      <c r="N178" s="1601">
        <f t="shared" si="55"/>
        <v>0</v>
      </c>
      <c r="O178" s="1601">
        <f t="shared" si="56"/>
        <v>0</v>
      </c>
      <c r="P178" s="1602">
        <f t="shared" si="57"/>
        <v>0</v>
      </c>
      <c r="Q178" s="1603">
        <f t="shared" si="58"/>
        <v>0</v>
      </c>
      <c r="R178" s="753"/>
      <c r="S178" s="110">
        <f t="shared" si="59"/>
        <v>0</v>
      </c>
    </row>
    <row r="179" spans="1:19" ht="14.25" x14ac:dyDescent="0.2">
      <c r="A179" s="105">
        <v>1820</v>
      </c>
      <c r="B179" s="754" t="s">
        <v>178</v>
      </c>
      <c r="C179" s="749">
        <f t="shared" si="50"/>
        <v>17547705.690000001</v>
      </c>
      <c r="D179" s="749">
        <v>11226787.926014977</v>
      </c>
      <c r="E179" s="1597">
        <f t="shared" si="51"/>
        <v>6320917.7639850248</v>
      </c>
      <c r="F179" s="749">
        <f>F127+I127</f>
        <v>855954.05</v>
      </c>
      <c r="G179" s="750"/>
      <c r="H179" s="1597">
        <f t="shared" si="52"/>
        <v>855954.05</v>
      </c>
      <c r="I179" s="751">
        <v>381588.04000000004</v>
      </c>
      <c r="J179" s="1616">
        <v>17.953954701309524</v>
      </c>
      <c r="K179" s="1599">
        <f t="shared" si="53"/>
        <v>5.5698035148048032E-2</v>
      </c>
      <c r="L179" s="752">
        <v>45</v>
      </c>
      <c r="M179" s="1600">
        <f t="shared" si="54"/>
        <v>2.2222222222222223E-2</v>
      </c>
      <c r="N179" s="1601">
        <f t="shared" si="55"/>
        <v>352062.69978635904</v>
      </c>
      <c r="O179" s="1601">
        <f t="shared" si="56"/>
        <v>19021.201111111113</v>
      </c>
      <c r="P179" s="1602">
        <f t="shared" si="57"/>
        <v>4239.8671111111116</v>
      </c>
      <c r="Q179" s="1603">
        <f t="shared" si="58"/>
        <v>375323.76800858125</v>
      </c>
      <c r="R179" s="753">
        <f>-'App.2-BA_Fixed Asset Cont'!I215-6199-1554</f>
        <v>365997.38</v>
      </c>
      <c r="S179" s="110">
        <f t="shared" si="59"/>
        <v>-9326.3880085812416</v>
      </c>
    </row>
    <row r="180" spans="1:19" ht="14.25" x14ac:dyDescent="0.2">
      <c r="A180" s="105">
        <v>1820</v>
      </c>
      <c r="B180" s="754" t="s">
        <v>178</v>
      </c>
      <c r="C180" s="749">
        <f t="shared" si="50"/>
        <v>0</v>
      </c>
      <c r="D180" s="749">
        <v>0</v>
      </c>
      <c r="E180" s="1597">
        <f t="shared" si="51"/>
        <v>0</v>
      </c>
      <c r="F180" s="749">
        <f>F128+I128</f>
        <v>71291</v>
      </c>
      <c r="G180" s="750"/>
      <c r="H180" s="1597">
        <f t="shared" si="52"/>
        <v>71291</v>
      </c>
      <c r="I180" s="751">
        <v>105370</v>
      </c>
      <c r="J180" s="1616">
        <v>0</v>
      </c>
      <c r="K180" s="1599">
        <f t="shared" si="53"/>
        <v>0</v>
      </c>
      <c r="L180" s="752">
        <v>20</v>
      </c>
      <c r="M180" s="1600">
        <f t="shared" si="54"/>
        <v>0.05</v>
      </c>
      <c r="N180" s="1601">
        <f t="shared" si="55"/>
        <v>0</v>
      </c>
      <c r="O180" s="1601">
        <f t="shared" si="56"/>
        <v>3564.55</v>
      </c>
      <c r="P180" s="1602">
        <f t="shared" si="57"/>
        <v>2634.25</v>
      </c>
      <c r="Q180" s="1603">
        <f>IF(ISERROR(+N180+O180+P180), 0, +N180+O180+P180)</f>
        <v>6198.8</v>
      </c>
      <c r="R180" s="753">
        <v>6199</v>
      </c>
      <c r="S180" s="110">
        <f t="shared" si="59"/>
        <v>0.1999999999998181</v>
      </c>
    </row>
    <row r="181" spans="1:19" ht="14.25" x14ac:dyDescent="0.2">
      <c r="A181" s="105">
        <v>1820</v>
      </c>
      <c r="B181" s="754" t="s">
        <v>178</v>
      </c>
      <c r="C181" s="749">
        <f t="shared" si="50"/>
        <v>0</v>
      </c>
      <c r="D181" s="749">
        <v>0</v>
      </c>
      <c r="E181" s="1597">
        <f t="shared" si="51"/>
        <v>0</v>
      </c>
      <c r="F181" s="749">
        <f>F129+I129</f>
        <v>0</v>
      </c>
      <c r="G181" s="750">
        <v>0</v>
      </c>
      <c r="H181" s="1597">
        <f t="shared" si="52"/>
        <v>0</v>
      </c>
      <c r="I181" s="751">
        <v>77687</v>
      </c>
      <c r="J181" s="1616">
        <v>0</v>
      </c>
      <c r="K181" s="1599">
        <f t="shared" si="53"/>
        <v>0</v>
      </c>
      <c r="L181" s="752">
        <v>25</v>
      </c>
      <c r="M181" s="1600">
        <f t="shared" si="54"/>
        <v>0.04</v>
      </c>
      <c r="N181" s="1601">
        <f t="shared" si="55"/>
        <v>0</v>
      </c>
      <c r="O181" s="1601">
        <f t="shared" si="56"/>
        <v>0</v>
      </c>
      <c r="P181" s="1602">
        <f t="shared" si="57"/>
        <v>1553.74</v>
      </c>
      <c r="Q181" s="1603">
        <f>IF(ISERROR(+N181+O181+P181), 0, +N181+O181+P181)</f>
        <v>1553.74</v>
      </c>
      <c r="R181" s="753">
        <v>1554</v>
      </c>
      <c r="S181" s="110">
        <f t="shared" si="59"/>
        <v>0.25999999999999091</v>
      </c>
    </row>
    <row r="182" spans="1:19" ht="14.25" hidden="1" x14ac:dyDescent="0.2">
      <c r="A182" s="105">
        <v>1825</v>
      </c>
      <c r="B182" s="754" t="s">
        <v>239</v>
      </c>
      <c r="C182" s="749"/>
      <c r="D182" s="749"/>
      <c r="E182" s="1597">
        <f t="shared" si="51"/>
        <v>0</v>
      </c>
      <c r="F182" s="749"/>
      <c r="G182" s="750"/>
      <c r="H182" s="1597">
        <f t="shared" si="52"/>
        <v>0</v>
      </c>
      <c r="I182" s="751"/>
      <c r="J182" s="1616"/>
      <c r="K182" s="1599">
        <f t="shared" si="53"/>
        <v>0</v>
      </c>
      <c r="L182" s="752">
        <v>0</v>
      </c>
      <c r="M182" s="1600">
        <f t="shared" si="54"/>
        <v>0</v>
      </c>
      <c r="N182" s="1601">
        <f t="shared" si="55"/>
        <v>0</v>
      </c>
      <c r="O182" s="1601">
        <f t="shared" si="56"/>
        <v>0</v>
      </c>
      <c r="P182" s="1602">
        <f t="shared" si="57"/>
        <v>0</v>
      </c>
      <c r="Q182" s="1603">
        <f t="shared" si="58"/>
        <v>0</v>
      </c>
      <c r="R182" s="753"/>
      <c r="S182" s="110">
        <f t="shared" si="59"/>
        <v>0</v>
      </c>
    </row>
    <row r="183" spans="1:19" ht="14.25" x14ac:dyDescent="0.2">
      <c r="A183" s="105">
        <v>1830</v>
      </c>
      <c r="B183" s="754" t="s">
        <v>240</v>
      </c>
      <c r="C183" s="749">
        <f t="shared" ref="C183:C192" si="60">C130</f>
        <v>19238774.109999999</v>
      </c>
      <c r="D183" s="749">
        <v>9065588.3328476083</v>
      </c>
      <c r="E183" s="1597">
        <f t="shared" si="51"/>
        <v>10173185.777152391</v>
      </c>
      <c r="F183" s="749">
        <f t="shared" ref="F183:F192" si="61">F130+I130</f>
        <v>4072956.2899999996</v>
      </c>
      <c r="G183" s="750"/>
      <c r="H183" s="1597">
        <f t="shared" si="52"/>
        <v>4072956.2899999996</v>
      </c>
      <c r="I183" s="751">
        <v>1421202.4400000002</v>
      </c>
      <c r="J183" s="1616">
        <v>31.08041009059826</v>
      </c>
      <c r="K183" s="1599">
        <f t="shared" si="53"/>
        <v>3.2174607641438341E-2</v>
      </c>
      <c r="L183" s="752">
        <v>40</v>
      </c>
      <c r="M183" s="1600">
        <f t="shared" si="54"/>
        <v>2.5000000000000001E-2</v>
      </c>
      <c r="N183" s="1601">
        <f t="shared" si="55"/>
        <v>327318.26084333914</v>
      </c>
      <c r="O183" s="1601">
        <f t="shared" si="56"/>
        <v>101823.90724999999</v>
      </c>
      <c r="P183" s="1602">
        <f t="shared" si="57"/>
        <v>17765.030500000001</v>
      </c>
      <c r="Q183" s="1603">
        <f t="shared" si="58"/>
        <v>446907.19859333913</v>
      </c>
      <c r="R183" s="753">
        <f>-'App.2-BA_Fixed Asset Cont'!I217</f>
        <v>442627.62</v>
      </c>
      <c r="S183" s="110">
        <f t="shared" si="59"/>
        <v>-4279.5785933391307</v>
      </c>
    </row>
    <row r="184" spans="1:19" ht="14.25" x14ac:dyDescent="0.2">
      <c r="A184" s="105">
        <v>1835</v>
      </c>
      <c r="B184" s="754" t="s">
        <v>179</v>
      </c>
      <c r="C184" s="749">
        <f t="shared" si="60"/>
        <v>29187086.480131183</v>
      </c>
      <c r="D184" s="749">
        <v>21602233.694095131</v>
      </c>
      <c r="E184" s="1597">
        <f t="shared" si="51"/>
        <v>7584852.7860360518</v>
      </c>
      <c r="F184" s="749">
        <f t="shared" si="61"/>
        <v>1433140.6600000001</v>
      </c>
      <c r="G184" s="750"/>
      <c r="H184" s="1597">
        <f t="shared" si="52"/>
        <v>1433140.6600000001</v>
      </c>
      <c r="I184" s="751">
        <v>1328907.5000000002</v>
      </c>
      <c r="J184" s="1616">
        <v>22.441665130967387</v>
      </c>
      <c r="K184" s="1599">
        <f t="shared" si="53"/>
        <v>4.4559973342623946E-2</v>
      </c>
      <c r="L184" s="752">
        <v>40</v>
      </c>
      <c r="M184" s="1600">
        <f t="shared" si="54"/>
        <v>2.5000000000000001E-2</v>
      </c>
      <c r="N184" s="1601">
        <f t="shared" si="55"/>
        <v>337980.83795349341</v>
      </c>
      <c r="O184" s="1601">
        <f t="shared" si="56"/>
        <v>35828.516500000005</v>
      </c>
      <c r="P184" s="1602">
        <f t="shared" si="57"/>
        <v>16611.343750000004</v>
      </c>
      <c r="Q184" s="1603">
        <f t="shared" si="58"/>
        <v>390420.69820349343</v>
      </c>
      <c r="R184" s="753">
        <f>-'App.2-BA_Fixed Asset Cont'!I218-171857</f>
        <v>383767.73431881762</v>
      </c>
      <c r="S184" s="1611">
        <f t="shared" si="59"/>
        <v>-6652.9638846758171</v>
      </c>
    </row>
    <row r="185" spans="1:19" ht="14.25" x14ac:dyDescent="0.2">
      <c r="A185" s="105">
        <v>1835</v>
      </c>
      <c r="B185" s="754" t="s">
        <v>179</v>
      </c>
      <c r="C185" s="749">
        <f t="shared" si="60"/>
        <v>9768757</v>
      </c>
      <c r="D185" s="749">
        <v>6712011.325488192</v>
      </c>
      <c r="E185" s="1597">
        <f t="shared" si="51"/>
        <v>3056745.674511808</v>
      </c>
      <c r="F185" s="749">
        <f t="shared" si="61"/>
        <v>1048719.76</v>
      </c>
      <c r="G185" s="750"/>
      <c r="H185" s="1597">
        <f t="shared" si="52"/>
        <v>1048719.76</v>
      </c>
      <c r="I185" s="751"/>
      <c r="J185" s="1616">
        <v>20.988445363423125</v>
      </c>
      <c r="K185" s="1599">
        <f t="shared" si="53"/>
        <v>4.7645263033283772E-2</v>
      </c>
      <c r="L185" s="752">
        <v>40</v>
      </c>
      <c r="M185" s="1600">
        <f t="shared" si="54"/>
        <v>2.5000000000000001E-2</v>
      </c>
      <c r="N185" s="1601">
        <f t="shared" si="55"/>
        <v>145639.45168796752</v>
      </c>
      <c r="O185" s="1601">
        <f t="shared" si="56"/>
        <v>26217.993999999999</v>
      </c>
      <c r="P185" s="1602">
        <f t="shared" si="57"/>
        <v>0</v>
      </c>
      <c r="Q185" s="1603">
        <f t="shared" si="58"/>
        <v>171857.44568796753</v>
      </c>
      <c r="R185" s="753">
        <v>171857</v>
      </c>
      <c r="S185" s="110">
        <f t="shared" si="59"/>
        <v>-0.44568796752719209</v>
      </c>
    </row>
    <row r="186" spans="1:19" ht="14.25" x14ac:dyDescent="0.2">
      <c r="A186" s="105">
        <v>1840</v>
      </c>
      <c r="B186" s="754" t="s">
        <v>180</v>
      </c>
      <c r="C186" s="749">
        <f t="shared" si="60"/>
        <v>20841499.539999999</v>
      </c>
      <c r="D186" s="749">
        <v>12176064.896733059</v>
      </c>
      <c r="E186" s="1597">
        <f t="shared" si="51"/>
        <v>8665434.6432669405</v>
      </c>
      <c r="F186" s="749">
        <f t="shared" si="61"/>
        <v>1881198.52</v>
      </c>
      <c r="G186" s="750"/>
      <c r="H186" s="1597">
        <f t="shared" si="52"/>
        <v>1881198.52</v>
      </c>
      <c r="I186" s="751">
        <v>637497.64</v>
      </c>
      <c r="J186" s="1616">
        <v>38.144264154552815</v>
      </c>
      <c r="K186" s="1599">
        <f t="shared" si="53"/>
        <v>2.6216261400356367E-2</v>
      </c>
      <c r="L186" s="752">
        <v>50</v>
      </c>
      <c r="M186" s="1600">
        <f t="shared" si="54"/>
        <v>0.02</v>
      </c>
      <c r="N186" s="1601">
        <f t="shared" si="55"/>
        <v>227175.29975558995</v>
      </c>
      <c r="O186" s="1601">
        <f t="shared" si="56"/>
        <v>37623.970399999998</v>
      </c>
      <c r="P186" s="1602">
        <f t="shared" si="57"/>
        <v>6374.9764000000005</v>
      </c>
      <c r="Q186" s="1603">
        <f t="shared" si="58"/>
        <v>271174.24655558995</v>
      </c>
      <c r="R186" s="753">
        <f>-'App.2-BA_Fixed Asset Cont'!I219</f>
        <v>271383.24</v>
      </c>
      <c r="S186" s="110">
        <f t="shared" si="59"/>
        <v>208.99344441003632</v>
      </c>
    </row>
    <row r="187" spans="1:19" ht="14.25" x14ac:dyDescent="0.2">
      <c r="A187" s="1658">
        <v>1845</v>
      </c>
      <c r="B187" s="754" t="s">
        <v>181</v>
      </c>
      <c r="C187" s="749">
        <f t="shared" si="60"/>
        <v>15719869.667285465</v>
      </c>
      <c r="D187" s="749">
        <v>11662374.440973222</v>
      </c>
      <c r="E187" s="1597">
        <f t="shared" si="51"/>
        <v>4057495.2263122424</v>
      </c>
      <c r="F187" s="749">
        <f t="shared" si="61"/>
        <v>1907188.33</v>
      </c>
      <c r="G187" s="750"/>
      <c r="H187" s="1597">
        <f t="shared" si="52"/>
        <v>1907188.33</v>
      </c>
      <c r="I187" s="751">
        <v>588883.16</v>
      </c>
      <c r="J187" s="1616">
        <v>22.868255901902497</v>
      </c>
      <c r="K187" s="1599">
        <f t="shared" si="53"/>
        <v>4.3728739274638176E-2</v>
      </c>
      <c r="L187" s="752">
        <v>40</v>
      </c>
      <c r="M187" s="1600">
        <f t="shared" si="54"/>
        <v>2.5000000000000001E-2</v>
      </c>
      <c r="N187" s="1603">
        <f t="shared" si="55"/>
        <v>177429.15085949708</v>
      </c>
      <c r="O187" s="1603">
        <f t="shared" si="56"/>
        <v>47679.708250000003</v>
      </c>
      <c r="P187" s="1603">
        <f>IF(L187=0,0,+(I187*0.5)/L187)</f>
        <v>7361.0395000000008</v>
      </c>
      <c r="Q187" s="1603">
        <f t="shared" si="58"/>
        <v>232469.89860949709</v>
      </c>
      <c r="R187" s="753">
        <f>-'App.2-BA_Fixed Asset Cont'!I220</f>
        <v>227520.470539539</v>
      </c>
      <c r="S187" s="110">
        <f t="shared" si="59"/>
        <v>-4949.428069958085</v>
      </c>
    </row>
    <row r="188" spans="1:19" s="82" customFormat="1" ht="14.25" x14ac:dyDescent="0.2">
      <c r="A188" s="102">
        <v>1850</v>
      </c>
      <c r="B188" s="755" t="s">
        <v>241</v>
      </c>
      <c r="C188" s="749">
        <f t="shared" si="60"/>
        <v>25892036.769088108</v>
      </c>
      <c r="D188" s="749">
        <v>17956843.743688975</v>
      </c>
      <c r="E188" s="1597">
        <f t="shared" si="51"/>
        <v>7935193.0253991336</v>
      </c>
      <c r="F188" s="749">
        <f t="shared" si="61"/>
        <v>3790642.6800000016</v>
      </c>
      <c r="G188" s="750"/>
      <c r="H188" s="1597">
        <f t="shared" si="52"/>
        <v>3790642.6800000016</v>
      </c>
      <c r="I188" s="751">
        <v>1580394.95</v>
      </c>
      <c r="J188" s="1616">
        <v>27.675199004712372</v>
      </c>
      <c r="K188" s="1599">
        <f t="shared" si="53"/>
        <v>3.6133434842861502E-2</v>
      </c>
      <c r="L188" s="752">
        <v>40</v>
      </c>
      <c r="M188" s="1600">
        <f t="shared" si="54"/>
        <v>2.5000000000000001E-2</v>
      </c>
      <c r="N188" s="1603">
        <f t="shared" si="55"/>
        <v>286725.78014878865</v>
      </c>
      <c r="O188" s="1603">
        <f t="shared" si="56"/>
        <v>94766.067000000039</v>
      </c>
      <c r="P188" s="1603">
        <f t="shared" si="57"/>
        <v>19754.936874999999</v>
      </c>
      <c r="Q188" s="1603">
        <f t="shared" si="58"/>
        <v>401246.7840237887</v>
      </c>
      <c r="R188" s="753">
        <f>-'App.2-BA_Fixed Asset Cont'!I221</f>
        <v>391233.37360848719</v>
      </c>
      <c r="S188" s="1611">
        <f t="shared" si="59"/>
        <v>-10013.410415301507</v>
      </c>
    </row>
    <row r="189" spans="1:19" ht="14.25" x14ac:dyDescent="0.2">
      <c r="A189" s="105">
        <v>1855</v>
      </c>
      <c r="B189" s="754" t="s">
        <v>182</v>
      </c>
      <c r="C189" s="749">
        <f t="shared" si="60"/>
        <v>12342929.799999999</v>
      </c>
      <c r="D189" s="749">
        <v>6500462.1358982157</v>
      </c>
      <c r="E189" s="1597">
        <f t="shared" si="51"/>
        <v>5842467.6641017832</v>
      </c>
      <c r="F189" s="749">
        <f t="shared" si="61"/>
        <v>3293790.6999999993</v>
      </c>
      <c r="G189" s="750"/>
      <c r="H189" s="1597">
        <f t="shared" si="52"/>
        <v>3293790.6999999993</v>
      </c>
      <c r="I189" s="751">
        <v>487741.62</v>
      </c>
      <c r="J189" s="1616">
        <v>29.258866884696523</v>
      </c>
      <c r="K189" s="1599">
        <f t="shared" si="53"/>
        <v>3.4177673521698725E-2</v>
      </c>
      <c r="L189" s="752">
        <v>40</v>
      </c>
      <c r="M189" s="1600">
        <f t="shared" si="54"/>
        <v>2.5000000000000001E-2</v>
      </c>
      <c r="N189" s="1601">
        <f t="shared" si="55"/>
        <v>199681.95238475251</v>
      </c>
      <c r="O189" s="1601">
        <f t="shared" si="56"/>
        <v>82344.767499999987</v>
      </c>
      <c r="P189" s="1602">
        <f t="shared" si="57"/>
        <v>6096.7702499999996</v>
      </c>
      <c r="Q189" s="1603">
        <f t="shared" si="58"/>
        <v>288123.49013475253</v>
      </c>
      <c r="R189" s="753">
        <f>-'App.2-BA_Fixed Asset Cont'!I222</f>
        <v>281720.45999999996</v>
      </c>
      <c r="S189" s="110">
        <f t="shared" si="59"/>
        <v>-6403.0301347525674</v>
      </c>
    </row>
    <row r="190" spans="1:19" ht="14.25" x14ac:dyDescent="0.2">
      <c r="A190" s="105">
        <v>1860</v>
      </c>
      <c r="B190" s="754" t="s">
        <v>242</v>
      </c>
      <c r="C190" s="749">
        <f t="shared" si="60"/>
        <v>8900387.9934</v>
      </c>
      <c r="D190" s="749">
        <v>6817799.92275065</v>
      </c>
      <c r="E190" s="1597">
        <f t="shared" si="51"/>
        <v>2082588.0706493501</v>
      </c>
      <c r="F190" s="749">
        <f t="shared" si="61"/>
        <v>241276.68</v>
      </c>
      <c r="G190" s="750"/>
      <c r="H190" s="1597">
        <f t="shared" si="52"/>
        <v>241276.68</v>
      </c>
      <c r="I190" s="751">
        <v>57461.880000000005</v>
      </c>
      <c r="J190" s="1616">
        <v>4.3435425942359798</v>
      </c>
      <c r="K190" s="1599">
        <f>IF(J190=0,0,1/J190)</f>
        <v>0.23022682022896057</v>
      </c>
      <c r="L190" s="752">
        <v>15</v>
      </c>
      <c r="M190" s="1600">
        <f t="shared" si="54"/>
        <v>6.6666666666666666E-2</v>
      </c>
      <c r="N190" s="1601">
        <f t="shared" si="55"/>
        <v>479467.6293523658</v>
      </c>
      <c r="O190" s="1601">
        <f t="shared" si="56"/>
        <v>16085.111999999999</v>
      </c>
      <c r="P190" s="1602">
        <f t="shared" si="57"/>
        <v>1915.3960000000002</v>
      </c>
      <c r="Q190" s="1603">
        <f t="shared" si="58"/>
        <v>497468.13735236583</v>
      </c>
      <c r="R190" s="753">
        <f>-'App.2-BA_Fixed Asset Cont'!I223-1897-3358</f>
        <v>494824.80719999998</v>
      </c>
      <c r="S190" s="1611">
        <f t="shared" si="59"/>
        <v>-2643.3301523658447</v>
      </c>
    </row>
    <row r="191" spans="1:19" ht="14.25" x14ac:dyDescent="0.2">
      <c r="A191" s="102">
        <v>1860</v>
      </c>
      <c r="B191" s="755" t="s">
        <v>1490</v>
      </c>
      <c r="C191" s="749">
        <f t="shared" si="60"/>
        <v>0</v>
      </c>
      <c r="D191" s="749">
        <v>0</v>
      </c>
      <c r="E191" s="1597">
        <f t="shared" si="51"/>
        <v>0</v>
      </c>
      <c r="F191" s="749">
        <f t="shared" si="61"/>
        <v>79083</v>
      </c>
      <c r="G191" s="750"/>
      <c r="H191" s="1597">
        <f t="shared" si="52"/>
        <v>79083</v>
      </c>
      <c r="I191" s="751">
        <v>12560</v>
      </c>
      <c r="J191" s="1616">
        <v>0</v>
      </c>
      <c r="K191" s="1599">
        <f t="shared" si="53"/>
        <v>0</v>
      </c>
      <c r="L191" s="752">
        <v>45</v>
      </c>
      <c r="M191" s="1600">
        <f t="shared" si="54"/>
        <v>2.2222222222222223E-2</v>
      </c>
      <c r="N191" s="1601">
        <f t="shared" si="55"/>
        <v>0</v>
      </c>
      <c r="O191" s="1601">
        <f t="shared" si="56"/>
        <v>1757.4</v>
      </c>
      <c r="P191" s="1602">
        <f t="shared" si="57"/>
        <v>139.55555555555554</v>
      </c>
      <c r="Q191" s="1603">
        <f t="shared" si="58"/>
        <v>1896.9555555555557</v>
      </c>
      <c r="R191" s="753">
        <v>1897</v>
      </c>
      <c r="S191" s="110">
        <f t="shared" si="59"/>
        <v>4.444444444425244E-2</v>
      </c>
    </row>
    <row r="192" spans="1:19" ht="14.25" x14ac:dyDescent="0.2">
      <c r="A192" s="105">
        <v>1860</v>
      </c>
      <c r="B192" s="754" t="s">
        <v>242</v>
      </c>
      <c r="C192" s="749">
        <f t="shared" si="60"/>
        <v>0</v>
      </c>
      <c r="D192" s="749">
        <v>0</v>
      </c>
      <c r="E192" s="1597">
        <f t="shared" si="51"/>
        <v>0</v>
      </c>
      <c r="F192" s="749">
        <f t="shared" si="61"/>
        <v>30628</v>
      </c>
      <c r="G192" s="750"/>
      <c r="H192" s="1597">
        <f t="shared" si="52"/>
        <v>30628</v>
      </c>
      <c r="I192" s="751">
        <v>106659</v>
      </c>
      <c r="J192" s="1616">
        <v>0</v>
      </c>
      <c r="K192" s="1599">
        <f t="shared" si="53"/>
        <v>0</v>
      </c>
      <c r="L192" s="752">
        <v>25</v>
      </c>
      <c r="M192" s="1600">
        <f t="shared" si="54"/>
        <v>0.04</v>
      </c>
      <c r="N192" s="1601">
        <f t="shared" si="55"/>
        <v>0</v>
      </c>
      <c r="O192" s="1601">
        <f t="shared" si="56"/>
        <v>1225.1199999999999</v>
      </c>
      <c r="P192" s="1602">
        <f t="shared" si="57"/>
        <v>2133.1799999999998</v>
      </c>
      <c r="Q192" s="1603">
        <f t="shared" si="58"/>
        <v>3358.2999999999997</v>
      </c>
      <c r="R192" s="753">
        <v>3358</v>
      </c>
      <c r="S192" s="110">
        <f t="shared" si="59"/>
        <v>-0.29999999999972715</v>
      </c>
    </row>
    <row r="193" spans="1:19" ht="14.25" hidden="1" x14ac:dyDescent="0.2">
      <c r="A193" s="102">
        <v>1905</v>
      </c>
      <c r="B193" s="755" t="s">
        <v>236</v>
      </c>
      <c r="C193" s="749">
        <f>C141</f>
        <v>0</v>
      </c>
      <c r="D193" s="749">
        <v>0</v>
      </c>
      <c r="E193" s="1597">
        <f t="shared" si="51"/>
        <v>0</v>
      </c>
      <c r="F193" s="749">
        <f>F141+I141</f>
        <v>0</v>
      </c>
      <c r="G193" s="750"/>
      <c r="H193" s="1597">
        <f t="shared" si="52"/>
        <v>0</v>
      </c>
      <c r="I193" s="751">
        <v>0</v>
      </c>
      <c r="J193" s="1616"/>
      <c r="K193" s="1599">
        <f t="shared" si="53"/>
        <v>0</v>
      </c>
      <c r="L193" s="752">
        <v>0</v>
      </c>
      <c r="M193" s="1600">
        <f t="shared" si="54"/>
        <v>0</v>
      </c>
      <c r="N193" s="1601">
        <f t="shared" si="55"/>
        <v>0</v>
      </c>
      <c r="O193" s="1601">
        <f t="shared" si="56"/>
        <v>0</v>
      </c>
      <c r="P193" s="1602">
        <f>IF(L193=0,0,+(#REF!*0.5)/L193)</f>
        <v>0</v>
      </c>
      <c r="Q193" s="1603">
        <f t="shared" si="58"/>
        <v>0</v>
      </c>
      <c r="R193" s="753"/>
      <c r="S193" s="110">
        <f t="shared" si="59"/>
        <v>0</v>
      </c>
    </row>
    <row r="194" spans="1:19" ht="14.25" hidden="1" x14ac:dyDescent="0.2">
      <c r="A194" s="105">
        <v>1908</v>
      </c>
      <c r="B194" s="754" t="s">
        <v>244</v>
      </c>
      <c r="C194" s="749">
        <f>C142</f>
        <v>0</v>
      </c>
      <c r="D194" s="749">
        <v>0</v>
      </c>
      <c r="E194" s="1597">
        <f t="shared" si="51"/>
        <v>0</v>
      </c>
      <c r="F194" s="749">
        <f>F142+I142</f>
        <v>0</v>
      </c>
      <c r="G194" s="750"/>
      <c r="H194" s="1597">
        <f t="shared" si="52"/>
        <v>0</v>
      </c>
      <c r="I194" s="751"/>
      <c r="J194" s="1616">
        <v>0</v>
      </c>
      <c r="K194" s="1599">
        <f t="shared" si="53"/>
        <v>0</v>
      </c>
      <c r="L194" s="752">
        <v>0</v>
      </c>
      <c r="M194" s="1600">
        <f t="shared" si="54"/>
        <v>0</v>
      </c>
      <c r="N194" s="1601">
        <f t="shared" si="55"/>
        <v>0</v>
      </c>
      <c r="O194" s="1601">
        <f t="shared" si="56"/>
        <v>0</v>
      </c>
      <c r="P194" s="1602">
        <f t="shared" si="57"/>
        <v>0</v>
      </c>
      <c r="Q194" s="1603">
        <f t="shared" si="58"/>
        <v>0</v>
      </c>
      <c r="R194" s="753"/>
      <c r="S194" s="110">
        <f t="shared" si="59"/>
        <v>0</v>
      </c>
    </row>
    <row r="195" spans="1:19" ht="14.25" hidden="1" x14ac:dyDescent="0.2">
      <c r="A195" s="105">
        <v>1910</v>
      </c>
      <c r="B195" s="754" t="s">
        <v>262</v>
      </c>
      <c r="C195" s="749"/>
      <c r="D195" s="749"/>
      <c r="E195" s="1597">
        <f t="shared" si="51"/>
        <v>0</v>
      </c>
      <c r="F195" s="749"/>
      <c r="G195" s="750"/>
      <c r="H195" s="1597">
        <f t="shared" si="52"/>
        <v>0</v>
      </c>
      <c r="I195" s="751"/>
      <c r="J195" s="1616"/>
      <c r="K195" s="1599">
        <f t="shared" si="53"/>
        <v>0</v>
      </c>
      <c r="L195" s="752">
        <v>0</v>
      </c>
      <c r="M195" s="1600">
        <f t="shared" si="54"/>
        <v>0</v>
      </c>
      <c r="N195" s="1601">
        <f t="shared" si="55"/>
        <v>0</v>
      </c>
      <c r="O195" s="1601">
        <f t="shared" si="56"/>
        <v>0</v>
      </c>
      <c r="P195" s="1602">
        <f t="shared" si="57"/>
        <v>0</v>
      </c>
      <c r="Q195" s="1603">
        <f t="shared" si="58"/>
        <v>0</v>
      </c>
      <c r="R195" s="753"/>
      <c r="S195" s="110">
        <f t="shared" si="59"/>
        <v>0</v>
      </c>
    </row>
    <row r="196" spans="1:19" ht="14.25" x14ac:dyDescent="0.2">
      <c r="A196" s="105">
        <v>1915</v>
      </c>
      <c r="B196" s="754" t="s">
        <v>184</v>
      </c>
      <c r="C196" s="749">
        <f>C143</f>
        <v>44314.559999999998</v>
      </c>
      <c r="D196" s="749">
        <v>41713.569499999991</v>
      </c>
      <c r="E196" s="1597">
        <f t="shared" si="51"/>
        <v>2600.9905000000072</v>
      </c>
      <c r="F196" s="749">
        <f t="shared" ref="F196:F213" si="62">F143+I143</f>
        <v>31740</v>
      </c>
      <c r="G196" s="750"/>
      <c r="H196" s="1597">
        <f t="shared" si="52"/>
        <v>31740</v>
      </c>
      <c r="I196" s="751"/>
      <c r="J196" s="1616">
        <v>0</v>
      </c>
      <c r="K196" s="1599">
        <f t="shared" si="53"/>
        <v>0</v>
      </c>
      <c r="L196" s="752">
        <v>10</v>
      </c>
      <c r="M196" s="1600">
        <f t="shared" si="54"/>
        <v>0.1</v>
      </c>
      <c r="N196" s="1601">
        <f t="shared" si="55"/>
        <v>0</v>
      </c>
      <c r="O196" s="1601">
        <f t="shared" si="56"/>
        <v>3174</v>
      </c>
      <c r="P196" s="1602">
        <f t="shared" si="57"/>
        <v>0</v>
      </c>
      <c r="Q196" s="1603">
        <f t="shared" si="58"/>
        <v>3174</v>
      </c>
      <c r="R196" s="753">
        <f>-'App.2-BA_Fixed Asset Cont'!I228</f>
        <v>3174</v>
      </c>
      <c r="S196" s="110">
        <f t="shared" si="59"/>
        <v>0</v>
      </c>
    </row>
    <row r="197" spans="1:19" ht="14.25" hidden="1" x14ac:dyDescent="0.2">
      <c r="A197" s="105">
        <v>1915</v>
      </c>
      <c r="B197" s="754" t="s">
        <v>185</v>
      </c>
      <c r="C197" s="749">
        <f>C144</f>
        <v>0</v>
      </c>
      <c r="D197" s="749">
        <v>0</v>
      </c>
      <c r="E197" s="1597">
        <f t="shared" si="51"/>
        <v>0</v>
      </c>
      <c r="F197" s="749">
        <f t="shared" si="62"/>
        <v>0</v>
      </c>
      <c r="G197" s="750"/>
      <c r="H197" s="1597">
        <f t="shared" si="52"/>
        <v>0</v>
      </c>
      <c r="I197" s="751"/>
      <c r="J197" s="1616">
        <v>0</v>
      </c>
      <c r="K197" s="1599">
        <f t="shared" si="53"/>
        <v>0</v>
      </c>
      <c r="L197" s="752">
        <v>0</v>
      </c>
      <c r="M197" s="1600">
        <f t="shared" si="54"/>
        <v>0</v>
      </c>
      <c r="N197" s="1601">
        <f t="shared" si="55"/>
        <v>0</v>
      </c>
      <c r="O197" s="1601">
        <f t="shared" si="56"/>
        <v>0</v>
      </c>
      <c r="P197" s="1602">
        <f t="shared" si="57"/>
        <v>0</v>
      </c>
      <c r="Q197" s="1603">
        <f t="shared" si="58"/>
        <v>0</v>
      </c>
      <c r="R197" s="753">
        <f>-'App.2-BA_Fixed Asset Cont'!I229</f>
        <v>0</v>
      </c>
      <c r="S197" s="110">
        <f t="shared" si="59"/>
        <v>0</v>
      </c>
    </row>
    <row r="198" spans="1:19" ht="14.25" x14ac:dyDescent="0.2">
      <c r="A198" s="105">
        <v>1920</v>
      </c>
      <c r="B198" s="754" t="s">
        <v>186</v>
      </c>
      <c r="C198" s="749">
        <f t="shared" ref="C198:C213" si="63">C145</f>
        <v>162987.72</v>
      </c>
      <c r="D198" s="749">
        <v>142422</v>
      </c>
      <c r="E198" s="1597">
        <f t="shared" si="51"/>
        <v>20565.72</v>
      </c>
      <c r="F198" s="749">
        <f t="shared" si="62"/>
        <v>370511.74000000005</v>
      </c>
      <c r="G198" s="750"/>
      <c r="H198" s="1597">
        <f t="shared" si="52"/>
        <v>370511.74000000005</v>
      </c>
      <c r="I198" s="751">
        <v>24167.79</v>
      </c>
      <c r="J198" s="1616">
        <v>0.99999747152696239</v>
      </c>
      <c r="K198" s="1599">
        <f>IF(J198=0,0,1/J198)</f>
        <v>1.0000025284794307</v>
      </c>
      <c r="L198" s="752">
        <v>5</v>
      </c>
      <c r="M198" s="1600">
        <f t="shared" si="54"/>
        <v>0.2</v>
      </c>
      <c r="N198" s="1601">
        <f t="shared" si="55"/>
        <v>20565.772000000001</v>
      </c>
      <c r="O198" s="1601">
        <f t="shared" si="56"/>
        <v>74102.348000000013</v>
      </c>
      <c r="P198" s="1602">
        <f t="shared" si="57"/>
        <v>2416.779</v>
      </c>
      <c r="Q198" s="1603">
        <f t="shared" si="58"/>
        <v>97084.899000000005</v>
      </c>
      <c r="R198" s="753">
        <f>-'App.2-BA_Fixed Asset Cont'!I230</f>
        <v>97084.89</v>
      </c>
      <c r="S198" s="110">
        <f t="shared" si="59"/>
        <v>-9.0000000054715201E-3</v>
      </c>
    </row>
    <row r="199" spans="1:19" ht="14.25" hidden="1" x14ac:dyDescent="0.2">
      <c r="A199" s="105">
        <v>1920</v>
      </c>
      <c r="B199" s="754" t="s">
        <v>188</v>
      </c>
      <c r="C199" s="749">
        <f t="shared" si="63"/>
        <v>0</v>
      </c>
      <c r="D199" s="749">
        <v>0</v>
      </c>
      <c r="E199" s="1597">
        <f t="shared" si="51"/>
        <v>0</v>
      </c>
      <c r="F199" s="749">
        <f t="shared" si="62"/>
        <v>0</v>
      </c>
      <c r="G199" s="750"/>
      <c r="H199" s="1597">
        <f t="shared" si="52"/>
        <v>0</v>
      </c>
      <c r="I199" s="751"/>
      <c r="J199" s="1616">
        <v>0</v>
      </c>
      <c r="K199" s="1599">
        <f t="shared" si="53"/>
        <v>0</v>
      </c>
      <c r="L199" s="752">
        <v>0</v>
      </c>
      <c r="M199" s="1600">
        <f t="shared" si="54"/>
        <v>0</v>
      </c>
      <c r="N199" s="1601">
        <f t="shared" si="55"/>
        <v>0</v>
      </c>
      <c r="O199" s="1601">
        <f t="shared" si="56"/>
        <v>0</v>
      </c>
      <c r="P199" s="1602">
        <f t="shared" si="57"/>
        <v>0</v>
      </c>
      <c r="Q199" s="1603">
        <f t="shared" si="58"/>
        <v>0</v>
      </c>
      <c r="R199" s="753">
        <f>-'App.2-BA_Fixed Asset Cont'!I231</f>
        <v>0</v>
      </c>
      <c r="S199" s="110">
        <f t="shared" si="59"/>
        <v>0</v>
      </c>
    </row>
    <row r="200" spans="1:19" ht="14.25" hidden="1" x14ac:dyDescent="0.2">
      <c r="A200" s="105">
        <v>1920</v>
      </c>
      <c r="B200" s="754" t="s">
        <v>187</v>
      </c>
      <c r="C200" s="749">
        <f t="shared" si="63"/>
        <v>0</v>
      </c>
      <c r="D200" s="749">
        <v>0</v>
      </c>
      <c r="E200" s="1597">
        <f t="shared" si="51"/>
        <v>0</v>
      </c>
      <c r="F200" s="749">
        <f t="shared" si="62"/>
        <v>0</v>
      </c>
      <c r="G200" s="750"/>
      <c r="H200" s="1597">
        <f t="shared" si="52"/>
        <v>0</v>
      </c>
      <c r="I200" s="751">
        <v>0</v>
      </c>
      <c r="J200" s="1616">
        <v>0</v>
      </c>
      <c r="K200" s="1599">
        <f t="shared" si="53"/>
        <v>0</v>
      </c>
      <c r="L200" s="752">
        <v>0</v>
      </c>
      <c r="M200" s="1600">
        <f t="shared" si="54"/>
        <v>0</v>
      </c>
      <c r="N200" s="1601">
        <f t="shared" si="55"/>
        <v>0</v>
      </c>
      <c r="O200" s="1601">
        <f t="shared" si="56"/>
        <v>0</v>
      </c>
      <c r="P200" s="1602">
        <f t="shared" si="57"/>
        <v>0</v>
      </c>
      <c r="Q200" s="1603">
        <f t="shared" si="58"/>
        <v>0</v>
      </c>
      <c r="R200" s="753">
        <f>-'App.2-BA_Fixed Asset Cont'!I232</f>
        <v>0</v>
      </c>
      <c r="S200" s="110">
        <f t="shared" si="59"/>
        <v>0</v>
      </c>
    </row>
    <row r="201" spans="1:19" ht="14.25" x14ac:dyDescent="0.2">
      <c r="A201" s="105">
        <v>1930</v>
      </c>
      <c r="B201" s="754" t="s">
        <v>250</v>
      </c>
      <c r="C201" s="749">
        <f t="shared" si="63"/>
        <v>5258637.3600000003</v>
      </c>
      <c r="D201" s="749">
        <v>4170282.966297619</v>
      </c>
      <c r="E201" s="1597">
        <f t="shared" si="51"/>
        <v>1088354.3937023813</v>
      </c>
      <c r="F201" s="749">
        <f t="shared" si="62"/>
        <v>1234863.42</v>
      </c>
      <c r="G201" s="750"/>
      <c r="H201" s="1597">
        <f t="shared" si="52"/>
        <v>1234863.42</v>
      </c>
      <c r="I201" s="751">
        <v>52049.420000000013</v>
      </c>
      <c r="J201" s="1616">
        <v>6.7576710723296864</v>
      </c>
      <c r="K201" s="1599">
        <f>IF(J201=0,0,1/J201)</f>
        <v>0.14797997554137435</v>
      </c>
      <c r="L201" s="752">
        <v>12</v>
      </c>
      <c r="M201" s="1600">
        <f t="shared" si="54"/>
        <v>8.3333333333333329E-2</v>
      </c>
      <c r="N201" s="1601">
        <f t="shared" si="55"/>
        <v>161054.6565604257</v>
      </c>
      <c r="O201" s="1601">
        <f t="shared" si="56"/>
        <v>102905.28499999999</v>
      </c>
      <c r="P201" s="1602">
        <f t="shared" si="57"/>
        <v>2168.7258333333339</v>
      </c>
      <c r="Q201" s="1603">
        <f t="shared" si="58"/>
        <v>266128.66739375901</v>
      </c>
      <c r="R201" s="753">
        <f>-'App.2-BA_Fixed Asset Cont'!I233-9397.4</f>
        <v>308498.74</v>
      </c>
      <c r="S201" s="110">
        <f t="shared" si="59"/>
        <v>42370.072606240981</v>
      </c>
    </row>
    <row r="202" spans="1:19" ht="14.25" x14ac:dyDescent="0.2">
      <c r="A202" s="105">
        <v>1930</v>
      </c>
      <c r="B202" s="754" t="s">
        <v>250</v>
      </c>
      <c r="C202" s="749">
        <f t="shared" si="63"/>
        <v>0</v>
      </c>
      <c r="D202" s="749">
        <v>0</v>
      </c>
      <c r="E202" s="1597">
        <f t="shared" si="51"/>
        <v>0</v>
      </c>
      <c r="F202" s="749">
        <f t="shared" si="62"/>
        <v>281438</v>
      </c>
      <c r="G202" s="750"/>
      <c r="H202" s="1597">
        <f t="shared" si="52"/>
        <v>281438</v>
      </c>
      <c r="I202" s="751">
        <v>150359</v>
      </c>
      <c r="J202" s="1616">
        <v>0</v>
      </c>
      <c r="K202" s="1599">
        <f t="shared" si="53"/>
        <v>0</v>
      </c>
      <c r="L202" s="752">
        <v>8</v>
      </c>
      <c r="M202" s="1600">
        <f t="shared" si="54"/>
        <v>0.125</v>
      </c>
      <c r="N202" s="1601">
        <f t="shared" si="55"/>
        <v>0</v>
      </c>
      <c r="O202" s="1601">
        <f>IF(L202=0,0,+H202/L202)</f>
        <v>35179.75</v>
      </c>
      <c r="P202" s="1602">
        <f t="shared" si="57"/>
        <v>9397.4375</v>
      </c>
      <c r="Q202" s="1603">
        <f t="shared" si="58"/>
        <v>44577.1875</v>
      </c>
      <c r="R202" s="753">
        <v>9397.4</v>
      </c>
      <c r="S202" s="110">
        <f t="shared" si="59"/>
        <v>-35179.787499999999</v>
      </c>
    </row>
    <row r="203" spans="1:19" ht="14.25" hidden="1" x14ac:dyDescent="0.2">
      <c r="A203" s="105">
        <v>1935</v>
      </c>
      <c r="B203" s="754" t="s">
        <v>251</v>
      </c>
      <c r="C203" s="749">
        <f t="shared" si="63"/>
        <v>0</v>
      </c>
      <c r="D203" s="749">
        <v>0</v>
      </c>
      <c r="E203" s="1597">
        <f t="shared" si="51"/>
        <v>0</v>
      </c>
      <c r="F203" s="749">
        <f t="shared" si="62"/>
        <v>0</v>
      </c>
      <c r="G203" s="750"/>
      <c r="H203" s="1597">
        <f t="shared" si="52"/>
        <v>0</v>
      </c>
      <c r="I203" s="751">
        <v>0</v>
      </c>
      <c r="J203" s="1616">
        <v>0</v>
      </c>
      <c r="K203" s="1599">
        <f t="shared" si="53"/>
        <v>0</v>
      </c>
      <c r="L203" s="752">
        <v>0</v>
      </c>
      <c r="M203" s="1600">
        <f t="shared" si="54"/>
        <v>0</v>
      </c>
      <c r="N203" s="1601">
        <f t="shared" si="55"/>
        <v>0</v>
      </c>
      <c r="O203" s="1601">
        <f t="shared" si="56"/>
        <v>0</v>
      </c>
      <c r="P203" s="1602">
        <f t="shared" si="57"/>
        <v>0</v>
      </c>
      <c r="Q203" s="1603">
        <f t="shared" si="58"/>
        <v>0</v>
      </c>
      <c r="R203" s="753"/>
      <c r="S203" s="110">
        <f t="shared" si="59"/>
        <v>0</v>
      </c>
    </row>
    <row r="204" spans="1:19" ht="14.25" x14ac:dyDescent="0.2">
      <c r="A204" s="105">
        <v>1940</v>
      </c>
      <c r="B204" s="754" t="s">
        <v>252</v>
      </c>
      <c r="C204" s="749">
        <f t="shared" si="63"/>
        <v>1961496.07</v>
      </c>
      <c r="D204" s="749">
        <v>1467290.8274999999</v>
      </c>
      <c r="E204" s="1597">
        <f t="shared" si="51"/>
        <v>494205.24250000017</v>
      </c>
      <c r="F204" s="749">
        <f t="shared" si="62"/>
        <v>232369.93999999997</v>
      </c>
      <c r="G204" s="750"/>
      <c r="H204" s="1597">
        <f t="shared" si="52"/>
        <v>232369.93999999997</v>
      </c>
      <c r="I204" s="751">
        <v>116135.34</v>
      </c>
      <c r="J204" s="1616">
        <v>7.1105946520608025</v>
      </c>
      <c r="K204" s="1599">
        <f t="shared" si="53"/>
        <v>0.14063521392126868</v>
      </c>
      <c r="L204" s="752">
        <v>10</v>
      </c>
      <c r="M204" s="1600">
        <f t="shared" si="54"/>
        <v>0.1</v>
      </c>
      <c r="N204" s="1601">
        <f t="shared" si="55"/>
        <v>69502.659999999989</v>
      </c>
      <c r="O204" s="1601">
        <f t="shared" si="56"/>
        <v>23236.993999999999</v>
      </c>
      <c r="P204" s="1602">
        <f t="shared" si="57"/>
        <v>5806.7669999999998</v>
      </c>
      <c r="Q204" s="1603">
        <f t="shared" si="58"/>
        <v>98546.420999999973</v>
      </c>
      <c r="R204" s="753">
        <f>-'App.2-BA_Fixed Asset Cont'!I235</f>
        <v>98546.74</v>
      </c>
      <c r="S204" s="110">
        <f t="shared" si="59"/>
        <v>0.31900000003224704</v>
      </c>
    </row>
    <row r="205" spans="1:19" ht="14.25" hidden="1" x14ac:dyDescent="0.2">
      <c r="A205" s="105">
        <v>1945</v>
      </c>
      <c r="B205" s="754" t="s">
        <v>253</v>
      </c>
      <c r="C205" s="749">
        <f t="shared" si="63"/>
        <v>0</v>
      </c>
      <c r="D205" s="749">
        <v>0</v>
      </c>
      <c r="E205" s="1597">
        <f t="shared" si="51"/>
        <v>0</v>
      </c>
      <c r="F205" s="749">
        <f t="shared" si="62"/>
        <v>0</v>
      </c>
      <c r="G205" s="750"/>
      <c r="H205" s="1597">
        <f t="shared" si="52"/>
        <v>0</v>
      </c>
      <c r="I205" s="751">
        <v>0</v>
      </c>
      <c r="J205" s="1616">
        <v>0</v>
      </c>
      <c r="K205" s="1599">
        <f t="shared" si="53"/>
        <v>0</v>
      </c>
      <c r="L205" s="752">
        <v>0</v>
      </c>
      <c r="M205" s="1600">
        <f t="shared" si="54"/>
        <v>0</v>
      </c>
      <c r="N205" s="1601">
        <f t="shared" si="55"/>
        <v>0</v>
      </c>
      <c r="O205" s="1601">
        <f t="shared" si="56"/>
        <v>0</v>
      </c>
      <c r="P205" s="1602">
        <f t="shared" si="57"/>
        <v>0</v>
      </c>
      <c r="Q205" s="1603">
        <f t="shared" si="58"/>
        <v>0</v>
      </c>
      <c r="R205" s="753">
        <f>-'App.2-BA_Fixed Asset Cont'!I237</f>
        <v>0</v>
      </c>
      <c r="S205" s="110">
        <f t="shared" si="59"/>
        <v>0</v>
      </c>
    </row>
    <row r="206" spans="1:19" ht="14.25" hidden="1" x14ac:dyDescent="0.2">
      <c r="A206" s="105">
        <v>1950</v>
      </c>
      <c r="B206" s="754" t="s">
        <v>189</v>
      </c>
      <c r="C206" s="749">
        <f t="shared" si="63"/>
        <v>0</v>
      </c>
      <c r="D206" s="749">
        <v>0</v>
      </c>
      <c r="E206" s="1597">
        <f t="shared" si="51"/>
        <v>0</v>
      </c>
      <c r="F206" s="749">
        <f t="shared" si="62"/>
        <v>0</v>
      </c>
      <c r="G206" s="750"/>
      <c r="H206" s="1597">
        <f t="shared" si="52"/>
        <v>0</v>
      </c>
      <c r="I206" s="751">
        <v>0</v>
      </c>
      <c r="J206" s="1616">
        <v>0</v>
      </c>
      <c r="K206" s="1599">
        <f t="shared" si="53"/>
        <v>0</v>
      </c>
      <c r="L206" s="752">
        <v>0</v>
      </c>
      <c r="M206" s="1600">
        <f t="shared" si="54"/>
        <v>0</v>
      </c>
      <c r="N206" s="1601">
        <f t="shared" si="55"/>
        <v>0</v>
      </c>
      <c r="O206" s="1601">
        <f t="shared" si="56"/>
        <v>0</v>
      </c>
      <c r="P206" s="1602">
        <f t="shared" si="57"/>
        <v>0</v>
      </c>
      <c r="Q206" s="1603">
        <f t="shared" si="58"/>
        <v>0</v>
      </c>
      <c r="R206" s="753"/>
      <c r="S206" s="110">
        <f t="shared" si="59"/>
        <v>0</v>
      </c>
    </row>
    <row r="207" spans="1:19" ht="14.25" x14ac:dyDescent="0.2">
      <c r="A207" s="105">
        <v>1955</v>
      </c>
      <c r="B207" s="754" t="s">
        <v>254</v>
      </c>
      <c r="C207" s="749">
        <f t="shared" si="63"/>
        <v>2262458.79</v>
      </c>
      <c r="D207" s="749">
        <v>1307813.078</v>
      </c>
      <c r="E207" s="1597">
        <f t="shared" si="51"/>
        <v>954645.71200000006</v>
      </c>
      <c r="F207" s="749">
        <f t="shared" si="62"/>
        <v>70350.09</v>
      </c>
      <c r="G207" s="750"/>
      <c r="H207" s="1597">
        <f t="shared" si="52"/>
        <v>70350.09</v>
      </c>
      <c r="I207" s="751">
        <v>14532.6</v>
      </c>
      <c r="J207" s="1616">
        <v>12.204279989968629</v>
      </c>
      <c r="K207" s="1599">
        <f>IF(J207=0,0,1/J207)</f>
        <v>8.1938467555804612E-2</v>
      </c>
      <c r="L207" s="752">
        <v>10</v>
      </c>
      <c r="M207" s="1600">
        <f t="shared" si="54"/>
        <v>0.1</v>
      </c>
      <c r="N207" s="1601">
        <f t="shared" si="55"/>
        <v>78222.206699999995</v>
      </c>
      <c r="O207" s="1601">
        <f t="shared" si="56"/>
        <v>7035.009</v>
      </c>
      <c r="P207" s="1602">
        <f t="shared" si="57"/>
        <v>726.63</v>
      </c>
      <c r="Q207" s="1603">
        <f t="shared" si="58"/>
        <v>85983.845700000005</v>
      </c>
      <c r="R207" s="753">
        <f>-'App.2-BA_Fixed Asset Cont'!I238</f>
        <v>85983.9</v>
      </c>
      <c r="S207" s="110">
        <f t="shared" si="59"/>
        <v>5.4299999988870695E-2</v>
      </c>
    </row>
    <row r="208" spans="1:19" ht="14.25" hidden="1" x14ac:dyDescent="0.2">
      <c r="A208" s="102">
        <v>1955</v>
      </c>
      <c r="B208" s="755" t="s">
        <v>190</v>
      </c>
      <c r="C208" s="749">
        <f t="shared" si="63"/>
        <v>0</v>
      </c>
      <c r="D208" s="749">
        <v>0</v>
      </c>
      <c r="E208" s="1597">
        <f t="shared" si="51"/>
        <v>0</v>
      </c>
      <c r="F208" s="749">
        <f t="shared" si="62"/>
        <v>0</v>
      </c>
      <c r="G208" s="750"/>
      <c r="H208" s="1597">
        <f t="shared" si="52"/>
        <v>0</v>
      </c>
      <c r="I208" s="751">
        <v>0</v>
      </c>
      <c r="J208" s="1616">
        <v>0</v>
      </c>
      <c r="K208" s="1599">
        <f t="shared" si="53"/>
        <v>0</v>
      </c>
      <c r="L208" s="752">
        <v>0</v>
      </c>
      <c r="M208" s="1600">
        <f t="shared" si="54"/>
        <v>0</v>
      </c>
      <c r="N208" s="1601">
        <f t="shared" si="55"/>
        <v>0</v>
      </c>
      <c r="O208" s="1601">
        <f t="shared" si="56"/>
        <v>0</v>
      </c>
      <c r="P208" s="1602">
        <f t="shared" si="57"/>
        <v>0</v>
      </c>
      <c r="Q208" s="1603">
        <f t="shared" si="58"/>
        <v>0</v>
      </c>
      <c r="R208" s="753"/>
      <c r="S208" s="110">
        <f t="shared" si="59"/>
        <v>0</v>
      </c>
    </row>
    <row r="209" spans="1:25" ht="14.25" hidden="1" x14ac:dyDescent="0.2">
      <c r="A209" s="105">
        <v>1960</v>
      </c>
      <c r="B209" s="754" t="s">
        <v>191</v>
      </c>
      <c r="C209" s="749">
        <f t="shared" si="63"/>
        <v>0</v>
      </c>
      <c r="D209" s="749">
        <v>0</v>
      </c>
      <c r="E209" s="1597">
        <f t="shared" si="51"/>
        <v>0</v>
      </c>
      <c r="F209" s="749">
        <f t="shared" si="62"/>
        <v>0</v>
      </c>
      <c r="G209" s="750"/>
      <c r="H209" s="1597">
        <f t="shared" si="52"/>
        <v>0</v>
      </c>
      <c r="I209" s="751"/>
      <c r="J209" s="1616">
        <v>0</v>
      </c>
      <c r="K209" s="1599">
        <f t="shared" si="53"/>
        <v>0</v>
      </c>
      <c r="L209" s="752">
        <v>0</v>
      </c>
      <c r="M209" s="1600">
        <f t="shared" si="54"/>
        <v>0</v>
      </c>
      <c r="N209" s="1601">
        <f t="shared" si="55"/>
        <v>0</v>
      </c>
      <c r="O209" s="1601">
        <f t="shared" si="56"/>
        <v>0</v>
      </c>
      <c r="P209" s="1602">
        <f t="shared" si="57"/>
        <v>0</v>
      </c>
      <c r="Q209" s="1603">
        <f t="shared" si="58"/>
        <v>0</v>
      </c>
      <c r="R209" s="753"/>
      <c r="S209" s="110">
        <f t="shared" si="59"/>
        <v>0</v>
      </c>
    </row>
    <row r="210" spans="1:25" ht="14.25" hidden="1" x14ac:dyDescent="0.2">
      <c r="A210" s="102">
        <v>1970</v>
      </c>
      <c r="B210" s="756" t="s">
        <v>410</v>
      </c>
      <c r="C210" s="749">
        <f t="shared" si="63"/>
        <v>0</v>
      </c>
      <c r="D210" s="749">
        <v>0</v>
      </c>
      <c r="E210" s="1597">
        <f t="shared" si="51"/>
        <v>0</v>
      </c>
      <c r="F210" s="749">
        <f t="shared" si="62"/>
        <v>0</v>
      </c>
      <c r="G210" s="750"/>
      <c r="H210" s="1597">
        <f t="shared" si="52"/>
        <v>0</v>
      </c>
      <c r="I210" s="751"/>
      <c r="J210" s="1616">
        <v>0</v>
      </c>
      <c r="K210" s="1599">
        <f t="shared" si="53"/>
        <v>0</v>
      </c>
      <c r="L210" s="752">
        <v>0</v>
      </c>
      <c r="M210" s="1600">
        <f t="shared" si="54"/>
        <v>0</v>
      </c>
      <c r="N210" s="1601">
        <f t="shared" si="55"/>
        <v>0</v>
      </c>
      <c r="O210" s="1601">
        <f t="shared" si="56"/>
        <v>0</v>
      </c>
      <c r="P210" s="1602">
        <f t="shared" si="57"/>
        <v>0</v>
      </c>
      <c r="Q210" s="1603">
        <f t="shared" si="58"/>
        <v>0</v>
      </c>
      <c r="R210" s="753"/>
      <c r="S210" s="110">
        <f t="shared" si="59"/>
        <v>0</v>
      </c>
    </row>
    <row r="211" spans="1:25" ht="14.25" hidden="1" x14ac:dyDescent="0.2">
      <c r="A211" s="105">
        <v>1975</v>
      </c>
      <c r="B211" s="754" t="s">
        <v>255</v>
      </c>
      <c r="C211" s="749">
        <f t="shared" si="63"/>
        <v>0</v>
      </c>
      <c r="D211" s="749">
        <v>0</v>
      </c>
      <c r="E211" s="1597">
        <f t="shared" si="51"/>
        <v>0</v>
      </c>
      <c r="F211" s="749">
        <f t="shared" si="62"/>
        <v>0</v>
      </c>
      <c r="G211" s="750"/>
      <c r="H211" s="1597">
        <f t="shared" si="52"/>
        <v>0</v>
      </c>
      <c r="I211" s="751"/>
      <c r="J211" s="1616">
        <v>0</v>
      </c>
      <c r="K211" s="1599">
        <f t="shared" si="53"/>
        <v>0</v>
      </c>
      <c r="L211" s="752">
        <v>0</v>
      </c>
      <c r="M211" s="1600">
        <f t="shared" si="54"/>
        <v>0</v>
      </c>
      <c r="N211" s="1601">
        <f t="shared" si="55"/>
        <v>0</v>
      </c>
      <c r="O211" s="1601">
        <f t="shared" si="56"/>
        <v>0</v>
      </c>
      <c r="P211" s="1602">
        <f t="shared" si="57"/>
        <v>0</v>
      </c>
      <c r="Q211" s="1603">
        <f t="shared" si="58"/>
        <v>0</v>
      </c>
      <c r="R211" s="753"/>
      <c r="S211" s="110">
        <f t="shared" si="59"/>
        <v>0</v>
      </c>
    </row>
    <row r="212" spans="1:25" ht="14.25" x14ac:dyDescent="0.2">
      <c r="A212" s="105">
        <v>1980</v>
      </c>
      <c r="B212" s="754" t="s">
        <v>256</v>
      </c>
      <c r="C212" s="749">
        <f t="shared" si="63"/>
        <v>1573528.65</v>
      </c>
      <c r="D212" s="749">
        <v>1274629.6876041666</v>
      </c>
      <c r="E212" s="1597">
        <f t="shared" si="51"/>
        <v>298898.96239583334</v>
      </c>
      <c r="F212" s="749">
        <f t="shared" si="62"/>
        <v>361784.31999999995</v>
      </c>
      <c r="G212" s="750"/>
      <c r="H212" s="1597">
        <f t="shared" si="52"/>
        <v>361784.31999999995</v>
      </c>
      <c r="I212" s="751">
        <v>63599.45</v>
      </c>
      <c r="J212" s="1616">
        <v>12.810749149649221</v>
      </c>
      <c r="K212" s="1599">
        <f>IF(J212=0,0,1/J212)</f>
        <v>7.80594474467078E-2</v>
      </c>
      <c r="L212" s="752">
        <v>20</v>
      </c>
      <c r="M212" s="1600">
        <f t="shared" si="54"/>
        <v>0.05</v>
      </c>
      <c r="N212" s="1601">
        <f t="shared" si="55"/>
        <v>23331.887847013044</v>
      </c>
      <c r="O212" s="1601">
        <f t="shared" si="56"/>
        <v>18089.215999999997</v>
      </c>
      <c r="P212" s="1602">
        <f t="shared" si="57"/>
        <v>1589.9862499999999</v>
      </c>
      <c r="Q212" s="1603">
        <f t="shared" si="58"/>
        <v>43011.090097013046</v>
      </c>
      <c r="R212" s="753">
        <f>-'App.2-BA_Fixed Asset Cont'!I243</f>
        <v>43078.02</v>
      </c>
      <c r="S212" s="110">
        <f t="shared" si="59"/>
        <v>66.929902986950765</v>
      </c>
    </row>
    <row r="213" spans="1:25" ht="14.25" x14ac:dyDescent="0.2">
      <c r="A213" s="105">
        <v>1985</v>
      </c>
      <c r="B213" s="754" t="s">
        <v>257</v>
      </c>
      <c r="C213" s="749">
        <f t="shared" si="63"/>
        <v>42116.86</v>
      </c>
      <c r="D213" s="749">
        <v>42116.858000000007</v>
      </c>
      <c r="E213" s="1597">
        <f t="shared" si="51"/>
        <v>1.999999993131496E-3</v>
      </c>
      <c r="F213" s="749">
        <f t="shared" si="62"/>
        <v>0</v>
      </c>
      <c r="G213" s="750"/>
      <c r="H213" s="1597">
        <f t="shared" si="52"/>
        <v>0</v>
      </c>
      <c r="I213" s="751"/>
      <c r="J213" s="1616">
        <v>0</v>
      </c>
      <c r="K213" s="1599">
        <f t="shared" si="53"/>
        <v>0</v>
      </c>
      <c r="L213" s="752">
        <v>0</v>
      </c>
      <c r="M213" s="1600">
        <f t="shared" si="54"/>
        <v>0</v>
      </c>
      <c r="N213" s="1601">
        <f t="shared" si="55"/>
        <v>0</v>
      </c>
      <c r="O213" s="1601">
        <f t="shared" si="56"/>
        <v>0</v>
      </c>
      <c r="P213" s="1602">
        <f t="shared" si="57"/>
        <v>0</v>
      </c>
      <c r="Q213" s="1603">
        <f t="shared" si="58"/>
        <v>0</v>
      </c>
      <c r="R213" s="753"/>
      <c r="S213" s="110">
        <f>IF(ISERROR(+#REF!-122), 0, +#REF!-Q213)</f>
        <v>0</v>
      </c>
    </row>
    <row r="214" spans="1:25" ht="14.25" hidden="1" x14ac:dyDescent="0.2">
      <c r="A214" s="105">
        <v>1990</v>
      </c>
      <c r="B214" s="1551" t="s">
        <v>411</v>
      </c>
      <c r="C214" s="749">
        <f>C162</f>
        <v>0</v>
      </c>
      <c r="D214" s="750">
        <v>0</v>
      </c>
      <c r="E214" s="1597">
        <f>C214-D214</f>
        <v>0</v>
      </c>
      <c r="F214" s="749">
        <f>F162+I162</f>
        <v>0</v>
      </c>
      <c r="G214" s="750"/>
      <c r="H214" s="1597">
        <f>F214-G214</f>
        <v>0</v>
      </c>
      <c r="I214" s="751">
        <v>0</v>
      </c>
      <c r="J214" s="1616">
        <v>0</v>
      </c>
      <c r="K214" s="1599">
        <f t="shared" si="53"/>
        <v>0</v>
      </c>
      <c r="L214" s="752">
        <v>0</v>
      </c>
      <c r="M214" s="1600">
        <f t="shared" si="54"/>
        <v>0</v>
      </c>
      <c r="N214" s="1601">
        <f t="shared" si="55"/>
        <v>0</v>
      </c>
      <c r="O214" s="1601">
        <f t="shared" si="56"/>
        <v>0</v>
      </c>
      <c r="P214" s="1602">
        <f t="shared" si="57"/>
        <v>0</v>
      </c>
      <c r="Q214" s="1603">
        <f t="shared" si="58"/>
        <v>0</v>
      </c>
      <c r="R214" s="753">
        <f>-'App.2-BA_Fixed Asset Cont'!I252</f>
        <v>0</v>
      </c>
      <c r="S214" s="110">
        <f t="shared" si="59"/>
        <v>0</v>
      </c>
    </row>
    <row r="215" spans="1:25" ht="14.25" hidden="1" x14ac:dyDescent="0.2">
      <c r="A215" s="105">
        <v>1995</v>
      </c>
      <c r="B215" s="754" t="s">
        <v>258</v>
      </c>
      <c r="C215" s="749"/>
      <c r="D215" s="750">
        <v>0</v>
      </c>
      <c r="E215" s="1597">
        <f>C215-D215</f>
        <v>0</v>
      </c>
      <c r="F215" s="749"/>
      <c r="G215" s="750"/>
      <c r="H215" s="1597">
        <f>F215-G215</f>
        <v>0</v>
      </c>
      <c r="I215" s="751"/>
      <c r="J215" s="1616">
        <v>0</v>
      </c>
      <c r="K215" s="1599">
        <f t="shared" si="53"/>
        <v>0</v>
      </c>
      <c r="L215" s="752">
        <v>0</v>
      </c>
      <c r="M215" s="1600">
        <f t="shared" si="54"/>
        <v>0</v>
      </c>
      <c r="N215" s="1601">
        <f t="shared" si="55"/>
        <v>0</v>
      </c>
      <c r="O215" s="1601">
        <f t="shared" si="56"/>
        <v>0</v>
      </c>
      <c r="P215" s="1602">
        <f t="shared" si="57"/>
        <v>0</v>
      </c>
      <c r="Q215" s="1603">
        <f t="shared" si="58"/>
        <v>0</v>
      </c>
      <c r="R215" s="753">
        <f>-'App.2-BA_Fixed Asset Cont'!I253</f>
        <v>0</v>
      </c>
      <c r="S215" s="110">
        <f t="shared" si="59"/>
        <v>0</v>
      </c>
    </row>
    <row r="216" spans="1:25" ht="14.25" x14ac:dyDescent="0.2">
      <c r="A216" s="1664">
        <v>2440</v>
      </c>
      <c r="B216" s="754" t="s">
        <v>1532</v>
      </c>
      <c r="C216" s="1674"/>
      <c r="D216" s="1675"/>
      <c r="E216" s="1597">
        <f>C216-D216</f>
        <v>0</v>
      </c>
      <c r="F216" s="1674">
        <f>F163+I163</f>
        <v>-2225598.1100000003</v>
      </c>
      <c r="G216" s="1675"/>
      <c r="H216" s="1597">
        <f>F216-G216</f>
        <v>-2225598.1100000003</v>
      </c>
      <c r="I216" s="751">
        <v>-915757.71999999939</v>
      </c>
      <c r="J216" s="1616"/>
      <c r="K216" s="1599">
        <f t="shared" si="53"/>
        <v>0</v>
      </c>
      <c r="L216" s="752">
        <f>-(H216+(I216/2))/'App.2-BA_Fixed Asset Cont'!I247</f>
        <v>38.315400096180745</v>
      </c>
      <c r="M216" s="1600">
        <f t="shared" si="54"/>
        <v>2.6099166327110318E-2</v>
      </c>
      <c r="N216" s="1601">
        <f t="shared" si="55"/>
        <v>0</v>
      </c>
      <c r="O216" s="1601">
        <f t="shared" si="56"/>
        <v>-58086.255250192378</v>
      </c>
      <c r="P216" s="1602">
        <f t="shared" si="57"/>
        <v>-11950.256524807652</v>
      </c>
      <c r="Q216" s="1603">
        <f t="shared" si="58"/>
        <v>-70036.511775000035</v>
      </c>
      <c r="R216" s="753">
        <f>-'App.2-BA_Fixed Asset Cont'!I247</f>
        <v>-70036.511775000035</v>
      </c>
      <c r="S216" s="110">
        <f t="shared" si="59"/>
        <v>0</v>
      </c>
    </row>
    <row r="217" spans="1:25" ht="15" thickBot="1" x14ac:dyDescent="0.25">
      <c r="A217" s="1664"/>
      <c r="B217" s="1665" t="s">
        <v>1533</v>
      </c>
      <c r="C217" s="1660">
        <f>C164</f>
        <v>-129739</v>
      </c>
      <c r="D217" s="1661">
        <v>-129739</v>
      </c>
      <c r="E217" s="1597">
        <f>C217-D217</f>
        <v>0</v>
      </c>
      <c r="F217" s="1660"/>
      <c r="G217" s="1661"/>
      <c r="H217" s="1597">
        <f>F217-G217</f>
        <v>0</v>
      </c>
      <c r="I217" s="1672"/>
      <c r="J217" s="1673"/>
      <c r="K217" s="1599">
        <f t="shared" si="53"/>
        <v>0</v>
      </c>
      <c r="L217" s="1663"/>
      <c r="M217" s="1600">
        <f t="shared" si="54"/>
        <v>0</v>
      </c>
      <c r="N217" s="1601">
        <f t="shared" si="55"/>
        <v>0</v>
      </c>
      <c r="O217" s="1601">
        <f t="shared" si="56"/>
        <v>0</v>
      </c>
      <c r="P217" s="1602">
        <f t="shared" si="57"/>
        <v>0</v>
      </c>
      <c r="Q217" s="1603">
        <f t="shared" si="58"/>
        <v>0</v>
      </c>
      <c r="R217" s="1661"/>
      <c r="S217" s="110">
        <f t="shared" si="59"/>
        <v>0</v>
      </c>
    </row>
    <row r="218" spans="1:25" ht="15.75" thickTop="1" thickBot="1" x14ac:dyDescent="0.25">
      <c r="A218" s="124"/>
      <c r="B218" s="757" t="s">
        <v>259</v>
      </c>
      <c r="C218" s="1617">
        <f>SUM(C171:C217)</f>
        <v>181994221.14990482</v>
      </c>
      <c r="D218" s="1617">
        <f>SUM(D171:D217)</f>
        <v>117000219.97971503</v>
      </c>
      <c r="E218" s="1617">
        <f>SUM(E171:E217)</f>
        <v>64994001.170189708</v>
      </c>
      <c r="F218" s="1617">
        <f>SUM(F171:F217)</f>
        <v>22477929.619999997</v>
      </c>
      <c r="G218" s="1617">
        <f>SUM(G171:G215)</f>
        <v>0</v>
      </c>
      <c r="H218" s="1617">
        <f>SUM(H171:H217)</f>
        <v>22477929.619999997</v>
      </c>
      <c r="I218" s="1618">
        <f>SUM(I171:I217)</f>
        <v>7710334.3199999994</v>
      </c>
      <c r="J218" s="1617"/>
      <c r="K218" s="1619"/>
      <c r="L218" s="1620"/>
      <c r="M218" s="1621"/>
      <c r="N218" s="1617">
        <f t="shared" ref="N218:S218" si="64">SUM(N171:N217)</f>
        <v>3121070.0874621109</v>
      </c>
      <c r="O218" s="1622">
        <f t="shared" si="64"/>
        <v>893253.00316091871</v>
      </c>
      <c r="P218" s="1622">
        <f t="shared" si="64"/>
        <v>114944.40066685902</v>
      </c>
      <c r="Q218" s="1623">
        <f t="shared" si="64"/>
        <v>4129267.4912898894</v>
      </c>
      <c r="R218" s="1624">
        <f t="shared" si="64"/>
        <v>4101519.7638918436</v>
      </c>
      <c r="S218" s="1622">
        <f t="shared" si="64"/>
        <v>-27747.727398045768</v>
      </c>
    </row>
    <row r="219" spans="1:25" ht="14.25" x14ac:dyDescent="0.2">
      <c r="A219" s="128"/>
      <c r="B219" s="129"/>
      <c r="C219" s="130"/>
      <c r="D219" s="130"/>
      <c r="E219" s="130"/>
      <c r="F219" s="130"/>
      <c r="G219" s="130"/>
      <c r="H219" s="130"/>
      <c r="I219" s="130"/>
      <c r="J219" s="130"/>
      <c r="K219" s="130"/>
      <c r="L219" s="758"/>
      <c r="M219" s="759"/>
      <c r="N219" s="130"/>
      <c r="O219" s="130"/>
      <c r="P219" s="130"/>
      <c r="Q219" s="130"/>
      <c r="R219" s="130"/>
      <c r="S219" s="130"/>
    </row>
    <row r="220" spans="1:25" ht="15" thickBot="1" x14ac:dyDescent="0.25">
      <c r="A220" s="128"/>
      <c r="B220" s="129"/>
      <c r="C220" s="130"/>
      <c r="D220" s="130"/>
      <c r="E220" s="130"/>
      <c r="F220" s="130"/>
      <c r="G220" s="130"/>
      <c r="H220" s="130"/>
      <c r="I220" s="130"/>
      <c r="J220" s="130"/>
      <c r="K220" s="130"/>
      <c r="L220" s="758"/>
      <c r="M220" s="759"/>
      <c r="N220" s="130"/>
      <c r="O220" s="130"/>
      <c r="P220" s="130"/>
      <c r="Q220" s="130"/>
      <c r="R220" s="130"/>
      <c r="S220" s="130"/>
    </row>
    <row r="221" spans="1:25" ht="18.75" customHeight="1" thickBot="1" x14ac:dyDescent="0.3">
      <c r="A221" s="1615">
        <v>2017</v>
      </c>
      <c r="B221" s="1615"/>
      <c r="C221" s="2007" t="s">
        <v>1027</v>
      </c>
      <c r="D221" s="2008"/>
      <c r="E221" s="2008"/>
      <c r="F221" s="2008"/>
      <c r="G221" s="2008"/>
      <c r="H221" s="2008"/>
      <c r="I221" s="2009"/>
      <c r="J221" s="2010" t="s">
        <v>1028</v>
      </c>
      <c r="K221" s="2011"/>
      <c r="L221" s="2011"/>
      <c r="M221" s="2011"/>
      <c r="N221" s="2010" t="s">
        <v>1029</v>
      </c>
      <c r="O221" s="2011"/>
      <c r="P221" s="2011"/>
      <c r="Q221" s="2012"/>
      <c r="R221" s="1615"/>
      <c r="S221" s="1615"/>
      <c r="Y221" s="38">
        <v>2018</v>
      </c>
    </row>
    <row r="222" spans="1:25" ht="87" customHeight="1" x14ac:dyDescent="0.2">
      <c r="A222" s="2003" t="s">
        <v>3</v>
      </c>
      <c r="B222" s="2005" t="s">
        <v>205</v>
      </c>
      <c r="C222" s="731" t="s">
        <v>1030</v>
      </c>
      <c r="D222" s="732" t="s">
        <v>1031</v>
      </c>
      <c r="E222" s="733" t="s">
        <v>1032</v>
      </c>
      <c r="F222" s="731" t="s">
        <v>1033</v>
      </c>
      <c r="G222" s="732" t="s">
        <v>1034</v>
      </c>
      <c r="H222" s="733" t="s">
        <v>1035</v>
      </c>
      <c r="I222" s="734" t="s">
        <v>1036</v>
      </c>
      <c r="J222" s="731" t="s">
        <v>1037</v>
      </c>
      <c r="K222" s="735" t="s">
        <v>1038</v>
      </c>
      <c r="L222" s="735" t="s">
        <v>1039</v>
      </c>
      <c r="M222" s="736" t="s">
        <v>326</v>
      </c>
      <c r="N222" s="731" t="s">
        <v>1040</v>
      </c>
      <c r="O222" s="735" t="s">
        <v>1041</v>
      </c>
      <c r="P222" s="735" t="s">
        <v>1042</v>
      </c>
      <c r="Q222" s="733" t="s">
        <v>1043</v>
      </c>
      <c r="R222" s="737" t="s">
        <v>1044</v>
      </c>
      <c r="S222" s="738" t="s">
        <v>1045</v>
      </c>
    </row>
    <row r="223" spans="1:25" ht="13.5" thickBot="1" x14ac:dyDescent="0.25">
      <c r="A223" s="2004"/>
      <c r="B223" s="2006"/>
      <c r="C223" s="739" t="s">
        <v>1046</v>
      </c>
      <c r="D223" s="126" t="s">
        <v>1047</v>
      </c>
      <c r="E223" s="127" t="s">
        <v>1048</v>
      </c>
      <c r="F223" s="739" t="s">
        <v>1049</v>
      </c>
      <c r="G223" s="126" t="s">
        <v>662</v>
      </c>
      <c r="H223" s="127" t="s">
        <v>1050</v>
      </c>
      <c r="I223" s="740" t="s">
        <v>1051</v>
      </c>
      <c r="J223" s="741" t="s">
        <v>1052</v>
      </c>
      <c r="K223" s="742" t="s">
        <v>1053</v>
      </c>
      <c r="L223" s="126" t="s">
        <v>1054</v>
      </c>
      <c r="M223" s="742" t="s">
        <v>1055</v>
      </c>
      <c r="N223" s="743" t="s">
        <v>1056</v>
      </c>
      <c r="O223" s="744" t="s">
        <v>1057</v>
      </c>
      <c r="P223" s="744" t="s">
        <v>1058</v>
      </c>
      <c r="Q223" s="745" t="s">
        <v>1059</v>
      </c>
      <c r="R223" s="746" t="s">
        <v>1060</v>
      </c>
      <c r="S223" s="127" t="s">
        <v>1061</v>
      </c>
    </row>
    <row r="224" spans="1:25" ht="25.5" x14ac:dyDescent="0.2">
      <c r="A224" s="747">
        <v>1611</v>
      </c>
      <c r="B224" s="748" t="s">
        <v>325</v>
      </c>
      <c r="C224" s="749">
        <f t="shared" ref="C224:C236" si="65">C171</f>
        <v>391465.09</v>
      </c>
      <c r="D224" s="750">
        <v>384737</v>
      </c>
      <c r="E224" s="1597">
        <f>C224-D224</f>
        <v>6728.0900000000256</v>
      </c>
      <c r="F224" s="749">
        <f t="shared" ref="F224:F236" si="66">F171+I171</f>
        <v>278205.17</v>
      </c>
      <c r="G224" s="750"/>
      <c r="H224" s="1597">
        <f>F224-G224</f>
        <v>278205.17</v>
      </c>
      <c r="I224" s="751">
        <v>0</v>
      </c>
      <c r="J224" s="1616">
        <v>1.0000416182977856</v>
      </c>
      <c r="K224" s="1599">
        <f>IF(J224=0,0,1/J224)</f>
        <v>0.99995838343422505</v>
      </c>
      <c r="L224" s="752">
        <v>5</v>
      </c>
      <c r="M224" s="1600">
        <f>IF(L224=0,0,1/L224)</f>
        <v>0.2</v>
      </c>
      <c r="N224" s="1601">
        <f>IF(J224=0,0,+E224/J224)</f>
        <v>6727.81</v>
      </c>
      <c r="O224" s="1601">
        <f>IF(L224=0,0,+H224/L224)</f>
        <v>55641.034</v>
      </c>
      <c r="P224" s="1602">
        <f>IF(L224=0,0,+(I224*0.5)/L224)</f>
        <v>0</v>
      </c>
      <c r="Q224" s="1603">
        <f>IF(ISERROR(+N224+O224+P224), 0, +N224+O224+P224)</f>
        <v>62368.843999999997</v>
      </c>
      <c r="R224" s="753">
        <f>-'App.2-BA_Fixed Asset Cont'!I273</f>
        <v>62369</v>
      </c>
      <c r="S224" s="110">
        <f>IF(ISERROR(+R224-122), 0, +R224-Q224)</f>
        <v>0.15600000000267755</v>
      </c>
    </row>
    <row r="225" spans="1:19" ht="14.25" x14ac:dyDescent="0.2">
      <c r="A225" s="105">
        <v>1612</v>
      </c>
      <c r="B225" s="754" t="s">
        <v>360</v>
      </c>
      <c r="C225" s="749">
        <f t="shared" si="65"/>
        <v>0</v>
      </c>
      <c r="D225" s="750">
        <v>0</v>
      </c>
      <c r="E225" s="1597">
        <f t="shared" ref="E225:E265" si="67">C225-D225</f>
        <v>0</v>
      </c>
      <c r="F225" s="749">
        <f t="shared" si="66"/>
        <v>45178.369999999995</v>
      </c>
      <c r="G225" s="750"/>
      <c r="H225" s="1597">
        <f t="shared" ref="H225:H269" si="68">F225-G225</f>
        <v>45178.369999999995</v>
      </c>
      <c r="I225" s="751">
        <v>6845.05</v>
      </c>
      <c r="J225" s="1616">
        <v>0</v>
      </c>
      <c r="K225" s="1599">
        <f t="shared" ref="K225:K269" si="69">IF(J225=0,0,1/J225)</f>
        <v>0</v>
      </c>
      <c r="L225" s="752">
        <v>0</v>
      </c>
      <c r="M225" s="1604">
        <f t="shared" ref="M225:M269" si="70">IF(L225=0,0,1/L225)</f>
        <v>0</v>
      </c>
      <c r="N225" s="1601">
        <f t="shared" ref="N225:N269" si="71">IF(J225=0,0,+E225/J225)</f>
        <v>0</v>
      </c>
      <c r="O225" s="1601">
        <f t="shared" ref="O225:O269" si="72">IF(L225=0,0,+H225/L225)</f>
        <v>0</v>
      </c>
      <c r="P225" s="1602">
        <f t="shared" ref="P225:P269" si="73">IF(L225=0,0,+(I225*0.5)/L225)</f>
        <v>0</v>
      </c>
      <c r="Q225" s="1603">
        <f t="shared" ref="Q225:Q269" si="74">IF(ISERROR(+N225+O225+P225), 0, +N225+O225+P225)</f>
        <v>0</v>
      </c>
      <c r="R225" s="753">
        <f>-'App.2-BA_Fixed Asset Cont'!I274</f>
        <v>0</v>
      </c>
      <c r="S225" s="110">
        <f t="shared" ref="S225:S269" si="75">IF(ISERROR(+R225-122), 0, +R225-Q225)</f>
        <v>0</v>
      </c>
    </row>
    <row r="226" spans="1:19" ht="14.25" x14ac:dyDescent="0.2">
      <c r="A226" s="102">
        <v>1805</v>
      </c>
      <c r="B226" s="755" t="s">
        <v>236</v>
      </c>
      <c r="C226" s="749">
        <f t="shared" si="65"/>
        <v>858551.45999999985</v>
      </c>
      <c r="D226" s="750">
        <v>0</v>
      </c>
      <c r="E226" s="1597">
        <f t="shared" si="67"/>
        <v>858551.45999999985</v>
      </c>
      <c r="F226" s="749">
        <f t="shared" si="66"/>
        <v>81527.34</v>
      </c>
      <c r="G226" s="750"/>
      <c r="H226" s="1597">
        <f t="shared" si="68"/>
        <v>81527.34</v>
      </c>
      <c r="I226" s="751">
        <v>0</v>
      </c>
      <c r="J226" s="1616">
        <v>0</v>
      </c>
      <c r="K226" s="1599">
        <f t="shared" si="69"/>
        <v>0</v>
      </c>
      <c r="L226" s="752">
        <v>0</v>
      </c>
      <c r="M226" s="1604">
        <f t="shared" si="70"/>
        <v>0</v>
      </c>
      <c r="N226" s="1601">
        <f t="shared" si="71"/>
        <v>0</v>
      </c>
      <c r="O226" s="1601">
        <f t="shared" si="72"/>
        <v>0</v>
      </c>
      <c r="P226" s="1602">
        <f t="shared" si="73"/>
        <v>0</v>
      </c>
      <c r="Q226" s="1603">
        <f t="shared" si="74"/>
        <v>0</v>
      </c>
      <c r="R226" s="753">
        <f>-'App.2-BA_Fixed Asset Cont'!I275</f>
        <v>0</v>
      </c>
      <c r="S226" s="110">
        <f t="shared" si="75"/>
        <v>0</v>
      </c>
    </row>
    <row r="227" spans="1:19" ht="14.25" x14ac:dyDescent="0.2">
      <c r="A227" s="105">
        <v>1808</v>
      </c>
      <c r="B227" s="754" t="s">
        <v>237</v>
      </c>
      <c r="C227" s="749">
        <f t="shared" si="65"/>
        <v>10129356.539999999</v>
      </c>
      <c r="D227" s="750">
        <v>4624660.5143232271</v>
      </c>
      <c r="E227" s="1597">
        <f t="shared" si="67"/>
        <v>5504696.025676772</v>
      </c>
      <c r="F227" s="749">
        <f t="shared" si="66"/>
        <v>1710981.1700000002</v>
      </c>
      <c r="G227" s="750"/>
      <c r="H227" s="1597">
        <f t="shared" si="68"/>
        <v>1710981.1700000002</v>
      </c>
      <c r="I227" s="751">
        <v>0</v>
      </c>
      <c r="J227" s="1616">
        <v>23.277705744742384</v>
      </c>
      <c r="K227" s="1599">
        <f t="shared" si="69"/>
        <v>4.2959560145907627E-2</v>
      </c>
      <c r="L227" s="752">
        <v>25</v>
      </c>
      <c r="M227" s="1604">
        <f t="shared" si="70"/>
        <v>0.04</v>
      </c>
      <c r="N227" s="1601">
        <f t="shared" si="71"/>
        <v>236479.31999999998</v>
      </c>
      <c r="O227" s="1601">
        <f t="shared" si="72"/>
        <v>68439.246800000008</v>
      </c>
      <c r="P227" s="1602">
        <f t="shared" si="73"/>
        <v>0</v>
      </c>
      <c r="Q227" s="1603">
        <f t="shared" si="74"/>
        <v>304918.56679999997</v>
      </c>
      <c r="R227" s="753">
        <f>-'App.2-BA_Fixed Asset Cont'!I276-66033-22332</f>
        <v>306940</v>
      </c>
      <c r="S227" s="110">
        <f t="shared" si="75"/>
        <v>2021.4332000000286</v>
      </c>
    </row>
    <row r="228" spans="1:19" ht="14.25" x14ac:dyDescent="0.2">
      <c r="A228" s="105">
        <v>1808</v>
      </c>
      <c r="B228" s="754" t="s">
        <v>237</v>
      </c>
      <c r="C228" s="749">
        <f t="shared" si="65"/>
        <v>0</v>
      </c>
      <c r="D228" s="750">
        <v>0</v>
      </c>
      <c r="E228" s="1597">
        <f t="shared" si="67"/>
        <v>0</v>
      </c>
      <c r="F228" s="749">
        <f t="shared" si="66"/>
        <v>1601415.71</v>
      </c>
      <c r="G228" s="750"/>
      <c r="H228" s="1597">
        <f t="shared" si="68"/>
        <v>1601415.71</v>
      </c>
      <c r="I228" s="751">
        <v>98814</v>
      </c>
      <c r="J228" s="1616">
        <v>0</v>
      </c>
      <c r="K228" s="1599">
        <f t="shared" si="69"/>
        <v>0</v>
      </c>
      <c r="L228" s="752">
        <v>25</v>
      </c>
      <c r="M228" s="1604">
        <f t="shared" si="70"/>
        <v>0.04</v>
      </c>
      <c r="N228" s="1601">
        <f t="shared" si="71"/>
        <v>0</v>
      </c>
      <c r="O228" s="1601">
        <f t="shared" si="72"/>
        <v>64056.628400000001</v>
      </c>
      <c r="P228" s="1602">
        <f t="shared" si="73"/>
        <v>1976.28</v>
      </c>
      <c r="Q228" s="1603">
        <f t="shared" si="74"/>
        <v>66032.9084</v>
      </c>
      <c r="R228" s="753">
        <v>66033</v>
      </c>
      <c r="S228" s="110">
        <f t="shared" si="75"/>
        <v>9.1599999999743886E-2</v>
      </c>
    </row>
    <row r="229" spans="1:19" ht="14.25" x14ac:dyDescent="0.2">
      <c r="A229" s="105">
        <v>1808</v>
      </c>
      <c r="B229" s="754" t="s">
        <v>237</v>
      </c>
      <c r="C229" s="749">
        <f t="shared" si="65"/>
        <v>0</v>
      </c>
      <c r="D229" s="750">
        <v>0</v>
      </c>
      <c r="E229" s="1597">
        <f t="shared" si="67"/>
        <v>0</v>
      </c>
      <c r="F229" s="749">
        <f t="shared" si="66"/>
        <v>1116588</v>
      </c>
      <c r="G229" s="750"/>
      <c r="H229" s="1597">
        <f t="shared" si="68"/>
        <v>1116588</v>
      </c>
      <c r="I229" s="751">
        <v>0</v>
      </c>
      <c r="J229" s="1616">
        <v>0</v>
      </c>
      <c r="K229" s="1599">
        <f t="shared" si="69"/>
        <v>0</v>
      </c>
      <c r="L229" s="752">
        <v>50</v>
      </c>
      <c r="M229" s="1604">
        <f t="shared" si="70"/>
        <v>0.02</v>
      </c>
      <c r="N229" s="1601">
        <f t="shared" si="71"/>
        <v>0</v>
      </c>
      <c r="O229" s="1601">
        <f t="shared" si="72"/>
        <v>22331.759999999998</v>
      </c>
      <c r="P229" s="1602">
        <f t="shared" si="73"/>
        <v>0</v>
      </c>
      <c r="Q229" s="1603">
        <f t="shared" si="74"/>
        <v>22331.759999999998</v>
      </c>
      <c r="R229" s="753">
        <v>22332</v>
      </c>
      <c r="S229" s="110">
        <f t="shared" si="75"/>
        <v>0.24000000000160071</v>
      </c>
    </row>
    <row r="230" spans="1:19" ht="14.25" hidden="1" x14ac:dyDescent="0.2">
      <c r="A230" s="105">
        <v>1810</v>
      </c>
      <c r="B230" s="754" t="s">
        <v>262</v>
      </c>
      <c r="C230" s="749">
        <f t="shared" si="65"/>
        <v>0</v>
      </c>
      <c r="D230" s="750">
        <v>0</v>
      </c>
      <c r="E230" s="1597">
        <f t="shared" si="67"/>
        <v>0</v>
      </c>
      <c r="F230" s="749">
        <f t="shared" si="66"/>
        <v>0</v>
      </c>
      <c r="G230" s="750"/>
      <c r="H230" s="1597">
        <f t="shared" si="68"/>
        <v>0</v>
      </c>
      <c r="I230" s="751"/>
      <c r="J230" s="1616">
        <v>0</v>
      </c>
      <c r="K230" s="1599">
        <f t="shared" si="69"/>
        <v>0</v>
      </c>
      <c r="L230" s="752">
        <v>0</v>
      </c>
      <c r="M230" s="1604">
        <f t="shared" si="70"/>
        <v>0</v>
      </c>
      <c r="N230" s="1601">
        <f t="shared" si="71"/>
        <v>0</v>
      </c>
      <c r="O230" s="1601">
        <f t="shared" si="72"/>
        <v>0</v>
      </c>
      <c r="P230" s="1602">
        <f t="shared" si="73"/>
        <v>0</v>
      </c>
      <c r="Q230" s="1603">
        <f t="shared" si="74"/>
        <v>0</v>
      </c>
      <c r="R230" s="753"/>
      <c r="S230" s="110">
        <f t="shared" si="75"/>
        <v>0</v>
      </c>
    </row>
    <row r="231" spans="1:19" ht="14.25" hidden="1" x14ac:dyDescent="0.2">
      <c r="A231" s="105">
        <v>1815</v>
      </c>
      <c r="B231" s="754" t="s">
        <v>238</v>
      </c>
      <c r="C231" s="749">
        <f t="shared" si="65"/>
        <v>0</v>
      </c>
      <c r="D231" s="750">
        <v>0</v>
      </c>
      <c r="E231" s="1597">
        <f t="shared" si="67"/>
        <v>0</v>
      </c>
      <c r="F231" s="749">
        <f t="shared" si="66"/>
        <v>0</v>
      </c>
      <c r="G231" s="750"/>
      <c r="H231" s="1597">
        <f t="shared" si="68"/>
        <v>0</v>
      </c>
      <c r="I231" s="751">
        <v>0</v>
      </c>
      <c r="J231" s="1616">
        <v>0</v>
      </c>
      <c r="K231" s="1599">
        <f t="shared" si="69"/>
        <v>0</v>
      </c>
      <c r="L231" s="752">
        <v>0</v>
      </c>
      <c r="M231" s="1604">
        <f t="shared" si="70"/>
        <v>0</v>
      </c>
      <c r="N231" s="1601">
        <f t="shared" si="71"/>
        <v>0</v>
      </c>
      <c r="O231" s="1601">
        <f t="shared" si="72"/>
        <v>0</v>
      </c>
      <c r="P231" s="1602">
        <f t="shared" si="73"/>
        <v>0</v>
      </c>
      <c r="Q231" s="1603">
        <f t="shared" si="74"/>
        <v>0</v>
      </c>
      <c r="R231" s="753"/>
      <c r="S231" s="110">
        <f t="shared" si="75"/>
        <v>0</v>
      </c>
    </row>
    <row r="232" spans="1:19" ht="14.25" x14ac:dyDescent="0.2">
      <c r="A232" s="105">
        <v>1820</v>
      </c>
      <c r="B232" s="754" t="s">
        <v>178</v>
      </c>
      <c r="C232" s="749">
        <f t="shared" si="65"/>
        <v>17547705.690000001</v>
      </c>
      <c r="D232" s="750">
        <v>11226787.926014977</v>
      </c>
      <c r="E232" s="1597">
        <f t="shared" si="67"/>
        <v>6320917.7639850248</v>
      </c>
      <c r="F232" s="749">
        <f t="shared" si="66"/>
        <v>1237542.0900000001</v>
      </c>
      <c r="G232" s="750"/>
      <c r="H232" s="1597">
        <f t="shared" si="68"/>
        <v>1237542.0900000001</v>
      </c>
      <c r="I232" s="751">
        <v>290715</v>
      </c>
      <c r="J232" s="1616">
        <v>21.869995677791245</v>
      </c>
      <c r="K232" s="1599">
        <f t="shared" si="69"/>
        <v>4.5724746119428353E-2</v>
      </c>
      <c r="L232" s="752">
        <v>45</v>
      </c>
      <c r="M232" s="1604">
        <f t="shared" si="70"/>
        <v>2.2222222222222223E-2</v>
      </c>
      <c r="N232" s="1601">
        <f t="shared" si="71"/>
        <v>289022.36</v>
      </c>
      <c r="O232" s="1601">
        <f t="shared" si="72"/>
        <v>27500.935333333335</v>
      </c>
      <c r="P232" s="1602">
        <f t="shared" si="73"/>
        <v>3230.1666666666665</v>
      </c>
      <c r="Q232" s="1603">
        <f t="shared" si="74"/>
        <v>319753.462</v>
      </c>
      <c r="R232" s="753">
        <f>-'App.2-BA_Fixed Asset Cont'!I279-11502-3360</f>
        <v>318815</v>
      </c>
      <c r="S232" s="110">
        <f t="shared" si="75"/>
        <v>-938.46199999999953</v>
      </c>
    </row>
    <row r="233" spans="1:19" ht="14.25" x14ac:dyDescent="0.2">
      <c r="A233" s="105">
        <v>1820</v>
      </c>
      <c r="B233" s="754" t="s">
        <v>178</v>
      </c>
      <c r="C233" s="749">
        <f t="shared" si="65"/>
        <v>0</v>
      </c>
      <c r="D233" s="750">
        <v>0</v>
      </c>
      <c r="E233" s="1597">
        <f t="shared" si="67"/>
        <v>0</v>
      </c>
      <c r="F233" s="749">
        <f t="shared" si="66"/>
        <v>176661</v>
      </c>
      <c r="G233" s="750"/>
      <c r="H233" s="1597">
        <f t="shared" si="68"/>
        <v>176661</v>
      </c>
      <c r="I233" s="751">
        <v>106748</v>
      </c>
      <c r="J233" s="1616">
        <v>0</v>
      </c>
      <c r="K233" s="1599">
        <f t="shared" si="69"/>
        <v>0</v>
      </c>
      <c r="L233" s="752">
        <v>20</v>
      </c>
      <c r="M233" s="1604">
        <f t="shared" si="70"/>
        <v>0.05</v>
      </c>
      <c r="N233" s="1601">
        <f t="shared" si="71"/>
        <v>0</v>
      </c>
      <c r="O233" s="1601">
        <f t="shared" si="72"/>
        <v>8833.0499999999993</v>
      </c>
      <c r="P233" s="1602">
        <f t="shared" si="73"/>
        <v>2668.7</v>
      </c>
      <c r="Q233" s="1603">
        <f t="shared" si="74"/>
        <v>11501.75</v>
      </c>
      <c r="R233" s="753">
        <v>11502</v>
      </c>
      <c r="S233" s="110">
        <f t="shared" si="75"/>
        <v>0.25</v>
      </c>
    </row>
    <row r="234" spans="1:19" ht="14.25" x14ac:dyDescent="0.2">
      <c r="A234" s="105">
        <v>1820</v>
      </c>
      <c r="B234" s="754" t="s">
        <v>178</v>
      </c>
      <c r="C234" s="749">
        <f t="shared" si="65"/>
        <v>0</v>
      </c>
      <c r="D234" s="750">
        <v>0</v>
      </c>
      <c r="E234" s="1597">
        <f t="shared" si="67"/>
        <v>0</v>
      </c>
      <c r="F234" s="749">
        <f t="shared" si="66"/>
        <v>77687</v>
      </c>
      <c r="G234" s="750"/>
      <c r="H234" s="1597">
        <f t="shared" si="68"/>
        <v>77687</v>
      </c>
      <c r="I234" s="751">
        <v>12640</v>
      </c>
      <c r="J234" s="1616">
        <v>0</v>
      </c>
      <c r="K234" s="1599">
        <f t="shared" si="69"/>
        <v>0</v>
      </c>
      <c r="L234" s="752">
        <v>25</v>
      </c>
      <c r="M234" s="1604">
        <f t="shared" si="70"/>
        <v>0.04</v>
      </c>
      <c r="N234" s="1601">
        <f t="shared" si="71"/>
        <v>0</v>
      </c>
      <c r="O234" s="1601">
        <f t="shared" si="72"/>
        <v>3107.48</v>
      </c>
      <c r="P234" s="1602">
        <f t="shared" si="73"/>
        <v>252.8</v>
      </c>
      <c r="Q234" s="1603">
        <f t="shared" si="74"/>
        <v>3360.28</v>
      </c>
      <c r="R234" s="753">
        <v>3360</v>
      </c>
      <c r="S234" s="110">
        <f t="shared" si="75"/>
        <v>-0.28000000000020009</v>
      </c>
    </row>
    <row r="235" spans="1:19" ht="14.25" hidden="1" x14ac:dyDescent="0.2">
      <c r="A235" s="105">
        <v>1825</v>
      </c>
      <c r="B235" s="754" t="s">
        <v>239</v>
      </c>
      <c r="C235" s="749">
        <f t="shared" si="65"/>
        <v>0</v>
      </c>
      <c r="D235" s="750">
        <v>0</v>
      </c>
      <c r="E235" s="1597">
        <f t="shared" si="67"/>
        <v>0</v>
      </c>
      <c r="F235" s="749">
        <f t="shared" si="66"/>
        <v>0</v>
      </c>
      <c r="G235" s="750"/>
      <c r="H235" s="1597">
        <f t="shared" si="68"/>
        <v>0</v>
      </c>
      <c r="I235" s="751"/>
      <c r="J235" s="1616">
        <v>0</v>
      </c>
      <c r="K235" s="1599">
        <f t="shared" si="69"/>
        <v>0</v>
      </c>
      <c r="L235" s="752">
        <v>0</v>
      </c>
      <c r="M235" s="1604">
        <f t="shared" si="70"/>
        <v>0</v>
      </c>
      <c r="N235" s="1601">
        <f t="shared" si="71"/>
        <v>0</v>
      </c>
      <c r="O235" s="1601">
        <f t="shared" si="72"/>
        <v>0</v>
      </c>
      <c r="P235" s="1602">
        <f t="shared" si="73"/>
        <v>0</v>
      </c>
      <c r="Q235" s="1603">
        <f t="shared" si="74"/>
        <v>0</v>
      </c>
      <c r="R235" s="753"/>
      <c r="S235" s="110">
        <f t="shared" si="75"/>
        <v>0</v>
      </c>
    </row>
    <row r="236" spans="1:19" ht="14.25" x14ac:dyDescent="0.2">
      <c r="A236" s="105">
        <v>1830</v>
      </c>
      <c r="B236" s="754" t="s">
        <v>240</v>
      </c>
      <c r="C236" s="749">
        <f t="shared" si="65"/>
        <v>19238774.109999999</v>
      </c>
      <c r="D236" s="750">
        <v>9065588.3328476083</v>
      </c>
      <c r="E236" s="1597">
        <f t="shared" si="67"/>
        <v>10173185.777152391</v>
      </c>
      <c r="F236" s="749">
        <f t="shared" si="66"/>
        <v>5494158.7299999995</v>
      </c>
      <c r="G236" s="750"/>
      <c r="H236" s="1597">
        <f t="shared" si="68"/>
        <v>5494158.7299999995</v>
      </c>
      <c r="I236" s="751">
        <v>2211039</v>
      </c>
      <c r="J236" s="1616">
        <v>31.766233323429841</v>
      </c>
      <c r="K236" s="1599">
        <f t="shared" si="69"/>
        <v>3.1479967732354008E-2</v>
      </c>
      <c r="L236" s="752">
        <v>40</v>
      </c>
      <c r="M236" s="1604">
        <f t="shared" si="70"/>
        <v>2.5000000000000001E-2</v>
      </c>
      <c r="N236" s="1601">
        <f t="shared" si="71"/>
        <v>320251.56</v>
      </c>
      <c r="O236" s="1601">
        <f t="shared" si="72"/>
        <v>137353.96824999998</v>
      </c>
      <c r="P236" s="1602">
        <f t="shared" si="73"/>
        <v>27637.987499999999</v>
      </c>
      <c r="Q236" s="1603">
        <f t="shared" si="74"/>
        <v>485243.51574999996</v>
      </c>
      <c r="R236" s="753">
        <f>-'App.2-BA_Fixed Asset Cont'!I281</f>
        <v>485009</v>
      </c>
      <c r="S236" s="110">
        <f t="shared" si="75"/>
        <v>-234.51574999996228</v>
      </c>
    </row>
    <row r="237" spans="1:19" ht="14.25" x14ac:dyDescent="0.2">
      <c r="A237" s="105">
        <v>1835</v>
      </c>
      <c r="B237" s="754" t="s">
        <v>179</v>
      </c>
      <c r="C237" s="749">
        <f>C184+C185</f>
        <v>38955843.480131179</v>
      </c>
      <c r="D237" s="750">
        <v>28314245.019583322</v>
      </c>
      <c r="E237" s="1597">
        <f t="shared" si="67"/>
        <v>10641598.460547857</v>
      </c>
      <c r="F237" s="749">
        <f>F184+I184+F185+I185</f>
        <v>3810767.92</v>
      </c>
      <c r="G237" s="750"/>
      <c r="H237" s="1597">
        <f t="shared" si="68"/>
        <v>3810767.92</v>
      </c>
      <c r="I237" s="751">
        <v>1421372</v>
      </c>
      <c r="J237" s="1616">
        <v>27.754472149665929</v>
      </c>
      <c r="K237" s="1599">
        <f t="shared" si="69"/>
        <v>3.6030229456626026E-2</v>
      </c>
      <c r="L237" s="752">
        <v>40</v>
      </c>
      <c r="M237" s="1604">
        <f t="shared" si="70"/>
        <v>2.5000000000000001E-2</v>
      </c>
      <c r="N237" s="1601">
        <f t="shared" si="71"/>
        <v>383419.23431881756</v>
      </c>
      <c r="O237" s="1601">
        <f t="shared" si="72"/>
        <v>95269.198000000004</v>
      </c>
      <c r="P237" s="1602">
        <f t="shared" si="73"/>
        <v>17767.150000000001</v>
      </c>
      <c r="Q237" s="1603">
        <f t="shared" si="74"/>
        <v>496455.58231881761</v>
      </c>
      <c r="R237" s="753">
        <f>-'App.2-BA_Fixed Asset Cont'!I282</f>
        <v>498204.71431881754</v>
      </c>
      <c r="S237" s="1611">
        <f t="shared" si="75"/>
        <v>1749.131999999925</v>
      </c>
    </row>
    <row r="238" spans="1:19" ht="14.25" x14ac:dyDescent="0.2">
      <c r="A238" s="105">
        <v>1840</v>
      </c>
      <c r="B238" s="754" t="s">
        <v>180</v>
      </c>
      <c r="C238" s="749">
        <f t="shared" ref="C238:C249" si="76">C186</f>
        <v>20841499.539999999</v>
      </c>
      <c r="D238" s="750">
        <v>12176064.896733059</v>
      </c>
      <c r="E238" s="1597">
        <f t="shared" si="67"/>
        <v>8665434.6432669405</v>
      </c>
      <c r="F238" s="749">
        <f t="shared" ref="F238:F266" si="77">F186+I186</f>
        <v>2518696.16</v>
      </c>
      <c r="G238" s="750"/>
      <c r="H238" s="1597">
        <f t="shared" si="68"/>
        <v>2518696.16</v>
      </c>
      <c r="I238" s="751">
        <v>897610.03</v>
      </c>
      <c r="J238" s="1616">
        <v>38.144264154552815</v>
      </c>
      <c r="K238" s="1599">
        <f>IF(J238=0,0,1/J238)</f>
        <v>2.6216261400356367E-2</v>
      </c>
      <c r="L238" s="752">
        <v>50</v>
      </c>
      <c r="M238" s="1604">
        <f t="shared" si="70"/>
        <v>0.02</v>
      </c>
      <c r="N238" s="1601">
        <f t="shared" si="71"/>
        <v>227175.29975558995</v>
      </c>
      <c r="O238" s="1601">
        <f t="shared" si="72"/>
        <v>50373.923200000005</v>
      </c>
      <c r="P238" s="1602">
        <f t="shared" si="73"/>
        <v>8976.1003000000001</v>
      </c>
      <c r="Q238" s="1603">
        <f t="shared" si="74"/>
        <v>286525.32325558993</v>
      </c>
      <c r="R238" s="753">
        <f>-'App.2-BA_Fixed Asset Cont'!I283</f>
        <v>286279</v>
      </c>
      <c r="S238" s="110">
        <f t="shared" si="75"/>
        <v>-246.32325558993034</v>
      </c>
    </row>
    <row r="239" spans="1:19" ht="14.25" x14ac:dyDescent="0.2">
      <c r="A239" s="105">
        <v>1845</v>
      </c>
      <c r="B239" s="754" t="s">
        <v>181</v>
      </c>
      <c r="C239" s="749">
        <f t="shared" si="76"/>
        <v>15719869.667285465</v>
      </c>
      <c r="D239" s="750">
        <v>11662374.440973222</v>
      </c>
      <c r="E239" s="1597">
        <f t="shared" si="67"/>
        <v>4057495.2263122424</v>
      </c>
      <c r="F239" s="749">
        <f t="shared" si="77"/>
        <v>2496071.4900000002</v>
      </c>
      <c r="G239" s="750"/>
      <c r="H239" s="1597">
        <f t="shared" si="68"/>
        <v>2496071.4900000002</v>
      </c>
      <c r="I239" s="751">
        <v>798636.15</v>
      </c>
      <c r="J239" s="1616">
        <v>22.868255901902497</v>
      </c>
      <c r="K239" s="1599">
        <f t="shared" si="69"/>
        <v>4.3728739274638176E-2</v>
      </c>
      <c r="L239" s="752">
        <v>40</v>
      </c>
      <c r="M239" s="1604">
        <f t="shared" si="70"/>
        <v>2.5000000000000001E-2</v>
      </c>
      <c r="N239" s="1601">
        <f t="shared" si="71"/>
        <v>177429.15085949708</v>
      </c>
      <c r="O239" s="1601">
        <f t="shared" si="72"/>
        <v>62401.787250000008</v>
      </c>
      <c r="P239" s="1602">
        <f t="shared" si="73"/>
        <v>9982.9518750000007</v>
      </c>
      <c r="Q239" s="1603">
        <f t="shared" si="74"/>
        <v>249813.88998449707</v>
      </c>
      <c r="R239" s="753">
        <f>-'App.2-BA_Fixed Asset Cont'!I284</f>
        <v>243329.87053953903</v>
      </c>
      <c r="S239" s="1611">
        <f t="shared" si="75"/>
        <v>-6484.0194449580449</v>
      </c>
    </row>
    <row r="240" spans="1:19" ht="14.25" x14ac:dyDescent="0.2">
      <c r="A240" s="105">
        <v>1850</v>
      </c>
      <c r="B240" s="754" t="s">
        <v>241</v>
      </c>
      <c r="C240" s="749">
        <f t="shared" si="76"/>
        <v>25892036.769088108</v>
      </c>
      <c r="D240" s="750">
        <v>17956843.743688975</v>
      </c>
      <c r="E240" s="1597">
        <f t="shared" si="67"/>
        <v>7935193.0253991336</v>
      </c>
      <c r="F240" s="749">
        <f t="shared" si="77"/>
        <v>5371037.6300000018</v>
      </c>
      <c r="G240" s="750"/>
      <c r="H240" s="1597">
        <f t="shared" si="68"/>
        <v>5371037.6300000018</v>
      </c>
      <c r="I240" s="751">
        <v>2065242</v>
      </c>
      <c r="J240" s="1616">
        <v>29.776209990582025</v>
      </c>
      <c r="K240" s="1599">
        <f t="shared" si="69"/>
        <v>3.3583857727907347E-2</v>
      </c>
      <c r="L240" s="752">
        <v>40</v>
      </c>
      <c r="M240" s="1604">
        <f t="shared" si="70"/>
        <v>2.5000000000000001E-2</v>
      </c>
      <c r="N240" s="1601">
        <f t="shared" si="71"/>
        <v>266494.39360848715</v>
      </c>
      <c r="O240" s="1601">
        <f t="shared" si="72"/>
        <v>134275.94075000004</v>
      </c>
      <c r="P240" s="1602">
        <f t="shared" si="73"/>
        <v>25815.525000000001</v>
      </c>
      <c r="Q240" s="1603">
        <f t="shared" si="74"/>
        <v>426585.85935848719</v>
      </c>
      <c r="R240" s="753">
        <f>-'App.2-BA_Fixed Asset Cont'!I285</f>
        <v>426702.79360848718</v>
      </c>
      <c r="S240" s="1611">
        <f t="shared" si="75"/>
        <v>116.93424999999115</v>
      </c>
    </row>
    <row r="241" spans="1:19" ht="14.25" x14ac:dyDescent="0.2">
      <c r="A241" s="105">
        <v>1855</v>
      </c>
      <c r="B241" s="754" t="s">
        <v>182</v>
      </c>
      <c r="C241" s="749">
        <f t="shared" si="76"/>
        <v>12342929.799999999</v>
      </c>
      <c r="D241" s="750">
        <v>6500462.1358982157</v>
      </c>
      <c r="E241" s="1597">
        <f t="shared" si="67"/>
        <v>5842467.6641017832</v>
      </c>
      <c r="F241" s="749">
        <f t="shared" si="77"/>
        <v>3781532.3199999994</v>
      </c>
      <c r="G241" s="750"/>
      <c r="H241" s="1597">
        <f t="shared" si="68"/>
        <v>3781532.3199999994</v>
      </c>
      <c r="I241" s="751">
        <v>487400</v>
      </c>
      <c r="J241" s="1616">
        <v>30.619359110347609</v>
      </c>
      <c r="K241" s="1599">
        <f t="shared" si="69"/>
        <v>3.2659076775452711E-2</v>
      </c>
      <c r="L241" s="752">
        <v>40</v>
      </c>
      <c r="M241" s="1604">
        <f t="shared" si="70"/>
        <v>2.5000000000000001E-2</v>
      </c>
      <c r="N241" s="1601">
        <f t="shared" si="71"/>
        <v>190809.60000000001</v>
      </c>
      <c r="O241" s="1601">
        <f t="shared" si="72"/>
        <v>94538.30799999999</v>
      </c>
      <c r="P241" s="1602">
        <f t="shared" si="73"/>
        <v>6092.5</v>
      </c>
      <c r="Q241" s="1603">
        <f t="shared" si="74"/>
        <v>291440.408</v>
      </c>
      <c r="R241" s="753">
        <f>-'App.2-BA_Fixed Asset Cont'!I286</f>
        <v>291416</v>
      </c>
      <c r="S241" s="110">
        <f t="shared" si="75"/>
        <v>-24.407999999995809</v>
      </c>
    </row>
    <row r="242" spans="1:19" ht="14.25" x14ac:dyDescent="0.2">
      <c r="A242" s="105">
        <v>1860</v>
      </c>
      <c r="B242" s="754" t="s">
        <v>242</v>
      </c>
      <c r="C242" s="749">
        <f t="shared" si="76"/>
        <v>8900387.9934</v>
      </c>
      <c r="D242" s="750">
        <v>6817799.92275065</v>
      </c>
      <c r="E242" s="1597">
        <f t="shared" si="67"/>
        <v>2082588.0706493501</v>
      </c>
      <c r="F242" s="749">
        <f t="shared" si="77"/>
        <v>298738.56</v>
      </c>
      <c r="G242" s="750"/>
      <c r="H242" s="1597">
        <f t="shared" si="68"/>
        <v>298738.56</v>
      </c>
      <c r="I242" s="751">
        <v>63282</v>
      </c>
      <c r="J242" s="1616">
        <v>4.3435425942359798</v>
      </c>
      <c r="K242" s="1599">
        <f t="shared" si="69"/>
        <v>0.23022682022896057</v>
      </c>
      <c r="L242" s="752">
        <v>15</v>
      </c>
      <c r="M242" s="1604">
        <f t="shared" si="70"/>
        <v>6.6666666666666666E-2</v>
      </c>
      <c r="N242" s="1601">
        <f t="shared" si="71"/>
        <v>479467.6293523658</v>
      </c>
      <c r="O242" s="1601">
        <f t="shared" si="72"/>
        <v>19915.903999999999</v>
      </c>
      <c r="P242" s="1602">
        <f t="shared" si="73"/>
        <v>2109.4</v>
      </c>
      <c r="Q242" s="1603">
        <f t="shared" si="74"/>
        <v>501492.9333523658</v>
      </c>
      <c r="R242" s="753">
        <f>-'App.2-BA_Fixed Asset Cont'!I287-2037-5491</f>
        <v>497959.74719999998</v>
      </c>
      <c r="S242" s="110">
        <f t="shared" si="75"/>
        <v>-3533.1861523658154</v>
      </c>
    </row>
    <row r="243" spans="1:19" ht="14.25" x14ac:dyDescent="0.2">
      <c r="A243" s="102">
        <v>1860</v>
      </c>
      <c r="B243" s="755" t="s">
        <v>242</v>
      </c>
      <c r="C243" s="749">
        <f t="shared" si="76"/>
        <v>0</v>
      </c>
      <c r="D243" s="750">
        <v>0</v>
      </c>
      <c r="E243" s="1597">
        <f t="shared" si="67"/>
        <v>0</v>
      </c>
      <c r="F243" s="749">
        <f t="shared" si="77"/>
        <v>91643</v>
      </c>
      <c r="G243" s="750"/>
      <c r="H243" s="1597">
        <f t="shared" si="68"/>
        <v>91643</v>
      </c>
      <c r="I243" s="751">
        <v>0</v>
      </c>
      <c r="J243" s="1616">
        <v>0</v>
      </c>
      <c r="K243" s="1599">
        <f t="shared" si="69"/>
        <v>0</v>
      </c>
      <c r="L243" s="752">
        <v>45</v>
      </c>
      <c r="M243" s="1604">
        <f t="shared" si="70"/>
        <v>2.2222222222222223E-2</v>
      </c>
      <c r="N243" s="1601">
        <f t="shared" si="71"/>
        <v>0</v>
      </c>
      <c r="O243" s="1601">
        <f t="shared" si="72"/>
        <v>2036.5111111111112</v>
      </c>
      <c r="P243" s="1602">
        <f t="shared" si="73"/>
        <v>0</v>
      </c>
      <c r="Q243" s="1603">
        <f t="shared" si="74"/>
        <v>2036.5111111111112</v>
      </c>
      <c r="R243" s="753">
        <v>2037</v>
      </c>
      <c r="S243" s="110">
        <f t="shared" si="75"/>
        <v>0.4888888888888232</v>
      </c>
    </row>
    <row r="244" spans="1:19" ht="14.25" x14ac:dyDescent="0.2">
      <c r="A244" s="105">
        <v>1860</v>
      </c>
      <c r="B244" s="754" t="s">
        <v>242</v>
      </c>
      <c r="C244" s="749">
        <f t="shared" si="76"/>
        <v>0</v>
      </c>
      <c r="D244" s="750">
        <v>0</v>
      </c>
      <c r="E244" s="1597">
        <f t="shared" si="67"/>
        <v>0</v>
      </c>
      <c r="F244" s="749">
        <f t="shared" si="77"/>
        <v>137287</v>
      </c>
      <c r="G244" s="750"/>
      <c r="H244" s="1597">
        <f t="shared" si="68"/>
        <v>137287</v>
      </c>
      <c r="I244" s="751">
        <v>0</v>
      </c>
      <c r="J244" s="1616">
        <v>0</v>
      </c>
      <c r="K244" s="1599">
        <f t="shared" si="69"/>
        <v>0</v>
      </c>
      <c r="L244" s="752">
        <v>25</v>
      </c>
      <c r="M244" s="1604">
        <f t="shared" si="70"/>
        <v>0.04</v>
      </c>
      <c r="N244" s="1601">
        <f t="shared" si="71"/>
        <v>0</v>
      </c>
      <c r="O244" s="1601">
        <f t="shared" si="72"/>
        <v>5491.48</v>
      </c>
      <c r="P244" s="1602">
        <f t="shared" si="73"/>
        <v>0</v>
      </c>
      <c r="Q244" s="1603">
        <f t="shared" si="74"/>
        <v>5491.48</v>
      </c>
      <c r="R244" s="753">
        <v>5491</v>
      </c>
      <c r="S244" s="110">
        <f t="shared" si="75"/>
        <v>-0.47999999999956344</v>
      </c>
    </row>
    <row r="245" spans="1:19" ht="14.25" hidden="1" x14ac:dyDescent="0.2">
      <c r="A245" s="102">
        <v>1905</v>
      </c>
      <c r="B245" s="755" t="s">
        <v>236</v>
      </c>
      <c r="C245" s="749">
        <f t="shared" si="76"/>
        <v>0</v>
      </c>
      <c r="D245" s="750">
        <v>0</v>
      </c>
      <c r="E245" s="1597">
        <f t="shared" si="67"/>
        <v>0</v>
      </c>
      <c r="F245" s="749">
        <f t="shared" si="77"/>
        <v>0</v>
      </c>
      <c r="G245" s="750"/>
      <c r="H245" s="1597">
        <f t="shared" si="68"/>
        <v>0</v>
      </c>
      <c r="I245" s="751">
        <v>0</v>
      </c>
      <c r="J245" s="1616">
        <v>0</v>
      </c>
      <c r="K245" s="1599">
        <f t="shared" si="69"/>
        <v>0</v>
      </c>
      <c r="L245" s="752">
        <v>0</v>
      </c>
      <c r="M245" s="1604">
        <f t="shared" si="70"/>
        <v>0</v>
      </c>
      <c r="N245" s="1601">
        <f t="shared" si="71"/>
        <v>0</v>
      </c>
      <c r="O245" s="1601">
        <f t="shared" si="72"/>
        <v>0</v>
      </c>
      <c r="P245" s="1602">
        <f t="shared" si="73"/>
        <v>0</v>
      </c>
      <c r="Q245" s="1603">
        <f t="shared" si="74"/>
        <v>0</v>
      </c>
      <c r="R245" s="753"/>
      <c r="S245" s="110">
        <f t="shared" si="75"/>
        <v>0</v>
      </c>
    </row>
    <row r="246" spans="1:19" ht="14.25" hidden="1" x14ac:dyDescent="0.2">
      <c r="A246" s="105">
        <v>1908</v>
      </c>
      <c r="B246" s="754" t="s">
        <v>244</v>
      </c>
      <c r="C246" s="749">
        <f t="shared" si="76"/>
        <v>0</v>
      </c>
      <c r="D246" s="750">
        <v>0</v>
      </c>
      <c r="E246" s="1597">
        <f t="shared" si="67"/>
        <v>0</v>
      </c>
      <c r="F246" s="749">
        <f t="shared" si="77"/>
        <v>0</v>
      </c>
      <c r="G246" s="750"/>
      <c r="H246" s="1597">
        <f t="shared" si="68"/>
        <v>0</v>
      </c>
      <c r="I246" s="751">
        <v>0</v>
      </c>
      <c r="J246" s="1616">
        <v>0</v>
      </c>
      <c r="K246" s="1599">
        <f t="shared" si="69"/>
        <v>0</v>
      </c>
      <c r="L246" s="752">
        <v>0</v>
      </c>
      <c r="M246" s="1604">
        <f t="shared" si="70"/>
        <v>0</v>
      </c>
      <c r="N246" s="1601">
        <f t="shared" si="71"/>
        <v>0</v>
      </c>
      <c r="O246" s="1601">
        <f t="shared" si="72"/>
        <v>0</v>
      </c>
      <c r="P246" s="1602">
        <f t="shared" si="73"/>
        <v>0</v>
      </c>
      <c r="Q246" s="1603">
        <f t="shared" si="74"/>
        <v>0</v>
      </c>
      <c r="R246" s="753"/>
      <c r="S246" s="110">
        <f t="shared" si="75"/>
        <v>0</v>
      </c>
    </row>
    <row r="247" spans="1:19" ht="14.25" hidden="1" x14ac:dyDescent="0.2">
      <c r="A247" s="105">
        <v>1910</v>
      </c>
      <c r="B247" s="754" t="s">
        <v>262</v>
      </c>
      <c r="C247" s="749">
        <f t="shared" si="76"/>
        <v>0</v>
      </c>
      <c r="D247" s="750">
        <v>0</v>
      </c>
      <c r="E247" s="1597">
        <f t="shared" si="67"/>
        <v>0</v>
      </c>
      <c r="F247" s="749">
        <f t="shared" si="77"/>
        <v>0</v>
      </c>
      <c r="G247" s="750"/>
      <c r="H247" s="1597">
        <f t="shared" si="68"/>
        <v>0</v>
      </c>
      <c r="I247" s="751"/>
      <c r="J247" s="1616">
        <v>0</v>
      </c>
      <c r="K247" s="1599">
        <f t="shared" si="69"/>
        <v>0</v>
      </c>
      <c r="L247" s="752">
        <v>0</v>
      </c>
      <c r="M247" s="1604">
        <f t="shared" si="70"/>
        <v>0</v>
      </c>
      <c r="N247" s="1601">
        <f t="shared" si="71"/>
        <v>0</v>
      </c>
      <c r="O247" s="1601">
        <f t="shared" si="72"/>
        <v>0</v>
      </c>
      <c r="P247" s="1602">
        <f t="shared" si="73"/>
        <v>0</v>
      </c>
      <c r="Q247" s="1603">
        <f t="shared" si="74"/>
        <v>0</v>
      </c>
      <c r="R247" s="753"/>
      <c r="S247" s="110">
        <f t="shared" si="75"/>
        <v>0</v>
      </c>
    </row>
    <row r="248" spans="1:19" ht="14.25" x14ac:dyDescent="0.2">
      <c r="A248" s="105">
        <v>1915</v>
      </c>
      <c r="B248" s="754" t="s">
        <v>184</v>
      </c>
      <c r="C248" s="749">
        <f t="shared" si="76"/>
        <v>44314.559999999998</v>
      </c>
      <c r="D248" s="750">
        <v>41713.569499999991</v>
      </c>
      <c r="E248" s="1597">
        <f t="shared" si="67"/>
        <v>2600.9905000000072</v>
      </c>
      <c r="F248" s="749">
        <f t="shared" si="77"/>
        <v>31740</v>
      </c>
      <c r="G248" s="750"/>
      <c r="H248" s="1597">
        <f t="shared" si="68"/>
        <v>31740</v>
      </c>
      <c r="I248" s="751">
        <v>11018</v>
      </c>
      <c r="J248" s="1616">
        <v>0</v>
      </c>
      <c r="K248" s="1599">
        <f t="shared" si="69"/>
        <v>0</v>
      </c>
      <c r="L248" s="752">
        <v>10</v>
      </c>
      <c r="M248" s="1604">
        <f t="shared" si="70"/>
        <v>0.1</v>
      </c>
      <c r="N248" s="1601">
        <f t="shared" si="71"/>
        <v>0</v>
      </c>
      <c r="O248" s="1601">
        <f t="shared" si="72"/>
        <v>3174</v>
      </c>
      <c r="P248" s="1602">
        <f t="shared" si="73"/>
        <v>550.9</v>
      </c>
      <c r="Q248" s="1603">
        <f t="shared" si="74"/>
        <v>3724.9</v>
      </c>
      <c r="R248" s="753">
        <f>-'App.2-BA_Fixed Asset Cont'!I292</f>
        <v>3725</v>
      </c>
      <c r="S248" s="110">
        <f t="shared" si="75"/>
        <v>9.9999999999909051E-2</v>
      </c>
    </row>
    <row r="249" spans="1:19" ht="14.25" hidden="1" x14ac:dyDescent="0.2">
      <c r="A249" s="105">
        <v>1915</v>
      </c>
      <c r="B249" s="754" t="s">
        <v>185</v>
      </c>
      <c r="C249" s="749">
        <f t="shared" si="76"/>
        <v>0</v>
      </c>
      <c r="D249" s="750">
        <v>0</v>
      </c>
      <c r="E249" s="1597">
        <f t="shared" si="67"/>
        <v>0</v>
      </c>
      <c r="F249" s="749">
        <f t="shared" si="77"/>
        <v>0</v>
      </c>
      <c r="G249" s="750"/>
      <c r="H249" s="1597">
        <f t="shared" si="68"/>
        <v>0</v>
      </c>
      <c r="I249" s="751"/>
      <c r="J249" s="1616">
        <v>0</v>
      </c>
      <c r="K249" s="1599">
        <f t="shared" si="69"/>
        <v>0</v>
      </c>
      <c r="L249" s="752"/>
      <c r="M249" s="1604">
        <f t="shared" si="70"/>
        <v>0</v>
      </c>
      <c r="N249" s="1601">
        <f t="shared" si="71"/>
        <v>0</v>
      </c>
      <c r="O249" s="1601">
        <f t="shared" si="72"/>
        <v>0</v>
      </c>
      <c r="P249" s="1602">
        <f t="shared" si="73"/>
        <v>0</v>
      </c>
      <c r="Q249" s="1603">
        <f t="shared" si="74"/>
        <v>0</v>
      </c>
      <c r="R249" s="753">
        <f>-'App.2-BA_Fixed Asset Cont'!I293</f>
        <v>0</v>
      </c>
      <c r="S249" s="110">
        <f t="shared" si="75"/>
        <v>0</v>
      </c>
    </row>
    <row r="250" spans="1:19" s="82" customFormat="1" ht="14.25" x14ac:dyDescent="0.2">
      <c r="A250" s="102">
        <v>1920</v>
      </c>
      <c r="B250" s="755" t="s">
        <v>186</v>
      </c>
      <c r="C250" s="749">
        <f t="shared" ref="C250:C265" si="78">C198</f>
        <v>162987.72</v>
      </c>
      <c r="D250" s="750">
        <v>162088</v>
      </c>
      <c r="E250" s="1597">
        <f t="shared" si="67"/>
        <v>899.72000000000116</v>
      </c>
      <c r="F250" s="749">
        <f t="shared" si="77"/>
        <v>394679.53</v>
      </c>
      <c r="G250" s="749"/>
      <c r="H250" s="1597">
        <f t="shared" si="68"/>
        <v>394679.53</v>
      </c>
      <c r="I250" s="751"/>
      <c r="J250" s="1616">
        <v>0.99962224740572991</v>
      </c>
      <c r="K250" s="1599">
        <f t="shared" si="69"/>
        <v>1.0003778953452171</v>
      </c>
      <c r="L250" s="752">
        <v>5</v>
      </c>
      <c r="M250" s="1604">
        <f t="shared" si="70"/>
        <v>0.2</v>
      </c>
      <c r="N250" s="1601">
        <f t="shared" si="71"/>
        <v>900.06</v>
      </c>
      <c r="O250" s="1601">
        <f t="shared" si="72"/>
        <v>78935.906000000003</v>
      </c>
      <c r="P250" s="1602">
        <f t="shared" si="73"/>
        <v>0</v>
      </c>
      <c r="Q250" s="1603">
        <f t="shared" si="74"/>
        <v>79835.966</v>
      </c>
      <c r="R250" s="753">
        <f>-'App.2-BA_Fixed Asset Cont'!I294</f>
        <v>79836</v>
      </c>
      <c r="S250" s="110">
        <f t="shared" si="75"/>
        <v>3.3999999999650754E-2</v>
      </c>
    </row>
    <row r="251" spans="1:19" ht="14.25" hidden="1" x14ac:dyDescent="0.2">
      <c r="A251" s="105">
        <v>1920</v>
      </c>
      <c r="B251" s="754" t="s">
        <v>188</v>
      </c>
      <c r="C251" s="749">
        <f t="shared" si="78"/>
        <v>0</v>
      </c>
      <c r="D251" s="750">
        <v>0</v>
      </c>
      <c r="E251" s="1597">
        <f t="shared" si="67"/>
        <v>0</v>
      </c>
      <c r="F251" s="749">
        <f t="shared" si="77"/>
        <v>0</v>
      </c>
      <c r="G251" s="749"/>
      <c r="H251" s="1597">
        <f t="shared" si="68"/>
        <v>0</v>
      </c>
      <c r="I251" s="751"/>
      <c r="J251" s="1616">
        <v>0</v>
      </c>
      <c r="K251" s="1599">
        <f t="shared" si="69"/>
        <v>0</v>
      </c>
      <c r="L251" s="752"/>
      <c r="M251" s="1604">
        <f t="shared" si="70"/>
        <v>0</v>
      </c>
      <c r="N251" s="1601">
        <f t="shared" si="71"/>
        <v>0</v>
      </c>
      <c r="O251" s="1601">
        <f t="shared" si="72"/>
        <v>0</v>
      </c>
      <c r="P251" s="1602">
        <f t="shared" si="73"/>
        <v>0</v>
      </c>
      <c r="Q251" s="1603">
        <f t="shared" si="74"/>
        <v>0</v>
      </c>
      <c r="R251" s="753"/>
      <c r="S251" s="110">
        <f t="shared" si="75"/>
        <v>0</v>
      </c>
    </row>
    <row r="252" spans="1:19" ht="14.25" hidden="1" x14ac:dyDescent="0.2">
      <c r="A252" s="105">
        <v>1920</v>
      </c>
      <c r="B252" s="754" t="s">
        <v>187</v>
      </c>
      <c r="C252" s="749">
        <f t="shared" si="78"/>
        <v>0</v>
      </c>
      <c r="D252" s="750">
        <v>0</v>
      </c>
      <c r="E252" s="1597">
        <f t="shared" si="67"/>
        <v>0</v>
      </c>
      <c r="F252" s="749">
        <f t="shared" si="77"/>
        <v>0</v>
      </c>
      <c r="G252" s="750"/>
      <c r="H252" s="1597">
        <f t="shared" si="68"/>
        <v>0</v>
      </c>
      <c r="I252" s="751"/>
      <c r="J252" s="1616">
        <v>0</v>
      </c>
      <c r="K252" s="1599">
        <f t="shared" si="69"/>
        <v>0</v>
      </c>
      <c r="L252" s="752">
        <v>0</v>
      </c>
      <c r="M252" s="1604">
        <f t="shared" si="70"/>
        <v>0</v>
      </c>
      <c r="N252" s="1601">
        <f t="shared" si="71"/>
        <v>0</v>
      </c>
      <c r="O252" s="1601">
        <f t="shared" si="72"/>
        <v>0</v>
      </c>
      <c r="P252" s="1602">
        <f t="shared" si="73"/>
        <v>0</v>
      </c>
      <c r="Q252" s="1603">
        <f t="shared" si="74"/>
        <v>0</v>
      </c>
      <c r="R252" s="753">
        <f>-'App.2-BA_Fixed Asset Cont'!I295</f>
        <v>0</v>
      </c>
      <c r="S252" s="110">
        <f t="shared" si="75"/>
        <v>0</v>
      </c>
    </row>
    <row r="253" spans="1:19" ht="14.25" x14ac:dyDescent="0.2">
      <c r="A253" s="105">
        <v>1930</v>
      </c>
      <c r="B253" s="754" t="s">
        <v>250</v>
      </c>
      <c r="C253" s="749">
        <f t="shared" si="78"/>
        <v>5258637.3600000003</v>
      </c>
      <c r="D253" s="750">
        <v>4170282.966297619</v>
      </c>
      <c r="E253" s="1597">
        <f t="shared" si="67"/>
        <v>1088354.3937023813</v>
      </c>
      <c r="F253" s="749">
        <f t="shared" si="77"/>
        <v>1286912.8399999999</v>
      </c>
      <c r="G253" s="750"/>
      <c r="H253" s="1597">
        <f t="shared" si="68"/>
        <v>1286912.8399999999</v>
      </c>
      <c r="I253" s="751">
        <v>563236</v>
      </c>
      <c r="J253" s="1616">
        <v>6.7576667321250312</v>
      </c>
      <c r="K253" s="1599">
        <f>IF(J253=0,0,1/J253)</f>
        <v>0.14798007058355447</v>
      </c>
      <c r="L253" s="752">
        <v>12</v>
      </c>
      <c r="M253" s="1604">
        <f t="shared" si="70"/>
        <v>8.3333333333333329E-2</v>
      </c>
      <c r="N253" s="1601">
        <f t="shared" si="71"/>
        <v>161054.76</v>
      </c>
      <c r="O253" s="1601">
        <f t="shared" si="72"/>
        <v>107242.73666666665</v>
      </c>
      <c r="P253" s="1602">
        <f t="shared" si="73"/>
        <v>23468.166666666668</v>
      </c>
      <c r="Q253" s="1603">
        <f t="shared" si="74"/>
        <v>291765.66333333333</v>
      </c>
      <c r="R253" s="753">
        <f>-'App.2-BA_Fixed Asset Cont'!I297-65251</f>
        <v>299477</v>
      </c>
      <c r="S253" s="110">
        <f t="shared" si="75"/>
        <v>7711.3366666666698</v>
      </c>
    </row>
    <row r="254" spans="1:19" ht="14.25" x14ac:dyDescent="0.2">
      <c r="A254" s="105">
        <v>1930</v>
      </c>
      <c r="B254" s="754" t="s">
        <v>250</v>
      </c>
      <c r="C254" s="749">
        <f t="shared" si="78"/>
        <v>0</v>
      </c>
      <c r="D254" s="750">
        <v>0</v>
      </c>
      <c r="E254" s="1597">
        <f t="shared" si="67"/>
        <v>0</v>
      </c>
      <c r="F254" s="749">
        <f t="shared" si="77"/>
        <v>431797</v>
      </c>
      <c r="G254" s="750"/>
      <c r="H254" s="1597">
        <f t="shared" si="68"/>
        <v>431797</v>
      </c>
      <c r="I254" s="751">
        <v>180420</v>
      </c>
      <c r="J254" s="1616">
        <v>0</v>
      </c>
      <c r="K254" s="1599">
        <f t="shared" si="69"/>
        <v>0</v>
      </c>
      <c r="L254" s="752">
        <v>8</v>
      </c>
      <c r="M254" s="1604">
        <f t="shared" si="70"/>
        <v>0.125</v>
      </c>
      <c r="N254" s="1601">
        <f t="shared" si="71"/>
        <v>0</v>
      </c>
      <c r="O254" s="1601">
        <f t="shared" si="72"/>
        <v>53974.625</v>
      </c>
      <c r="P254" s="1602">
        <f t="shared" si="73"/>
        <v>11276.25</v>
      </c>
      <c r="Q254" s="1603">
        <f t="shared" si="74"/>
        <v>65250.875</v>
      </c>
      <c r="R254" s="753">
        <v>65251</v>
      </c>
      <c r="S254" s="110">
        <f t="shared" si="75"/>
        <v>0.125</v>
      </c>
    </row>
    <row r="255" spans="1:19" ht="14.25" hidden="1" x14ac:dyDescent="0.2">
      <c r="A255" s="105">
        <v>1935</v>
      </c>
      <c r="B255" s="754" t="s">
        <v>251</v>
      </c>
      <c r="C255" s="749">
        <f t="shared" si="78"/>
        <v>0</v>
      </c>
      <c r="D255" s="750">
        <v>0</v>
      </c>
      <c r="E255" s="1597">
        <f t="shared" si="67"/>
        <v>0</v>
      </c>
      <c r="F255" s="749">
        <f t="shared" si="77"/>
        <v>0</v>
      </c>
      <c r="G255" s="750"/>
      <c r="H255" s="1597">
        <f t="shared" si="68"/>
        <v>0</v>
      </c>
      <c r="I255" s="751"/>
      <c r="J255" s="1616">
        <v>0</v>
      </c>
      <c r="K255" s="1599">
        <f t="shared" si="69"/>
        <v>0</v>
      </c>
      <c r="L255" s="752"/>
      <c r="M255" s="1604">
        <f t="shared" si="70"/>
        <v>0</v>
      </c>
      <c r="N255" s="1601">
        <f t="shared" si="71"/>
        <v>0</v>
      </c>
      <c r="O255" s="1601">
        <f t="shared" si="72"/>
        <v>0</v>
      </c>
      <c r="P255" s="1602">
        <f t="shared" si="73"/>
        <v>0</v>
      </c>
      <c r="Q255" s="1603">
        <f t="shared" si="74"/>
        <v>0</v>
      </c>
      <c r="R255" s="753">
        <f>-'App.2-BA_Fixed Asset Cont'!I298</f>
        <v>0</v>
      </c>
      <c r="S255" s="110">
        <f t="shared" si="75"/>
        <v>0</v>
      </c>
    </row>
    <row r="256" spans="1:19" ht="14.25" x14ac:dyDescent="0.2">
      <c r="A256" s="105">
        <v>1940</v>
      </c>
      <c r="B256" s="754" t="s">
        <v>252</v>
      </c>
      <c r="C256" s="749">
        <f t="shared" si="78"/>
        <v>1961496.07</v>
      </c>
      <c r="D256" s="750">
        <v>1467290.8274999999</v>
      </c>
      <c r="E256" s="1597">
        <f t="shared" si="67"/>
        <v>494205.24250000017</v>
      </c>
      <c r="F256" s="749">
        <f t="shared" si="77"/>
        <v>348505.27999999997</v>
      </c>
      <c r="G256" s="750"/>
      <c r="H256" s="1597">
        <f t="shared" si="68"/>
        <v>348505.27999999997</v>
      </c>
      <c r="I256" s="751">
        <v>107409</v>
      </c>
      <c r="J256" s="1616">
        <v>8.1441093681971815</v>
      </c>
      <c r="K256" s="1599">
        <f t="shared" si="69"/>
        <v>0.12278813493161189</v>
      </c>
      <c r="L256" s="752">
        <v>10</v>
      </c>
      <c r="M256" s="1604">
        <f t="shared" si="70"/>
        <v>0.1</v>
      </c>
      <c r="N256" s="1601">
        <f t="shared" si="71"/>
        <v>60682.539999999994</v>
      </c>
      <c r="O256" s="1601">
        <f t="shared" si="72"/>
        <v>34850.527999999998</v>
      </c>
      <c r="P256" s="1602">
        <f t="shared" si="73"/>
        <v>5370.45</v>
      </c>
      <c r="Q256" s="1603">
        <f t="shared" si="74"/>
        <v>100903.518</v>
      </c>
      <c r="R256" s="753">
        <f>-'App.2-BA_Fixed Asset Cont'!I299</f>
        <v>100903</v>
      </c>
      <c r="S256" s="110">
        <f t="shared" si="75"/>
        <v>-0.51799999999639113</v>
      </c>
    </row>
    <row r="257" spans="1:19" ht="14.25" hidden="1" x14ac:dyDescent="0.2">
      <c r="A257" s="105">
        <v>1945</v>
      </c>
      <c r="B257" s="754" t="s">
        <v>253</v>
      </c>
      <c r="C257" s="749">
        <f t="shared" si="78"/>
        <v>0</v>
      </c>
      <c r="D257" s="750">
        <v>0</v>
      </c>
      <c r="E257" s="1597">
        <f t="shared" si="67"/>
        <v>0</v>
      </c>
      <c r="F257" s="749">
        <f t="shared" si="77"/>
        <v>0</v>
      </c>
      <c r="G257" s="750"/>
      <c r="H257" s="1597">
        <f t="shared" si="68"/>
        <v>0</v>
      </c>
      <c r="I257" s="751">
        <v>0</v>
      </c>
      <c r="J257" s="1616">
        <v>0</v>
      </c>
      <c r="K257" s="1599">
        <f t="shared" si="69"/>
        <v>0</v>
      </c>
      <c r="L257" s="752"/>
      <c r="M257" s="1604">
        <f t="shared" si="70"/>
        <v>0</v>
      </c>
      <c r="N257" s="1601">
        <f t="shared" si="71"/>
        <v>0</v>
      </c>
      <c r="O257" s="1601">
        <f t="shared" si="72"/>
        <v>0</v>
      </c>
      <c r="P257" s="1602">
        <f t="shared" si="73"/>
        <v>0</v>
      </c>
      <c r="Q257" s="1603">
        <f t="shared" si="74"/>
        <v>0</v>
      </c>
      <c r="R257" s="753">
        <f>-'App.2-BA_Fixed Asset Cont'!I300</f>
        <v>0</v>
      </c>
      <c r="S257" s="110">
        <f t="shared" si="75"/>
        <v>0</v>
      </c>
    </row>
    <row r="258" spans="1:19" ht="14.25" hidden="1" x14ac:dyDescent="0.2">
      <c r="A258" s="105">
        <v>1950</v>
      </c>
      <c r="B258" s="754" t="s">
        <v>189</v>
      </c>
      <c r="C258" s="749">
        <f t="shared" si="78"/>
        <v>0</v>
      </c>
      <c r="D258" s="750">
        <v>0</v>
      </c>
      <c r="E258" s="1597">
        <f t="shared" si="67"/>
        <v>0</v>
      </c>
      <c r="F258" s="749">
        <f t="shared" si="77"/>
        <v>0</v>
      </c>
      <c r="G258" s="750"/>
      <c r="H258" s="1597">
        <f t="shared" si="68"/>
        <v>0</v>
      </c>
      <c r="I258" s="751">
        <v>0</v>
      </c>
      <c r="J258" s="1616">
        <v>0</v>
      </c>
      <c r="K258" s="1599">
        <f t="shared" si="69"/>
        <v>0</v>
      </c>
      <c r="L258" s="752">
        <v>0</v>
      </c>
      <c r="M258" s="1604">
        <f t="shared" si="70"/>
        <v>0</v>
      </c>
      <c r="N258" s="1601">
        <f t="shared" si="71"/>
        <v>0</v>
      </c>
      <c r="O258" s="1601">
        <f t="shared" si="72"/>
        <v>0</v>
      </c>
      <c r="P258" s="1602">
        <f t="shared" si="73"/>
        <v>0</v>
      </c>
      <c r="Q258" s="1603">
        <f t="shared" si="74"/>
        <v>0</v>
      </c>
      <c r="R258" s="753">
        <f>-'App.2-BA_Fixed Asset Cont'!I301</f>
        <v>0</v>
      </c>
      <c r="S258" s="110">
        <f t="shared" si="75"/>
        <v>0</v>
      </c>
    </row>
    <row r="259" spans="1:19" ht="14.25" x14ac:dyDescent="0.2">
      <c r="A259" s="105">
        <v>1955</v>
      </c>
      <c r="B259" s="754" t="s">
        <v>254</v>
      </c>
      <c r="C259" s="749">
        <f t="shared" si="78"/>
        <v>2262458.79</v>
      </c>
      <c r="D259" s="750">
        <v>1307813.078</v>
      </c>
      <c r="E259" s="1597">
        <f t="shared" si="67"/>
        <v>954645.71200000006</v>
      </c>
      <c r="F259" s="749">
        <f t="shared" si="77"/>
        <v>84882.69</v>
      </c>
      <c r="G259" s="750"/>
      <c r="H259" s="1597">
        <f t="shared" si="68"/>
        <v>84882.69</v>
      </c>
      <c r="I259" s="751">
        <v>31337</v>
      </c>
      <c r="J259" s="1616">
        <v>12.204279989968629</v>
      </c>
      <c r="K259" s="1599">
        <f t="shared" si="69"/>
        <v>8.1938467555804612E-2</v>
      </c>
      <c r="L259" s="752">
        <v>10</v>
      </c>
      <c r="M259" s="1604">
        <f t="shared" si="70"/>
        <v>0.1</v>
      </c>
      <c r="N259" s="1601">
        <f t="shared" si="71"/>
        <v>78222.206699999995</v>
      </c>
      <c r="O259" s="1601">
        <f t="shared" si="72"/>
        <v>8488.2690000000002</v>
      </c>
      <c r="P259" s="1602">
        <f t="shared" si="73"/>
        <v>1566.85</v>
      </c>
      <c r="Q259" s="1603">
        <f t="shared" si="74"/>
        <v>88277.325700000001</v>
      </c>
      <c r="R259" s="753">
        <f>-'App.2-BA_Fixed Asset Cont'!I302</f>
        <v>88277</v>
      </c>
      <c r="S259" s="110">
        <f t="shared" si="75"/>
        <v>-0.325700000001234</v>
      </c>
    </row>
    <row r="260" spans="1:19" ht="14.25" hidden="1" x14ac:dyDescent="0.2">
      <c r="A260" s="102">
        <v>1955</v>
      </c>
      <c r="B260" s="755" t="s">
        <v>190</v>
      </c>
      <c r="C260" s="749">
        <f t="shared" si="78"/>
        <v>0</v>
      </c>
      <c r="D260" s="750">
        <v>0</v>
      </c>
      <c r="E260" s="1597">
        <f t="shared" si="67"/>
        <v>0</v>
      </c>
      <c r="F260" s="749">
        <f t="shared" si="77"/>
        <v>0</v>
      </c>
      <c r="G260" s="750"/>
      <c r="H260" s="1597">
        <f t="shared" si="68"/>
        <v>0</v>
      </c>
      <c r="I260" s="751">
        <v>0</v>
      </c>
      <c r="J260" s="1616">
        <v>0</v>
      </c>
      <c r="K260" s="1599">
        <f t="shared" si="69"/>
        <v>0</v>
      </c>
      <c r="L260" s="752"/>
      <c r="M260" s="1604">
        <f t="shared" si="70"/>
        <v>0</v>
      </c>
      <c r="N260" s="1601">
        <f t="shared" si="71"/>
        <v>0</v>
      </c>
      <c r="O260" s="1601">
        <f t="shared" si="72"/>
        <v>0</v>
      </c>
      <c r="P260" s="1602">
        <f t="shared" si="73"/>
        <v>0</v>
      </c>
      <c r="Q260" s="1603">
        <f t="shared" si="74"/>
        <v>0</v>
      </c>
      <c r="R260" s="753">
        <f>-'App.2-BA_Fixed Asset Cont'!I303</f>
        <v>0</v>
      </c>
      <c r="S260" s="110">
        <f t="shared" si="75"/>
        <v>0</v>
      </c>
    </row>
    <row r="261" spans="1:19" ht="14.25" hidden="1" x14ac:dyDescent="0.2">
      <c r="A261" s="105">
        <v>1960</v>
      </c>
      <c r="B261" s="754" t="s">
        <v>191</v>
      </c>
      <c r="C261" s="749">
        <f t="shared" si="78"/>
        <v>0</v>
      </c>
      <c r="D261" s="750">
        <v>0</v>
      </c>
      <c r="E261" s="1597">
        <f t="shared" si="67"/>
        <v>0</v>
      </c>
      <c r="F261" s="749">
        <f t="shared" si="77"/>
        <v>0</v>
      </c>
      <c r="G261" s="750"/>
      <c r="H261" s="1597">
        <f t="shared" si="68"/>
        <v>0</v>
      </c>
      <c r="I261" s="751">
        <v>0</v>
      </c>
      <c r="J261" s="1616">
        <v>0</v>
      </c>
      <c r="K261" s="1599">
        <f t="shared" si="69"/>
        <v>0</v>
      </c>
      <c r="L261" s="752">
        <v>0</v>
      </c>
      <c r="M261" s="1604">
        <f t="shared" si="70"/>
        <v>0</v>
      </c>
      <c r="N261" s="1601">
        <f t="shared" si="71"/>
        <v>0</v>
      </c>
      <c r="O261" s="1601">
        <f t="shared" si="72"/>
        <v>0</v>
      </c>
      <c r="P261" s="1602">
        <f t="shared" si="73"/>
        <v>0</v>
      </c>
      <c r="Q261" s="1603">
        <f t="shared" si="74"/>
        <v>0</v>
      </c>
      <c r="R261" s="753">
        <f>-'App.2-BA_Fixed Asset Cont'!I304</f>
        <v>0</v>
      </c>
      <c r="S261" s="110">
        <f t="shared" si="75"/>
        <v>0</v>
      </c>
    </row>
    <row r="262" spans="1:19" ht="14.25" hidden="1" x14ac:dyDescent="0.2">
      <c r="A262" s="102">
        <v>1970</v>
      </c>
      <c r="B262" s="756" t="s">
        <v>410</v>
      </c>
      <c r="C262" s="749">
        <f t="shared" si="78"/>
        <v>0</v>
      </c>
      <c r="D262" s="750">
        <v>0</v>
      </c>
      <c r="E262" s="1597">
        <f t="shared" si="67"/>
        <v>0</v>
      </c>
      <c r="F262" s="749">
        <f t="shared" si="77"/>
        <v>0</v>
      </c>
      <c r="G262" s="750"/>
      <c r="H262" s="1597">
        <f t="shared" si="68"/>
        <v>0</v>
      </c>
      <c r="I262" s="751">
        <v>0</v>
      </c>
      <c r="J262" s="1616">
        <v>0</v>
      </c>
      <c r="K262" s="1599">
        <f t="shared" si="69"/>
        <v>0</v>
      </c>
      <c r="L262" s="752">
        <v>0</v>
      </c>
      <c r="M262" s="1604">
        <f t="shared" si="70"/>
        <v>0</v>
      </c>
      <c r="N262" s="1601">
        <f t="shared" si="71"/>
        <v>0</v>
      </c>
      <c r="O262" s="1601">
        <f t="shared" si="72"/>
        <v>0</v>
      </c>
      <c r="P262" s="1602">
        <f t="shared" si="73"/>
        <v>0</v>
      </c>
      <c r="Q262" s="1603">
        <f t="shared" si="74"/>
        <v>0</v>
      </c>
      <c r="R262" s="753">
        <f>-'App.2-BA_Fixed Asset Cont'!I305</f>
        <v>0</v>
      </c>
      <c r="S262" s="110">
        <f t="shared" si="75"/>
        <v>0</v>
      </c>
    </row>
    <row r="263" spans="1:19" ht="14.25" hidden="1" x14ac:dyDescent="0.2">
      <c r="A263" s="105">
        <v>1975</v>
      </c>
      <c r="B263" s="754" t="s">
        <v>255</v>
      </c>
      <c r="C263" s="749">
        <f t="shared" si="78"/>
        <v>0</v>
      </c>
      <c r="D263" s="750">
        <v>0</v>
      </c>
      <c r="E263" s="1597">
        <f t="shared" si="67"/>
        <v>0</v>
      </c>
      <c r="F263" s="749">
        <f t="shared" si="77"/>
        <v>0</v>
      </c>
      <c r="G263" s="750"/>
      <c r="H263" s="1597">
        <f t="shared" si="68"/>
        <v>0</v>
      </c>
      <c r="I263" s="751">
        <v>0</v>
      </c>
      <c r="J263" s="1616">
        <v>0</v>
      </c>
      <c r="K263" s="1599">
        <f t="shared" si="69"/>
        <v>0</v>
      </c>
      <c r="L263" s="752">
        <v>0</v>
      </c>
      <c r="M263" s="1604">
        <f t="shared" si="70"/>
        <v>0</v>
      </c>
      <c r="N263" s="1601">
        <f t="shared" si="71"/>
        <v>0</v>
      </c>
      <c r="O263" s="1601">
        <f t="shared" si="72"/>
        <v>0</v>
      </c>
      <c r="P263" s="1602">
        <f t="shared" si="73"/>
        <v>0</v>
      </c>
      <c r="Q263" s="1603">
        <f t="shared" si="74"/>
        <v>0</v>
      </c>
      <c r="R263" s="753">
        <f>-'App.2-BA_Fixed Asset Cont'!I306</f>
        <v>0</v>
      </c>
      <c r="S263" s="110">
        <f t="shared" si="75"/>
        <v>0</v>
      </c>
    </row>
    <row r="264" spans="1:19" ht="14.25" x14ac:dyDescent="0.2">
      <c r="A264" s="105">
        <v>1980</v>
      </c>
      <c r="B264" s="754" t="s">
        <v>256</v>
      </c>
      <c r="C264" s="749">
        <f t="shared" si="78"/>
        <v>1573528.65</v>
      </c>
      <c r="D264" s="750">
        <v>1274629.6876041666</v>
      </c>
      <c r="E264" s="1597">
        <f t="shared" si="67"/>
        <v>298898.96239583334</v>
      </c>
      <c r="F264" s="749">
        <f t="shared" si="77"/>
        <v>425383.76999999996</v>
      </c>
      <c r="G264" s="750"/>
      <c r="H264" s="1597">
        <f t="shared" si="68"/>
        <v>425383.76999999996</v>
      </c>
      <c r="I264" s="751">
        <v>138470</v>
      </c>
      <c r="J264" s="1616">
        <v>12.810749149649221</v>
      </c>
      <c r="K264" s="1599">
        <f>IF(J264=0,0,1/J264)</f>
        <v>7.80594474467078E-2</v>
      </c>
      <c r="L264" s="752">
        <v>20</v>
      </c>
      <c r="M264" s="1604">
        <f t="shared" si="70"/>
        <v>0.05</v>
      </c>
      <c r="N264" s="1601">
        <f t="shared" si="71"/>
        <v>23331.887847013044</v>
      </c>
      <c r="O264" s="1601">
        <f t="shared" si="72"/>
        <v>21269.188499999997</v>
      </c>
      <c r="P264" s="1602">
        <f t="shared" si="73"/>
        <v>3461.75</v>
      </c>
      <c r="Q264" s="1603">
        <f t="shared" si="74"/>
        <v>48062.826347013041</v>
      </c>
      <c r="R264" s="753">
        <f>-'App.2-BA_Fixed Asset Cont'!I307</f>
        <v>48130</v>
      </c>
      <c r="S264" s="110">
        <f t="shared" si="75"/>
        <v>67.173652986959496</v>
      </c>
    </row>
    <row r="265" spans="1:19" ht="14.25" x14ac:dyDescent="0.2">
      <c r="A265" s="105">
        <v>1985</v>
      </c>
      <c r="B265" s="754" t="s">
        <v>257</v>
      </c>
      <c r="C265" s="749">
        <f t="shared" si="78"/>
        <v>42116.86</v>
      </c>
      <c r="D265" s="750">
        <v>42116.858000000007</v>
      </c>
      <c r="E265" s="1597">
        <f t="shared" si="67"/>
        <v>1.999999993131496E-3</v>
      </c>
      <c r="F265" s="749">
        <f t="shared" si="77"/>
        <v>0</v>
      </c>
      <c r="G265" s="750"/>
      <c r="H265" s="1597">
        <f t="shared" si="68"/>
        <v>0</v>
      </c>
      <c r="I265" s="751"/>
      <c r="J265" s="1616">
        <v>0</v>
      </c>
      <c r="K265" s="1599">
        <f t="shared" si="69"/>
        <v>0</v>
      </c>
      <c r="L265" s="752"/>
      <c r="M265" s="1604">
        <f t="shared" si="70"/>
        <v>0</v>
      </c>
      <c r="N265" s="1601">
        <f t="shared" si="71"/>
        <v>0</v>
      </c>
      <c r="O265" s="1601">
        <f t="shared" si="72"/>
        <v>0</v>
      </c>
      <c r="P265" s="1602">
        <f t="shared" si="73"/>
        <v>0</v>
      </c>
      <c r="Q265" s="1603">
        <f t="shared" si="74"/>
        <v>0</v>
      </c>
      <c r="R265" s="753"/>
      <c r="S265" s="110">
        <f t="shared" si="75"/>
        <v>0</v>
      </c>
    </row>
    <row r="266" spans="1:19" ht="14.25" hidden="1" x14ac:dyDescent="0.2">
      <c r="A266" s="105">
        <v>1990</v>
      </c>
      <c r="B266" s="1614" t="s">
        <v>411</v>
      </c>
      <c r="C266" s="749"/>
      <c r="D266" s="749"/>
      <c r="F266" s="749">
        <f t="shared" si="77"/>
        <v>0</v>
      </c>
      <c r="G266" s="750"/>
      <c r="H266" s="1597">
        <f t="shared" si="68"/>
        <v>0</v>
      </c>
      <c r="I266" s="751"/>
      <c r="J266" s="1616">
        <v>0</v>
      </c>
      <c r="K266" s="1599">
        <f t="shared" si="69"/>
        <v>0</v>
      </c>
      <c r="L266" s="752">
        <v>0</v>
      </c>
      <c r="M266" s="1604">
        <f t="shared" si="70"/>
        <v>0</v>
      </c>
      <c r="N266" s="1601">
        <f t="shared" si="71"/>
        <v>0</v>
      </c>
      <c r="O266" s="1601">
        <f t="shared" si="72"/>
        <v>0</v>
      </c>
      <c r="P266" s="1602">
        <f t="shared" si="73"/>
        <v>0</v>
      </c>
      <c r="Q266" s="1603">
        <f t="shared" si="74"/>
        <v>0</v>
      </c>
      <c r="R266" s="753"/>
      <c r="S266" s="110">
        <f t="shared" si="75"/>
        <v>0</v>
      </c>
    </row>
    <row r="267" spans="1:19" ht="14.25" hidden="1" x14ac:dyDescent="0.2">
      <c r="A267" s="105">
        <v>1995</v>
      </c>
      <c r="B267" s="754" t="s">
        <v>258</v>
      </c>
      <c r="C267" s="749">
        <f>C214</f>
        <v>0</v>
      </c>
      <c r="D267" s="750">
        <v>0</v>
      </c>
      <c r="E267" s="1597">
        <f>C267-D267</f>
        <v>0</v>
      </c>
      <c r="F267" s="749"/>
      <c r="G267" s="750"/>
      <c r="H267" s="1597"/>
      <c r="I267" s="751"/>
      <c r="J267" s="1616">
        <v>0</v>
      </c>
      <c r="K267" s="1599">
        <f t="shared" si="69"/>
        <v>0</v>
      </c>
      <c r="L267" s="752"/>
      <c r="M267" s="1604">
        <f>IF(L268=0,0,1/L268)</f>
        <v>2.6325528169612297E-2</v>
      </c>
      <c r="N267" s="1601">
        <f t="shared" si="71"/>
        <v>0</v>
      </c>
      <c r="O267" s="1601"/>
      <c r="P267" s="1602"/>
      <c r="Q267" s="1603"/>
      <c r="R267" s="753"/>
      <c r="S267" s="110">
        <f t="shared" si="75"/>
        <v>0</v>
      </c>
    </row>
    <row r="268" spans="1:19" ht="14.25" x14ac:dyDescent="0.2">
      <c r="A268" s="1664">
        <v>2440</v>
      </c>
      <c r="B268" s="754" t="s">
        <v>1532</v>
      </c>
      <c r="C268" s="1674"/>
      <c r="D268" s="1675"/>
      <c r="E268" s="1597">
        <f>C268-D268</f>
        <v>0</v>
      </c>
      <c r="F268" s="749">
        <f>F216+I216</f>
        <v>-3141355.8299999996</v>
      </c>
      <c r="G268" s="1675"/>
      <c r="H268" s="1597">
        <f>F268-G267</f>
        <v>-3141355.8299999996</v>
      </c>
      <c r="I268" s="751">
        <v>-707218.59000000008</v>
      </c>
      <c r="J268" s="1616"/>
      <c r="K268" s="1599">
        <f t="shared" si="69"/>
        <v>0</v>
      </c>
      <c r="L268" s="752">
        <f>-(H268+(I268/2))/'App.2-BA_Fixed Asset Cont'!I311</f>
        <v>37.985942525335751</v>
      </c>
      <c r="M268" s="1604">
        <f>IF(L269=0,0,1/L269)</f>
        <v>0</v>
      </c>
      <c r="N268" s="1601">
        <f t="shared" si="71"/>
        <v>0</v>
      </c>
      <c r="O268" s="1601">
        <f>IF(L268=0,0,+H268/L268)</f>
        <v>-82697.851393440811</v>
      </c>
      <c r="P268" s="1602">
        <f>IF(L268=0,0,+(I268*0.5)/L268)</f>
        <v>-9308.9514565592453</v>
      </c>
      <c r="Q268" s="1603">
        <f>IF(ISERROR(+N267+O268+P268), 0, +N267+O268+P268)</f>
        <v>-92006.802850000051</v>
      </c>
      <c r="R268" s="753">
        <f>-'App.2-BA_Fixed Asset Cont'!I311</f>
        <v>-92006.802850000051</v>
      </c>
      <c r="S268" s="110">
        <f t="shared" si="75"/>
        <v>0</v>
      </c>
    </row>
    <row r="269" spans="1:19" ht="15" thickBot="1" x14ac:dyDescent="0.25">
      <c r="A269" s="1664"/>
      <c r="B269" s="1665" t="s">
        <v>1533</v>
      </c>
      <c r="C269" s="1660">
        <f>C217</f>
        <v>-129739</v>
      </c>
      <c r="D269" s="1661">
        <v>-129739</v>
      </c>
      <c r="E269" s="1597">
        <f>C269-D269</f>
        <v>0</v>
      </c>
      <c r="F269" s="1660"/>
      <c r="G269" s="1661"/>
      <c r="H269" s="1597">
        <f t="shared" si="68"/>
        <v>0</v>
      </c>
      <c r="I269" s="1672"/>
      <c r="J269" s="1673"/>
      <c r="K269" s="1599">
        <f t="shared" si="69"/>
        <v>0</v>
      </c>
      <c r="L269" s="752">
        <v>0</v>
      </c>
      <c r="M269" s="1604">
        <f t="shared" si="70"/>
        <v>0</v>
      </c>
      <c r="N269" s="1601">
        <f t="shared" si="71"/>
        <v>0</v>
      </c>
      <c r="O269" s="1601">
        <f t="shared" si="72"/>
        <v>0</v>
      </c>
      <c r="P269" s="1602">
        <f t="shared" si="73"/>
        <v>0</v>
      </c>
      <c r="Q269" s="1603">
        <f t="shared" si="74"/>
        <v>0</v>
      </c>
      <c r="R269" s="1661"/>
      <c r="S269" s="110">
        <f t="shared" si="75"/>
        <v>0</v>
      </c>
    </row>
    <row r="270" spans="1:19" ht="15.75" thickTop="1" thickBot="1" x14ac:dyDescent="0.25">
      <c r="A270" s="124"/>
      <c r="B270" s="757" t="s">
        <v>259</v>
      </c>
      <c r="C270" s="1617">
        <f>SUM(C224:C269)</f>
        <v>181994221.14990482</v>
      </c>
      <c r="D270" s="1617">
        <f>SUM(D224:D269)</f>
        <v>117065759.91971503</v>
      </c>
      <c r="E270" s="1617">
        <f>SUM(E224:E269)</f>
        <v>64928461.230189696</v>
      </c>
      <c r="F270" s="1617">
        <f>SUM(F224:F268)</f>
        <v>30188263.940000005</v>
      </c>
      <c r="G270" s="1617">
        <f>SUM(G224:G267)</f>
        <v>0</v>
      </c>
      <c r="H270" s="1617">
        <f>SUM(H224:H268)</f>
        <v>30188263.940000005</v>
      </c>
      <c r="I270" s="1618">
        <f>SUM(I224:I268)</f>
        <v>8785014.6400000006</v>
      </c>
      <c r="J270" s="1617"/>
      <c r="K270" s="1619"/>
      <c r="L270" s="1620"/>
      <c r="M270" s="1621"/>
      <c r="N270" s="1617">
        <f>SUM(N224:N269)</f>
        <v>2901467.81244177</v>
      </c>
      <c r="O270" s="1622">
        <f>SUM(O224:O269)</f>
        <v>1076804.5568676703</v>
      </c>
      <c r="P270" s="1622">
        <f>SUM(P224:P269)</f>
        <v>142894.9765517741</v>
      </c>
      <c r="Q270" s="1623">
        <f>SUM(Q224:Q269)</f>
        <v>4121167.3458612147</v>
      </c>
      <c r="R270" s="1624">
        <f>SUM(R224:R269)</f>
        <v>4121372.3228168436</v>
      </c>
      <c r="S270" s="1622">
        <f>SUM(S224:S268)</f>
        <v>204.97695562872104</v>
      </c>
    </row>
    <row r="271" spans="1:19" ht="14.25" x14ac:dyDescent="0.2">
      <c r="A271" s="128"/>
      <c r="B271" s="129"/>
      <c r="C271" s="130"/>
      <c r="D271" s="130"/>
      <c r="E271" s="130"/>
      <c r="F271" s="130"/>
      <c r="G271" s="130"/>
      <c r="H271" s="130"/>
      <c r="I271" s="130"/>
      <c r="J271" s="130"/>
      <c r="K271" s="1629"/>
      <c r="L271" s="758"/>
      <c r="M271" s="759"/>
      <c r="N271" s="130"/>
      <c r="O271" s="130"/>
      <c r="P271" s="130"/>
      <c r="Q271" s="130"/>
      <c r="R271" s="130"/>
      <c r="S271" s="130"/>
    </row>
    <row r="272" spans="1:19" ht="15" thickBot="1" x14ac:dyDescent="0.25">
      <c r="A272" s="128"/>
      <c r="B272" s="129"/>
      <c r="C272" s="130"/>
      <c r="D272" s="130"/>
      <c r="E272" s="130"/>
      <c r="F272" s="130"/>
      <c r="G272" s="130"/>
      <c r="H272" s="130"/>
      <c r="I272" s="130"/>
      <c r="J272" s="130"/>
      <c r="K272" s="130"/>
      <c r="L272" s="758"/>
      <c r="M272" s="759"/>
      <c r="N272" s="130"/>
      <c r="O272" s="130"/>
      <c r="P272" s="130"/>
      <c r="Q272" s="130"/>
      <c r="R272" s="130"/>
      <c r="S272" s="130"/>
    </row>
    <row r="273" spans="1:25" ht="18.75" customHeight="1" thickBot="1" x14ac:dyDescent="0.3">
      <c r="A273" s="1615">
        <v>2018</v>
      </c>
      <c r="B273" s="1615"/>
      <c r="C273" s="2007" t="s">
        <v>1027</v>
      </c>
      <c r="D273" s="2008"/>
      <c r="E273" s="2008"/>
      <c r="F273" s="2008"/>
      <c r="G273" s="2008"/>
      <c r="H273" s="2008"/>
      <c r="I273" s="2009"/>
      <c r="J273" s="2010" t="s">
        <v>1028</v>
      </c>
      <c r="K273" s="2011"/>
      <c r="L273" s="2011"/>
      <c r="M273" s="2011"/>
      <c r="N273" s="2010" t="s">
        <v>1029</v>
      </c>
      <c r="O273" s="2011"/>
      <c r="P273" s="2011"/>
      <c r="Q273" s="2012"/>
      <c r="R273" s="1615"/>
      <c r="S273" s="1615"/>
      <c r="Y273" s="38">
        <v>2018</v>
      </c>
    </row>
    <row r="274" spans="1:25" ht="87" customHeight="1" x14ac:dyDescent="0.2">
      <c r="A274" s="2003" t="s">
        <v>3</v>
      </c>
      <c r="B274" s="2005" t="s">
        <v>205</v>
      </c>
      <c r="C274" s="731" t="s">
        <v>1030</v>
      </c>
      <c r="D274" s="732" t="s">
        <v>1031</v>
      </c>
      <c r="E274" s="733" t="s">
        <v>1032</v>
      </c>
      <c r="F274" s="731" t="s">
        <v>1033</v>
      </c>
      <c r="G274" s="732" t="s">
        <v>1034</v>
      </c>
      <c r="H274" s="733" t="s">
        <v>1035</v>
      </c>
      <c r="I274" s="734" t="s">
        <v>1036</v>
      </c>
      <c r="J274" s="731" t="s">
        <v>1037</v>
      </c>
      <c r="K274" s="735" t="s">
        <v>1038</v>
      </c>
      <c r="L274" s="735" t="s">
        <v>1039</v>
      </c>
      <c r="M274" s="736" t="s">
        <v>326</v>
      </c>
      <c r="N274" s="731" t="s">
        <v>1040</v>
      </c>
      <c r="O274" s="735" t="s">
        <v>1041</v>
      </c>
      <c r="P274" s="735" t="s">
        <v>1042</v>
      </c>
      <c r="Q274" s="733" t="s">
        <v>1043</v>
      </c>
      <c r="R274" s="737" t="s">
        <v>1044</v>
      </c>
      <c r="S274" s="738" t="s">
        <v>1045</v>
      </c>
    </row>
    <row r="275" spans="1:25" ht="13.5" thickBot="1" x14ac:dyDescent="0.25">
      <c r="A275" s="2004"/>
      <c r="B275" s="2006"/>
      <c r="C275" s="739" t="s">
        <v>1046</v>
      </c>
      <c r="D275" s="126" t="s">
        <v>1047</v>
      </c>
      <c r="E275" s="127" t="s">
        <v>1048</v>
      </c>
      <c r="F275" s="739" t="s">
        <v>1049</v>
      </c>
      <c r="G275" s="126" t="s">
        <v>662</v>
      </c>
      <c r="H275" s="127" t="s">
        <v>1050</v>
      </c>
      <c r="I275" s="740" t="s">
        <v>1051</v>
      </c>
      <c r="J275" s="741" t="s">
        <v>1052</v>
      </c>
      <c r="K275" s="742" t="s">
        <v>1053</v>
      </c>
      <c r="L275" s="126" t="s">
        <v>1054</v>
      </c>
      <c r="M275" s="742" t="s">
        <v>1055</v>
      </c>
      <c r="N275" s="743" t="s">
        <v>1056</v>
      </c>
      <c r="O275" s="744" t="s">
        <v>1057</v>
      </c>
      <c r="P275" s="744" t="s">
        <v>1058</v>
      </c>
      <c r="Q275" s="745" t="s">
        <v>1059</v>
      </c>
      <c r="R275" s="746" t="s">
        <v>1060</v>
      </c>
      <c r="S275" s="127" t="s">
        <v>1061</v>
      </c>
    </row>
    <row r="276" spans="1:25" ht="25.5" x14ac:dyDescent="0.2">
      <c r="A276" s="747">
        <v>1611</v>
      </c>
      <c r="B276" s="748" t="s">
        <v>325</v>
      </c>
      <c r="C276" s="749">
        <f t="shared" ref="C276:C287" si="79">C224</f>
        <v>391465.09</v>
      </c>
      <c r="D276" s="750">
        <f>D224+6728</f>
        <v>391465</v>
      </c>
      <c r="E276" s="1597">
        <f>C276-D276</f>
        <v>9.0000000025611371E-2</v>
      </c>
      <c r="F276" s="749">
        <f t="shared" ref="F276:F287" si="80">F224+I224</f>
        <v>278205.17</v>
      </c>
      <c r="G276" s="750"/>
      <c r="H276" s="1597">
        <f>F276-G276</f>
        <v>278205.17</v>
      </c>
      <c r="I276" s="753">
        <v>0</v>
      </c>
      <c r="J276" s="1630">
        <v>0</v>
      </c>
      <c r="K276" s="1599">
        <f>IF(J276=0,0,1/J276)</f>
        <v>0</v>
      </c>
      <c r="L276" s="752">
        <v>5</v>
      </c>
      <c r="M276" s="1600">
        <f>IF(L276=0,0,1/L276)</f>
        <v>0.2</v>
      </c>
      <c r="N276" s="1601">
        <f>IF(J276=0,0,+E276/J276)</f>
        <v>0</v>
      </c>
      <c r="O276" s="1601">
        <f>IF(L276=0,0,+H276/L276)</f>
        <v>55641.034</v>
      </c>
      <c r="P276" s="1602">
        <f>IF(L276=0,0,+(I276*0.5)/L276)</f>
        <v>0</v>
      </c>
      <c r="Q276" s="1603">
        <f>IF(ISERROR(+N276+O276+P276), 0, +N276+O276+P276)</f>
        <v>55641.034</v>
      </c>
      <c r="R276" s="753">
        <f>-'App.2-BA_Fixed Asset Cont'!I337</f>
        <v>45500</v>
      </c>
      <c r="S276" s="110">
        <f>IF(ISERROR(+R276-122), 0, +R276-Q276)</f>
        <v>-10141.034</v>
      </c>
    </row>
    <row r="277" spans="1:25" ht="14.25" x14ac:dyDescent="0.2">
      <c r="A277" s="105">
        <v>1612</v>
      </c>
      <c r="B277" s="754" t="s">
        <v>360</v>
      </c>
      <c r="C277" s="749">
        <f t="shared" si="79"/>
        <v>0</v>
      </c>
      <c r="D277" s="750">
        <f t="shared" ref="D277:D287" si="81">D225</f>
        <v>0</v>
      </c>
      <c r="E277" s="1597">
        <f t="shared" ref="E277:E323" si="82">C277-D277</f>
        <v>0</v>
      </c>
      <c r="F277" s="749">
        <f t="shared" si="80"/>
        <v>52023.42</v>
      </c>
      <c r="G277" s="750"/>
      <c r="H277" s="1597">
        <f t="shared" ref="H277:H323" si="83">F277-G277</f>
        <v>52023.42</v>
      </c>
      <c r="I277" s="753">
        <v>0</v>
      </c>
      <c r="J277" s="1616"/>
      <c r="K277" s="1599">
        <f t="shared" ref="K277:K323" si="84">IF(J277=0,0,1/J277)</f>
        <v>0</v>
      </c>
      <c r="L277" s="752">
        <v>0</v>
      </c>
      <c r="M277" s="1600">
        <f t="shared" ref="M277:M323" si="85">IF(L277=0,0,1/L277)</f>
        <v>0</v>
      </c>
      <c r="N277" s="1601">
        <f t="shared" ref="N277:N323" si="86">IF(J277=0,0,+E277/J277)</f>
        <v>0</v>
      </c>
      <c r="O277" s="1601">
        <f t="shared" ref="O277:O323" si="87">IF(L277=0,0,+H277/L277)</f>
        <v>0</v>
      </c>
      <c r="P277" s="1602">
        <f t="shared" ref="P277:P323" si="88">IF(L277=0,0,+(I277*0.5)/L277)</f>
        <v>0</v>
      </c>
      <c r="Q277" s="1603">
        <f t="shared" ref="Q277:Q323" si="89">IF(ISERROR(+N277+O277+P277), 0, +N277+O277+P277)</f>
        <v>0</v>
      </c>
      <c r="R277" s="753">
        <f>-'App.2-BA_Fixed Asset Cont'!I338</f>
        <v>0</v>
      </c>
      <c r="S277" s="110">
        <f t="shared" ref="S277:S323" si="90">IF(ISERROR(+R277-122), 0, +R277-Q277)</f>
        <v>0</v>
      </c>
    </row>
    <row r="278" spans="1:25" ht="14.25" x14ac:dyDescent="0.2">
      <c r="A278" s="102">
        <v>1805</v>
      </c>
      <c r="B278" s="755" t="s">
        <v>236</v>
      </c>
      <c r="C278" s="749">
        <f t="shared" si="79"/>
        <v>858551.45999999985</v>
      </c>
      <c r="D278" s="750">
        <f t="shared" si="81"/>
        <v>0</v>
      </c>
      <c r="E278" s="1597">
        <f t="shared" si="82"/>
        <v>858551.45999999985</v>
      </c>
      <c r="F278" s="749">
        <f t="shared" si="80"/>
        <v>81527.34</v>
      </c>
      <c r="G278" s="750"/>
      <c r="H278" s="1597">
        <f t="shared" si="83"/>
        <v>81527.34</v>
      </c>
      <c r="I278" s="753">
        <v>0</v>
      </c>
      <c r="J278" s="1616"/>
      <c r="K278" s="1599">
        <f t="shared" si="84"/>
        <v>0</v>
      </c>
      <c r="L278" s="752">
        <v>0</v>
      </c>
      <c r="M278" s="1600">
        <f t="shared" si="85"/>
        <v>0</v>
      </c>
      <c r="N278" s="1601">
        <f t="shared" si="86"/>
        <v>0</v>
      </c>
      <c r="O278" s="1601">
        <f t="shared" si="87"/>
        <v>0</v>
      </c>
      <c r="P278" s="1602">
        <f t="shared" si="88"/>
        <v>0</v>
      </c>
      <c r="Q278" s="1603">
        <f t="shared" si="89"/>
        <v>0</v>
      </c>
      <c r="R278" s="753">
        <f>-'App.2-BA_Fixed Asset Cont'!I339</f>
        <v>0</v>
      </c>
      <c r="S278" s="110">
        <f t="shared" si="90"/>
        <v>0</v>
      </c>
    </row>
    <row r="279" spans="1:25" ht="14.25" x14ac:dyDescent="0.2">
      <c r="A279" s="105">
        <v>1808</v>
      </c>
      <c r="B279" s="754" t="s">
        <v>237</v>
      </c>
      <c r="C279" s="749">
        <f t="shared" si="79"/>
        <v>10129356.539999999</v>
      </c>
      <c r="D279" s="750">
        <f t="shared" si="81"/>
        <v>4624660.5143232271</v>
      </c>
      <c r="E279" s="1597">
        <f t="shared" si="82"/>
        <v>5504696.025676772</v>
      </c>
      <c r="F279" s="749">
        <f t="shared" si="80"/>
        <v>1710981.1700000002</v>
      </c>
      <c r="G279" s="750"/>
      <c r="H279" s="1597">
        <f t="shared" si="83"/>
        <v>1710981.1700000002</v>
      </c>
      <c r="I279" s="753">
        <v>177907.41</v>
      </c>
      <c r="J279" s="1616">
        <v>23.277773664693399</v>
      </c>
      <c r="K279" s="1599">
        <f>IF(J279=0,0,1/J279)</f>
        <v>4.2959434798386736E-2</v>
      </c>
      <c r="L279" s="752">
        <v>25</v>
      </c>
      <c r="M279" s="1600">
        <f t="shared" si="85"/>
        <v>0.04</v>
      </c>
      <c r="N279" s="1601">
        <f t="shared" si="86"/>
        <v>236478.62999999989</v>
      </c>
      <c r="O279" s="1601">
        <f t="shared" si="87"/>
        <v>68439.246800000008</v>
      </c>
      <c r="P279" s="1602">
        <f t="shared" si="88"/>
        <v>3558.1482000000001</v>
      </c>
      <c r="Q279" s="1603">
        <f t="shared" si="89"/>
        <v>308476.02499999991</v>
      </c>
      <c r="R279" s="753">
        <f>-'App.2-BA_Fixed Asset Cont'!I340-68009-22332</f>
        <v>310495</v>
      </c>
      <c r="S279" s="110">
        <f t="shared" si="90"/>
        <v>2018.9750000000931</v>
      </c>
    </row>
    <row r="280" spans="1:25" ht="14.25" x14ac:dyDescent="0.2">
      <c r="A280" s="105">
        <v>1808</v>
      </c>
      <c r="B280" s="754" t="s">
        <v>237</v>
      </c>
      <c r="C280" s="749">
        <f t="shared" si="79"/>
        <v>0</v>
      </c>
      <c r="D280" s="750">
        <f t="shared" si="81"/>
        <v>0</v>
      </c>
      <c r="E280" s="1597">
        <f t="shared" si="82"/>
        <v>0</v>
      </c>
      <c r="F280" s="749">
        <f t="shared" si="80"/>
        <v>1700229.71</v>
      </c>
      <c r="G280" s="750"/>
      <c r="H280" s="1597">
        <f t="shared" si="83"/>
        <v>1700229.71</v>
      </c>
      <c r="I280" s="753">
        <v>0</v>
      </c>
      <c r="J280" s="1616"/>
      <c r="K280" s="1599">
        <f t="shared" si="84"/>
        <v>0</v>
      </c>
      <c r="L280" s="752">
        <v>25</v>
      </c>
      <c r="M280" s="1600">
        <f t="shared" si="85"/>
        <v>0.04</v>
      </c>
      <c r="N280" s="1601">
        <f t="shared" si="86"/>
        <v>0</v>
      </c>
      <c r="O280" s="1601">
        <f t="shared" si="87"/>
        <v>68009.188399999999</v>
      </c>
      <c r="P280" s="1602">
        <f t="shared" si="88"/>
        <v>0</v>
      </c>
      <c r="Q280" s="1603">
        <f t="shared" si="89"/>
        <v>68009.188399999999</v>
      </c>
      <c r="R280" s="753">
        <v>68009</v>
      </c>
      <c r="S280" s="110">
        <f t="shared" si="90"/>
        <v>-0.18839999999909196</v>
      </c>
    </row>
    <row r="281" spans="1:25" ht="14.25" x14ac:dyDescent="0.2">
      <c r="A281" s="105">
        <v>1808</v>
      </c>
      <c r="B281" s="754" t="s">
        <v>237</v>
      </c>
      <c r="C281" s="749">
        <f t="shared" si="79"/>
        <v>0</v>
      </c>
      <c r="D281" s="750">
        <f t="shared" si="81"/>
        <v>0</v>
      </c>
      <c r="E281" s="1597">
        <f t="shared" si="82"/>
        <v>0</v>
      </c>
      <c r="F281" s="749">
        <f t="shared" si="80"/>
        <v>1116588</v>
      </c>
      <c r="G281" s="750"/>
      <c r="H281" s="1597">
        <f t="shared" si="83"/>
        <v>1116588</v>
      </c>
      <c r="I281" s="753">
        <v>0</v>
      </c>
      <c r="J281" s="1616"/>
      <c r="K281" s="1599">
        <f t="shared" si="84"/>
        <v>0</v>
      </c>
      <c r="L281" s="752">
        <v>50</v>
      </c>
      <c r="M281" s="1600">
        <f t="shared" si="85"/>
        <v>0.02</v>
      </c>
      <c r="N281" s="1601">
        <f t="shared" si="86"/>
        <v>0</v>
      </c>
      <c r="O281" s="1601">
        <f t="shared" si="87"/>
        <v>22331.759999999998</v>
      </c>
      <c r="P281" s="1602">
        <f t="shared" si="88"/>
        <v>0</v>
      </c>
      <c r="Q281" s="1603">
        <f t="shared" si="89"/>
        <v>22331.759999999998</v>
      </c>
      <c r="R281" s="753">
        <v>22332</v>
      </c>
      <c r="S281" s="110">
        <f t="shared" si="90"/>
        <v>0.24000000000160071</v>
      </c>
    </row>
    <row r="282" spans="1:25" ht="14.25" hidden="1" x14ac:dyDescent="0.2">
      <c r="A282" s="105">
        <v>1810</v>
      </c>
      <c r="B282" s="754" t="s">
        <v>262</v>
      </c>
      <c r="C282" s="749">
        <f t="shared" si="79"/>
        <v>0</v>
      </c>
      <c r="D282" s="750">
        <f t="shared" si="81"/>
        <v>0</v>
      </c>
      <c r="E282" s="1597">
        <f t="shared" si="82"/>
        <v>0</v>
      </c>
      <c r="F282" s="749">
        <f t="shared" si="80"/>
        <v>0</v>
      </c>
      <c r="G282" s="750"/>
      <c r="H282" s="1597">
        <f t="shared" si="83"/>
        <v>0</v>
      </c>
      <c r="I282" s="753"/>
      <c r="J282" s="1616"/>
      <c r="K282" s="1599">
        <f t="shared" si="84"/>
        <v>0</v>
      </c>
      <c r="L282" s="752">
        <v>0</v>
      </c>
      <c r="M282" s="1600">
        <f t="shared" si="85"/>
        <v>0</v>
      </c>
      <c r="N282" s="1601">
        <f t="shared" si="86"/>
        <v>0</v>
      </c>
      <c r="O282" s="1601">
        <f t="shared" si="87"/>
        <v>0</v>
      </c>
      <c r="P282" s="1602">
        <f t="shared" si="88"/>
        <v>0</v>
      </c>
      <c r="Q282" s="1603">
        <f t="shared" si="89"/>
        <v>0</v>
      </c>
      <c r="R282" s="753"/>
      <c r="S282" s="110">
        <f t="shared" si="90"/>
        <v>0</v>
      </c>
    </row>
    <row r="283" spans="1:25" ht="14.25" hidden="1" x14ac:dyDescent="0.2">
      <c r="A283" s="105">
        <v>1815</v>
      </c>
      <c r="B283" s="754" t="s">
        <v>238</v>
      </c>
      <c r="C283" s="749">
        <f t="shared" si="79"/>
        <v>0</v>
      </c>
      <c r="D283" s="750">
        <f t="shared" si="81"/>
        <v>0</v>
      </c>
      <c r="E283" s="1597">
        <f t="shared" si="82"/>
        <v>0</v>
      </c>
      <c r="F283" s="749">
        <f t="shared" si="80"/>
        <v>0</v>
      </c>
      <c r="G283" s="750"/>
      <c r="H283" s="1597">
        <f t="shared" si="83"/>
        <v>0</v>
      </c>
      <c r="I283" s="753">
        <v>0</v>
      </c>
      <c r="J283" s="1616"/>
      <c r="K283" s="1599">
        <f t="shared" si="84"/>
        <v>0</v>
      </c>
      <c r="L283" s="752">
        <v>0</v>
      </c>
      <c r="M283" s="1600">
        <f t="shared" si="85"/>
        <v>0</v>
      </c>
      <c r="N283" s="1601">
        <f t="shared" si="86"/>
        <v>0</v>
      </c>
      <c r="O283" s="1601">
        <f t="shared" si="87"/>
        <v>0</v>
      </c>
      <c r="P283" s="1602">
        <f t="shared" si="88"/>
        <v>0</v>
      </c>
      <c r="Q283" s="1603">
        <f t="shared" si="89"/>
        <v>0</v>
      </c>
      <c r="R283" s="753"/>
      <c r="S283" s="110">
        <f t="shared" si="90"/>
        <v>0</v>
      </c>
    </row>
    <row r="284" spans="1:25" ht="14.25" x14ac:dyDescent="0.2">
      <c r="A284" s="105">
        <v>1820</v>
      </c>
      <c r="B284" s="754" t="s">
        <v>178</v>
      </c>
      <c r="C284" s="749">
        <f t="shared" si="79"/>
        <v>17547705.690000001</v>
      </c>
      <c r="D284" s="750">
        <f t="shared" si="81"/>
        <v>11226787.926014977</v>
      </c>
      <c r="E284" s="1597">
        <f t="shared" si="82"/>
        <v>6320917.7639850248</v>
      </c>
      <c r="F284" s="749">
        <f t="shared" si="80"/>
        <v>1528257.09</v>
      </c>
      <c r="G284" s="750"/>
      <c r="H284" s="1597">
        <f t="shared" si="83"/>
        <v>1528257.09</v>
      </c>
      <c r="I284" s="753">
        <v>2336441.25</v>
      </c>
      <c r="J284" s="1616">
        <v>22.767280906139572</v>
      </c>
      <c r="K284" s="1599">
        <f t="shared" si="84"/>
        <v>4.3922680276252644E-2</v>
      </c>
      <c r="L284" s="752">
        <v>45</v>
      </c>
      <c r="M284" s="1600">
        <f t="shared" si="85"/>
        <v>2.2222222222222223E-2</v>
      </c>
      <c r="N284" s="1601">
        <f t="shared" si="86"/>
        <v>277631.65000000002</v>
      </c>
      <c r="O284" s="1601">
        <f t="shared" si="87"/>
        <v>33961.26866666667</v>
      </c>
      <c r="P284" s="1602">
        <f t="shared" si="88"/>
        <v>25960.458333333332</v>
      </c>
      <c r="Q284" s="1603">
        <f t="shared" si="89"/>
        <v>337553.37700000004</v>
      </c>
      <c r="R284" s="753">
        <f>-'App.2-BA_Fixed Asset Cont'!I343-18354-6498-3847-3000</f>
        <v>337357</v>
      </c>
      <c r="S284" s="110">
        <f t="shared" si="90"/>
        <v>-196.37700000003679</v>
      </c>
    </row>
    <row r="285" spans="1:25" ht="14.25" x14ac:dyDescent="0.2">
      <c r="A285" s="105">
        <v>1820</v>
      </c>
      <c r="B285" s="754" t="s">
        <v>178</v>
      </c>
      <c r="C285" s="749">
        <f t="shared" si="79"/>
        <v>0</v>
      </c>
      <c r="D285" s="750">
        <f t="shared" si="81"/>
        <v>0</v>
      </c>
      <c r="E285" s="1597">
        <f t="shared" si="82"/>
        <v>0</v>
      </c>
      <c r="F285" s="749">
        <f t="shared" si="80"/>
        <v>283409</v>
      </c>
      <c r="G285" s="750"/>
      <c r="H285" s="1597">
        <f t="shared" si="83"/>
        <v>283409</v>
      </c>
      <c r="I285" s="753">
        <v>167353.62</v>
      </c>
      <c r="J285" s="1616"/>
      <c r="K285" s="1599">
        <f t="shared" si="84"/>
        <v>0</v>
      </c>
      <c r="L285" s="752">
        <v>20</v>
      </c>
      <c r="M285" s="1600">
        <f t="shared" si="85"/>
        <v>0.05</v>
      </c>
      <c r="N285" s="1601">
        <f t="shared" si="86"/>
        <v>0</v>
      </c>
      <c r="O285" s="1601">
        <f t="shared" si="87"/>
        <v>14170.45</v>
      </c>
      <c r="P285" s="1602">
        <f t="shared" si="88"/>
        <v>4183.8405000000002</v>
      </c>
      <c r="Q285" s="1603">
        <f t="shared" si="89"/>
        <v>18354.290500000003</v>
      </c>
      <c r="R285" s="753">
        <v>18354</v>
      </c>
      <c r="S285" s="110">
        <f t="shared" si="90"/>
        <v>-0.29050000000279397</v>
      </c>
    </row>
    <row r="286" spans="1:25" ht="14.25" x14ac:dyDescent="0.2">
      <c r="A286" s="105">
        <v>1820</v>
      </c>
      <c r="B286" s="754" t="s">
        <v>178</v>
      </c>
      <c r="C286" s="749">
        <f t="shared" si="79"/>
        <v>0</v>
      </c>
      <c r="D286" s="750">
        <f t="shared" si="81"/>
        <v>0</v>
      </c>
      <c r="E286" s="1597">
        <f t="shared" si="82"/>
        <v>0</v>
      </c>
      <c r="F286" s="749">
        <f t="shared" si="80"/>
        <v>90327</v>
      </c>
      <c r="G286" s="750"/>
      <c r="H286" s="1597">
        <f t="shared" si="83"/>
        <v>90327</v>
      </c>
      <c r="I286" s="753">
        <v>144241.64000000001</v>
      </c>
      <c r="J286" s="1616"/>
      <c r="K286" s="1599">
        <f t="shared" si="84"/>
        <v>0</v>
      </c>
      <c r="L286" s="752">
        <v>25</v>
      </c>
      <c r="M286" s="1600">
        <f t="shared" si="85"/>
        <v>0.04</v>
      </c>
      <c r="N286" s="1601">
        <f t="shared" si="86"/>
        <v>0</v>
      </c>
      <c r="O286" s="1601">
        <f t="shared" si="87"/>
        <v>3613.08</v>
      </c>
      <c r="P286" s="1602">
        <f t="shared" si="88"/>
        <v>2884.8328000000001</v>
      </c>
      <c r="Q286" s="1603">
        <f t="shared" si="89"/>
        <v>6497.9128000000001</v>
      </c>
      <c r="R286" s="753">
        <v>6498</v>
      </c>
      <c r="S286" s="110">
        <f t="shared" si="90"/>
        <v>8.7199999999938882E-2</v>
      </c>
    </row>
    <row r="287" spans="1:25" ht="14.25" x14ac:dyDescent="0.2">
      <c r="A287" s="105">
        <v>1820</v>
      </c>
      <c r="B287" s="754" t="s">
        <v>178</v>
      </c>
      <c r="C287" s="749">
        <f t="shared" si="79"/>
        <v>0</v>
      </c>
      <c r="D287" s="750">
        <f t="shared" si="81"/>
        <v>0</v>
      </c>
      <c r="E287" s="1597">
        <f t="shared" si="82"/>
        <v>0</v>
      </c>
      <c r="F287" s="749">
        <f t="shared" si="80"/>
        <v>0</v>
      </c>
      <c r="G287" s="750"/>
      <c r="H287" s="1597">
        <f t="shared" si="83"/>
        <v>0</v>
      </c>
      <c r="I287" s="753">
        <v>384748.49</v>
      </c>
      <c r="J287" s="1616"/>
      <c r="K287" s="1599">
        <f t="shared" si="84"/>
        <v>0</v>
      </c>
      <c r="L287" s="752">
        <v>50</v>
      </c>
      <c r="M287" s="1600">
        <f t="shared" si="85"/>
        <v>0.02</v>
      </c>
      <c r="N287" s="1601">
        <f t="shared" si="86"/>
        <v>0</v>
      </c>
      <c r="O287" s="1601">
        <f t="shared" si="87"/>
        <v>0</v>
      </c>
      <c r="P287" s="1602">
        <f>IF(L287=0,0,+(I287*0.5)/L287)</f>
        <v>3847.4848999999999</v>
      </c>
      <c r="Q287" s="1603">
        <f t="shared" si="89"/>
        <v>3847.4848999999999</v>
      </c>
      <c r="R287" s="753">
        <v>3847</v>
      </c>
      <c r="S287" s="110">
        <f t="shared" si="90"/>
        <v>-0.48489999999992506</v>
      </c>
    </row>
    <row r="288" spans="1:25" ht="14.25" x14ac:dyDescent="0.2">
      <c r="A288" s="105">
        <v>1820</v>
      </c>
      <c r="B288" s="754" t="s">
        <v>178</v>
      </c>
      <c r="C288" s="749"/>
      <c r="D288" s="749"/>
      <c r="E288" s="1597">
        <f t="shared" si="82"/>
        <v>0</v>
      </c>
      <c r="F288" s="749"/>
      <c r="G288" s="750"/>
      <c r="H288" s="1597">
        <f t="shared" si="83"/>
        <v>0</v>
      </c>
      <c r="I288" s="753">
        <v>180000</v>
      </c>
      <c r="J288" s="1616"/>
      <c r="K288" s="1599">
        <f t="shared" si="84"/>
        <v>0</v>
      </c>
      <c r="L288" s="752">
        <v>30</v>
      </c>
      <c r="M288" s="1600">
        <f t="shared" si="85"/>
        <v>3.3333333333333333E-2</v>
      </c>
      <c r="N288" s="1601">
        <f t="shared" si="86"/>
        <v>0</v>
      </c>
      <c r="O288" s="1601">
        <f t="shared" si="87"/>
        <v>0</v>
      </c>
      <c r="P288" s="1602">
        <f t="shared" si="88"/>
        <v>3000</v>
      </c>
      <c r="Q288" s="1603">
        <f t="shared" si="89"/>
        <v>3000</v>
      </c>
      <c r="R288" s="753">
        <v>3000</v>
      </c>
      <c r="S288" s="110">
        <f t="shared" si="90"/>
        <v>0</v>
      </c>
    </row>
    <row r="289" spans="1:19" ht="14.25" hidden="1" x14ac:dyDescent="0.2">
      <c r="A289" s="105">
        <v>1825</v>
      </c>
      <c r="B289" s="754" t="s">
        <v>239</v>
      </c>
      <c r="C289" s="749"/>
      <c r="D289" s="749"/>
      <c r="E289" s="1597">
        <f t="shared" si="82"/>
        <v>0</v>
      </c>
      <c r="F289" s="749"/>
      <c r="G289" s="750"/>
      <c r="H289" s="1597">
        <f t="shared" si="83"/>
        <v>0</v>
      </c>
      <c r="I289" s="753"/>
      <c r="J289" s="1616"/>
      <c r="K289" s="1599">
        <f t="shared" si="84"/>
        <v>0</v>
      </c>
      <c r="L289" s="752">
        <v>0</v>
      </c>
      <c r="M289" s="1600">
        <f t="shared" si="85"/>
        <v>0</v>
      </c>
      <c r="N289" s="1601">
        <f t="shared" si="86"/>
        <v>0</v>
      </c>
      <c r="O289" s="1601">
        <f t="shared" si="87"/>
        <v>0</v>
      </c>
      <c r="P289" s="1602">
        <f t="shared" si="88"/>
        <v>0</v>
      </c>
      <c r="Q289" s="1603">
        <f t="shared" si="89"/>
        <v>0</v>
      </c>
      <c r="R289" s="753"/>
      <c r="S289" s="1611">
        <f t="shared" si="90"/>
        <v>0</v>
      </c>
    </row>
    <row r="290" spans="1:19" ht="14.25" x14ac:dyDescent="0.2">
      <c r="A290" s="105">
        <v>1830</v>
      </c>
      <c r="B290" s="754" t="s">
        <v>240</v>
      </c>
      <c r="C290" s="749">
        <f t="shared" ref="C290:D296" si="91">C236</f>
        <v>19238774.109999999</v>
      </c>
      <c r="D290" s="750">
        <f t="shared" si="91"/>
        <v>9065588.3328476083</v>
      </c>
      <c r="E290" s="1597">
        <f t="shared" si="82"/>
        <v>10173185.777152391</v>
      </c>
      <c r="F290" s="749">
        <f t="shared" ref="F290:F318" si="92">F236+I236</f>
        <v>7705197.7299999995</v>
      </c>
      <c r="G290" s="750"/>
      <c r="H290" s="1597">
        <f t="shared" si="83"/>
        <v>7705197.7299999995</v>
      </c>
      <c r="I290" s="753">
        <v>1893729</v>
      </c>
      <c r="J290" s="1616">
        <v>32.14516805347607</v>
      </c>
      <c r="K290" s="1599">
        <f t="shared" si="84"/>
        <v>3.1108874538668445E-2</v>
      </c>
      <c r="L290" s="752">
        <v>40</v>
      </c>
      <c r="M290" s="1600">
        <f t="shared" si="85"/>
        <v>2.5000000000000001E-2</v>
      </c>
      <c r="N290" s="1601">
        <f t="shared" si="86"/>
        <v>316476.36</v>
      </c>
      <c r="O290" s="1601">
        <f t="shared" si="87"/>
        <v>192629.94324999998</v>
      </c>
      <c r="P290" s="1602">
        <f t="shared" si="88"/>
        <v>23671.612499999999</v>
      </c>
      <c r="Q290" s="1603">
        <f t="shared" si="89"/>
        <v>532777.91575000004</v>
      </c>
      <c r="R290" s="753">
        <f>-'App.2-BA_Fixed Asset Cont'!I345</f>
        <v>532556</v>
      </c>
      <c r="S290" s="1611">
        <f t="shared" si="90"/>
        <v>-221.91575000004377</v>
      </c>
    </row>
    <row r="291" spans="1:19" ht="14.25" x14ac:dyDescent="0.2">
      <c r="A291" s="105">
        <v>1835</v>
      </c>
      <c r="B291" s="754" t="s">
        <v>179</v>
      </c>
      <c r="C291" s="749">
        <f t="shared" si="91"/>
        <v>38955843.480131179</v>
      </c>
      <c r="D291" s="750">
        <f t="shared" si="91"/>
        <v>28314245.019583322</v>
      </c>
      <c r="E291" s="1597">
        <f t="shared" si="82"/>
        <v>10641598.460547857</v>
      </c>
      <c r="F291" s="749">
        <f t="shared" si="92"/>
        <v>5232139.92</v>
      </c>
      <c r="G291" s="750"/>
      <c r="H291" s="1597">
        <f t="shared" si="83"/>
        <v>5232139.92</v>
      </c>
      <c r="I291" s="753">
        <v>892446</v>
      </c>
      <c r="J291" s="1616">
        <v>27.754472149665929</v>
      </c>
      <c r="K291" s="1599">
        <f t="shared" si="84"/>
        <v>3.6030229456626026E-2</v>
      </c>
      <c r="L291" s="752">
        <v>40</v>
      </c>
      <c r="M291" s="1600">
        <f t="shared" si="85"/>
        <v>2.5000000000000001E-2</v>
      </c>
      <c r="N291" s="1601">
        <f t="shared" si="86"/>
        <v>383419.23431881756</v>
      </c>
      <c r="O291" s="1601">
        <f t="shared" si="87"/>
        <v>130803.49799999999</v>
      </c>
      <c r="P291" s="1602">
        <f t="shared" si="88"/>
        <v>11155.575000000001</v>
      </c>
      <c r="Q291" s="1603">
        <f t="shared" si="89"/>
        <v>525378.30731881747</v>
      </c>
      <c r="R291" s="753">
        <f>-'App.2-BA_Fixed Asset Cont'!I346</f>
        <v>520325.71431881754</v>
      </c>
      <c r="S291" s="1611">
        <f t="shared" si="90"/>
        <v>-5052.5929999999353</v>
      </c>
    </row>
    <row r="292" spans="1:19" ht="14.25" x14ac:dyDescent="0.2">
      <c r="A292" s="105">
        <v>1840</v>
      </c>
      <c r="B292" s="754" t="s">
        <v>180</v>
      </c>
      <c r="C292" s="749">
        <f t="shared" si="91"/>
        <v>20841499.539999999</v>
      </c>
      <c r="D292" s="750">
        <f t="shared" si="91"/>
        <v>12176064.896733059</v>
      </c>
      <c r="E292" s="1597">
        <f t="shared" si="82"/>
        <v>8665434.6432669405</v>
      </c>
      <c r="F292" s="749">
        <f t="shared" si="92"/>
        <v>3416306.1900000004</v>
      </c>
      <c r="G292" s="750"/>
      <c r="H292" s="1597">
        <f t="shared" si="83"/>
        <v>3416306.1900000004</v>
      </c>
      <c r="I292" s="753">
        <v>346771.54000000004</v>
      </c>
      <c r="J292" s="1616">
        <v>38.326866273354732</v>
      </c>
      <c r="K292" s="1599">
        <f t="shared" si="84"/>
        <v>2.6091358288147112E-2</v>
      </c>
      <c r="L292" s="752">
        <v>50</v>
      </c>
      <c r="M292" s="1600">
        <f t="shared" si="85"/>
        <v>0.02</v>
      </c>
      <c r="N292" s="1601">
        <f t="shared" si="86"/>
        <v>226092.96</v>
      </c>
      <c r="O292" s="1601">
        <f t="shared" si="87"/>
        <v>68326.123800000001</v>
      </c>
      <c r="P292" s="1602">
        <f t="shared" si="88"/>
        <v>3467.7154000000005</v>
      </c>
      <c r="Q292" s="1603">
        <f t="shared" si="89"/>
        <v>297886.79920000001</v>
      </c>
      <c r="R292" s="753">
        <f>-'App.2-BA_Fixed Asset Cont'!I347</f>
        <v>298564.34999999998</v>
      </c>
      <c r="S292" s="1611">
        <f t="shared" si="90"/>
        <v>677.55079999996815</v>
      </c>
    </row>
    <row r="293" spans="1:19" ht="14.25" x14ac:dyDescent="0.2">
      <c r="A293" s="105">
        <v>1845</v>
      </c>
      <c r="B293" s="754" t="s">
        <v>181</v>
      </c>
      <c r="C293" s="749">
        <f t="shared" si="91"/>
        <v>15719869.667285465</v>
      </c>
      <c r="D293" s="750">
        <f t="shared" si="91"/>
        <v>11662374.440973222</v>
      </c>
      <c r="E293" s="1597">
        <f t="shared" si="82"/>
        <v>4057495.2263122424</v>
      </c>
      <c r="F293" s="749">
        <f t="shared" si="92"/>
        <v>3294707.64</v>
      </c>
      <c r="G293" s="750"/>
      <c r="H293" s="1597">
        <f t="shared" si="83"/>
        <v>3294707.64</v>
      </c>
      <c r="I293" s="753">
        <v>701650</v>
      </c>
      <c r="J293" s="1616">
        <v>22.868255901902497</v>
      </c>
      <c r="K293" s="1599">
        <f t="shared" si="84"/>
        <v>4.3728739274638176E-2</v>
      </c>
      <c r="L293" s="752">
        <v>40</v>
      </c>
      <c r="M293" s="1600">
        <f t="shared" si="85"/>
        <v>2.5000000000000001E-2</v>
      </c>
      <c r="N293" s="1601">
        <f t="shared" si="86"/>
        <v>177429.15085949708</v>
      </c>
      <c r="O293" s="1601">
        <f t="shared" si="87"/>
        <v>82367.691000000006</v>
      </c>
      <c r="P293" s="1602">
        <f t="shared" si="88"/>
        <v>8770.625</v>
      </c>
      <c r="Q293" s="1603">
        <f t="shared" si="89"/>
        <v>268567.46685949707</v>
      </c>
      <c r="R293" s="753">
        <f>-'App.2-BA_Fixed Asset Cont'!I348</f>
        <v>261545.87053953903</v>
      </c>
      <c r="S293" s="1611">
        <f t="shared" si="90"/>
        <v>-7021.5963199580438</v>
      </c>
    </row>
    <row r="294" spans="1:19" ht="14.25" x14ac:dyDescent="0.2">
      <c r="A294" s="105">
        <v>1850</v>
      </c>
      <c r="B294" s="754" t="s">
        <v>241</v>
      </c>
      <c r="C294" s="749">
        <f t="shared" si="91"/>
        <v>25892036.769088108</v>
      </c>
      <c r="D294" s="750">
        <f t="shared" si="91"/>
        <v>17956843.743688975</v>
      </c>
      <c r="E294" s="1597">
        <f t="shared" si="82"/>
        <v>7935193.0253991336</v>
      </c>
      <c r="F294" s="749">
        <f t="shared" si="92"/>
        <v>7436279.6300000018</v>
      </c>
      <c r="G294" s="750"/>
      <c r="H294" s="1597">
        <f t="shared" si="83"/>
        <v>7436279.6300000018</v>
      </c>
      <c r="I294" s="753">
        <v>2507448</v>
      </c>
      <c r="J294" s="1616">
        <v>30.928732826223051</v>
      </c>
      <c r="K294" s="1599">
        <f t="shared" si="84"/>
        <v>3.2332394787029421E-2</v>
      </c>
      <c r="L294" s="752">
        <v>40</v>
      </c>
      <c r="M294" s="1600">
        <f t="shared" si="85"/>
        <v>2.5000000000000001E-2</v>
      </c>
      <c r="N294" s="1601">
        <f t="shared" si="86"/>
        <v>256563.79360848718</v>
      </c>
      <c r="O294" s="1601">
        <f t="shared" si="87"/>
        <v>185906.99075000006</v>
      </c>
      <c r="P294" s="1602">
        <f t="shared" si="88"/>
        <v>31343.1</v>
      </c>
      <c r="Q294" s="1603">
        <f t="shared" si="89"/>
        <v>473813.88435848721</v>
      </c>
      <c r="R294" s="753">
        <f>-'App.2-BA_Fixed Asset Cont'!I349</f>
        <v>472849.79360848723</v>
      </c>
      <c r="S294" s="1611">
        <f t="shared" si="90"/>
        <v>-964.09074999997392</v>
      </c>
    </row>
    <row r="295" spans="1:19" ht="14.25" x14ac:dyDescent="0.2">
      <c r="A295" s="105">
        <v>1855</v>
      </c>
      <c r="B295" s="754" t="s">
        <v>182</v>
      </c>
      <c r="C295" s="749">
        <f t="shared" si="91"/>
        <v>12342929.799999999</v>
      </c>
      <c r="D295" s="750">
        <f t="shared" si="91"/>
        <v>6500462.1358982157</v>
      </c>
      <c r="E295" s="1597">
        <f t="shared" si="82"/>
        <v>5842467.6641017832</v>
      </c>
      <c r="F295" s="749">
        <f t="shared" si="92"/>
        <v>4268932.3199999994</v>
      </c>
      <c r="G295" s="750"/>
      <c r="H295" s="1597">
        <f t="shared" si="83"/>
        <v>4268932.3199999994</v>
      </c>
      <c r="I295" s="753">
        <v>507505</v>
      </c>
      <c r="J295" s="1616">
        <v>30.928826323828766</v>
      </c>
      <c r="K295" s="1599">
        <f t="shared" si="84"/>
        <v>3.2332297046446967E-2</v>
      </c>
      <c r="L295" s="752">
        <v>40</v>
      </c>
      <c r="M295" s="1600">
        <f t="shared" si="85"/>
        <v>2.5000000000000001E-2</v>
      </c>
      <c r="N295" s="1601">
        <f t="shared" si="86"/>
        <v>188900.4</v>
      </c>
      <c r="O295" s="1601">
        <f t="shared" si="87"/>
        <v>106723.30799999999</v>
      </c>
      <c r="P295" s="1602">
        <f t="shared" si="88"/>
        <v>6343.8125</v>
      </c>
      <c r="Q295" s="1603">
        <f t="shared" si="89"/>
        <v>301967.52049999998</v>
      </c>
      <c r="R295" s="753">
        <f>-'App.2-BA_Fixed Asset Cont'!I350</f>
        <v>300891</v>
      </c>
      <c r="S295" s="1611">
        <f t="shared" si="90"/>
        <v>-1076.5204999999842</v>
      </c>
    </row>
    <row r="296" spans="1:19" ht="14.25" x14ac:dyDescent="0.2">
      <c r="A296" s="105">
        <v>1860</v>
      </c>
      <c r="B296" s="754" t="s">
        <v>242</v>
      </c>
      <c r="C296" s="749">
        <f t="shared" si="91"/>
        <v>8900387.9934</v>
      </c>
      <c r="D296" s="750">
        <f t="shared" si="91"/>
        <v>6817799.92275065</v>
      </c>
      <c r="E296" s="1597">
        <f t="shared" si="82"/>
        <v>2082588.0706493501</v>
      </c>
      <c r="F296" s="749">
        <f t="shared" si="92"/>
        <v>362020.56</v>
      </c>
      <c r="G296" s="750"/>
      <c r="H296" s="1597">
        <f t="shared" si="83"/>
        <v>362020.56</v>
      </c>
      <c r="I296" s="753">
        <v>121034</v>
      </c>
      <c r="J296" s="1616">
        <v>4.350682908520989</v>
      </c>
      <c r="K296" s="1599">
        <f t="shared" si="84"/>
        <v>0.22984897337414764</v>
      </c>
      <c r="L296" s="752">
        <v>15</v>
      </c>
      <c r="M296" s="1600">
        <f t="shared" si="85"/>
        <v>6.6666666666666666E-2</v>
      </c>
      <c r="N296" s="1601">
        <f t="shared" si="86"/>
        <v>478680.73</v>
      </c>
      <c r="O296" s="1601">
        <f t="shared" si="87"/>
        <v>24134.704000000002</v>
      </c>
      <c r="P296" s="1602">
        <f t="shared" si="88"/>
        <v>4034.4666666666667</v>
      </c>
      <c r="Q296" s="1603">
        <f t="shared" si="89"/>
        <v>506849.90066666668</v>
      </c>
      <c r="R296" s="753">
        <f>-'App.2-BA_Fixed Asset Cont'!I351-2037-5491</f>
        <v>503025.74719999998</v>
      </c>
      <c r="S296" s="1611">
        <f t="shared" si="90"/>
        <v>-3824.1534666666994</v>
      </c>
    </row>
    <row r="297" spans="1:19" ht="14.25" x14ac:dyDescent="0.2">
      <c r="A297" s="102">
        <v>1860</v>
      </c>
      <c r="B297" s="755" t="s">
        <v>242</v>
      </c>
      <c r="C297" s="749">
        <f t="shared" ref="C297:D299" si="93">C245</f>
        <v>0</v>
      </c>
      <c r="D297" s="750">
        <f t="shared" si="93"/>
        <v>0</v>
      </c>
      <c r="E297" s="1597">
        <f t="shared" si="82"/>
        <v>0</v>
      </c>
      <c r="F297" s="749">
        <f t="shared" si="92"/>
        <v>91643</v>
      </c>
      <c r="G297" s="750"/>
      <c r="H297" s="1597">
        <f t="shared" si="83"/>
        <v>91643</v>
      </c>
      <c r="I297" s="753">
        <v>0</v>
      </c>
      <c r="J297" s="1616"/>
      <c r="K297" s="1599">
        <f t="shared" si="84"/>
        <v>0</v>
      </c>
      <c r="L297" s="752">
        <v>45</v>
      </c>
      <c r="M297" s="1600">
        <f t="shared" si="85"/>
        <v>2.2222222222222223E-2</v>
      </c>
      <c r="N297" s="1601">
        <f t="shared" si="86"/>
        <v>0</v>
      </c>
      <c r="O297" s="1601">
        <f t="shared" si="87"/>
        <v>2036.5111111111112</v>
      </c>
      <c r="P297" s="1602">
        <f t="shared" si="88"/>
        <v>0</v>
      </c>
      <c r="Q297" s="1603">
        <f t="shared" si="89"/>
        <v>2036.5111111111112</v>
      </c>
      <c r="R297" s="753">
        <v>2037</v>
      </c>
      <c r="S297" s="1611">
        <f t="shared" si="90"/>
        <v>0.4888888888888232</v>
      </c>
    </row>
    <row r="298" spans="1:19" ht="14.25" x14ac:dyDescent="0.2">
      <c r="A298" s="105">
        <v>1860</v>
      </c>
      <c r="B298" s="754" t="s">
        <v>242</v>
      </c>
      <c r="C298" s="749">
        <f t="shared" si="93"/>
        <v>0</v>
      </c>
      <c r="D298" s="750">
        <f t="shared" si="93"/>
        <v>0</v>
      </c>
      <c r="E298" s="1597">
        <f t="shared" si="82"/>
        <v>0</v>
      </c>
      <c r="F298" s="749">
        <f t="shared" si="92"/>
        <v>137287</v>
      </c>
      <c r="G298" s="750"/>
      <c r="H298" s="1597">
        <f t="shared" si="83"/>
        <v>137287</v>
      </c>
      <c r="I298" s="753">
        <v>0</v>
      </c>
      <c r="J298" s="1616"/>
      <c r="K298" s="1599">
        <f t="shared" si="84"/>
        <v>0</v>
      </c>
      <c r="L298" s="752">
        <v>25</v>
      </c>
      <c r="M298" s="1600">
        <f t="shared" si="85"/>
        <v>0.04</v>
      </c>
      <c r="N298" s="1601">
        <f t="shared" si="86"/>
        <v>0</v>
      </c>
      <c r="O298" s="1601">
        <f t="shared" si="87"/>
        <v>5491.48</v>
      </c>
      <c r="P298" s="1602">
        <f t="shared" si="88"/>
        <v>0</v>
      </c>
      <c r="Q298" s="1603">
        <f t="shared" si="89"/>
        <v>5491.48</v>
      </c>
      <c r="R298" s="753">
        <v>5491</v>
      </c>
      <c r="S298" s="110">
        <f t="shared" si="90"/>
        <v>-0.47999999999956344</v>
      </c>
    </row>
    <row r="299" spans="1:19" ht="14.25" hidden="1" x14ac:dyDescent="0.2">
      <c r="A299" s="102">
        <v>1905</v>
      </c>
      <c r="B299" s="755" t="s">
        <v>236</v>
      </c>
      <c r="C299" s="749">
        <f t="shared" si="93"/>
        <v>0</v>
      </c>
      <c r="D299" s="750">
        <f t="shared" si="93"/>
        <v>0</v>
      </c>
      <c r="E299" s="1597">
        <f t="shared" si="82"/>
        <v>0</v>
      </c>
      <c r="F299" s="749">
        <f t="shared" si="92"/>
        <v>0</v>
      </c>
      <c r="G299" s="750"/>
      <c r="H299" s="1597">
        <f t="shared" si="83"/>
        <v>0</v>
      </c>
      <c r="I299" s="753">
        <v>0</v>
      </c>
      <c r="J299" s="1616"/>
      <c r="K299" s="1599">
        <f t="shared" si="84"/>
        <v>0</v>
      </c>
      <c r="L299" s="752">
        <v>0</v>
      </c>
      <c r="M299" s="1600">
        <f t="shared" si="85"/>
        <v>0</v>
      </c>
      <c r="N299" s="1601">
        <f t="shared" si="86"/>
        <v>0</v>
      </c>
      <c r="O299" s="1601">
        <f t="shared" si="87"/>
        <v>0</v>
      </c>
      <c r="P299" s="1602">
        <f t="shared" si="88"/>
        <v>0</v>
      </c>
      <c r="Q299" s="1603">
        <f t="shared" si="89"/>
        <v>0</v>
      </c>
      <c r="R299" s="753">
        <f>-'App.2-BA_Fixed Asset Cont'!I354</f>
        <v>0</v>
      </c>
      <c r="S299" s="110">
        <f t="shared" si="90"/>
        <v>0</v>
      </c>
    </row>
    <row r="300" spans="1:19" ht="14.25" hidden="1" x14ac:dyDescent="0.2">
      <c r="A300" s="105">
        <v>1908</v>
      </c>
      <c r="B300" s="754" t="s">
        <v>244</v>
      </c>
      <c r="C300" s="749"/>
      <c r="D300" s="749"/>
      <c r="E300" s="1597">
        <f t="shared" si="82"/>
        <v>0</v>
      </c>
      <c r="F300" s="749">
        <f t="shared" si="92"/>
        <v>0</v>
      </c>
      <c r="G300" s="750"/>
      <c r="H300" s="1597">
        <f t="shared" si="83"/>
        <v>0</v>
      </c>
      <c r="I300" s="753">
        <v>0</v>
      </c>
      <c r="J300" s="1616"/>
      <c r="K300" s="1599">
        <f t="shared" si="84"/>
        <v>0</v>
      </c>
      <c r="L300" s="752">
        <v>0</v>
      </c>
      <c r="M300" s="1600">
        <f t="shared" si="85"/>
        <v>0</v>
      </c>
      <c r="N300" s="1601">
        <f t="shared" si="86"/>
        <v>0</v>
      </c>
      <c r="O300" s="1601">
        <f t="shared" si="87"/>
        <v>0</v>
      </c>
      <c r="P300" s="1602">
        <f t="shared" si="88"/>
        <v>0</v>
      </c>
      <c r="Q300" s="1603">
        <f t="shared" si="89"/>
        <v>0</v>
      </c>
      <c r="R300" s="753">
        <f>-'App.2-BA_Fixed Asset Cont'!I355</f>
        <v>0</v>
      </c>
      <c r="S300" s="110">
        <f t="shared" si="90"/>
        <v>0</v>
      </c>
    </row>
    <row r="301" spans="1:19" ht="14.25" hidden="1" x14ac:dyDescent="0.2">
      <c r="A301" s="105">
        <v>1910</v>
      </c>
      <c r="B301" s="754" t="s">
        <v>262</v>
      </c>
      <c r="C301" s="749"/>
      <c r="D301" s="749"/>
      <c r="E301" s="1597">
        <f t="shared" si="82"/>
        <v>0</v>
      </c>
      <c r="F301" s="749">
        <f t="shared" si="92"/>
        <v>0</v>
      </c>
      <c r="G301" s="750"/>
      <c r="H301" s="1597">
        <f t="shared" si="83"/>
        <v>0</v>
      </c>
      <c r="I301" s="753"/>
      <c r="J301" s="1616"/>
      <c r="K301" s="1599">
        <f t="shared" si="84"/>
        <v>0</v>
      </c>
      <c r="L301" s="752">
        <v>0</v>
      </c>
      <c r="M301" s="1600">
        <f t="shared" si="85"/>
        <v>0</v>
      </c>
      <c r="N301" s="1601">
        <f t="shared" si="86"/>
        <v>0</v>
      </c>
      <c r="O301" s="1601">
        <f t="shared" si="87"/>
        <v>0</v>
      </c>
      <c r="P301" s="1602">
        <f t="shared" si="88"/>
        <v>0</v>
      </c>
      <c r="Q301" s="1603">
        <f t="shared" si="89"/>
        <v>0</v>
      </c>
      <c r="R301" s="753"/>
      <c r="S301" s="110">
        <f t="shared" si="90"/>
        <v>0</v>
      </c>
    </row>
    <row r="302" spans="1:19" ht="14.25" x14ac:dyDescent="0.2">
      <c r="A302" s="105">
        <v>1915</v>
      </c>
      <c r="B302" s="754" t="s">
        <v>184</v>
      </c>
      <c r="C302" s="749">
        <f>C248</f>
        <v>44314.559999999998</v>
      </c>
      <c r="D302" s="750">
        <f>D248</f>
        <v>41713.569499999991</v>
      </c>
      <c r="E302" s="1597">
        <f t="shared" si="82"/>
        <v>2600.9905000000072</v>
      </c>
      <c r="F302" s="749">
        <f t="shared" si="92"/>
        <v>42758</v>
      </c>
      <c r="G302" s="750"/>
      <c r="H302" s="1597">
        <f t="shared" si="83"/>
        <v>42758</v>
      </c>
      <c r="I302" s="753">
        <v>3543</v>
      </c>
      <c r="J302" s="1616"/>
      <c r="K302" s="1599">
        <f t="shared" si="84"/>
        <v>0</v>
      </c>
      <c r="L302" s="752">
        <v>10</v>
      </c>
      <c r="M302" s="1600">
        <f t="shared" si="85"/>
        <v>0.1</v>
      </c>
      <c r="N302" s="1601">
        <f t="shared" si="86"/>
        <v>0</v>
      </c>
      <c r="O302" s="1601">
        <f t="shared" si="87"/>
        <v>4275.8</v>
      </c>
      <c r="P302" s="1602">
        <f t="shared" si="88"/>
        <v>177.15</v>
      </c>
      <c r="Q302" s="1603">
        <f t="shared" si="89"/>
        <v>4452.95</v>
      </c>
      <c r="R302" s="753">
        <f>-'App.2-BA_Fixed Asset Cont'!I356</f>
        <v>4453</v>
      </c>
      <c r="S302" s="110">
        <f t="shared" si="90"/>
        <v>5.0000000000181899E-2</v>
      </c>
    </row>
    <row r="303" spans="1:19" ht="14.25" hidden="1" x14ac:dyDescent="0.2">
      <c r="A303" s="105">
        <v>1915</v>
      </c>
      <c r="B303" s="754" t="s">
        <v>185</v>
      </c>
      <c r="C303" s="749">
        <f>C249</f>
        <v>0</v>
      </c>
      <c r="D303" s="750">
        <f>D249</f>
        <v>0</v>
      </c>
      <c r="E303" s="1597">
        <f t="shared" si="82"/>
        <v>0</v>
      </c>
      <c r="F303" s="749">
        <f t="shared" si="92"/>
        <v>0</v>
      </c>
      <c r="G303" s="750"/>
      <c r="H303" s="1597">
        <f t="shared" si="83"/>
        <v>0</v>
      </c>
      <c r="I303" s="753">
        <v>0</v>
      </c>
      <c r="J303" s="1616"/>
      <c r="K303" s="1599">
        <f t="shared" si="84"/>
        <v>0</v>
      </c>
      <c r="L303" s="752">
        <v>0</v>
      </c>
      <c r="M303" s="1600">
        <f t="shared" si="85"/>
        <v>0</v>
      </c>
      <c r="N303" s="1601">
        <f t="shared" si="86"/>
        <v>0</v>
      </c>
      <c r="O303" s="1601">
        <f t="shared" si="87"/>
        <v>0</v>
      </c>
      <c r="P303" s="1602">
        <f t="shared" si="88"/>
        <v>0</v>
      </c>
      <c r="Q303" s="1603">
        <f t="shared" si="89"/>
        <v>0</v>
      </c>
      <c r="R303" s="753">
        <f>-'App.2-BA_Fixed Asset Cont'!I357</f>
        <v>0</v>
      </c>
      <c r="S303" s="110">
        <f t="shared" si="90"/>
        <v>0</v>
      </c>
    </row>
    <row r="304" spans="1:19" ht="14.25" x14ac:dyDescent="0.2">
      <c r="A304" s="102">
        <v>1920</v>
      </c>
      <c r="B304" s="755" t="s">
        <v>186</v>
      </c>
      <c r="C304" s="749">
        <f t="shared" ref="C304:C319" si="94">C250</f>
        <v>162987.72</v>
      </c>
      <c r="D304" s="750">
        <f>D250+900</f>
        <v>162988</v>
      </c>
      <c r="E304" s="1597">
        <f t="shared" si="82"/>
        <v>-0.27999999999883585</v>
      </c>
      <c r="F304" s="749">
        <f t="shared" si="92"/>
        <v>394679.53</v>
      </c>
      <c r="G304" s="750"/>
      <c r="H304" s="1597">
        <f t="shared" si="83"/>
        <v>394679.53</v>
      </c>
      <c r="I304" s="753">
        <v>0</v>
      </c>
      <c r="J304" s="1616"/>
      <c r="K304" s="1599">
        <f t="shared" si="84"/>
        <v>0</v>
      </c>
      <c r="L304" s="752">
        <v>5</v>
      </c>
      <c r="M304" s="1600">
        <f t="shared" si="85"/>
        <v>0.2</v>
      </c>
      <c r="N304" s="1601">
        <f t="shared" si="86"/>
        <v>0</v>
      </c>
      <c r="O304" s="1601">
        <f t="shared" si="87"/>
        <v>78935.906000000003</v>
      </c>
      <c r="P304" s="1602">
        <f t="shared" si="88"/>
        <v>0</v>
      </c>
      <c r="Q304" s="1603">
        <f t="shared" si="89"/>
        <v>78935.906000000003</v>
      </c>
      <c r="R304" s="753">
        <f>-'App.2-BA_Fixed Asset Cont'!I358</f>
        <v>44835</v>
      </c>
      <c r="S304" s="110">
        <f t="shared" si="90"/>
        <v>-34100.906000000003</v>
      </c>
    </row>
    <row r="305" spans="1:19" ht="14.25" hidden="1" x14ac:dyDescent="0.2">
      <c r="A305" s="105">
        <v>1920</v>
      </c>
      <c r="B305" s="754" t="s">
        <v>188</v>
      </c>
      <c r="C305" s="749">
        <f t="shared" si="94"/>
        <v>0</v>
      </c>
      <c r="D305" s="750">
        <f t="shared" ref="D305:D319" si="95">D251</f>
        <v>0</v>
      </c>
      <c r="E305" s="1597">
        <f t="shared" si="82"/>
        <v>0</v>
      </c>
      <c r="F305" s="749">
        <f t="shared" si="92"/>
        <v>0</v>
      </c>
      <c r="G305" s="750"/>
      <c r="H305" s="1597">
        <f t="shared" si="83"/>
        <v>0</v>
      </c>
      <c r="I305" s="753">
        <v>0</v>
      </c>
      <c r="J305" s="1616"/>
      <c r="K305" s="1599">
        <f t="shared" si="84"/>
        <v>0</v>
      </c>
      <c r="L305" s="752">
        <v>0</v>
      </c>
      <c r="M305" s="1600">
        <f t="shared" si="85"/>
        <v>0</v>
      </c>
      <c r="N305" s="1601">
        <f t="shared" si="86"/>
        <v>0</v>
      </c>
      <c r="O305" s="1601">
        <f t="shared" si="87"/>
        <v>0</v>
      </c>
      <c r="P305" s="1602">
        <f t="shared" si="88"/>
        <v>0</v>
      </c>
      <c r="Q305" s="1603">
        <f t="shared" si="89"/>
        <v>0</v>
      </c>
      <c r="R305" s="753">
        <f>-'App.2-BA_Fixed Asset Cont'!I359</f>
        <v>0</v>
      </c>
      <c r="S305" s="110">
        <f t="shared" si="90"/>
        <v>0</v>
      </c>
    </row>
    <row r="306" spans="1:19" ht="14.25" hidden="1" x14ac:dyDescent="0.2">
      <c r="A306" s="105">
        <v>1920</v>
      </c>
      <c r="B306" s="754" t="s">
        <v>187</v>
      </c>
      <c r="C306" s="749">
        <f t="shared" si="94"/>
        <v>0</v>
      </c>
      <c r="D306" s="750">
        <f t="shared" si="95"/>
        <v>0</v>
      </c>
      <c r="E306" s="1597">
        <f t="shared" si="82"/>
        <v>0</v>
      </c>
      <c r="F306" s="749">
        <f t="shared" si="92"/>
        <v>0</v>
      </c>
      <c r="G306" s="750"/>
      <c r="H306" s="1597">
        <f t="shared" si="83"/>
        <v>0</v>
      </c>
      <c r="I306" s="753"/>
      <c r="J306" s="1616"/>
      <c r="K306" s="1599">
        <f t="shared" si="84"/>
        <v>0</v>
      </c>
      <c r="L306" s="752">
        <v>0</v>
      </c>
      <c r="M306" s="1600">
        <f t="shared" si="85"/>
        <v>0</v>
      </c>
      <c r="N306" s="1601">
        <f t="shared" si="86"/>
        <v>0</v>
      </c>
      <c r="O306" s="1601">
        <f t="shared" si="87"/>
        <v>0</v>
      </c>
      <c r="P306" s="1602">
        <f t="shared" si="88"/>
        <v>0</v>
      </c>
      <c r="Q306" s="1603">
        <f t="shared" si="89"/>
        <v>0</v>
      </c>
      <c r="R306" s="753">
        <f>-'App.2-BA_Fixed Asset Cont'!I360</f>
        <v>0</v>
      </c>
      <c r="S306" s="110">
        <f t="shared" si="90"/>
        <v>0</v>
      </c>
    </row>
    <row r="307" spans="1:19" ht="14.25" x14ac:dyDescent="0.2">
      <c r="A307" s="105">
        <v>1930</v>
      </c>
      <c r="B307" s="754" t="s">
        <v>250</v>
      </c>
      <c r="C307" s="749">
        <f t="shared" si="94"/>
        <v>5258637.3600000003</v>
      </c>
      <c r="D307" s="750">
        <f t="shared" si="95"/>
        <v>4170282.966297619</v>
      </c>
      <c r="E307" s="1597">
        <f t="shared" si="82"/>
        <v>1088354.3937023813</v>
      </c>
      <c r="F307" s="749">
        <f t="shared" si="92"/>
        <v>1850148.8399999999</v>
      </c>
      <c r="G307" s="750"/>
      <c r="H307" s="1597">
        <f t="shared" si="83"/>
        <v>1850148.8399999999</v>
      </c>
      <c r="I307" s="753">
        <v>0</v>
      </c>
      <c r="J307" s="1616">
        <v>6.7576747043091121</v>
      </c>
      <c r="K307" s="1599">
        <f>IF(J307=0,0,1/J307)</f>
        <v>0.14797989600806591</v>
      </c>
      <c r="L307" s="752">
        <v>12</v>
      </c>
      <c r="M307" s="1600">
        <f t="shared" si="85"/>
        <v>8.3333333333333329E-2</v>
      </c>
      <c r="N307" s="1601">
        <f t="shared" si="86"/>
        <v>161054.57</v>
      </c>
      <c r="O307" s="1601">
        <f t="shared" si="87"/>
        <v>154179.06999999998</v>
      </c>
      <c r="P307" s="1602">
        <f t="shared" si="88"/>
        <v>0</v>
      </c>
      <c r="Q307" s="1603">
        <f t="shared" si="89"/>
        <v>315233.64</v>
      </c>
      <c r="R307" s="753">
        <f>-'App.2-BA_Fixed Asset Cont'!I361-89791</f>
        <v>323466</v>
      </c>
      <c r="S307" s="110">
        <f t="shared" si="90"/>
        <v>8232.359999999986</v>
      </c>
    </row>
    <row r="308" spans="1:19" ht="14.25" x14ac:dyDescent="0.2">
      <c r="A308" s="105">
        <v>1930</v>
      </c>
      <c r="B308" s="754" t="s">
        <v>250</v>
      </c>
      <c r="C308" s="749">
        <f t="shared" si="94"/>
        <v>0</v>
      </c>
      <c r="D308" s="750">
        <f t="shared" si="95"/>
        <v>0</v>
      </c>
      <c r="E308" s="1597">
        <f t="shared" si="82"/>
        <v>0</v>
      </c>
      <c r="F308" s="749">
        <f t="shared" si="92"/>
        <v>612217</v>
      </c>
      <c r="G308" s="750"/>
      <c r="H308" s="1597">
        <f t="shared" si="83"/>
        <v>612217</v>
      </c>
      <c r="I308" s="753">
        <v>212220</v>
      </c>
      <c r="J308" s="1616"/>
      <c r="K308" s="1599">
        <f t="shared" si="84"/>
        <v>0</v>
      </c>
      <c r="L308" s="752">
        <v>8</v>
      </c>
      <c r="M308" s="1600">
        <f t="shared" si="85"/>
        <v>0.125</v>
      </c>
      <c r="N308" s="1601">
        <f t="shared" si="86"/>
        <v>0</v>
      </c>
      <c r="O308" s="1601">
        <f t="shared" si="87"/>
        <v>76527.125</v>
      </c>
      <c r="P308" s="1602">
        <f t="shared" si="88"/>
        <v>13263.75</v>
      </c>
      <c r="Q308" s="1603">
        <f t="shared" si="89"/>
        <v>89790.875</v>
      </c>
      <c r="R308" s="753">
        <v>89791</v>
      </c>
      <c r="S308" s="110">
        <f t="shared" si="90"/>
        <v>0.125</v>
      </c>
    </row>
    <row r="309" spans="1:19" ht="14.25" hidden="1" x14ac:dyDescent="0.2">
      <c r="A309" s="105">
        <v>1935</v>
      </c>
      <c r="B309" s="754" t="s">
        <v>251</v>
      </c>
      <c r="C309" s="749">
        <f t="shared" si="94"/>
        <v>0</v>
      </c>
      <c r="D309" s="750">
        <f t="shared" si="95"/>
        <v>0</v>
      </c>
      <c r="E309" s="1597">
        <f t="shared" si="82"/>
        <v>0</v>
      </c>
      <c r="F309" s="749">
        <f t="shared" si="92"/>
        <v>0</v>
      </c>
      <c r="G309" s="750"/>
      <c r="H309" s="1597">
        <f t="shared" si="83"/>
        <v>0</v>
      </c>
      <c r="I309" s="753">
        <v>0</v>
      </c>
      <c r="J309" s="1616"/>
      <c r="K309" s="1599">
        <f t="shared" si="84"/>
        <v>0</v>
      </c>
      <c r="L309" s="752">
        <v>0</v>
      </c>
      <c r="M309" s="1600">
        <f t="shared" si="85"/>
        <v>0</v>
      </c>
      <c r="N309" s="1601">
        <f t="shared" si="86"/>
        <v>0</v>
      </c>
      <c r="O309" s="1601">
        <f t="shared" si="87"/>
        <v>0</v>
      </c>
      <c r="P309" s="1602">
        <f t="shared" si="88"/>
        <v>0</v>
      </c>
      <c r="Q309" s="1603">
        <f t="shared" si="89"/>
        <v>0</v>
      </c>
      <c r="R309" s="753"/>
      <c r="S309" s="110">
        <f t="shared" si="90"/>
        <v>0</v>
      </c>
    </row>
    <row r="310" spans="1:19" ht="14.25" x14ac:dyDescent="0.2">
      <c r="A310" s="105">
        <v>1940</v>
      </c>
      <c r="B310" s="754" t="s">
        <v>252</v>
      </c>
      <c r="C310" s="749">
        <f t="shared" si="94"/>
        <v>1961496.07</v>
      </c>
      <c r="D310" s="750">
        <f t="shared" si="95"/>
        <v>1467290.8274999999</v>
      </c>
      <c r="E310" s="1597">
        <f t="shared" si="82"/>
        <v>494205.24250000017</v>
      </c>
      <c r="F310" s="749">
        <f t="shared" si="92"/>
        <v>455914.27999999997</v>
      </c>
      <c r="G310" s="750"/>
      <c r="H310" s="1597">
        <f t="shared" si="83"/>
        <v>455914.27999999997</v>
      </c>
      <c r="I310" s="753">
        <v>101717</v>
      </c>
      <c r="J310" s="1616">
        <v>11.620637075505597</v>
      </c>
      <c r="K310" s="1599">
        <f t="shared" si="84"/>
        <v>8.6053801827081972E-2</v>
      </c>
      <c r="L310" s="752">
        <v>10</v>
      </c>
      <c r="M310" s="1600">
        <f t="shared" si="85"/>
        <v>0.1</v>
      </c>
      <c r="N310" s="1601">
        <f t="shared" si="86"/>
        <v>42528.240000000005</v>
      </c>
      <c r="O310" s="1601">
        <f t="shared" si="87"/>
        <v>45591.428</v>
      </c>
      <c r="P310" s="1602">
        <f t="shared" si="88"/>
        <v>5085.8500000000004</v>
      </c>
      <c r="Q310" s="1603">
        <f t="shared" si="89"/>
        <v>93205.518000000011</v>
      </c>
      <c r="R310" s="753">
        <f>-'App.2-BA_Fixed Asset Cont'!I363</f>
        <v>93206</v>
      </c>
      <c r="S310" s="110">
        <f t="shared" si="90"/>
        <v>0.48199999998905696</v>
      </c>
    </row>
    <row r="311" spans="1:19" ht="14.25" hidden="1" x14ac:dyDescent="0.2">
      <c r="A311" s="105">
        <v>1945</v>
      </c>
      <c r="B311" s="754" t="s">
        <v>253</v>
      </c>
      <c r="C311" s="749">
        <f t="shared" si="94"/>
        <v>0</v>
      </c>
      <c r="D311" s="750">
        <f t="shared" si="95"/>
        <v>0</v>
      </c>
      <c r="E311" s="1597">
        <f t="shared" si="82"/>
        <v>0</v>
      </c>
      <c r="F311" s="749">
        <f t="shared" si="92"/>
        <v>0</v>
      </c>
      <c r="G311" s="750"/>
      <c r="H311" s="1597">
        <f t="shared" si="83"/>
        <v>0</v>
      </c>
      <c r="I311" s="753"/>
      <c r="J311" s="1616"/>
      <c r="K311" s="1599">
        <f t="shared" si="84"/>
        <v>0</v>
      </c>
      <c r="L311" s="752">
        <v>0</v>
      </c>
      <c r="M311" s="1600">
        <f t="shared" si="85"/>
        <v>0</v>
      </c>
      <c r="N311" s="1601">
        <f t="shared" si="86"/>
        <v>0</v>
      </c>
      <c r="O311" s="1601">
        <f t="shared" si="87"/>
        <v>0</v>
      </c>
      <c r="P311" s="1602">
        <f t="shared" si="88"/>
        <v>0</v>
      </c>
      <c r="Q311" s="1603">
        <f t="shared" si="89"/>
        <v>0</v>
      </c>
      <c r="R311" s="753">
        <f>-'App.2-BA_Fixed Asset Cont'!I364</f>
        <v>0</v>
      </c>
      <c r="S311" s="110">
        <f t="shared" si="90"/>
        <v>0</v>
      </c>
    </row>
    <row r="312" spans="1:19" ht="14.25" hidden="1" x14ac:dyDescent="0.2">
      <c r="A312" s="105">
        <v>1950</v>
      </c>
      <c r="B312" s="754" t="s">
        <v>189</v>
      </c>
      <c r="C312" s="749">
        <f t="shared" si="94"/>
        <v>0</v>
      </c>
      <c r="D312" s="750">
        <f t="shared" si="95"/>
        <v>0</v>
      </c>
      <c r="E312" s="1597">
        <f t="shared" si="82"/>
        <v>0</v>
      </c>
      <c r="F312" s="749">
        <f t="shared" si="92"/>
        <v>0</v>
      </c>
      <c r="G312" s="750"/>
      <c r="H312" s="1597">
        <f t="shared" si="83"/>
        <v>0</v>
      </c>
      <c r="I312" s="753">
        <v>0</v>
      </c>
      <c r="J312" s="1616"/>
      <c r="K312" s="1599">
        <f t="shared" si="84"/>
        <v>0</v>
      </c>
      <c r="L312" s="752">
        <v>0</v>
      </c>
      <c r="M312" s="1600">
        <f t="shared" si="85"/>
        <v>0</v>
      </c>
      <c r="N312" s="1601">
        <f t="shared" si="86"/>
        <v>0</v>
      </c>
      <c r="O312" s="1601">
        <f t="shared" si="87"/>
        <v>0</v>
      </c>
      <c r="P312" s="1602">
        <f t="shared" si="88"/>
        <v>0</v>
      </c>
      <c r="Q312" s="1603">
        <f t="shared" si="89"/>
        <v>0</v>
      </c>
      <c r="R312" s="753">
        <f>-'App.2-BA_Fixed Asset Cont'!I365</f>
        <v>0</v>
      </c>
      <c r="S312" s="110">
        <f t="shared" si="90"/>
        <v>0</v>
      </c>
    </row>
    <row r="313" spans="1:19" ht="14.25" x14ac:dyDescent="0.2">
      <c r="A313" s="105">
        <v>1955</v>
      </c>
      <c r="B313" s="754" t="s">
        <v>254</v>
      </c>
      <c r="C313" s="749">
        <f t="shared" si="94"/>
        <v>2262458.79</v>
      </c>
      <c r="D313" s="750">
        <f t="shared" si="95"/>
        <v>1307813.078</v>
      </c>
      <c r="E313" s="1597">
        <f t="shared" si="82"/>
        <v>954645.71200000006</v>
      </c>
      <c r="F313" s="749">
        <f t="shared" si="92"/>
        <v>116219.69</v>
      </c>
      <c r="G313" s="750"/>
      <c r="H313" s="1597">
        <f t="shared" si="83"/>
        <v>116219.69</v>
      </c>
      <c r="I313" s="753">
        <v>28921</v>
      </c>
      <c r="J313" s="1616">
        <v>12.319808673989545</v>
      </c>
      <c r="K313" s="1599">
        <f>IF(J313=0,0,1/J313)</f>
        <v>8.1170091716705875E-2</v>
      </c>
      <c r="L313" s="752">
        <v>10</v>
      </c>
      <c r="M313" s="1600">
        <f t="shared" si="85"/>
        <v>0.1</v>
      </c>
      <c r="N313" s="1601">
        <f t="shared" si="86"/>
        <v>77488.679999999993</v>
      </c>
      <c r="O313" s="1601">
        <f t="shared" si="87"/>
        <v>11621.969000000001</v>
      </c>
      <c r="P313" s="1602">
        <f t="shared" si="88"/>
        <v>1446.05</v>
      </c>
      <c r="Q313" s="1603">
        <f t="shared" si="89"/>
        <v>90556.698999999993</v>
      </c>
      <c r="R313" s="753">
        <f>-'App.2-BA_Fixed Asset Cont'!I366</f>
        <v>90557</v>
      </c>
      <c r="S313" s="110">
        <f t="shared" si="90"/>
        <v>0.30100000000675209</v>
      </c>
    </row>
    <row r="314" spans="1:19" ht="14.25" hidden="1" x14ac:dyDescent="0.2">
      <c r="A314" s="102">
        <v>1955</v>
      </c>
      <c r="B314" s="755" t="s">
        <v>190</v>
      </c>
      <c r="C314" s="749">
        <f t="shared" si="94"/>
        <v>0</v>
      </c>
      <c r="D314" s="750">
        <f t="shared" si="95"/>
        <v>0</v>
      </c>
      <c r="E314" s="1597">
        <f t="shared" si="82"/>
        <v>0</v>
      </c>
      <c r="F314" s="749">
        <f t="shared" si="92"/>
        <v>0</v>
      </c>
      <c r="G314" s="750"/>
      <c r="H314" s="1597">
        <f t="shared" si="83"/>
        <v>0</v>
      </c>
      <c r="I314" s="753">
        <v>0</v>
      </c>
      <c r="J314" s="1616"/>
      <c r="K314" s="1599">
        <f t="shared" si="84"/>
        <v>0</v>
      </c>
      <c r="L314" s="752">
        <v>0</v>
      </c>
      <c r="M314" s="1600">
        <f t="shared" si="85"/>
        <v>0</v>
      </c>
      <c r="N314" s="1601">
        <f t="shared" si="86"/>
        <v>0</v>
      </c>
      <c r="O314" s="1601">
        <f t="shared" si="87"/>
        <v>0</v>
      </c>
      <c r="P314" s="1602">
        <f t="shared" si="88"/>
        <v>0</v>
      </c>
      <c r="Q314" s="1603">
        <f t="shared" si="89"/>
        <v>0</v>
      </c>
      <c r="R314" s="753">
        <f>-'App.2-BA_Fixed Asset Cont'!I368</f>
        <v>0</v>
      </c>
      <c r="S314" s="110">
        <f t="shared" si="90"/>
        <v>0</v>
      </c>
    </row>
    <row r="315" spans="1:19" ht="14.25" hidden="1" x14ac:dyDescent="0.2">
      <c r="A315" s="105">
        <v>1960</v>
      </c>
      <c r="B315" s="754" t="s">
        <v>191</v>
      </c>
      <c r="C315" s="749">
        <f t="shared" si="94"/>
        <v>0</v>
      </c>
      <c r="D315" s="750">
        <f t="shared" si="95"/>
        <v>0</v>
      </c>
      <c r="E315" s="1597">
        <f t="shared" si="82"/>
        <v>0</v>
      </c>
      <c r="F315" s="749">
        <f t="shared" si="92"/>
        <v>0</v>
      </c>
      <c r="G315" s="1631"/>
      <c r="H315" s="1597">
        <f t="shared" si="83"/>
        <v>0</v>
      </c>
      <c r="I315" s="753">
        <v>0</v>
      </c>
      <c r="J315" s="1632"/>
      <c r="K315" s="1599">
        <f t="shared" si="84"/>
        <v>0</v>
      </c>
      <c r="L315" s="752">
        <v>0</v>
      </c>
      <c r="M315" s="1600">
        <f t="shared" si="85"/>
        <v>0</v>
      </c>
      <c r="N315" s="1601">
        <f t="shared" si="86"/>
        <v>0</v>
      </c>
      <c r="O315" s="1601">
        <f t="shared" si="87"/>
        <v>0</v>
      </c>
      <c r="P315" s="1602">
        <f t="shared" si="88"/>
        <v>0</v>
      </c>
      <c r="Q315" s="1603">
        <f t="shared" si="89"/>
        <v>0</v>
      </c>
      <c r="R315" s="753">
        <f>-'App.2-BA_Fixed Asset Cont'!I369</f>
        <v>0</v>
      </c>
      <c r="S315" s="110">
        <f t="shared" si="90"/>
        <v>0</v>
      </c>
    </row>
    <row r="316" spans="1:19" ht="14.25" hidden="1" x14ac:dyDescent="0.2">
      <c r="A316" s="102">
        <v>1970</v>
      </c>
      <c r="B316" s="756" t="s">
        <v>410</v>
      </c>
      <c r="C316" s="749">
        <f t="shared" si="94"/>
        <v>0</v>
      </c>
      <c r="D316" s="750">
        <f t="shared" si="95"/>
        <v>0</v>
      </c>
      <c r="E316" s="1597">
        <f t="shared" si="82"/>
        <v>0</v>
      </c>
      <c r="F316" s="749">
        <f t="shared" si="92"/>
        <v>0</v>
      </c>
      <c r="G316" s="1631"/>
      <c r="H316" s="1597">
        <f t="shared" si="83"/>
        <v>0</v>
      </c>
      <c r="I316" s="753"/>
      <c r="J316" s="1632"/>
      <c r="K316" s="1599">
        <f t="shared" si="84"/>
        <v>0</v>
      </c>
      <c r="L316" s="752">
        <v>0</v>
      </c>
      <c r="M316" s="1600">
        <f t="shared" si="85"/>
        <v>0</v>
      </c>
      <c r="N316" s="1601">
        <f t="shared" si="86"/>
        <v>0</v>
      </c>
      <c r="O316" s="1601">
        <f t="shared" si="87"/>
        <v>0</v>
      </c>
      <c r="P316" s="1602">
        <f t="shared" si="88"/>
        <v>0</v>
      </c>
      <c r="Q316" s="1603">
        <f t="shared" si="89"/>
        <v>0</v>
      </c>
      <c r="R316" s="753">
        <f>-'App.2-BA_Fixed Asset Cont'!I370</f>
        <v>0</v>
      </c>
      <c r="S316" s="110">
        <f t="shared" si="90"/>
        <v>0</v>
      </c>
    </row>
    <row r="317" spans="1:19" ht="14.25" hidden="1" x14ac:dyDescent="0.2">
      <c r="A317" s="105">
        <v>1975</v>
      </c>
      <c r="B317" s="754" t="s">
        <v>255</v>
      </c>
      <c r="C317" s="749">
        <f t="shared" si="94"/>
        <v>0</v>
      </c>
      <c r="D317" s="750">
        <f t="shared" si="95"/>
        <v>0</v>
      </c>
      <c r="E317" s="1597">
        <f t="shared" si="82"/>
        <v>0</v>
      </c>
      <c r="F317" s="749">
        <f t="shared" si="92"/>
        <v>0</v>
      </c>
      <c r="G317" s="1631"/>
      <c r="H317" s="1597">
        <f t="shared" si="83"/>
        <v>0</v>
      </c>
      <c r="I317" s="753"/>
      <c r="J317" s="1632"/>
      <c r="K317" s="1599">
        <f t="shared" si="84"/>
        <v>0</v>
      </c>
      <c r="L317" s="752">
        <v>0</v>
      </c>
      <c r="M317" s="1600">
        <f t="shared" si="85"/>
        <v>0</v>
      </c>
      <c r="N317" s="1601">
        <f t="shared" si="86"/>
        <v>0</v>
      </c>
      <c r="O317" s="1601">
        <f t="shared" si="87"/>
        <v>0</v>
      </c>
      <c r="P317" s="1602">
        <f t="shared" si="88"/>
        <v>0</v>
      </c>
      <c r="Q317" s="1603">
        <f t="shared" si="89"/>
        <v>0</v>
      </c>
      <c r="R317" s="753"/>
      <c r="S317" s="110">
        <f t="shared" si="90"/>
        <v>0</v>
      </c>
    </row>
    <row r="318" spans="1:19" ht="14.25" x14ac:dyDescent="0.2">
      <c r="A318" s="105">
        <v>1980</v>
      </c>
      <c r="B318" s="754" t="s">
        <v>256</v>
      </c>
      <c r="C318" s="749">
        <f t="shared" si="94"/>
        <v>1573528.65</v>
      </c>
      <c r="D318" s="750">
        <f t="shared" si="95"/>
        <v>1274629.6876041666</v>
      </c>
      <c r="E318" s="1597">
        <f t="shared" si="82"/>
        <v>298898.96239583334</v>
      </c>
      <c r="F318" s="749">
        <f t="shared" si="92"/>
        <v>563853.77</v>
      </c>
      <c r="G318" s="1631"/>
      <c r="H318" s="1597">
        <f t="shared" si="83"/>
        <v>563853.77</v>
      </c>
      <c r="I318" s="753">
        <v>167840</v>
      </c>
      <c r="J318" s="1632">
        <v>13.797111246731118</v>
      </c>
      <c r="K318" s="1599">
        <f>IF(J318=0,0,1/J318)</f>
        <v>7.2478940128639258E-2</v>
      </c>
      <c r="L318" s="752">
        <v>20</v>
      </c>
      <c r="M318" s="1600">
        <f t="shared" si="85"/>
        <v>0.05</v>
      </c>
      <c r="N318" s="1601">
        <f t="shared" si="86"/>
        <v>21663.88</v>
      </c>
      <c r="O318" s="1601">
        <f t="shared" si="87"/>
        <v>28192.6885</v>
      </c>
      <c r="P318" s="1602">
        <f t="shared" si="88"/>
        <v>4196</v>
      </c>
      <c r="Q318" s="1603">
        <f t="shared" si="89"/>
        <v>54052.568500000001</v>
      </c>
      <c r="R318" s="753">
        <f>-'App.2-BA_Fixed Asset Cont'!I371</f>
        <v>54129</v>
      </c>
      <c r="S318" s="110">
        <f t="shared" si="90"/>
        <v>76.431499999998778</v>
      </c>
    </row>
    <row r="319" spans="1:19" ht="14.25" x14ac:dyDescent="0.2">
      <c r="A319" s="105">
        <v>1985</v>
      </c>
      <c r="B319" s="754" t="s">
        <v>257</v>
      </c>
      <c r="C319" s="749">
        <f t="shared" si="94"/>
        <v>42116.86</v>
      </c>
      <c r="D319" s="750">
        <f t="shared" si="95"/>
        <v>42116.858000000007</v>
      </c>
      <c r="E319" s="1597">
        <f t="shared" si="82"/>
        <v>1.999999993131496E-3</v>
      </c>
      <c r="F319" s="749"/>
      <c r="G319" s="1631"/>
      <c r="H319" s="1597">
        <f t="shared" si="83"/>
        <v>0</v>
      </c>
      <c r="I319" s="753">
        <v>3718</v>
      </c>
      <c r="J319" s="1632"/>
      <c r="K319" s="1599">
        <f t="shared" si="84"/>
        <v>0</v>
      </c>
      <c r="L319" s="752">
        <v>10</v>
      </c>
      <c r="M319" s="1600">
        <f t="shared" si="85"/>
        <v>0.1</v>
      </c>
      <c r="N319" s="1601">
        <f t="shared" si="86"/>
        <v>0</v>
      </c>
      <c r="O319" s="1601">
        <f>IF(L319=0,0,+H319/L319)</f>
        <v>0</v>
      </c>
      <c r="P319" s="1602">
        <f t="shared" si="88"/>
        <v>185.9</v>
      </c>
      <c r="Q319" s="1603">
        <f t="shared" si="89"/>
        <v>185.9</v>
      </c>
      <c r="R319" s="753">
        <f>-'App.2-BA_Fixed Asset Cont'!I372</f>
        <v>186</v>
      </c>
      <c r="S319" s="110">
        <f t="shared" si="90"/>
        <v>9.9999999999994316E-2</v>
      </c>
    </row>
    <row r="320" spans="1:19" ht="14.25" x14ac:dyDescent="0.2">
      <c r="A320" s="105">
        <v>1990</v>
      </c>
      <c r="B320" s="1614" t="s">
        <v>411</v>
      </c>
      <c r="C320" s="749"/>
      <c r="D320" s="750"/>
      <c r="E320" s="1597">
        <f t="shared" si="82"/>
        <v>0</v>
      </c>
      <c r="F320" s="749"/>
      <c r="G320" s="1631"/>
      <c r="H320" s="1597">
        <f t="shared" si="83"/>
        <v>0</v>
      </c>
      <c r="I320" s="753"/>
      <c r="J320" s="1632"/>
      <c r="K320" s="1599">
        <f t="shared" si="84"/>
        <v>0</v>
      </c>
      <c r="L320" s="752">
        <v>0</v>
      </c>
      <c r="M320" s="1600">
        <f t="shared" si="85"/>
        <v>0</v>
      </c>
      <c r="N320" s="1601">
        <f t="shared" si="86"/>
        <v>0</v>
      </c>
      <c r="O320" s="1601">
        <f t="shared" si="87"/>
        <v>0</v>
      </c>
      <c r="P320" s="1602">
        <f t="shared" si="88"/>
        <v>0</v>
      </c>
      <c r="Q320" s="1603">
        <f t="shared" si="89"/>
        <v>0</v>
      </c>
      <c r="R320" s="753"/>
      <c r="S320" s="110">
        <f t="shared" si="90"/>
        <v>0</v>
      </c>
    </row>
    <row r="321" spans="1:25" ht="14.25" x14ac:dyDescent="0.2">
      <c r="A321" s="105">
        <v>1995</v>
      </c>
      <c r="B321" s="754" t="s">
        <v>258</v>
      </c>
      <c r="C321" s="749">
        <f>C271</f>
        <v>0</v>
      </c>
      <c r="D321" s="750">
        <f>D271</f>
        <v>0</v>
      </c>
      <c r="E321" s="1597">
        <f t="shared" si="82"/>
        <v>0</v>
      </c>
      <c r="F321" s="749"/>
      <c r="G321" s="750"/>
      <c r="H321" s="1597">
        <f t="shared" si="83"/>
        <v>0</v>
      </c>
      <c r="I321" s="753"/>
      <c r="J321" s="1616"/>
      <c r="K321" s="1599">
        <f t="shared" si="84"/>
        <v>0</v>
      </c>
      <c r="L321" s="752">
        <v>0</v>
      </c>
      <c r="M321" s="1600">
        <f t="shared" si="85"/>
        <v>0</v>
      </c>
      <c r="N321" s="1601">
        <f t="shared" si="86"/>
        <v>0</v>
      </c>
      <c r="O321" s="1601">
        <f t="shared" si="87"/>
        <v>0</v>
      </c>
      <c r="P321" s="1602">
        <f t="shared" si="88"/>
        <v>0</v>
      </c>
      <c r="Q321" s="1603">
        <f t="shared" si="89"/>
        <v>0</v>
      </c>
      <c r="R321" s="753"/>
      <c r="S321" s="110">
        <f t="shared" si="90"/>
        <v>0</v>
      </c>
    </row>
    <row r="322" spans="1:25" ht="14.25" x14ac:dyDescent="0.2">
      <c r="A322" s="1664">
        <v>2440</v>
      </c>
      <c r="B322" s="754" t="s">
        <v>1532</v>
      </c>
      <c r="C322" s="1674"/>
      <c r="D322" s="1675"/>
      <c r="E322" s="1597">
        <f t="shared" si="82"/>
        <v>0</v>
      </c>
      <c r="F322" s="1674">
        <f>F268+I268</f>
        <v>-3848574.42</v>
      </c>
      <c r="G322" s="1675"/>
      <c r="H322" s="1597">
        <f t="shared" si="83"/>
        <v>-3848574.42</v>
      </c>
      <c r="I322" s="1679">
        <v>-1214036.32</v>
      </c>
      <c r="J322" s="1680"/>
      <c r="K322" s="1599">
        <f t="shared" si="84"/>
        <v>0</v>
      </c>
      <c r="L322" s="752">
        <f>-(H322+(I322/2))/'App.2-BA_Fixed Asset Cont'!I375</f>
        <v>38.468895810836692</v>
      </c>
      <c r="M322" s="1600">
        <f t="shared" si="85"/>
        <v>2.5995027383091663E-2</v>
      </c>
      <c r="N322" s="1601">
        <f t="shared" si="86"/>
        <v>0</v>
      </c>
      <c r="O322" s="1601">
        <f t="shared" si="87"/>
        <v>-100043.79743376611</v>
      </c>
      <c r="P322" s="1602">
        <f t="shared" si="88"/>
        <v>-15779.453691233917</v>
      </c>
      <c r="Q322" s="1603">
        <f t="shared" si="89"/>
        <v>-115823.25112500004</v>
      </c>
      <c r="R322" s="749">
        <f>-'App.2-BA_Fixed Asset Cont'!I375</f>
        <v>-115823.25112500004</v>
      </c>
      <c r="S322" s="110">
        <f t="shared" si="90"/>
        <v>0</v>
      </c>
    </row>
    <row r="323" spans="1:25" ht="15" thickBot="1" x14ac:dyDescent="0.25">
      <c r="A323" s="1664"/>
      <c r="B323" s="1665" t="s">
        <v>1533</v>
      </c>
      <c r="C323" s="1660">
        <f>C269</f>
        <v>-129739</v>
      </c>
      <c r="D323" s="1661">
        <f>D269</f>
        <v>-129739</v>
      </c>
      <c r="E323" s="1597">
        <f t="shared" si="82"/>
        <v>0</v>
      </c>
      <c r="F323" s="1660"/>
      <c r="G323" s="1661"/>
      <c r="H323" s="1597">
        <f t="shared" si="83"/>
        <v>0</v>
      </c>
      <c r="I323" s="1678"/>
      <c r="J323" s="1673"/>
      <c r="K323" s="1599">
        <f t="shared" si="84"/>
        <v>0</v>
      </c>
      <c r="L323" s="1663"/>
      <c r="M323" s="1600">
        <f t="shared" si="85"/>
        <v>0</v>
      </c>
      <c r="N323" s="1601">
        <f t="shared" si="86"/>
        <v>0</v>
      </c>
      <c r="O323" s="1601">
        <f t="shared" si="87"/>
        <v>0</v>
      </c>
      <c r="P323" s="1602">
        <f t="shared" si="88"/>
        <v>0</v>
      </c>
      <c r="Q323" s="1603">
        <f t="shared" si="89"/>
        <v>0</v>
      </c>
      <c r="R323" s="1661"/>
      <c r="S323" s="110">
        <f t="shared" si="90"/>
        <v>0</v>
      </c>
    </row>
    <row r="324" spans="1:25" ht="15.75" thickTop="1" thickBot="1" x14ac:dyDescent="0.25">
      <c r="A324" s="124"/>
      <c r="B324" s="757" t="s">
        <v>259</v>
      </c>
      <c r="C324" s="1617">
        <f>SUM(C276:C323)</f>
        <v>181994221.14990482</v>
      </c>
      <c r="D324" s="1617">
        <f>SUM(D276:D323)</f>
        <v>117073387.91971503</v>
      </c>
      <c r="E324" s="1617">
        <f>SUM(E276:E323)</f>
        <v>64920833.230189696</v>
      </c>
      <c r="F324" s="1617">
        <f>SUM(F276:F323)</f>
        <v>38973278.580000006</v>
      </c>
      <c r="G324" s="1617">
        <f>SUM(G276:G321)</f>
        <v>0</v>
      </c>
      <c r="H324" s="1617">
        <f>SUM(H276:H323)</f>
        <v>38973278.580000006</v>
      </c>
      <c r="I324" s="1618">
        <f>SUM(I276:I323)</f>
        <v>9665198.629999999</v>
      </c>
      <c r="J324" s="1617"/>
      <c r="K324" s="1619"/>
      <c r="L324" s="1620"/>
      <c r="M324" s="1621"/>
      <c r="N324" s="1617">
        <f t="shared" ref="N324:S324" si="96">SUM(N276:N323)</f>
        <v>2844408.2787868017</v>
      </c>
      <c r="O324" s="1622">
        <f t="shared" si="96"/>
        <v>1363866.4668440118</v>
      </c>
      <c r="P324" s="1622">
        <f t="shared" si="96"/>
        <v>140796.91810876608</v>
      </c>
      <c r="Q324" s="1623">
        <f t="shared" si="96"/>
        <v>4349071.6637395797</v>
      </c>
      <c r="R324" s="1624">
        <f t="shared" si="96"/>
        <v>4297478.2245418429</v>
      </c>
      <c r="S324" s="1622">
        <f t="shared" si="96"/>
        <v>-51593.439197735788</v>
      </c>
    </row>
    <row r="325" spans="1:25" ht="14.25" x14ac:dyDescent="0.2">
      <c r="A325" s="128"/>
      <c r="B325" s="129"/>
      <c r="C325" s="130"/>
      <c r="D325" s="130"/>
      <c r="E325" s="130"/>
      <c r="F325" s="130"/>
      <c r="G325" s="130"/>
      <c r="H325" s="130"/>
      <c r="I325" s="130"/>
      <c r="J325" s="130"/>
      <c r="K325" s="130"/>
      <c r="L325" s="758"/>
      <c r="M325" s="759"/>
      <c r="N325" s="130"/>
      <c r="O325" s="130"/>
      <c r="P325" s="130"/>
      <c r="Q325" s="130"/>
      <c r="R325" s="130"/>
      <c r="S325" s="130"/>
    </row>
    <row r="326" spans="1:25" ht="13.5" thickBot="1" x14ac:dyDescent="0.25"/>
    <row r="327" spans="1:25" ht="18.75" customHeight="1" thickBot="1" x14ac:dyDescent="0.3">
      <c r="A327" s="1615">
        <v>2019</v>
      </c>
      <c r="B327" s="1615"/>
      <c r="C327" s="2007" t="s">
        <v>1027</v>
      </c>
      <c r="D327" s="2008"/>
      <c r="E327" s="2008"/>
      <c r="F327" s="2008"/>
      <c r="G327" s="2008"/>
      <c r="H327" s="2008"/>
      <c r="I327" s="2009"/>
      <c r="J327" s="2010" t="s">
        <v>1028</v>
      </c>
      <c r="K327" s="2011"/>
      <c r="L327" s="2011"/>
      <c r="M327" s="2011"/>
      <c r="N327" s="2010" t="s">
        <v>1029</v>
      </c>
      <c r="O327" s="2011"/>
      <c r="P327" s="2011"/>
      <c r="Q327" s="2012"/>
      <c r="R327" s="1615"/>
      <c r="S327" s="1615"/>
      <c r="Y327" s="38">
        <v>2018</v>
      </c>
    </row>
    <row r="328" spans="1:25" ht="87" customHeight="1" x14ac:dyDescent="0.2">
      <c r="A328" s="2003" t="s">
        <v>3</v>
      </c>
      <c r="B328" s="2005" t="s">
        <v>205</v>
      </c>
      <c r="C328" s="731" t="s">
        <v>1030</v>
      </c>
      <c r="D328" s="732" t="s">
        <v>1031</v>
      </c>
      <c r="E328" s="733" t="s">
        <v>1032</v>
      </c>
      <c r="F328" s="731" t="s">
        <v>1033</v>
      </c>
      <c r="G328" s="732" t="s">
        <v>1034</v>
      </c>
      <c r="H328" s="733" t="s">
        <v>1035</v>
      </c>
      <c r="I328" s="734" t="s">
        <v>1036</v>
      </c>
      <c r="J328" s="731" t="s">
        <v>1037</v>
      </c>
      <c r="K328" s="735" t="s">
        <v>1038</v>
      </c>
      <c r="L328" s="735" t="s">
        <v>1039</v>
      </c>
      <c r="M328" s="736" t="s">
        <v>326</v>
      </c>
      <c r="N328" s="731" t="s">
        <v>1040</v>
      </c>
      <c r="O328" s="735" t="s">
        <v>1041</v>
      </c>
      <c r="P328" s="735" t="s">
        <v>1042</v>
      </c>
      <c r="Q328" s="733" t="s">
        <v>1043</v>
      </c>
      <c r="R328" s="737" t="s">
        <v>1044</v>
      </c>
      <c r="S328" s="738" t="s">
        <v>1045</v>
      </c>
    </row>
    <row r="329" spans="1:25" ht="13.5" thickBot="1" x14ac:dyDescent="0.25">
      <c r="A329" s="2004"/>
      <c r="B329" s="2006"/>
      <c r="C329" s="739" t="s">
        <v>1046</v>
      </c>
      <c r="D329" s="126" t="s">
        <v>1047</v>
      </c>
      <c r="E329" s="127" t="s">
        <v>1048</v>
      </c>
      <c r="F329" s="739" t="s">
        <v>1049</v>
      </c>
      <c r="G329" s="126" t="s">
        <v>662</v>
      </c>
      <c r="H329" s="127" t="s">
        <v>1050</v>
      </c>
      <c r="I329" s="740" t="s">
        <v>1051</v>
      </c>
      <c r="J329" s="741" t="s">
        <v>1052</v>
      </c>
      <c r="K329" s="742" t="s">
        <v>1053</v>
      </c>
      <c r="L329" s="126" t="s">
        <v>1054</v>
      </c>
      <c r="M329" s="742" t="s">
        <v>1055</v>
      </c>
      <c r="N329" s="743" t="s">
        <v>1056</v>
      </c>
      <c r="O329" s="744" t="s">
        <v>1057</v>
      </c>
      <c r="P329" s="744" t="s">
        <v>1058</v>
      </c>
      <c r="Q329" s="745" t="s">
        <v>1059</v>
      </c>
      <c r="R329" s="746" t="s">
        <v>1060</v>
      </c>
      <c r="S329" s="127" t="s">
        <v>1061</v>
      </c>
    </row>
    <row r="330" spans="1:25" ht="25.5" x14ac:dyDescent="0.2">
      <c r="A330" s="747">
        <v>1611</v>
      </c>
      <c r="B330" s="748" t="s">
        <v>325</v>
      </c>
      <c r="C330" s="749">
        <f t="shared" ref="C330:D349" si="97">C276</f>
        <v>391465.09</v>
      </c>
      <c r="D330" s="750">
        <f t="shared" si="97"/>
        <v>391465</v>
      </c>
      <c r="E330" s="1597">
        <f>C330-D330</f>
        <v>9.0000000025611371E-2</v>
      </c>
      <c r="F330" s="749">
        <f t="shared" ref="F330:F375" si="98">F276+I276</f>
        <v>278205.17</v>
      </c>
      <c r="G330" s="750">
        <v>101413.57</v>
      </c>
      <c r="H330" s="1597">
        <f>F330-G330</f>
        <v>176791.59999999998</v>
      </c>
      <c r="I330" s="751">
        <v>0</v>
      </c>
      <c r="J330" s="1616">
        <v>0</v>
      </c>
      <c r="K330" s="1599">
        <f>IF(J330=0,0,1/J330)</f>
        <v>0</v>
      </c>
      <c r="L330" s="752">
        <v>5</v>
      </c>
      <c r="M330" s="1600">
        <f>IF(L330=0,0,1/L330)</f>
        <v>0.2</v>
      </c>
      <c r="N330" s="1601">
        <f>IF(J330=0,0,+E330/J330)</f>
        <v>0</v>
      </c>
      <c r="O330" s="1601">
        <f>IF(L330=0,0,+H330/L330)</f>
        <v>35358.319999999992</v>
      </c>
      <c r="P330" s="1602">
        <f>IF(L330=0,0,+(I330*0.5)/L330)</f>
        <v>0</v>
      </c>
      <c r="Q330" s="1603">
        <f>IF(ISERROR(+N330+O330+P330), 0, +N330+O330+P330)</f>
        <v>35358.319999999992</v>
      </c>
      <c r="R330" s="753">
        <f>-'App.2-BA_Fixed Asset Cont'!J401</f>
        <v>30490.35</v>
      </c>
      <c r="S330" s="110">
        <f>IF(ISERROR(+R330-122), 0, +R330-Q330)</f>
        <v>-4867.9699999999939</v>
      </c>
    </row>
    <row r="331" spans="1:25" ht="11.45" hidden="1" customHeight="1" x14ac:dyDescent="0.2">
      <c r="A331" s="105">
        <v>1612</v>
      </c>
      <c r="B331" s="754" t="s">
        <v>360</v>
      </c>
      <c r="C331" s="749">
        <f t="shared" si="97"/>
        <v>0</v>
      </c>
      <c r="D331" s="750">
        <f t="shared" si="97"/>
        <v>0</v>
      </c>
      <c r="E331" s="1597">
        <f t="shared" ref="E331:E377" si="99">C331-D331</f>
        <v>0</v>
      </c>
      <c r="F331" s="749">
        <f t="shared" si="98"/>
        <v>52023.42</v>
      </c>
      <c r="G331" s="750"/>
      <c r="H331" s="1597">
        <f t="shared" ref="H331:H377" si="100">F331-G331</f>
        <v>52023.42</v>
      </c>
      <c r="I331" s="751"/>
      <c r="J331" s="1616">
        <v>0</v>
      </c>
      <c r="K331" s="1599">
        <f t="shared" ref="K331:K377" si="101">IF(J331=0,0,1/J331)</f>
        <v>0</v>
      </c>
      <c r="L331" s="752">
        <v>0</v>
      </c>
      <c r="M331" s="1604">
        <f t="shared" ref="M331:M377" si="102">IF(L331=0,0,1/L331)</f>
        <v>0</v>
      </c>
      <c r="N331" s="1601">
        <f t="shared" ref="N331:N377" si="103">IF(J331=0,0,+E331/J331)</f>
        <v>0</v>
      </c>
      <c r="O331" s="1601">
        <f>IF(L331=0,0,+H331/L331)</f>
        <v>0</v>
      </c>
      <c r="P331" s="1602">
        <f t="shared" ref="P331:P377" si="104">IF(L331=0,0,+(I331*0.5)/L331)</f>
        <v>0</v>
      </c>
      <c r="Q331" s="1603">
        <f t="shared" ref="Q331:Q377" si="105">IF(ISERROR(+N331+O331+P331), 0, +N331+O331+P331)</f>
        <v>0</v>
      </c>
      <c r="R331" s="753">
        <f>-'App.2-BA_Fixed Asset Cont'!J402</f>
        <v>0</v>
      </c>
      <c r="S331" s="110">
        <f t="shared" ref="S331:S377" si="106">IF(ISERROR(+R331-122), 0, +R331-Q331)</f>
        <v>0</v>
      </c>
    </row>
    <row r="332" spans="1:25" ht="14.25" x14ac:dyDescent="0.2">
      <c r="A332" s="102">
        <v>1805</v>
      </c>
      <c r="B332" s="755" t="s">
        <v>236</v>
      </c>
      <c r="C332" s="749">
        <f t="shared" si="97"/>
        <v>858551.45999999985</v>
      </c>
      <c r="D332" s="750">
        <f t="shared" si="97"/>
        <v>0</v>
      </c>
      <c r="E332" s="1597">
        <f t="shared" si="99"/>
        <v>858551.45999999985</v>
      </c>
      <c r="F332" s="749">
        <f t="shared" si="98"/>
        <v>81527.34</v>
      </c>
      <c r="G332" s="750"/>
      <c r="H332" s="1597">
        <f t="shared" si="100"/>
        <v>81527.34</v>
      </c>
      <c r="I332" s="751">
        <v>6523.8</v>
      </c>
      <c r="J332" s="1616">
        <v>0</v>
      </c>
      <c r="K332" s="1599">
        <f t="shared" si="101"/>
        <v>0</v>
      </c>
      <c r="L332" s="752">
        <v>0</v>
      </c>
      <c r="M332" s="1604">
        <f t="shared" si="102"/>
        <v>0</v>
      </c>
      <c r="N332" s="1601">
        <f t="shared" si="103"/>
        <v>0</v>
      </c>
      <c r="O332" s="1601">
        <f t="shared" ref="O332:O377" si="107">IF(L332=0,0,+H332/L332)</f>
        <v>0</v>
      </c>
      <c r="P332" s="1602">
        <f t="shared" si="104"/>
        <v>0</v>
      </c>
      <c r="Q332" s="1603">
        <f t="shared" si="105"/>
        <v>0</v>
      </c>
      <c r="R332" s="753">
        <f>-'App.2-BA_Fixed Asset Cont'!J403</f>
        <v>0</v>
      </c>
      <c r="S332" s="110">
        <f t="shared" si="106"/>
        <v>0</v>
      </c>
    </row>
    <row r="333" spans="1:25" ht="14.25" x14ac:dyDescent="0.2">
      <c r="A333" s="105">
        <v>1808</v>
      </c>
      <c r="B333" s="754" t="s">
        <v>237</v>
      </c>
      <c r="C333" s="749">
        <f>C279-C354-C355-C334</f>
        <v>2643697.3699999992</v>
      </c>
      <c r="D333" s="750">
        <f>D279-D354-D355-D334</f>
        <v>226418.42432322731</v>
      </c>
      <c r="E333" s="1597">
        <f t="shared" si="99"/>
        <v>2417278.9456767719</v>
      </c>
      <c r="F333" s="749">
        <f>F279+I279-1888889</f>
        <v>-0.41999999992549419</v>
      </c>
      <c r="G333" s="750"/>
      <c r="H333" s="1597">
        <f t="shared" si="100"/>
        <v>-0.41999999992549419</v>
      </c>
      <c r="I333" s="751"/>
      <c r="J333" s="1616">
        <v>49.857785490578891</v>
      </c>
      <c r="K333" s="1599">
        <f>IF(J333=0,0,1/J333)</f>
        <v>2.0057048065020049E-2</v>
      </c>
      <c r="L333" s="752">
        <v>50</v>
      </c>
      <c r="M333" s="1604">
        <f t="shared" si="102"/>
        <v>0.02</v>
      </c>
      <c r="N333" s="1601">
        <f>IF(J333=0,0,+E333/J333)</f>
        <v>48483.48</v>
      </c>
      <c r="O333" s="1601">
        <f t="shared" si="107"/>
        <v>-8.3999999985098842E-3</v>
      </c>
      <c r="P333" s="1602">
        <f>IF(L333=0,0,+(I333*0.5)/L333)</f>
        <v>0</v>
      </c>
      <c r="Q333" s="1603">
        <f t="shared" si="105"/>
        <v>48483.471600000004</v>
      </c>
      <c r="R333" s="753">
        <f>-'App.2-BA_Fixed Asset Cont'!J404-3188-220</f>
        <v>58649.100000000006</v>
      </c>
      <c r="S333" s="110">
        <f>IF(ISERROR(+R333-122), 0, +R333-Q333)</f>
        <v>10165.628400000001</v>
      </c>
    </row>
    <row r="334" spans="1:25" ht="14.25" x14ac:dyDescent="0.2">
      <c r="A334" s="105">
        <v>1808</v>
      </c>
      <c r="B334" s="754" t="s">
        <v>237</v>
      </c>
      <c r="C334" s="749">
        <v>385830.71</v>
      </c>
      <c r="D334" s="750">
        <v>69254.31</v>
      </c>
      <c r="E334" s="1597">
        <f t="shared" si="99"/>
        <v>316576.40000000002</v>
      </c>
      <c r="F334" s="749">
        <f>F280+I280-1637071</f>
        <v>63158.709999999963</v>
      </c>
      <c r="G334" s="750"/>
      <c r="H334" s="1597">
        <f t="shared" si="100"/>
        <v>63158.709999999963</v>
      </c>
      <c r="I334" s="751">
        <v>33068.23000000001</v>
      </c>
      <c r="J334" s="1616">
        <v>0</v>
      </c>
      <c r="K334" s="1599">
        <f t="shared" si="101"/>
        <v>0</v>
      </c>
      <c r="L334" s="752">
        <v>25</v>
      </c>
      <c r="M334" s="1604">
        <f t="shared" si="102"/>
        <v>0.04</v>
      </c>
      <c r="N334" s="1601">
        <f t="shared" si="103"/>
        <v>0</v>
      </c>
      <c r="O334" s="1601">
        <f t="shared" si="107"/>
        <v>2526.3483999999985</v>
      </c>
      <c r="P334" s="1602">
        <f>IF(L334=0,0,+(I334*0.5)/L334)</f>
        <v>661.36460000000022</v>
      </c>
      <c r="Q334" s="1603">
        <f t="shared" si="105"/>
        <v>3187.7129999999988</v>
      </c>
      <c r="R334" s="753">
        <v>3188</v>
      </c>
      <c r="S334" s="110">
        <f t="shared" si="106"/>
        <v>0.28700000000117143</v>
      </c>
    </row>
    <row r="335" spans="1:25" ht="14.25" x14ac:dyDescent="0.2">
      <c r="A335" s="105">
        <v>1808</v>
      </c>
      <c r="B335" s="754" t="s">
        <v>237</v>
      </c>
      <c r="C335" s="749">
        <f t="shared" si="97"/>
        <v>0</v>
      </c>
      <c r="D335" s="750">
        <f t="shared" si="97"/>
        <v>0</v>
      </c>
      <c r="E335" s="1597">
        <f t="shared" si="99"/>
        <v>0</v>
      </c>
      <c r="F335" s="749">
        <f>F281+I281-F354</f>
        <v>10997.879999999888</v>
      </c>
      <c r="G335" s="750"/>
      <c r="H335" s="1597">
        <f t="shared" si="100"/>
        <v>10997.879999999888</v>
      </c>
      <c r="I335" s="751"/>
      <c r="J335" s="1616">
        <v>0</v>
      </c>
      <c r="K335" s="1599">
        <f t="shared" si="101"/>
        <v>0</v>
      </c>
      <c r="L335" s="752">
        <v>50</v>
      </c>
      <c r="M335" s="1604">
        <f t="shared" si="102"/>
        <v>0.02</v>
      </c>
      <c r="N335" s="1601">
        <f t="shared" si="103"/>
        <v>0</v>
      </c>
      <c r="O335" s="1601">
        <f t="shared" si="107"/>
        <v>219.95759999999777</v>
      </c>
      <c r="P335" s="1602">
        <f t="shared" si="104"/>
        <v>0</v>
      </c>
      <c r="Q335" s="1603">
        <f t="shared" si="105"/>
        <v>219.95759999999777</v>
      </c>
      <c r="R335" s="753">
        <v>220</v>
      </c>
      <c r="S335" s="110">
        <f t="shared" si="106"/>
        <v>4.2400000002231764E-2</v>
      </c>
    </row>
    <row r="336" spans="1:25" ht="15.6" hidden="1" customHeight="1" x14ac:dyDescent="0.2">
      <c r="A336" s="105">
        <v>1810</v>
      </c>
      <c r="B336" s="754" t="s">
        <v>262</v>
      </c>
      <c r="C336" s="749">
        <f t="shared" si="97"/>
        <v>0</v>
      </c>
      <c r="D336" s="750">
        <f t="shared" si="97"/>
        <v>0</v>
      </c>
      <c r="E336" s="1597">
        <f t="shared" si="99"/>
        <v>0</v>
      </c>
      <c r="F336" s="749">
        <f t="shared" si="98"/>
        <v>0</v>
      </c>
      <c r="G336" s="750"/>
      <c r="H336" s="1597">
        <f t="shared" si="100"/>
        <v>0</v>
      </c>
      <c r="I336" s="751"/>
      <c r="J336" s="1616">
        <v>0</v>
      </c>
      <c r="K336" s="1599">
        <f t="shared" si="101"/>
        <v>0</v>
      </c>
      <c r="L336" s="752">
        <v>0</v>
      </c>
      <c r="M336" s="1604">
        <f t="shared" si="102"/>
        <v>0</v>
      </c>
      <c r="N336" s="1601">
        <f t="shared" si="103"/>
        <v>0</v>
      </c>
      <c r="O336" s="1601">
        <f t="shared" si="107"/>
        <v>0</v>
      </c>
      <c r="P336" s="1602">
        <f t="shared" si="104"/>
        <v>0</v>
      </c>
      <c r="Q336" s="1603">
        <f t="shared" si="105"/>
        <v>0</v>
      </c>
      <c r="R336" s="753"/>
      <c r="S336" s="110">
        <f t="shared" si="106"/>
        <v>0</v>
      </c>
    </row>
    <row r="337" spans="1:19" ht="16.149999999999999" hidden="1" customHeight="1" x14ac:dyDescent="0.2">
      <c r="A337" s="105">
        <v>1815</v>
      </c>
      <c r="B337" s="754" t="s">
        <v>238</v>
      </c>
      <c r="C337" s="749">
        <f t="shared" si="97"/>
        <v>0</v>
      </c>
      <c r="D337" s="750">
        <f t="shared" si="97"/>
        <v>0</v>
      </c>
      <c r="E337" s="1597">
        <f t="shared" si="99"/>
        <v>0</v>
      </c>
      <c r="F337" s="749">
        <f t="shared" si="98"/>
        <v>0</v>
      </c>
      <c r="G337" s="750"/>
      <c r="H337" s="1597">
        <f t="shared" si="100"/>
        <v>0</v>
      </c>
      <c r="I337" s="751"/>
      <c r="J337" s="1616">
        <v>0</v>
      </c>
      <c r="K337" s="1599">
        <f t="shared" si="101"/>
        <v>0</v>
      </c>
      <c r="L337" s="752">
        <v>0</v>
      </c>
      <c r="M337" s="1604">
        <f t="shared" si="102"/>
        <v>0</v>
      </c>
      <c r="N337" s="1601">
        <f t="shared" si="103"/>
        <v>0</v>
      </c>
      <c r="O337" s="1601">
        <f t="shared" si="107"/>
        <v>0</v>
      </c>
      <c r="P337" s="1602">
        <f t="shared" si="104"/>
        <v>0</v>
      </c>
      <c r="Q337" s="1603">
        <f t="shared" si="105"/>
        <v>0</v>
      </c>
      <c r="R337" s="753"/>
      <c r="S337" s="110">
        <f t="shared" si="106"/>
        <v>0</v>
      </c>
    </row>
    <row r="338" spans="1:19" ht="14.25" x14ac:dyDescent="0.2">
      <c r="A338" s="105">
        <v>1820</v>
      </c>
      <c r="B338" s="754" t="s">
        <v>178</v>
      </c>
      <c r="C338" s="749">
        <f t="shared" si="97"/>
        <v>17547705.690000001</v>
      </c>
      <c r="D338" s="750">
        <f t="shared" si="97"/>
        <v>11226787.926014977</v>
      </c>
      <c r="E338" s="1597">
        <f t="shared" si="99"/>
        <v>6320917.7639850248</v>
      </c>
      <c r="F338" s="749">
        <f t="shared" si="98"/>
        <v>3864698.34</v>
      </c>
      <c r="G338" s="750"/>
      <c r="H338" s="1597">
        <f t="shared" si="100"/>
        <v>3864698.34</v>
      </c>
      <c r="I338" s="751">
        <v>1988015.49</v>
      </c>
      <c r="J338" s="1616">
        <v>22.767280906139572</v>
      </c>
      <c r="K338" s="1599">
        <f>IF(J338=0,0,1/J338)</f>
        <v>4.3922680276252644E-2</v>
      </c>
      <c r="L338" s="752">
        <v>45</v>
      </c>
      <c r="M338" s="1604">
        <f t="shared" si="102"/>
        <v>2.2222222222222223E-2</v>
      </c>
      <c r="N338" s="1601">
        <f t="shared" si="103"/>
        <v>277631.65000000002</v>
      </c>
      <c r="O338" s="1601">
        <f t="shared" si="107"/>
        <v>85882.185333333327</v>
      </c>
      <c r="P338" s="1602">
        <f t="shared" si="104"/>
        <v>22089.061000000002</v>
      </c>
      <c r="Q338" s="1603">
        <f t="shared" si="105"/>
        <v>385602.89633333334</v>
      </c>
      <c r="R338" s="753">
        <f>-'App.2-BA_Fixed Asset Cont'!J407-22538-9383-7695-6000</f>
        <v>384635.31</v>
      </c>
      <c r="S338" s="110">
        <f t="shared" si="106"/>
        <v>-967.58633333334001</v>
      </c>
    </row>
    <row r="339" spans="1:19" ht="14.25" x14ac:dyDescent="0.2">
      <c r="A339" s="105">
        <v>1820</v>
      </c>
      <c r="B339" s="754" t="s">
        <v>178</v>
      </c>
      <c r="C339" s="749">
        <f t="shared" si="97"/>
        <v>0</v>
      </c>
      <c r="D339" s="750">
        <f t="shared" si="97"/>
        <v>0</v>
      </c>
      <c r="E339" s="1597">
        <f t="shared" si="99"/>
        <v>0</v>
      </c>
      <c r="F339" s="749">
        <f t="shared" si="98"/>
        <v>450762.62</v>
      </c>
      <c r="G339" s="750"/>
      <c r="H339" s="1597">
        <f t="shared" si="100"/>
        <v>450762.62</v>
      </c>
      <c r="I339" s="751"/>
      <c r="J339" s="1616">
        <v>0</v>
      </c>
      <c r="K339" s="1599">
        <f t="shared" si="101"/>
        <v>0</v>
      </c>
      <c r="L339" s="752">
        <v>20</v>
      </c>
      <c r="M339" s="1604">
        <f t="shared" si="102"/>
        <v>0.05</v>
      </c>
      <c r="N339" s="1601">
        <f t="shared" si="103"/>
        <v>0</v>
      </c>
      <c r="O339" s="1601">
        <f t="shared" si="107"/>
        <v>22538.131000000001</v>
      </c>
      <c r="P339" s="1602">
        <f t="shared" si="104"/>
        <v>0</v>
      </c>
      <c r="Q339" s="1603">
        <f t="shared" si="105"/>
        <v>22538.131000000001</v>
      </c>
      <c r="R339" s="753">
        <v>22538</v>
      </c>
      <c r="S339" s="110">
        <f t="shared" si="106"/>
        <v>-0.13100000000122236</v>
      </c>
    </row>
    <row r="340" spans="1:19" ht="14.25" x14ac:dyDescent="0.2">
      <c r="A340" s="105">
        <v>1820</v>
      </c>
      <c r="B340" s="754" t="s">
        <v>178</v>
      </c>
      <c r="C340" s="749">
        <f t="shared" si="97"/>
        <v>0</v>
      </c>
      <c r="D340" s="750">
        <f t="shared" si="97"/>
        <v>0</v>
      </c>
      <c r="E340" s="1597">
        <f t="shared" si="99"/>
        <v>0</v>
      </c>
      <c r="F340" s="749">
        <f t="shared" si="98"/>
        <v>234568.64</v>
      </c>
      <c r="G340" s="750"/>
      <c r="H340" s="1597">
        <f t="shared" si="100"/>
        <v>234568.64</v>
      </c>
      <c r="I340" s="751"/>
      <c r="J340" s="1616">
        <v>0</v>
      </c>
      <c r="K340" s="1599">
        <f t="shared" si="101"/>
        <v>0</v>
      </c>
      <c r="L340" s="752">
        <v>25</v>
      </c>
      <c r="M340" s="1604">
        <f t="shared" si="102"/>
        <v>0.04</v>
      </c>
      <c r="N340" s="1601">
        <f t="shared" si="103"/>
        <v>0</v>
      </c>
      <c r="O340" s="1601">
        <f t="shared" si="107"/>
        <v>9382.7456000000002</v>
      </c>
      <c r="P340" s="1602">
        <f t="shared" si="104"/>
        <v>0</v>
      </c>
      <c r="Q340" s="1603">
        <f t="shared" si="105"/>
        <v>9382.7456000000002</v>
      </c>
      <c r="R340" s="753">
        <v>9383</v>
      </c>
      <c r="S340" s="110">
        <f t="shared" si="106"/>
        <v>0.254399999999805</v>
      </c>
    </row>
    <row r="341" spans="1:19" ht="14.25" x14ac:dyDescent="0.2">
      <c r="A341" s="105">
        <v>1820</v>
      </c>
      <c r="B341" s="754" t="s">
        <v>178</v>
      </c>
      <c r="C341" s="749">
        <f t="shared" si="97"/>
        <v>0</v>
      </c>
      <c r="D341" s="750">
        <f t="shared" si="97"/>
        <v>0</v>
      </c>
      <c r="E341" s="1597">
        <f t="shared" si="99"/>
        <v>0</v>
      </c>
      <c r="F341" s="749">
        <f t="shared" si="98"/>
        <v>384748.49</v>
      </c>
      <c r="G341" s="750"/>
      <c r="H341" s="1597">
        <f t="shared" si="100"/>
        <v>384748.49</v>
      </c>
      <c r="I341" s="751"/>
      <c r="J341" s="1616">
        <v>0</v>
      </c>
      <c r="K341" s="1599">
        <f t="shared" si="101"/>
        <v>0</v>
      </c>
      <c r="L341" s="752">
        <v>50</v>
      </c>
      <c r="M341" s="1604">
        <f t="shared" si="102"/>
        <v>0.02</v>
      </c>
      <c r="N341" s="1601">
        <f t="shared" si="103"/>
        <v>0</v>
      </c>
      <c r="O341" s="1601">
        <f t="shared" si="107"/>
        <v>7694.9697999999999</v>
      </c>
      <c r="P341" s="1602">
        <f t="shared" si="104"/>
        <v>0</v>
      </c>
      <c r="Q341" s="1603">
        <f t="shared" si="105"/>
        <v>7694.9697999999999</v>
      </c>
      <c r="R341" s="753">
        <v>7695</v>
      </c>
      <c r="S341" s="110">
        <f t="shared" si="106"/>
        <v>3.0200000000149885E-2</v>
      </c>
    </row>
    <row r="342" spans="1:19" ht="16.149999999999999" customHeight="1" x14ac:dyDescent="0.2">
      <c r="A342" s="105">
        <v>1820</v>
      </c>
      <c r="B342" s="754" t="s">
        <v>178</v>
      </c>
      <c r="C342" s="749">
        <f t="shared" si="97"/>
        <v>0</v>
      </c>
      <c r="D342" s="750">
        <f t="shared" si="97"/>
        <v>0</v>
      </c>
      <c r="E342" s="1597">
        <f t="shared" si="99"/>
        <v>0</v>
      </c>
      <c r="F342" s="749">
        <f t="shared" si="98"/>
        <v>180000</v>
      </c>
      <c r="G342" s="750"/>
      <c r="H342" s="1597">
        <f t="shared" si="100"/>
        <v>180000</v>
      </c>
      <c r="I342" s="751"/>
      <c r="J342" s="1616">
        <v>0</v>
      </c>
      <c r="K342" s="1599">
        <f t="shared" si="101"/>
        <v>0</v>
      </c>
      <c r="L342" s="752">
        <v>30</v>
      </c>
      <c r="M342" s="1604">
        <f t="shared" si="102"/>
        <v>3.3333333333333333E-2</v>
      </c>
      <c r="N342" s="1601">
        <f t="shared" si="103"/>
        <v>0</v>
      </c>
      <c r="O342" s="1601">
        <f t="shared" si="107"/>
        <v>6000</v>
      </c>
      <c r="P342" s="1602">
        <f t="shared" si="104"/>
        <v>0</v>
      </c>
      <c r="Q342" s="1603">
        <f t="shared" si="105"/>
        <v>6000</v>
      </c>
      <c r="R342" s="753">
        <v>6000</v>
      </c>
      <c r="S342" s="110">
        <f t="shared" si="106"/>
        <v>0</v>
      </c>
    </row>
    <row r="343" spans="1:19" ht="15.6" customHeight="1" x14ac:dyDescent="0.2">
      <c r="A343" s="105">
        <v>1825</v>
      </c>
      <c r="B343" s="754" t="s">
        <v>239</v>
      </c>
      <c r="C343" s="749">
        <f t="shared" si="97"/>
        <v>0</v>
      </c>
      <c r="D343" s="750">
        <f t="shared" si="97"/>
        <v>0</v>
      </c>
      <c r="E343" s="1597">
        <f t="shared" si="99"/>
        <v>0</v>
      </c>
      <c r="F343" s="749"/>
      <c r="G343" s="750"/>
      <c r="H343" s="1597">
        <f t="shared" si="100"/>
        <v>0</v>
      </c>
      <c r="I343" s="751">
        <v>881028.25000000023</v>
      </c>
      <c r="J343" s="1616">
        <v>0</v>
      </c>
      <c r="K343" s="1599">
        <f t="shared" si="101"/>
        <v>0</v>
      </c>
      <c r="L343" s="752">
        <v>20</v>
      </c>
      <c r="M343" s="1604">
        <f t="shared" si="102"/>
        <v>0.05</v>
      </c>
      <c r="N343" s="1601">
        <f t="shared" si="103"/>
        <v>0</v>
      </c>
      <c r="O343" s="1601">
        <f t="shared" si="107"/>
        <v>0</v>
      </c>
      <c r="P343" s="1602">
        <f t="shared" si="104"/>
        <v>22025.706250000007</v>
      </c>
      <c r="Q343" s="1603">
        <f t="shared" si="105"/>
        <v>22025.706250000007</v>
      </c>
      <c r="R343" s="753">
        <f>-'App.2-BA_Fixed Asset Cont'!J408</f>
        <v>44051.4</v>
      </c>
      <c r="S343" s="110">
        <f t="shared" si="106"/>
        <v>22025.693749999995</v>
      </c>
    </row>
    <row r="344" spans="1:19" ht="14.25" x14ac:dyDescent="0.2">
      <c r="A344" s="105">
        <v>1830</v>
      </c>
      <c r="B344" s="754" t="s">
        <v>240</v>
      </c>
      <c r="C344" s="749">
        <f t="shared" si="97"/>
        <v>19238774.109999999</v>
      </c>
      <c r="D344" s="750">
        <f t="shared" si="97"/>
        <v>9065588.3328476083</v>
      </c>
      <c r="E344" s="1597">
        <f t="shared" si="99"/>
        <v>10173185.777152391</v>
      </c>
      <c r="F344" s="749">
        <f t="shared" si="98"/>
        <v>9598926.7300000004</v>
      </c>
      <c r="G344" s="750"/>
      <c r="H344" s="1597">
        <f t="shared" si="100"/>
        <v>9598926.7300000004</v>
      </c>
      <c r="I344" s="751">
        <v>2134988.0066666668</v>
      </c>
      <c r="J344" s="1616">
        <v>32.14516805347607</v>
      </c>
      <c r="K344" s="1599">
        <f>IF(J344=0,0,1/J344)</f>
        <v>3.1108874538668445E-2</v>
      </c>
      <c r="L344" s="752">
        <v>40</v>
      </c>
      <c r="M344" s="1604">
        <f t="shared" si="102"/>
        <v>2.5000000000000001E-2</v>
      </c>
      <c r="N344" s="1601">
        <f t="shared" si="103"/>
        <v>316476.36</v>
      </c>
      <c r="O344" s="1601">
        <f t="shared" si="107"/>
        <v>239973.16825000002</v>
      </c>
      <c r="P344" s="1602">
        <f t="shared" si="104"/>
        <v>26687.350083333335</v>
      </c>
      <c r="Q344" s="1603">
        <f t="shared" si="105"/>
        <v>583136.8783333333</v>
      </c>
      <c r="R344" s="753">
        <f>-'App.2-BA_Fixed Asset Cont'!J409</f>
        <v>574888.38</v>
      </c>
      <c r="S344" s="110">
        <f t="shared" si="106"/>
        <v>-8248.498333333293</v>
      </c>
    </row>
    <row r="345" spans="1:19" ht="14.25" x14ac:dyDescent="0.2">
      <c r="A345" s="105">
        <v>1835</v>
      </c>
      <c r="B345" s="754" t="s">
        <v>179</v>
      </c>
      <c r="C345" s="749">
        <f t="shared" si="97"/>
        <v>38955843.480131179</v>
      </c>
      <c r="D345" s="750">
        <f t="shared" si="97"/>
        <v>28314245.019583322</v>
      </c>
      <c r="E345" s="1597">
        <f t="shared" si="99"/>
        <v>10641598.460547857</v>
      </c>
      <c r="F345" s="749">
        <f t="shared" si="98"/>
        <v>6124585.9199999999</v>
      </c>
      <c r="G345" s="750"/>
      <c r="H345" s="1597">
        <f t="shared" si="100"/>
        <v>6124585.9199999999</v>
      </c>
      <c r="I345" s="751">
        <v>944617.19000000006</v>
      </c>
      <c r="J345" s="1616">
        <v>27.754472149665929</v>
      </c>
      <c r="K345" s="1599">
        <f t="shared" si="101"/>
        <v>3.6030229456626026E-2</v>
      </c>
      <c r="L345" s="752">
        <v>40</v>
      </c>
      <c r="M345" s="1604">
        <f t="shared" si="102"/>
        <v>2.5000000000000001E-2</v>
      </c>
      <c r="N345" s="1601">
        <f t="shared" si="103"/>
        <v>383419.23431881756</v>
      </c>
      <c r="O345" s="1601">
        <f t="shared" si="107"/>
        <v>153114.64799999999</v>
      </c>
      <c r="P345" s="1602">
        <f t="shared" si="104"/>
        <v>11807.714875000001</v>
      </c>
      <c r="Q345" s="1603">
        <f t="shared" si="105"/>
        <v>548341.59719381749</v>
      </c>
      <c r="R345" s="753">
        <f>-'App.2-BA_Fixed Asset Cont'!J410</f>
        <v>537970.38431881752</v>
      </c>
      <c r="S345" s="110">
        <f t="shared" si="106"/>
        <v>-10371.212874999968</v>
      </c>
    </row>
    <row r="346" spans="1:19" ht="14.25" x14ac:dyDescent="0.2">
      <c r="A346" s="105">
        <v>1840</v>
      </c>
      <c r="B346" s="754" t="s">
        <v>180</v>
      </c>
      <c r="C346" s="749">
        <f t="shared" si="97"/>
        <v>20841499.539999999</v>
      </c>
      <c r="D346" s="750">
        <f t="shared" si="97"/>
        <v>12176064.896733059</v>
      </c>
      <c r="E346" s="1597">
        <f t="shared" si="99"/>
        <v>8665434.6432669405</v>
      </c>
      <c r="F346" s="749">
        <f t="shared" si="98"/>
        <v>3763077.7300000004</v>
      </c>
      <c r="G346" s="750"/>
      <c r="H346" s="1597">
        <f t="shared" si="100"/>
        <v>3763077.7300000004</v>
      </c>
      <c r="I346" s="751">
        <v>433359.88</v>
      </c>
      <c r="J346" s="1616">
        <v>38.326866273354732</v>
      </c>
      <c r="K346" s="1599">
        <f t="shared" si="101"/>
        <v>2.6091358288147112E-2</v>
      </c>
      <c r="L346" s="752">
        <v>50</v>
      </c>
      <c r="M346" s="1604">
        <f t="shared" si="102"/>
        <v>0.02</v>
      </c>
      <c r="N346" s="1601">
        <f t="shared" si="103"/>
        <v>226092.96</v>
      </c>
      <c r="O346" s="1601">
        <f t="shared" si="107"/>
        <v>75261.554600000003</v>
      </c>
      <c r="P346" s="1602">
        <f t="shared" si="104"/>
        <v>4333.5987999999998</v>
      </c>
      <c r="Q346" s="1603">
        <f t="shared" si="105"/>
        <v>305688.11339999997</v>
      </c>
      <c r="R346" s="753">
        <f>-'App.2-BA_Fixed Asset Cont'!J411</f>
        <v>306023.96000000002</v>
      </c>
      <c r="S346" s="110">
        <f t="shared" si="106"/>
        <v>335.84660000004806</v>
      </c>
    </row>
    <row r="347" spans="1:19" ht="14.25" x14ac:dyDescent="0.2">
      <c r="A347" s="105">
        <v>1845</v>
      </c>
      <c r="B347" s="754" t="s">
        <v>181</v>
      </c>
      <c r="C347" s="749">
        <f t="shared" si="97"/>
        <v>15719869.667285465</v>
      </c>
      <c r="D347" s="750">
        <f t="shared" si="97"/>
        <v>11662374.440973222</v>
      </c>
      <c r="E347" s="1597">
        <f t="shared" si="99"/>
        <v>4057495.2263122424</v>
      </c>
      <c r="F347" s="749">
        <f t="shared" si="98"/>
        <v>3996357.64</v>
      </c>
      <c r="G347" s="750"/>
      <c r="H347" s="1597">
        <f t="shared" si="100"/>
        <v>3996357.64</v>
      </c>
      <c r="I347" s="751">
        <v>677148.79666666687</v>
      </c>
      <c r="J347" s="1616">
        <v>22.868255901902497</v>
      </c>
      <c r="K347" s="1599">
        <f t="shared" si="101"/>
        <v>4.3728739274638176E-2</v>
      </c>
      <c r="L347" s="752">
        <v>40</v>
      </c>
      <c r="M347" s="1604">
        <f t="shared" si="102"/>
        <v>2.5000000000000001E-2</v>
      </c>
      <c r="N347" s="1601">
        <f t="shared" si="103"/>
        <v>177429.15085949708</v>
      </c>
      <c r="O347" s="1601">
        <f t="shared" si="107"/>
        <v>99908.941000000006</v>
      </c>
      <c r="P347" s="1602">
        <f t="shared" si="104"/>
        <v>8464.3599583333362</v>
      </c>
      <c r="Q347" s="1603">
        <f t="shared" si="105"/>
        <v>285802.45181783038</v>
      </c>
      <c r="R347" s="753">
        <f>-'App.2-BA_Fixed Asset Cont'!J412</f>
        <v>276077.63053953904</v>
      </c>
      <c r="S347" s="110">
        <f t="shared" si="106"/>
        <v>-9724.821278291347</v>
      </c>
    </row>
    <row r="348" spans="1:19" ht="14.25" x14ac:dyDescent="0.2">
      <c r="A348" s="105">
        <v>1850</v>
      </c>
      <c r="B348" s="754" t="s">
        <v>241</v>
      </c>
      <c r="C348" s="749">
        <f t="shared" si="97"/>
        <v>25892036.769088108</v>
      </c>
      <c r="D348" s="750">
        <f t="shared" si="97"/>
        <v>17956843.743688975</v>
      </c>
      <c r="E348" s="1597">
        <f t="shared" si="99"/>
        <v>7935193.0253991336</v>
      </c>
      <c r="F348" s="749">
        <f t="shared" si="98"/>
        <v>9943727.6300000027</v>
      </c>
      <c r="G348" s="750"/>
      <c r="H348" s="1597">
        <f t="shared" si="100"/>
        <v>9943727.6300000027</v>
      </c>
      <c r="I348" s="751">
        <v>1790357.2799999998</v>
      </c>
      <c r="J348" s="1616">
        <v>30.928732826223051</v>
      </c>
      <c r="K348" s="1599">
        <f>IF(J348=0,0,1/J348)</f>
        <v>3.2332394787029421E-2</v>
      </c>
      <c r="L348" s="752">
        <v>40</v>
      </c>
      <c r="M348" s="1604">
        <f t="shared" si="102"/>
        <v>2.5000000000000001E-2</v>
      </c>
      <c r="N348" s="1601">
        <f t="shared" si="103"/>
        <v>256563.79360848718</v>
      </c>
      <c r="O348" s="1601">
        <f t="shared" si="107"/>
        <v>248593.19075000007</v>
      </c>
      <c r="P348" s="1602">
        <f t="shared" si="104"/>
        <v>22379.465999999997</v>
      </c>
      <c r="Q348" s="1603">
        <f t="shared" si="105"/>
        <v>527536.4503584872</v>
      </c>
      <c r="R348" s="753">
        <f>-'App.2-BA_Fixed Asset Cont'!J413</f>
        <v>514767.00360848726</v>
      </c>
      <c r="S348" s="110">
        <f t="shared" si="106"/>
        <v>-12769.446749999945</v>
      </c>
    </row>
    <row r="349" spans="1:19" ht="14.25" x14ac:dyDescent="0.2">
      <c r="A349" s="105">
        <v>1855</v>
      </c>
      <c r="B349" s="754" t="s">
        <v>182</v>
      </c>
      <c r="C349" s="749">
        <f t="shared" si="97"/>
        <v>12342929.799999999</v>
      </c>
      <c r="D349" s="750">
        <f t="shared" si="97"/>
        <v>6500462.1358982157</v>
      </c>
      <c r="E349" s="1597">
        <f t="shared" si="99"/>
        <v>5842467.6641017832</v>
      </c>
      <c r="F349" s="749">
        <f t="shared" si="98"/>
        <v>4776437.3199999994</v>
      </c>
      <c r="G349" s="750"/>
      <c r="H349" s="1597">
        <f t="shared" si="100"/>
        <v>4776437.3199999994</v>
      </c>
      <c r="I349" s="751">
        <v>399878.03</v>
      </c>
      <c r="J349" s="1616">
        <v>30.928826323828766</v>
      </c>
      <c r="K349" s="1599">
        <f t="shared" si="101"/>
        <v>3.2332297046446967E-2</v>
      </c>
      <c r="L349" s="752">
        <v>40</v>
      </c>
      <c r="M349" s="1604">
        <f t="shared" si="102"/>
        <v>2.5000000000000001E-2</v>
      </c>
      <c r="N349" s="1601">
        <f t="shared" si="103"/>
        <v>188900.4</v>
      </c>
      <c r="O349" s="1601">
        <f t="shared" si="107"/>
        <v>119410.93299999999</v>
      </c>
      <c r="P349" s="1602">
        <f t="shared" si="104"/>
        <v>4998.475375</v>
      </c>
      <c r="Q349" s="1603">
        <f t="shared" si="105"/>
        <v>313309.80837499996</v>
      </c>
      <c r="R349" s="753">
        <f>-'App.2-BA_Fixed Asset Cont'!J414</f>
        <v>310715.02</v>
      </c>
      <c r="S349" s="110">
        <f t="shared" si="106"/>
        <v>-2594.7883749999455</v>
      </c>
    </row>
    <row r="350" spans="1:19" ht="14.25" x14ac:dyDescent="0.2">
      <c r="A350" s="105">
        <v>1860</v>
      </c>
      <c r="B350" s="754" t="s">
        <v>242</v>
      </c>
      <c r="C350" s="749">
        <f t="shared" ref="C350:D369" si="108">C296</f>
        <v>8900387.9934</v>
      </c>
      <c r="D350" s="750">
        <f t="shared" si="108"/>
        <v>6817799.92275065</v>
      </c>
      <c r="E350" s="1597">
        <f t="shared" si="99"/>
        <v>2082588.0706493501</v>
      </c>
      <c r="F350" s="749">
        <f t="shared" si="98"/>
        <v>483054.56</v>
      </c>
      <c r="G350" s="750"/>
      <c r="H350" s="1597">
        <f t="shared" si="100"/>
        <v>483054.56</v>
      </c>
      <c r="I350" s="751">
        <v>148145.28</v>
      </c>
      <c r="J350" s="1616">
        <v>4.350682908520989</v>
      </c>
      <c r="K350" s="1599">
        <f>IF(J350=0,0,1/J350)</f>
        <v>0.22984897337414764</v>
      </c>
      <c r="L350" s="752">
        <v>15</v>
      </c>
      <c r="M350" s="1604">
        <f t="shared" si="102"/>
        <v>6.6666666666666666E-2</v>
      </c>
      <c r="N350" s="1601">
        <f t="shared" si="103"/>
        <v>478680.73</v>
      </c>
      <c r="O350" s="1601">
        <f t="shared" si="107"/>
        <v>32203.637333333332</v>
      </c>
      <c r="P350" s="1602">
        <f t="shared" si="104"/>
        <v>4938.1760000000004</v>
      </c>
      <c r="Q350" s="1603">
        <f t="shared" si="105"/>
        <v>515822.54333333328</v>
      </c>
      <c r="R350" s="753">
        <f>-'App.2-BA_Fixed Asset Cont'!J415-2037-5491</f>
        <v>510123.19</v>
      </c>
      <c r="S350" s="110">
        <f t="shared" si="106"/>
        <v>-5699.3533333332743</v>
      </c>
    </row>
    <row r="351" spans="1:19" ht="14.25" x14ac:dyDescent="0.2">
      <c r="A351" s="102">
        <v>1860</v>
      </c>
      <c r="B351" s="755" t="s">
        <v>242</v>
      </c>
      <c r="C351" s="749">
        <f t="shared" si="108"/>
        <v>0</v>
      </c>
      <c r="D351" s="750">
        <f t="shared" si="108"/>
        <v>0</v>
      </c>
      <c r="E351" s="1597">
        <f t="shared" si="99"/>
        <v>0</v>
      </c>
      <c r="F351" s="749">
        <f t="shared" si="98"/>
        <v>91643</v>
      </c>
      <c r="G351" s="750"/>
      <c r="H351" s="1597">
        <f t="shared" si="100"/>
        <v>91643</v>
      </c>
      <c r="I351" s="751">
        <v>0</v>
      </c>
      <c r="J351" s="1616">
        <v>0</v>
      </c>
      <c r="K351" s="1599">
        <f t="shared" si="101"/>
        <v>0</v>
      </c>
      <c r="L351" s="752">
        <v>45</v>
      </c>
      <c r="M351" s="1604">
        <f t="shared" si="102"/>
        <v>2.2222222222222223E-2</v>
      </c>
      <c r="N351" s="1601">
        <f t="shared" si="103"/>
        <v>0</v>
      </c>
      <c r="O351" s="1601">
        <f t="shared" si="107"/>
        <v>2036.5111111111112</v>
      </c>
      <c r="P351" s="1602">
        <f t="shared" si="104"/>
        <v>0</v>
      </c>
      <c r="Q351" s="1603">
        <f t="shared" si="105"/>
        <v>2036.5111111111112</v>
      </c>
      <c r="R351" s="753">
        <v>2037</v>
      </c>
      <c r="S351" s="110">
        <f t="shared" si="106"/>
        <v>0.4888888888888232</v>
      </c>
    </row>
    <row r="352" spans="1:19" ht="15" customHeight="1" x14ac:dyDescent="0.2">
      <c r="A352" s="105">
        <v>1860</v>
      </c>
      <c r="B352" s="754" t="s">
        <v>242</v>
      </c>
      <c r="C352" s="749">
        <f t="shared" si="108"/>
        <v>0</v>
      </c>
      <c r="D352" s="750">
        <f t="shared" si="108"/>
        <v>0</v>
      </c>
      <c r="E352" s="1597">
        <f t="shared" si="99"/>
        <v>0</v>
      </c>
      <c r="F352" s="749">
        <f t="shared" si="98"/>
        <v>137287</v>
      </c>
      <c r="G352" s="750"/>
      <c r="H352" s="1597">
        <f t="shared" si="100"/>
        <v>137287</v>
      </c>
      <c r="I352" s="751">
        <v>0</v>
      </c>
      <c r="J352" s="1616">
        <v>0</v>
      </c>
      <c r="K352" s="1599">
        <f t="shared" si="101"/>
        <v>0</v>
      </c>
      <c r="L352" s="752">
        <v>25</v>
      </c>
      <c r="M352" s="1604">
        <f t="shared" si="102"/>
        <v>0.04</v>
      </c>
      <c r="N352" s="1601">
        <f t="shared" si="103"/>
        <v>0</v>
      </c>
      <c r="O352" s="1601">
        <f t="shared" si="107"/>
        <v>5491.48</v>
      </c>
      <c r="P352" s="1602">
        <f t="shared" si="104"/>
        <v>0</v>
      </c>
      <c r="Q352" s="1603">
        <f t="shared" si="105"/>
        <v>5491.48</v>
      </c>
      <c r="R352" s="753">
        <v>5491</v>
      </c>
      <c r="S352" s="110">
        <f t="shared" si="106"/>
        <v>-0.47999999999956344</v>
      </c>
    </row>
    <row r="353" spans="1:19" ht="12" hidden="1" customHeight="1" x14ac:dyDescent="0.2">
      <c r="A353" s="102">
        <v>1905</v>
      </c>
      <c r="B353" s="755" t="s">
        <v>236</v>
      </c>
      <c r="C353" s="749">
        <f t="shared" si="108"/>
        <v>0</v>
      </c>
      <c r="D353" s="750">
        <f t="shared" si="108"/>
        <v>0</v>
      </c>
      <c r="E353" s="1597">
        <f t="shared" si="99"/>
        <v>0</v>
      </c>
      <c r="F353" s="749">
        <f t="shared" si="98"/>
        <v>0</v>
      </c>
      <c r="G353" s="750"/>
      <c r="H353" s="1597">
        <f t="shared" si="100"/>
        <v>0</v>
      </c>
      <c r="I353" s="751"/>
      <c r="J353" s="1616">
        <v>0</v>
      </c>
      <c r="K353" s="1599">
        <f t="shared" si="101"/>
        <v>0</v>
      </c>
      <c r="L353" s="752">
        <v>0</v>
      </c>
      <c r="M353" s="1604">
        <f t="shared" si="102"/>
        <v>0</v>
      </c>
      <c r="N353" s="1601">
        <f t="shared" si="103"/>
        <v>0</v>
      </c>
      <c r="O353" s="1601">
        <f t="shared" si="107"/>
        <v>0</v>
      </c>
      <c r="P353" s="1602">
        <f t="shared" si="104"/>
        <v>0</v>
      </c>
      <c r="Q353" s="1603">
        <f t="shared" si="105"/>
        <v>0</v>
      </c>
      <c r="R353" s="753"/>
      <c r="S353" s="110">
        <f t="shared" si="106"/>
        <v>0</v>
      </c>
    </row>
    <row r="354" spans="1:19" ht="15" customHeight="1" x14ac:dyDescent="0.2">
      <c r="A354" s="105">
        <v>1908</v>
      </c>
      <c r="B354" s="754" t="s">
        <v>244</v>
      </c>
      <c r="C354" s="749">
        <v>6325331.71</v>
      </c>
      <c r="D354" s="750">
        <v>3833995.26</v>
      </c>
      <c r="E354" s="1597">
        <f t="shared" si="99"/>
        <v>2491336.4500000002</v>
      </c>
      <c r="F354" s="749">
        <v>1105590.1200000001</v>
      </c>
      <c r="G354" s="750"/>
      <c r="H354" s="1597">
        <f t="shared" si="100"/>
        <v>1105590.1200000001</v>
      </c>
      <c r="I354" s="751"/>
      <c r="J354" s="1616">
        <v>17.999992269212886</v>
      </c>
      <c r="K354" s="1599">
        <f t="shared" si="101"/>
        <v>5.5555579416019858E-2</v>
      </c>
      <c r="L354" s="752">
        <v>50</v>
      </c>
      <c r="M354" s="1604">
        <f t="shared" si="102"/>
        <v>0.02</v>
      </c>
      <c r="N354" s="1601">
        <f t="shared" si="103"/>
        <v>138407.64000000001</v>
      </c>
      <c r="O354" s="1601">
        <f>IF(L354=0,0,+H354/L354)</f>
        <v>22111.8024</v>
      </c>
      <c r="P354" s="1602">
        <f t="shared" si="104"/>
        <v>0</v>
      </c>
      <c r="Q354" s="1603">
        <f t="shared" si="105"/>
        <v>160519.4424</v>
      </c>
      <c r="R354" s="753">
        <f>-'App.2-BA_Fixed Asset Cont'!J418-194762</f>
        <v>152372.44</v>
      </c>
      <c r="S354" s="110">
        <f t="shared" si="106"/>
        <v>-8147.0023999999976</v>
      </c>
    </row>
    <row r="355" spans="1:19" ht="16.149999999999999" customHeight="1" x14ac:dyDescent="0.2">
      <c r="A355" s="105">
        <v>1908</v>
      </c>
      <c r="B355" s="754" t="s">
        <v>244</v>
      </c>
      <c r="C355" s="749">
        <v>774496.75</v>
      </c>
      <c r="D355" s="750">
        <f>445882.65+49109.87</f>
        <v>494992.52</v>
      </c>
      <c r="E355" s="1597">
        <f t="shared" si="99"/>
        <v>279504.23</v>
      </c>
      <c r="F355" s="749">
        <v>3525960.13</v>
      </c>
      <c r="G355" s="750"/>
      <c r="H355" s="1597">
        <f t="shared" si="100"/>
        <v>3525960.13</v>
      </c>
      <c r="I355" s="751">
        <v>242328.53</v>
      </c>
      <c r="J355" s="1616">
        <v>5.7185132581569924</v>
      </c>
      <c r="K355" s="1599">
        <f t="shared" si="101"/>
        <v>0.1748706271815636</v>
      </c>
      <c r="L355" s="752">
        <v>25</v>
      </c>
      <c r="M355" s="1604">
        <f t="shared" si="102"/>
        <v>0.04</v>
      </c>
      <c r="N355" s="1601">
        <f t="shared" si="103"/>
        <v>48877.08</v>
      </c>
      <c r="O355" s="1601">
        <f>IF(L355=0,0,+H355/L355)</f>
        <v>141038.40520000001</v>
      </c>
      <c r="P355" s="1602">
        <f t="shared" si="104"/>
        <v>4846.5706</v>
      </c>
      <c r="Q355" s="1603">
        <f t="shared" si="105"/>
        <v>194762.0558</v>
      </c>
      <c r="R355" s="753">
        <v>194762</v>
      </c>
      <c r="S355" s="110">
        <f t="shared" si="106"/>
        <v>-5.5800000001909211E-2</v>
      </c>
    </row>
    <row r="356" spans="1:19" ht="14.25" x14ac:dyDescent="0.2">
      <c r="A356" s="105">
        <v>1915</v>
      </c>
      <c r="B356" s="754" t="s">
        <v>184</v>
      </c>
      <c r="C356" s="749">
        <f t="shared" si="108"/>
        <v>44314.559999999998</v>
      </c>
      <c r="D356" s="750">
        <f t="shared" si="108"/>
        <v>41713.569499999991</v>
      </c>
      <c r="E356" s="1597">
        <f t="shared" si="99"/>
        <v>2600.9905000000072</v>
      </c>
      <c r="F356" s="749">
        <f t="shared" si="98"/>
        <v>46301</v>
      </c>
      <c r="G356" s="750"/>
      <c r="H356" s="1597">
        <f t="shared" si="100"/>
        <v>46301</v>
      </c>
      <c r="I356" s="751"/>
      <c r="J356" s="1616">
        <v>0</v>
      </c>
      <c r="K356" s="1599">
        <f t="shared" si="101"/>
        <v>0</v>
      </c>
      <c r="L356" s="752">
        <v>10</v>
      </c>
      <c r="M356" s="1604">
        <f t="shared" si="102"/>
        <v>0.1</v>
      </c>
      <c r="N356" s="1601">
        <f t="shared" si="103"/>
        <v>0</v>
      </c>
      <c r="O356" s="1601">
        <f t="shared" si="107"/>
        <v>4630.1000000000004</v>
      </c>
      <c r="P356" s="1602">
        <f t="shared" si="104"/>
        <v>0</v>
      </c>
      <c r="Q356" s="1603">
        <f t="shared" si="105"/>
        <v>4630.1000000000004</v>
      </c>
      <c r="R356" s="753">
        <f>-'App.2-BA_Fixed Asset Cont'!J420</f>
        <v>4630.08</v>
      </c>
      <c r="S356" s="110">
        <f t="shared" si="106"/>
        <v>-2.0000000000436557E-2</v>
      </c>
    </row>
    <row r="357" spans="1:19" ht="19.899999999999999" hidden="1" customHeight="1" x14ac:dyDescent="0.2">
      <c r="A357" s="105">
        <v>1915</v>
      </c>
      <c r="B357" s="754" t="s">
        <v>185</v>
      </c>
      <c r="C357" s="749">
        <f t="shared" si="108"/>
        <v>0</v>
      </c>
      <c r="D357" s="750">
        <f t="shared" si="108"/>
        <v>0</v>
      </c>
      <c r="E357" s="1597">
        <f t="shared" si="99"/>
        <v>0</v>
      </c>
      <c r="F357" s="749">
        <f t="shared" si="98"/>
        <v>0</v>
      </c>
      <c r="G357" s="750"/>
      <c r="H357" s="1597">
        <f t="shared" si="100"/>
        <v>0</v>
      </c>
      <c r="I357" s="751"/>
      <c r="J357" s="1616">
        <v>0</v>
      </c>
      <c r="K357" s="1599">
        <f t="shared" si="101"/>
        <v>0</v>
      </c>
      <c r="L357" s="752">
        <v>0</v>
      </c>
      <c r="M357" s="1604">
        <f t="shared" si="102"/>
        <v>0</v>
      </c>
      <c r="N357" s="1601">
        <f t="shared" si="103"/>
        <v>0</v>
      </c>
      <c r="O357" s="1601">
        <f t="shared" si="107"/>
        <v>0</v>
      </c>
      <c r="P357" s="1602">
        <f t="shared" si="104"/>
        <v>0</v>
      </c>
      <c r="Q357" s="1603">
        <f t="shared" si="105"/>
        <v>0</v>
      </c>
      <c r="R357" s="753">
        <f>-'App.2-BA_Fixed Asset Cont'!J421</f>
        <v>0</v>
      </c>
      <c r="S357" s="110">
        <f t="shared" si="106"/>
        <v>0</v>
      </c>
    </row>
    <row r="358" spans="1:19" ht="14.25" x14ac:dyDescent="0.2">
      <c r="A358" s="102">
        <v>1920</v>
      </c>
      <c r="B358" s="755" t="s">
        <v>186</v>
      </c>
      <c r="C358" s="749">
        <f t="shared" si="108"/>
        <v>162987.72</v>
      </c>
      <c r="D358" s="750">
        <f t="shared" si="108"/>
        <v>162988</v>
      </c>
      <c r="E358" s="1597">
        <f t="shared" si="99"/>
        <v>-0.27999999999883585</v>
      </c>
      <c r="F358" s="749">
        <f t="shared" si="98"/>
        <v>394679.53</v>
      </c>
      <c r="G358" s="750">
        <v>341012.65</v>
      </c>
      <c r="H358" s="1597">
        <f t="shared" si="100"/>
        <v>53666.880000000005</v>
      </c>
      <c r="I358" s="751"/>
      <c r="J358" s="1616">
        <v>0</v>
      </c>
      <c r="K358" s="1599">
        <f t="shared" si="101"/>
        <v>0</v>
      </c>
      <c r="L358" s="752">
        <v>5</v>
      </c>
      <c r="M358" s="1604">
        <f t="shared" si="102"/>
        <v>0.2</v>
      </c>
      <c r="N358" s="1601">
        <f t="shared" si="103"/>
        <v>0</v>
      </c>
      <c r="O358" s="1601">
        <f t="shared" si="107"/>
        <v>10733.376</v>
      </c>
      <c r="P358" s="1602">
        <f t="shared" si="104"/>
        <v>0</v>
      </c>
      <c r="Q358" s="1603">
        <f t="shared" si="105"/>
        <v>10733.376</v>
      </c>
      <c r="R358" s="753">
        <f>-'App.2-BA_Fixed Asset Cont'!J422</f>
        <v>10733.47</v>
      </c>
      <c r="S358" s="110">
        <f t="shared" si="106"/>
        <v>9.3999999999141437E-2</v>
      </c>
    </row>
    <row r="359" spans="1:19" ht="14.25" hidden="1" x14ac:dyDescent="0.2">
      <c r="A359" s="105">
        <v>1920</v>
      </c>
      <c r="B359" s="754" t="s">
        <v>188</v>
      </c>
      <c r="C359" s="749">
        <f t="shared" si="108"/>
        <v>0</v>
      </c>
      <c r="D359" s="750">
        <f t="shared" si="108"/>
        <v>0</v>
      </c>
      <c r="E359" s="1597">
        <f t="shared" si="99"/>
        <v>0</v>
      </c>
      <c r="F359" s="749">
        <f t="shared" si="98"/>
        <v>0</v>
      </c>
      <c r="G359" s="750"/>
      <c r="H359" s="1597">
        <f t="shared" si="100"/>
        <v>0</v>
      </c>
      <c r="I359" s="751"/>
      <c r="J359" s="1616">
        <v>0</v>
      </c>
      <c r="K359" s="1599">
        <f t="shared" si="101"/>
        <v>0</v>
      </c>
      <c r="L359" s="752">
        <v>0</v>
      </c>
      <c r="M359" s="1604">
        <f t="shared" si="102"/>
        <v>0</v>
      </c>
      <c r="N359" s="1601">
        <f t="shared" si="103"/>
        <v>0</v>
      </c>
      <c r="O359" s="1601">
        <f t="shared" si="107"/>
        <v>0</v>
      </c>
      <c r="P359" s="1602">
        <f t="shared" si="104"/>
        <v>0</v>
      </c>
      <c r="Q359" s="1603">
        <f t="shared" si="105"/>
        <v>0</v>
      </c>
      <c r="R359" s="753">
        <f>-'App.2-BA_Fixed Asset Cont'!J423</f>
        <v>0</v>
      </c>
      <c r="S359" s="110">
        <f t="shared" si="106"/>
        <v>0</v>
      </c>
    </row>
    <row r="360" spans="1:19" ht="18" hidden="1" customHeight="1" x14ac:dyDescent="0.2">
      <c r="A360" s="105">
        <v>1920</v>
      </c>
      <c r="B360" s="754" t="s">
        <v>187</v>
      </c>
      <c r="C360" s="749">
        <f t="shared" si="108"/>
        <v>0</v>
      </c>
      <c r="D360" s="750">
        <f t="shared" si="108"/>
        <v>0</v>
      </c>
      <c r="E360" s="1597">
        <f t="shared" si="99"/>
        <v>0</v>
      </c>
      <c r="F360" s="749">
        <f t="shared" si="98"/>
        <v>0</v>
      </c>
      <c r="G360" s="750"/>
      <c r="H360" s="1597">
        <f t="shared" si="100"/>
        <v>0</v>
      </c>
      <c r="I360" s="751"/>
      <c r="J360" s="1616">
        <v>0</v>
      </c>
      <c r="K360" s="1599">
        <f t="shared" si="101"/>
        <v>0</v>
      </c>
      <c r="L360" s="752">
        <v>0</v>
      </c>
      <c r="M360" s="1604">
        <f t="shared" si="102"/>
        <v>0</v>
      </c>
      <c r="N360" s="1601">
        <f t="shared" si="103"/>
        <v>0</v>
      </c>
      <c r="O360" s="1601">
        <f t="shared" si="107"/>
        <v>0</v>
      </c>
      <c r="P360" s="1602">
        <f t="shared" si="104"/>
        <v>0</v>
      </c>
      <c r="Q360" s="1603">
        <f t="shared" si="105"/>
        <v>0</v>
      </c>
      <c r="R360" s="753">
        <f>-'App.2-BA_Fixed Asset Cont'!J424</f>
        <v>0</v>
      </c>
      <c r="S360" s="110">
        <f t="shared" si="106"/>
        <v>0</v>
      </c>
    </row>
    <row r="361" spans="1:19" ht="14.25" x14ac:dyDescent="0.2">
      <c r="A361" s="105">
        <v>1930</v>
      </c>
      <c r="B361" s="754" t="s">
        <v>250</v>
      </c>
      <c r="C361" s="749">
        <f t="shared" si="108"/>
        <v>5258637.3600000003</v>
      </c>
      <c r="D361" s="750">
        <f t="shared" si="108"/>
        <v>4170282.966297619</v>
      </c>
      <c r="E361" s="1597">
        <f t="shared" si="99"/>
        <v>1088354.3937023813</v>
      </c>
      <c r="F361" s="749">
        <f t="shared" si="98"/>
        <v>1850148.8399999999</v>
      </c>
      <c r="G361" s="750"/>
      <c r="H361" s="1597">
        <f t="shared" si="100"/>
        <v>1850148.8399999999</v>
      </c>
      <c r="I361" s="751"/>
      <c r="J361" s="1616">
        <v>6.7576747043091121</v>
      </c>
      <c r="K361" s="1599">
        <f t="shared" si="101"/>
        <v>0.14797989600806591</v>
      </c>
      <c r="L361" s="752">
        <v>12</v>
      </c>
      <c r="M361" s="1604">
        <f t="shared" si="102"/>
        <v>8.3333333333333329E-2</v>
      </c>
      <c r="N361" s="1601">
        <f t="shared" si="103"/>
        <v>161054.57</v>
      </c>
      <c r="O361" s="1601">
        <f t="shared" si="107"/>
        <v>154179.06999999998</v>
      </c>
      <c r="P361" s="1602">
        <f t="shared" si="104"/>
        <v>0</v>
      </c>
      <c r="Q361" s="1603">
        <f t="shared" si="105"/>
        <v>315233.64</v>
      </c>
      <c r="R361" s="753">
        <f>-'App.2-BA_Fixed Asset Cont'!J425-111555</f>
        <v>322369.63</v>
      </c>
      <c r="S361" s="110">
        <f t="shared" si="106"/>
        <v>7135.9899999999907</v>
      </c>
    </row>
    <row r="362" spans="1:19" ht="14.25" x14ac:dyDescent="0.2">
      <c r="A362" s="105">
        <v>1930</v>
      </c>
      <c r="B362" s="754" t="s">
        <v>250</v>
      </c>
      <c r="C362" s="749">
        <f t="shared" si="108"/>
        <v>0</v>
      </c>
      <c r="D362" s="750">
        <f t="shared" si="108"/>
        <v>0</v>
      </c>
      <c r="E362" s="1597">
        <f t="shared" si="99"/>
        <v>0</v>
      </c>
      <c r="F362" s="749">
        <f t="shared" si="98"/>
        <v>824437</v>
      </c>
      <c r="G362" s="750"/>
      <c r="H362" s="1597">
        <f t="shared" si="100"/>
        <v>824437</v>
      </c>
      <c r="I362" s="751">
        <v>144362</v>
      </c>
      <c r="J362" s="1616">
        <v>0</v>
      </c>
      <c r="K362" s="1599">
        <f t="shared" si="101"/>
        <v>0</v>
      </c>
      <c r="L362" s="752">
        <v>8</v>
      </c>
      <c r="M362" s="1604">
        <f t="shared" si="102"/>
        <v>0.125</v>
      </c>
      <c r="N362" s="1601">
        <f t="shared" si="103"/>
        <v>0</v>
      </c>
      <c r="O362" s="1601">
        <f t="shared" si="107"/>
        <v>103054.625</v>
      </c>
      <c r="P362" s="1602">
        <f t="shared" si="104"/>
        <v>9022.625</v>
      </c>
      <c r="Q362" s="1603">
        <f t="shared" si="105"/>
        <v>112077.25</v>
      </c>
      <c r="R362" s="753">
        <v>111555</v>
      </c>
      <c r="S362" s="110">
        <f t="shared" si="106"/>
        <v>-522.25</v>
      </c>
    </row>
    <row r="363" spans="1:19" ht="14.45" hidden="1" customHeight="1" x14ac:dyDescent="0.2">
      <c r="A363" s="105">
        <v>1935</v>
      </c>
      <c r="B363" s="754" t="s">
        <v>251</v>
      </c>
      <c r="C363" s="749">
        <f t="shared" si="108"/>
        <v>0</v>
      </c>
      <c r="D363" s="750">
        <f t="shared" si="108"/>
        <v>0</v>
      </c>
      <c r="E363" s="1597">
        <f t="shared" si="99"/>
        <v>0</v>
      </c>
      <c r="F363" s="749">
        <f t="shared" si="98"/>
        <v>0</v>
      </c>
      <c r="G363" s="750"/>
      <c r="H363" s="1597">
        <f t="shared" si="100"/>
        <v>0</v>
      </c>
      <c r="I363" s="751">
        <v>0</v>
      </c>
      <c r="J363" s="1616">
        <v>0</v>
      </c>
      <c r="K363" s="1599">
        <f t="shared" si="101"/>
        <v>0</v>
      </c>
      <c r="L363" s="752">
        <v>0</v>
      </c>
      <c r="M363" s="1604">
        <f t="shared" si="102"/>
        <v>0</v>
      </c>
      <c r="N363" s="1601">
        <f t="shared" si="103"/>
        <v>0</v>
      </c>
      <c r="O363" s="1601">
        <f t="shared" si="107"/>
        <v>0</v>
      </c>
      <c r="P363" s="1602">
        <f t="shared" si="104"/>
        <v>0</v>
      </c>
      <c r="Q363" s="1603">
        <f t="shared" si="105"/>
        <v>0</v>
      </c>
      <c r="R363" s="753"/>
      <c r="S363" s="110">
        <f t="shared" si="106"/>
        <v>0</v>
      </c>
    </row>
    <row r="364" spans="1:19" ht="14.25" x14ac:dyDescent="0.2">
      <c r="A364" s="105">
        <v>1940</v>
      </c>
      <c r="B364" s="754" t="s">
        <v>252</v>
      </c>
      <c r="C364" s="749">
        <f t="shared" si="108"/>
        <v>1961496.07</v>
      </c>
      <c r="D364" s="750">
        <f t="shared" si="108"/>
        <v>1467290.8274999999</v>
      </c>
      <c r="E364" s="1597">
        <f t="shared" si="99"/>
        <v>494205.24250000017</v>
      </c>
      <c r="F364" s="749">
        <f t="shared" si="98"/>
        <v>557631.28</v>
      </c>
      <c r="G364" s="750"/>
      <c r="H364" s="1597">
        <f t="shared" si="100"/>
        <v>557631.28</v>
      </c>
      <c r="I364" s="751">
        <v>81475.06</v>
      </c>
      <c r="J364" s="1616">
        <v>11.620637075505597</v>
      </c>
      <c r="K364" s="1599">
        <f>IF(J364=0,0,1/J364)</f>
        <v>8.6053801827081972E-2</v>
      </c>
      <c r="L364" s="752">
        <v>10</v>
      </c>
      <c r="M364" s="1604">
        <f t="shared" si="102"/>
        <v>0.1</v>
      </c>
      <c r="N364" s="1601">
        <f t="shared" si="103"/>
        <v>42528.240000000005</v>
      </c>
      <c r="O364" s="1601">
        <f t="shared" si="107"/>
        <v>55763.128000000004</v>
      </c>
      <c r="P364" s="1602">
        <f t="shared" si="104"/>
        <v>4073.7529999999997</v>
      </c>
      <c r="Q364" s="1603">
        <f t="shared" si="105"/>
        <v>102365.12100000001</v>
      </c>
      <c r="R364" s="753">
        <f>-'App.2-BA_Fixed Asset Cont'!J427</f>
        <v>96629.2</v>
      </c>
      <c r="S364" s="110">
        <f t="shared" si="106"/>
        <v>-5735.9210000000166</v>
      </c>
    </row>
    <row r="365" spans="1:19" ht="16.149999999999999" hidden="1" customHeight="1" x14ac:dyDescent="0.2">
      <c r="A365" s="105">
        <v>1945</v>
      </c>
      <c r="B365" s="754" t="s">
        <v>253</v>
      </c>
      <c r="C365" s="749">
        <f t="shared" si="108"/>
        <v>0</v>
      </c>
      <c r="D365" s="750">
        <f t="shared" si="108"/>
        <v>0</v>
      </c>
      <c r="E365" s="1597">
        <f t="shared" si="99"/>
        <v>0</v>
      </c>
      <c r="F365" s="749">
        <f t="shared" si="98"/>
        <v>0</v>
      </c>
      <c r="G365" s="750"/>
      <c r="H365" s="1597">
        <f t="shared" si="100"/>
        <v>0</v>
      </c>
      <c r="I365" s="751">
        <v>0</v>
      </c>
      <c r="J365" s="1616">
        <v>0</v>
      </c>
      <c r="K365" s="1599">
        <f t="shared" si="101"/>
        <v>0</v>
      </c>
      <c r="L365" s="752">
        <v>0</v>
      </c>
      <c r="M365" s="1604">
        <f t="shared" si="102"/>
        <v>0</v>
      </c>
      <c r="N365" s="1601">
        <f t="shared" si="103"/>
        <v>0</v>
      </c>
      <c r="O365" s="1601">
        <f t="shared" si="107"/>
        <v>0</v>
      </c>
      <c r="P365" s="1602">
        <f t="shared" si="104"/>
        <v>0</v>
      </c>
      <c r="Q365" s="1603">
        <f t="shared" si="105"/>
        <v>0</v>
      </c>
      <c r="R365" s="753">
        <f>-'App.2-BA_Fixed Asset Cont'!J428</f>
        <v>0</v>
      </c>
      <c r="S365" s="110">
        <f t="shared" si="106"/>
        <v>0</v>
      </c>
    </row>
    <row r="366" spans="1:19" ht="17.45" hidden="1" customHeight="1" x14ac:dyDescent="0.2">
      <c r="A366" s="105">
        <v>1950</v>
      </c>
      <c r="B366" s="754" t="s">
        <v>189</v>
      </c>
      <c r="C366" s="749">
        <f t="shared" si="108"/>
        <v>0</v>
      </c>
      <c r="D366" s="750">
        <f t="shared" si="108"/>
        <v>0</v>
      </c>
      <c r="E366" s="1597">
        <f t="shared" si="99"/>
        <v>0</v>
      </c>
      <c r="F366" s="749">
        <f t="shared" si="98"/>
        <v>0</v>
      </c>
      <c r="G366" s="750"/>
      <c r="H366" s="1597">
        <f t="shared" si="100"/>
        <v>0</v>
      </c>
      <c r="I366" s="751">
        <v>0</v>
      </c>
      <c r="J366" s="1616">
        <v>0</v>
      </c>
      <c r="K366" s="1599">
        <f t="shared" si="101"/>
        <v>0</v>
      </c>
      <c r="L366" s="752">
        <v>0</v>
      </c>
      <c r="M366" s="1604">
        <f t="shared" si="102"/>
        <v>0</v>
      </c>
      <c r="N366" s="1601">
        <f t="shared" si="103"/>
        <v>0</v>
      </c>
      <c r="O366" s="1601">
        <f t="shared" si="107"/>
        <v>0</v>
      </c>
      <c r="P366" s="1602">
        <f t="shared" si="104"/>
        <v>0</v>
      </c>
      <c r="Q366" s="1603">
        <f t="shared" si="105"/>
        <v>0</v>
      </c>
      <c r="R366" s="753">
        <f>-'App.2-BA_Fixed Asset Cont'!J429</f>
        <v>0</v>
      </c>
      <c r="S366" s="110">
        <f t="shared" si="106"/>
        <v>0</v>
      </c>
    </row>
    <row r="367" spans="1:19" ht="14.25" x14ac:dyDescent="0.2">
      <c r="A367" s="105">
        <v>1955</v>
      </c>
      <c r="B367" s="754" t="s">
        <v>254</v>
      </c>
      <c r="C367" s="749">
        <f t="shared" si="108"/>
        <v>2262458.79</v>
      </c>
      <c r="D367" s="750">
        <f t="shared" si="108"/>
        <v>1307813.078</v>
      </c>
      <c r="E367" s="1597">
        <f t="shared" si="99"/>
        <v>954645.71200000006</v>
      </c>
      <c r="F367" s="749">
        <f t="shared" si="98"/>
        <v>145140.69</v>
      </c>
      <c r="G367" s="1631"/>
      <c r="H367" s="1597">
        <f t="shared" si="100"/>
        <v>145140.69</v>
      </c>
      <c r="I367" s="751">
        <v>0</v>
      </c>
      <c r="J367" s="1616">
        <v>12.319808673989545</v>
      </c>
      <c r="K367" s="1599">
        <f t="shared" si="101"/>
        <v>8.1170091716705875E-2</v>
      </c>
      <c r="L367" s="752">
        <v>10</v>
      </c>
      <c r="M367" s="1604">
        <f t="shared" si="102"/>
        <v>0.1</v>
      </c>
      <c r="N367" s="1601">
        <f t="shared" si="103"/>
        <v>77488.679999999993</v>
      </c>
      <c r="O367" s="1601">
        <f t="shared" si="107"/>
        <v>14514.069</v>
      </c>
      <c r="P367" s="1602">
        <f t="shared" si="104"/>
        <v>0</v>
      </c>
      <c r="Q367" s="1603">
        <f t="shared" si="105"/>
        <v>92002.748999999996</v>
      </c>
      <c r="R367" s="753">
        <f>-'App.2-BA_Fixed Asset Cont'!J430</f>
        <v>91011.799999999988</v>
      </c>
      <c r="S367" s="110">
        <f t="shared" si="106"/>
        <v>-990.9490000000078</v>
      </c>
    </row>
    <row r="368" spans="1:19" ht="18" hidden="1" customHeight="1" x14ac:dyDescent="0.2">
      <c r="A368" s="102">
        <v>1955</v>
      </c>
      <c r="B368" s="755" t="s">
        <v>190</v>
      </c>
      <c r="C368" s="749">
        <f t="shared" si="108"/>
        <v>0</v>
      </c>
      <c r="D368" s="750">
        <f t="shared" si="108"/>
        <v>0</v>
      </c>
      <c r="E368" s="1597">
        <f t="shared" si="99"/>
        <v>0</v>
      </c>
      <c r="F368" s="749">
        <f t="shared" si="98"/>
        <v>0</v>
      </c>
      <c r="G368" s="1631"/>
      <c r="H368" s="1597">
        <f t="shared" si="100"/>
        <v>0</v>
      </c>
      <c r="I368" s="751">
        <v>0</v>
      </c>
      <c r="J368" s="1616">
        <v>0</v>
      </c>
      <c r="K368" s="1599">
        <f t="shared" si="101"/>
        <v>0</v>
      </c>
      <c r="L368" s="752">
        <v>0</v>
      </c>
      <c r="M368" s="1604">
        <f t="shared" si="102"/>
        <v>0</v>
      </c>
      <c r="N368" s="1601">
        <f t="shared" si="103"/>
        <v>0</v>
      </c>
      <c r="O368" s="1601">
        <f t="shared" si="107"/>
        <v>0</v>
      </c>
      <c r="P368" s="1602">
        <f t="shared" si="104"/>
        <v>0</v>
      </c>
      <c r="Q368" s="1603">
        <f t="shared" si="105"/>
        <v>0</v>
      </c>
      <c r="R368" s="753">
        <f>-'App.2-BA_Fixed Asset Cont'!J431</f>
        <v>0</v>
      </c>
      <c r="S368" s="110">
        <f t="shared" si="106"/>
        <v>0</v>
      </c>
    </row>
    <row r="369" spans="1:25" ht="21" hidden="1" customHeight="1" x14ac:dyDescent="0.2">
      <c r="A369" s="105">
        <v>1960</v>
      </c>
      <c r="B369" s="754" t="s">
        <v>191</v>
      </c>
      <c r="C369" s="749">
        <f t="shared" si="108"/>
        <v>0</v>
      </c>
      <c r="D369" s="750">
        <f t="shared" si="108"/>
        <v>0</v>
      </c>
      <c r="E369" s="1597">
        <f t="shared" si="99"/>
        <v>0</v>
      </c>
      <c r="F369" s="749">
        <f t="shared" si="98"/>
        <v>0</v>
      </c>
      <c r="G369" s="1631"/>
      <c r="H369" s="1597">
        <f t="shared" si="100"/>
        <v>0</v>
      </c>
      <c r="I369" s="751">
        <v>0</v>
      </c>
      <c r="J369" s="1616">
        <v>0</v>
      </c>
      <c r="K369" s="1599">
        <f t="shared" si="101"/>
        <v>0</v>
      </c>
      <c r="L369" s="752">
        <v>0</v>
      </c>
      <c r="M369" s="1604">
        <f t="shared" si="102"/>
        <v>0</v>
      </c>
      <c r="N369" s="1601">
        <f t="shared" si="103"/>
        <v>0</v>
      </c>
      <c r="O369" s="1601">
        <f t="shared" si="107"/>
        <v>0</v>
      </c>
      <c r="P369" s="1602">
        <f t="shared" si="104"/>
        <v>0</v>
      </c>
      <c r="Q369" s="1603">
        <f t="shared" si="105"/>
        <v>0</v>
      </c>
      <c r="R369" s="753">
        <f>-'App.2-BA_Fixed Asset Cont'!J432</f>
        <v>0</v>
      </c>
      <c r="S369" s="110">
        <f t="shared" si="106"/>
        <v>0</v>
      </c>
    </row>
    <row r="370" spans="1:25" ht="19.899999999999999" hidden="1" customHeight="1" x14ac:dyDescent="0.2">
      <c r="A370" s="102">
        <v>1970</v>
      </c>
      <c r="B370" s="756" t="s">
        <v>410</v>
      </c>
      <c r="C370" s="749">
        <f t="shared" ref="C370:D375" si="109">C316</f>
        <v>0</v>
      </c>
      <c r="D370" s="750">
        <f t="shared" si="109"/>
        <v>0</v>
      </c>
      <c r="E370" s="1597">
        <f t="shared" si="99"/>
        <v>0</v>
      </c>
      <c r="F370" s="749">
        <f t="shared" si="98"/>
        <v>0</v>
      </c>
      <c r="G370" s="1631"/>
      <c r="H370" s="1597">
        <f t="shared" si="100"/>
        <v>0</v>
      </c>
      <c r="I370" s="751">
        <v>0</v>
      </c>
      <c r="J370" s="1616">
        <v>0</v>
      </c>
      <c r="K370" s="1599">
        <f t="shared" si="101"/>
        <v>0</v>
      </c>
      <c r="L370" s="752">
        <v>0</v>
      </c>
      <c r="M370" s="1604">
        <f t="shared" si="102"/>
        <v>0</v>
      </c>
      <c r="N370" s="1601">
        <f t="shared" si="103"/>
        <v>0</v>
      </c>
      <c r="O370" s="1601">
        <f t="shared" si="107"/>
        <v>0</v>
      </c>
      <c r="P370" s="1602">
        <f t="shared" si="104"/>
        <v>0</v>
      </c>
      <c r="Q370" s="1603">
        <f t="shared" si="105"/>
        <v>0</v>
      </c>
      <c r="R370" s="753">
        <f>-'App.2-BA_Fixed Asset Cont'!J433</f>
        <v>0</v>
      </c>
      <c r="S370" s="110">
        <f t="shared" si="106"/>
        <v>0</v>
      </c>
    </row>
    <row r="371" spans="1:25" ht="18.600000000000001" hidden="1" customHeight="1" x14ac:dyDescent="0.2">
      <c r="A371" s="105">
        <v>1975</v>
      </c>
      <c r="B371" s="754" t="s">
        <v>255</v>
      </c>
      <c r="C371" s="749">
        <f t="shared" si="109"/>
        <v>0</v>
      </c>
      <c r="D371" s="750">
        <f t="shared" si="109"/>
        <v>0</v>
      </c>
      <c r="E371" s="1597">
        <f t="shared" si="99"/>
        <v>0</v>
      </c>
      <c r="F371" s="749">
        <f t="shared" si="98"/>
        <v>0</v>
      </c>
      <c r="G371" s="1631"/>
      <c r="H371" s="1597">
        <f t="shared" si="100"/>
        <v>0</v>
      </c>
      <c r="I371" s="751">
        <v>0</v>
      </c>
      <c r="J371" s="1616">
        <v>0</v>
      </c>
      <c r="K371" s="1599">
        <f t="shared" si="101"/>
        <v>0</v>
      </c>
      <c r="L371" s="752">
        <v>0</v>
      </c>
      <c r="M371" s="1604">
        <f t="shared" si="102"/>
        <v>0</v>
      </c>
      <c r="N371" s="1601">
        <f t="shared" si="103"/>
        <v>0</v>
      </c>
      <c r="O371" s="1601">
        <f t="shared" si="107"/>
        <v>0</v>
      </c>
      <c r="P371" s="1602">
        <f t="shared" si="104"/>
        <v>0</v>
      </c>
      <c r="Q371" s="1603">
        <f t="shared" si="105"/>
        <v>0</v>
      </c>
      <c r="R371" s="753">
        <f>-'App.2-BA_Fixed Asset Cont'!J434</f>
        <v>0</v>
      </c>
      <c r="S371" s="110">
        <f t="shared" si="106"/>
        <v>0</v>
      </c>
    </row>
    <row r="372" spans="1:25" ht="14.25" x14ac:dyDescent="0.2">
      <c r="A372" s="105">
        <v>1980</v>
      </c>
      <c r="B372" s="754" t="s">
        <v>256</v>
      </c>
      <c r="C372" s="749">
        <f t="shared" si="109"/>
        <v>1573528.65</v>
      </c>
      <c r="D372" s="750">
        <f t="shared" si="109"/>
        <v>1274629.6876041666</v>
      </c>
      <c r="E372" s="1597">
        <f t="shared" si="99"/>
        <v>298898.96239583334</v>
      </c>
      <c r="F372" s="749">
        <f t="shared" si="98"/>
        <v>731693.77</v>
      </c>
      <c r="G372" s="1631"/>
      <c r="H372" s="1597">
        <f t="shared" si="100"/>
        <v>731693.77</v>
      </c>
      <c r="I372" s="751">
        <v>294234.85000000003</v>
      </c>
      <c r="J372" s="1616">
        <v>13.797111246731118</v>
      </c>
      <c r="K372" s="1599">
        <f>IF(J372=0,0,1/J372)</f>
        <v>7.2478940128639258E-2</v>
      </c>
      <c r="L372" s="752">
        <v>20</v>
      </c>
      <c r="M372" s="1604">
        <f t="shared" si="102"/>
        <v>0.05</v>
      </c>
      <c r="N372" s="1601">
        <f t="shared" si="103"/>
        <v>21663.88</v>
      </c>
      <c r="O372" s="1601">
        <f t="shared" si="107"/>
        <v>36584.688500000004</v>
      </c>
      <c r="P372" s="1602">
        <f t="shared" si="104"/>
        <v>7355.8712500000011</v>
      </c>
      <c r="Q372" s="1603">
        <f t="shared" si="105"/>
        <v>65604.439750000005</v>
      </c>
      <c r="R372" s="753">
        <f>-'App.2-BA_Fixed Asset Cont'!J435</f>
        <v>63370.09</v>
      </c>
      <c r="S372" s="110">
        <f t="shared" si="106"/>
        <v>-2234.3497500000085</v>
      </c>
    </row>
    <row r="373" spans="1:25" ht="15.6" customHeight="1" x14ac:dyDescent="0.2">
      <c r="A373" s="105">
        <v>1985</v>
      </c>
      <c r="B373" s="754" t="s">
        <v>257</v>
      </c>
      <c r="C373" s="749">
        <f t="shared" si="109"/>
        <v>42116.86</v>
      </c>
      <c r="D373" s="750">
        <f t="shared" si="109"/>
        <v>42116.858000000007</v>
      </c>
      <c r="E373" s="1597">
        <f t="shared" si="99"/>
        <v>1.999999993131496E-3</v>
      </c>
      <c r="F373" s="749">
        <f t="shared" si="98"/>
        <v>3718</v>
      </c>
      <c r="G373" s="1631"/>
      <c r="H373" s="1597">
        <f t="shared" si="100"/>
        <v>3718</v>
      </c>
      <c r="I373" s="751">
        <v>1832.93</v>
      </c>
      <c r="J373" s="1616">
        <v>0</v>
      </c>
      <c r="K373" s="1599">
        <f t="shared" si="101"/>
        <v>0</v>
      </c>
      <c r="L373" s="752">
        <v>10</v>
      </c>
      <c r="M373" s="1604">
        <f t="shared" si="102"/>
        <v>0.1</v>
      </c>
      <c r="N373" s="1601">
        <f t="shared" si="103"/>
        <v>0</v>
      </c>
      <c r="O373" s="1601">
        <f t="shared" si="107"/>
        <v>371.8</v>
      </c>
      <c r="P373" s="1602">
        <f t="shared" si="104"/>
        <v>91.646500000000003</v>
      </c>
      <c r="Q373" s="1603">
        <f t="shared" si="105"/>
        <v>463.44650000000001</v>
      </c>
      <c r="R373" s="753">
        <f>-'App.2-BA_Fixed Asset Cont'!J436</f>
        <v>463.38</v>
      </c>
      <c r="S373" s="110">
        <f t="shared" si="106"/>
        <v>-6.6500000000019099E-2</v>
      </c>
    </row>
    <row r="374" spans="1:25" ht="15.6" hidden="1" customHeight="1" x14ac:dyDescent="0.2">
      <c r="A374" s="105">
        <v>1990</v>
      </c>
      <c r="B374" s="1614" t="s">
        <v>411</v>
      </c>
      <c r="C374" s="749">
        <f t="shared" si="109"/>
        <v>0</v>
      </c>
      <c r="D374" s="750">
        <f t="shared" si="109"/>
        <v>0</v>
      </c>
      <c r="E374" s="1597">
        <f t="shared" si="99"/>
        <v>0</v>
      </c>
      <c r="F374" s="749">
        <f t="shared" si="98"/>
        <v>0</v>
      </c>
      <c r="G374" s="1631"/>
      <c r="H374" s="1597">
        <f t="shared" si="100"/>
        <v>0</v>
      </c>
      <c r="I374" s="1633"/>
      <c r="J374" s="1616">
        <v>0</v>
      </c>
      <c r="K374" s="1599">
        <f t="shared" si="101"/>
        <v>0</v>
      </c>
      <c r="L374" s="752">
        <v>0</v>
      </c>
      <c r="M374" s="1604">
        <f t="shared" si="102"/>
        <v>0</v>
      </c>
      <c r="N374" s="1601">
        <f t="shared" si="103"/>
        <v>0</v>
      </c>
      <c r="O374" s="1601">
        <f t="shared" si="107"/>
        <v>0</v>
      </c>
      <c r="P374" s="1602">
        <f t="shared" si="104"/>
        <v>0</v>
      </c>
      <c r="Q374" s="1603">
        <f t="shared" si="105"/>
        <v>0</v>
      </c>
      <c r="R374" s="753"/>
      <c r="S374" s="110">
        <f t="shared" si="106"/>
        <v>0</v>
      </c>
    </row>
    <row r="375" spans="1:25" ht="11.45" hidden="1" customHeight="1" x14ac:dyDescent="0.2">
      <c r="A375" s="105">
        <v>1995</v>
      </c>
      <c r="B375" s="754" t="s">
        <v>258</v>
      </c>
      <c r="C375" s="749">
        <f t="shared" si="109"/>
        <v>0</v>
      </c>
      <c r="D375" s="750">
        <f t="shared" si="109"/>
        <v>0</v>
      </c>
      <c r="E375" s="1597">
        <f t="shared" si="99"/>
        <v>0</v>
      </c>
      <c r="F375" s="749">
        <f t="shared" si="98"/>
        <v>0</v>
      </c>
      <c r="G375" s="750"/>
      <c r="H375" s="1597">
        <f t="shared" si="100"/>
        <v>0</v>
      </c>
      <c r="I375" s="751"/>
      <c r="J375" s="1616">
        <v>0</v>
      </c>
      <c r="K375" s="1599">
        <f t="shared" si="101"/>
        <v>0</v>
      </c>
      <c r="L375" s="752">
        <v>0</v>
      </c>
      <c r="M375" s="1604">
        <f t="shared" si="102"/>
        <v>0</v>
      </c>
      <c r="N375" s="1601">
        <f t="shared" si="103"/>
        <v>0</v>
      </c>
      <c r="O375" s="1601">
        <f t="shared" si="107"/>
        <v>0</v>
      </c>
      <c r="P375" s="1602">
        <f t="shared" si="104"/>
        <v>0</v>
      </c>
      <c r="Q375" s="1603">
        <f t="shared" si="105"/>
        <v>0</v>
      </c>
      <c r="R375" s="753"/>
      <c r="S375" s="110">
        <f t="shared" si="106"/>
        <v>0</v>
      </c>
    </row>
    <row r="376" spans="1:25" ht="14.25" x14ac:dyDescent="0.2">
      <c r="A376" s="1664">
        <v>2440</v>
      </c>
      <c r="B376" s="754" t="s">
        <v>1532</v>
      </c>
      <c r="C376" s="1674"/>
      <c r="D376" s="1675"/>
      <c r="E376" s="1597">
        <f t="shared" si="99"/>
        <v>0</v>
      </c>
      <c r="F376" s="1674">
        <f>F322+I322</f>
        <v>-5062610.74</v>
      </c>
      <c r="G376" s="1675"/>
      <c r="H376" s="1597">
        <f t="shared" si="100"/>
        <v>-5062610.74</v>
      </c>
      <c r="I376" s="1681">
        <v>-1698478.6600000001</v>
      </c>
      <c r="J376" s="1680"/>
      <c r="K376" s="1599">
        <f t="shared" si="101"/>
        <v>0</v>
      </c>
      <c r="L376" s="752">
        <f>-(F376+(I376/2))/'App.2-BA_Fixed Asset Cont'!J439</f>
        <v>35.192757078810985</v>
      </c>
      <c r="M376" s="1604">
        <f t="shared" si="102"/>
        <v>2.84149377032493E-2</v>
      </c>
      <c r="N376" s="1601">
        <f t="shared" si="103"/>
        <v>0</v>
      </c>
      <c r="O376" s="1601">
        <f t="shared" si="107"/>
        <v>-143853.76879290084</v>
      </c>
      <c r="P376" s="1602">
        <f t="shared" si="104"/>
        <v>-24131.082657099178</v>
      </c>
      <c r="Q376" s="1603">
        <f t="shared" si="105"/>
        <v>-167984.85145000002</v>
      </c>
      <c r="R376" s="749">
        <f>-'App.2-BA_Fixed Asset Cont'!J439</f>
        <v>-167984.85145000002</v>
      </c>
      <c r="S376" s="110">
        <f t="shared" si="106"/>
        <v>0</v>
      </c>
    </row>
    <row r="377" spans="1:25" ht="15" thickBot="1" x14ac:dyDescent="0.25">
      <c r="A377" s="1664"/>
      <c r="B377" s="1665" t="s">
        <v>1533</v>
      </c>
      <c r="C377" s="1660">
        <f>C323</f>
        <v>-129739</v>
      </c>
      <c r="D377" s="1661">
        <f>D323</f>
        <v>-129739</v>
      </c>
      <c r="E377" s="1597">
        <f t="shared" si="99"/>
        <v>0</v>
      </c>
      <c r="F377" s="1660"/>
      <c r="G377" s="1661"/>
      <c r="H377" s="1597">
        <f t="shared" si="100"/>
        <v>0</v>
      </c>
      <c r="I377" s="1672"/>
      <c r="J377" s="1673"/>
      <c r="K377" s="1599">
        <f t="shared" si="101"/>
        <v>0</v>
      </c>
      <c r="L377" s="1663"/>
      <c r="M377" s="1604">
        <f t="shared" si="102"/>
        <v>0</v>
      </c>
      <c r="N377" s="1601">
        <f t="shared" si="103"/>
        <v>0</v>
      </c>
      <c r="O377" s="1601">
        <f t="shared" si="107"/>
        <v>0</v>
      </c>
      <c r="P377" s="1602">
        <f t="shared" si="104"/>
        <v>0</v>
      </c>
      <c r="Q377" s="1603">
        <f t="shared" si="105"/>
        <v>0</v>
      </c>
      <c r="R377" s="1661"/>
      <c r="S377" s="110">
        <f t="shared" si="106"/>
        <v>0</v>
      </c>
    </row>
    <row r="378" spans="1:25" ht="15.75" thickTop="1" thickBot="1" x14ac:dyDescent="0.25">
      <c r="A378" s="124"/>
      <c r="B378" s="757" t="s">
        <v>259</v>
      </c>
      <c r="C378" s="1617">
        <f t="shared" ref="C378:I378" si="110">SUM(C330:C377)</f>
        <v>181994221.14990482</v>
      </c>
      <c r="D378" s="1617">
        <f t="shared" si="110"/>
        <v>117073387.91971503</v>
      </c>
      <c r="E378" s="1617">
        <f t="shared" si="110"/>
        <v>64920833.230189703</v>
      </c>
      <c r="F378" s="1617">
        <f t="shared" si="110"/>
        <v>48638477.340000004</v>
      </c>
      <c r="G378" s="1617">
        <f t="shared" si="110"/>
        <v>442426.22000000003</v>
      </c>
      <c r="H378" s="1617">
        <f t="shared" si="110"/>
        <v>48196051.12000002</v>
      </c>
      <c r="I378" s="1618">
        <f t="shared" si="110"/>
        <v>8502884.9433333315</v>
      </c>
      <c r="J378" s="1617"/>
      <c r="K378" s="1619"/>
      <c r="L378" s="1620"/>
      <c r="M378" s="1621"/>
      <c r="N378" s="1617">
        <f t="shared" ref="N378:R378" si="111">SUM(N330:N377)</f>
        <v>2843697.8487868016</v>
      </c>
      <c r="O378" s="1622">
        <f t="shared" si="111"/>
        <v>1544724.0086848768</v>
      </c>
      <c r="P378" s="1622">
        <f t="shared" si="111"/>
        <v>129644.65663456751</v>
      </c>
      <c r="Q378" s="1623">
        <f t="shared" si="111"/>
        <v>4518066.5141062457</v>
      </c>
      <c r="R378" s="1624">
        <f t="shared" si="111"/>
        <v>4484855.9670168441</v>
      </c>
      <c r="S378" s="1622">
        <f>SUM(S330:S377)</f>
        <v>-33210.547089402215</v>
      </c>
    </row>
    <row r="379" spans="1:25" ht="14.25" x14ac:dyDescent="0.2">
      <c r="A379" s="128"/>
      <c r="B379" s="129"/>
      <c r="C379" s="130"/>
      <c r="D379" s="130"/>
      <c r="E379" s="130"/>
      <c r="F379" s="130"/>
      <c r="G379" s="130"/>
      <c r="H379" s="130"/>
      <c r="I379" s="130"/>
      <c r="J379" s="130"/>
      <c r="K379" s="1629"/>
      <c r="L379" s="758"/>
      <c r="M379" s="759"/>
      <c r="N379" s="130"/>
      <c r="O379" s="130"/>
      <c r="P379" s="130"/>
      <c r="Q379" s="130"/>
      <c r="R379" s="130"/>
      <c r="S379" s="130"/>
    </row>
    <row r="380" spans="1:25" ht="13.5" thickBot="1" x14ac:dyDescent="0.25"/>
    <row r="381" spans="1:25" ht="18.75" customHeight="1" thickBot="1" x14ac:dyDescent="0.3">
      <c r="A381" s="1615">
        <v>2020</v>
      </c>
      <c r="B381" s="1615"/>
      <c r="C381" s="2007" t="s">
        <v>1027</v>
      </c>
      <c r="D381" s="2008"/>
      <c r="E381" s="2008"/>
      <c r="F381" s="2008"/>
      <c r="G381" s="2008"/>
      <c r="H381" s="2008"/>
      <c r="I381" s="2009"/>
      <c r="J381" s="2010" t="s">
        <v>1028</v>
      </c>
      <c r="K381" s="2011"/>
      <c r="L381" s="2011"/>
      <c r="M381" s="2011"/>
      <c r="N381" s="2010" t="s">
        <v>1029</v>
      </c>
      <c r="O381" s="2011"/>
      <c r="P381" s="2011"/>
      <c r="Q381" s="2012"/>
      <c r="R381" s="1615"/>
      <c r="S381" s="1615"/>
      <c r="Y381" s="38">
        <v>2018</v>
      </c>
    </row>
    <row r="382" spans="1:25" ht="87" customHeight="1" x14ac:dyDescent="0.2">
      <c r="A382" s="2003" t="s">
        <v>3</v>
      </c>
      <c r="B382" s="2005" t="s">
        <v>205</v>
      </c>
      <c r="C382" s="731" t="s">
        <v>1030</v>
      </c>
      <c r="D382" s="732" t="s">
        <v>1031</v>
      </c>
      <c r="E382" s="733" t="s">
        <v>1032</v>
      </c>
      <c r="F382" s="731" t="s">
        <v>1033</v>
      </c>
      <c r="G382" s="732" t="s">
        <v>1034</v>
      </c>
      <c r="H382" s="733" t="s">
        <v>1035</v>
      </c>
      <c r="I382" s="734" t="s">
        <v>1036</v>
      </c>
      <c r="J382" s="731" t="s">
        <v>1037</v>
      </c>
      <c r="K382" s="735" t="s">
        <v>1038</v>
      </c>
      <c r="L382" s="735" t="s">
        <v>1039</v>
      </c>
      <c r="M382" s="736" t="s">
        <v>326</v>
      </c>
      <c r="N382" s="731" t="s">
        <v>1040</v>
      </c>
      <c r="O382" s="735" t="s">
        <v>1041</v>
      </c>
      <c r="P382" s="735" t="s">
        <v>1042</v>
      </c>
      <c r="Q382" s="733" t="s">
        <v>1043</v>
      </c>
      <c r="R382" s="737" t="s">
        <v>1044</v>
      </c>
      <c r="S382" s="738" t="s">
        <v>1045</v>
      </c>
    </row>
    <row r="383" spans="1:25" ht="13.5" thickBot="1" x14ac:dyDescent="0.25">
      <c r="A383" s="2004"/>
      <c r="B383" s="2006"/>
      <c r="C383" s="739" t="s">
        <v>1046</v>
      </c>
      <c r="D383" s="126" t="s">
        <v>1047</v>
      </c>
      <c r="E383" s="127" t="s">
        <v>1048</v>
      </c>
      <c r="F383" s="739" t="s">
        <v>1049</v>
      </c>
      <c r="G383" s="126" t="s">
        <v>662</v>
      </c>
      <c r="H383" s="127" t="s">
        <v>1050</v>
      </c>
      <c r="I383" s="740" t="s">
        <v>1051</v>
      </c>
      <c r="J383" s="741" t="s">
        <v>1052</v>
      </c>
      <c r="K383" s="742" t="s">
        <v>1053</v>
      </c>
      <c r="L383" s="126" t="s">
        <v>1054</v>
      </c>
      <c r="M383" s="742" t="s">
        <v>1055</v>
      </c>
      <c r="N383" s="743" t="s">
        <v>1056</v>
      </c>
      <c r="O383" s="744" t="s">
        <v>1057</v>
      </c>
      <c r="P383" s="744" t="s">
        <v>1058</v>
      </c>
      <c r="Q383" s="745" t="s">
        <v>1059</v>
      </c>
      <c r="R383" s="746" t="s">
        <v>1060</v>
      </c>
      <c r="S383" s="127" t="s">
        <v>1061</v>
      </c>
    </row>
    <row r="384" spans="1:25" ht="25.5" x14ac:dyDescent="0.2">
      <c r="A384" s="747">
        <v>1611</v>
      </c>
      <c r="B384" s="748" t="s">
        <v>325</v>
      </c>
      <c r="C384" s="749">
        <f t="shared" ref="C384:D414" si="112">C330</f>
        <v>391465.09</v>
      </c>
      <c r="D384" s="750">
        <f t="shared" si="112"/>
        <v>391465</v>
      </c>
      <c r="E384" s="1597">
        <f>C384-D384</f>
        <v>9.0000000025611371E-2</v>
      </c>
      <c r="F384" s="749">
        <f t="shared" ref="F384:F429" si="113">F330+I330</f>
        <v>278205.17</v>
      </c>
      <c r="G384" s="750">
        <v>150092.81</v>
      </c>
      <c r="H384" s="1597">
        <f>F384-G384</f>
        <v>128112.35999999999</v>
      </c>
      <c r="I384" s="751">
        <v>180000</v>
      </c>
      <c r="J384" s="1616">
        <v>0</v>
      </c>
      <c r="K384" s="1599">
        <f>IF(J384=0,0,1/J384)</f>
        <v>0</v>
      </c>
      <c r="L384" s="752">
        <v>5</v>
      </c>
      <c r="M384" s="1600">
        <f>IF(L384=0,0,1/L384)</f>
        <v>0.2</v>
      </c>
      <c r="N384" s="1601">
        <f>IF(J384=0,0,+E384/J384)</f>
        <v>0</v>
      </c>
      <c r="O384" s="1601">
        <f>IF(L384=0,0,+H384/L384)</f>
        <v>25622.471999999998</v>
      </c>
      <c r="P384" s="1602">
        <f>IF(L384=0,0,+(I384*0.5)/L384)</f>
        <v>18000</v>
      </c>
      <c r="Q384" s="1603">
        <f>IF(ISERROR(+N384+O384+P384), 0, +N384+O384+P384)</f>
        <v>43622.471999999994</v>
      </c>
      <c r="R384" s="753">
        <f>-'App.2-BA_Fixed Asset Cont'!I465</f>
        <v>32135.16</v>
      </c>
      <c r="S384" s="110">
        <f>IF(ISERROR(+R384-122), 0, +R384-Q384)</f>
        <v>-11487.311999999994</v>
      </c>
    </row>
    <row r="385" spans="1:19" ht="14.25" hidden="1" x14ac:dyDescent="0.2">
      <c r="A385" s="105">
        <v>1612</v>
      </c>
      <c r="B385" s="754" t="s">
        <v>360</v>
      </c>
      <c r="C385" s="749">
        <f t="shared" si="112"/>
        <v>0</v>
      </c>
      <c r="D385" s="750">
        <f t="shared" si="112"/>
        <v>0</v>
      </c>
      <c r="E385" s="1597">
        <f t="shared" ref="E385:E431" si="114">C385-D385</f>
        <v>0</v>
      </c>
      <c r="F385" s="749">
        <f t="shared" si="113"/>
        <v>52023.42</v>
      </c>
      <c r="G385" s="750">
        <v>0</v>
      </c>
      <c r="H385" s="1597">
        <f t="shared" ref="H385:H431" si="115">F385-G385</f>
        <v>52023.42</v>
      </c>
      <c r="I385" s="751"/>
      <c r="J385" s="1616">
        <v>0</v>
      </c>
      <c r="K385" s="1599">
        <f t="shared" ref="K385:K431" si="116">IF(J385=0,0,1/J385)</f>
        <v>0</v>
      </c>
      <c r="L385" s="752">
        <v>0</v>
      </c>
      <c r="M385" s="1604">
        <f t="shared" ref="M385:M431" si="117">IF(L385=0,0,1/L385)</f>
        <v>0</v>
      </c>
      <c r="N385" s="1601">
        <f t="shared" ref="N385:N431" si="118">IF(J385=0,0,+E385/J385)</f>
        <v>0</v>
      </c>
      <c r="O385" s="1601">
        <f>IF(L385=0,0,+H385/L385)</f>
        <v>0</v>
      </c>
      <c r="P385" s="1602">
        <f t="shared" ref="P385:P431" si="119">IF(L385=0,0,+(I385*0.5)/L385)</f>
        <v>0</v>
      </c>
      <c r="Q385" s="1603">
        <f t="shared" ref="Q385:Q431" si="120">IF(ISERROR(+N385+O385+P385), 0, +N385+O385+P385)</f>
        <v>0</v>
      </c>
      <c r="R385" s="753"/>
      <c r="S385" s="110">
        <f t="shared" ref="S385:S431" si="121">IF(ISERROR(+R385-122), 0, +R385-Q385)</f>
        <v>0</v>
      </c>
    </row>
    <row r="386" spans="1:19" ht="14.25" x14ac:dyDescent="0.2">
      <c r="A386" s="102">
        <v>1805</v>
      </c>
      <c r="B386" s="755" t="s">
        <v>236</v>
      </c>
      <c r="C386" s="749">
        <f t="shared" si="112"/>
        <v>858551.45999999985</v>
      </c>
      <c r="D386" s="750">
        <f t="shared" si="112"/>
        <v>0</v>
      </c>
      <c r="E386" s="1597">
        <f t="shared" si="114"/>
        <v>858551.45999999985</v>
      </c>
      <c r="F386" s="749">
        <f t="shared" si="113"/>
        <v>88051.14</v>
      </c>
      <c r="G386" s="750">
        <v>0</v>
      </c>
      <c r="H386" s="1597">
        <f t="shared" si="115"/>
        <v>88051.14</v>
      </c>
      <c r="I386" s="751"/>
      <c r="J386" s="1616">
        <v>0</v>
      </c>
      <c r="K386" s="1599">
        <f t="shared" si="116"/>
        <v>0</v>
      </c>
      <c r="L386" s="752">
        <v>0</v>
      </c>
      <c r="M386" s="1604">
        <f t="shared" si="117"/>
        <v>0</v>
      </c>
      <c r="N386" s="1601">
        <f t="shared" si="118"/>
        <v>0</v>
      </c>
      <c r="O386" s="1601">
        <f t="shared" ref="O386:O431" si="122">IF(L386=0,0,+H386/L386)</f>
        <v>0</v>
      </c>
      <c r="P386" s="1602">
        <f t="shared" si="119"/>
        <v>0</v>
      </c>
      <c r="Q386" s="1603">
        <f t="shared" si="120"/>
        <v>0</v>
      </c>
      <c r="R386" s="753"/>
      <c r="S386" s="110">
        <f t="shared" si="121"/>
        <v>0</v>
      </c>
    </row>
    <row r="387" spans="1:19" ht="14.25" x14ac:dyDescent="0.2">
      <c r="A387" s="105">
        <v>1808</v>
      </c>
      <c r="B387" s="754" t="s">
        <v>237</v>
      </c>
      <c r="C387" s="749">
        <f t="shared" si="112"/>
        <v>2643697.3699999992</v>
      </c>
      <c r="D387" s="750">
        <f t="shared" si="112"/>
        <v>226418.42432322731</v>
      </c>
      <c r="E387" s="1597">
        <f t="shared" si="114"/>
        <v>2417278.9456767719</v>
      </c>
      <c r="F387" s="749">
        <f>F333+I333</f>
        <v>-0.41999999992549419</v>
      </c>
      <c r="G387" s="750">
        <v>0</v>
      </c>
      <c r="H387" s="1597">
        <f t="shared" si="115"/>
        <v>-0.41999999992549419</v>
      </c>
      <c r="I387" s="751"/>
      <c r="J387" s="1616">
        <v>49.857785490578891</v>
      </c>
      <c r="K387" s="1599">
        <f>IF(J387=0,0,1/J387)</f>
        <v>2.0057048065020049E-2</v>
      </c>
      <c r="L387" s="752">
        <v>50</v>
      </c>
      <c r="M387" s="1604">
        <f t="shared" si="117"/>
        <v>0.02</v>
      </c>
      <c r="N387" s="1601">
        <f t="shared" si="118"/>
        <v>48483.48</v>
      </c>
      <c r="O387" s="1601">
        <f t="shared" si="122"/>
        <v>-8.3999999985098842E-3</v>
      </c>
      <c r="P387" s="1602">
        <f t="shared" si="119"/>
        <v>0</v>
      </c>
      <c r="Q387" s="1603">
        <f t="shared" si="120"/>
        <v>48483.471600000004</v>
      </c>
      <c r="R387" s="753">
        <f>-'App.2-BA_Fixed Asset Cont'!I468-3849-220</f>
        <v>58648.72</v>
      </c>
      <c r="S387" s="110">
        <f t="shared" si="121"/>
        <v>10165.248399999997</v>
      </c>
    </row>
    <row r="388" spans="1:19" ht="14.25" x14ac:dyDescent="0.2">
      <c r="A388" s="105">
        <v>1808</v>
      </c>
      <c r="B388" s="754" t="s">
        <v>237</v>
      </c>
      <c r="C388" s="749">
        <f t="shared" si="112"/>
        <v>385830.71</v>
      </c>
      <c r="D388" s="750">
        <f t="shared" si="112"/>
        <v>69254.31</v>
      </c>
      <c r="E388" s="1597">
        <f t="shared" si="114"/>
        <v>316576.40000000002</v>
      </c>
      <c r="F388" s="749">
        <f>F334+I334</f>
        <v>96226.939999999973</v>
      </c>
      <c r="G388" s="750">
        <v>0</v>
      </c>
      <c r="H388" s="1597">
        <f t="shared" si="115"/>
        <v>96226.939999999973</v>
      </c>
      <c r="I388" s="751"/>
      <c r="J388" s="1616">
        <v>0</v>
      </c>
      <c r="K388" s="1599">
        <f t="shared" si="116"/>
        <v>0</v>
      </c>
      <c r="L388" s="752">
        <v>25</v>
      </c>
      <c r="M388" s="1604">
        <f t="shared" si="117"/>
        <v>0.04</v>
      </c>
      <c r="N388" s="1601">
        <f t="shared" si="118"/>
        <v>0</v>
      </c>
      <c r="O388" s="1601">
        <f t="shared" si="122"/>
        <v>3849.0775999999987</v>
      </c>
      <c r="P388" s="1602">
        <f t="shared" si="119"/>
        <v>0</v>
      </c>
      <c r="Q388" s="1603">
        <f t="shared" si="120"/>
        <v>3849.0775999999987</v>
      </c>
      <c r="R388" s="753">
        <v>3849</v>
      </c>
      <c r="S388" s="110">
        <f t="shared" si="121"/>
        <v>-7.75999999987107E-2</v>
      </c>
    </row>
    <row r="389" spans="1:19" ht="14.25" x14ac:dyDescent="0.2">
      <c r="A389" s="105">
        <v>1808</v>
      </c>
      <c r="B389" s="754" t="s">
        <v>237</v>
      </c>
      <c r="C389" s="749">
        <f t="shared" si="112"/>
        <v>0</v>
      </c>
      <c r="D389" s="750">
        <f t="shared" si="112"/>
        <v>0</v>
      </c>
      <c r="E389" s="1597">
        <f t="shared" si="114"/>
        <v>0</v>
      </c>
      <c r="F389" s="749">
        <f t="shared" si="113"/>
        <v>10997.879999999888</v>
      </c>
      <c r="G389" s="750">
        <v>0</v>
      </c>
      <c r="H389" s="1597">
        <f t="shared" si="115"/>
        <v>10997.879999999888</v>
      </c>
      <c r="I389" s="751"/>
      <c r="J389" s="1616">
        <v>0</v>
      </c>
      <c r="K389" s="1599">
        <f t="shared" si="116"/>
        <v>0</v>
      </c>
      <c r="L389" s="752">
        <v>50</v>
      </c>
      <c r="M389" s="1604">
        <f t="shared" si="117"/>
        <v>0.02</v>
      </c>
      <c r="N389" s="1601">
        <f t="shared" si="118"/>
        <v>0</v>
      </c>
      <c r="O389" s="1601">
        <f t="shared" si="122"/>
        <v>219.95759999999777</v>
      </c>
      <c r="P389" s="1602">
        <f t="shared" si="119"/>
        <v>0</v>
      </c>
      <c r="Q389" s="1603">
        <f t="shared" si="120"/>
        <v>219.95759999999777</v>
      </c>
      <c r="R389" s="753">
        <v>220</v>
      </c>
      <c r="S389" s="110">
        <f t="shared" si="121"/>
        <v>4.2400000002231764E-2</v>
      </c>
    </row>
    <row r="390" spans="1:19" ht="14.25" hidden="1" x14ac:dyDescent="0.2">
      <c r="A390" s="105">
        <v>1810</v>
      </c>
      <c r="B390" s="754" t="s">
        <v>262</v>
      </c>
      <c r="C390" s="749">
        <f t="shared" si="112"/>
        <v>0</v>
      </c>
      <c r="D390" s="750">
        <f t="shared" si="112"/>
        <v>0</v>
      </c>
      <c r="E390" s="1597">
        <f t="shared" si="114"/>
        <v>0</v>
      </c>
      <c r="F390" s="749">
        <f t="shared" si="113"/>
        <v>0</v>
      </c>
      <c r="G390" s="750">
        <v>0</v>
      </c>
      <c r="H390" s="1597">
        <f t="shared" si="115"/>
        <v>0</v>
      </c>
      <c r="I390" s="751"/>
      <c r="J390" s="1616">
        <v>0</v>
      </c>
      <c r="K390" s="1599">
        <f t="shared" si="116"/>
        <v>0</v>
      </c>
      <c r="L390" s="752">
        <v>0</v>
      </c>
      <c r="M390" s="1604">
        <f t="shared" si="117"/>
        <v>0</v>
      </c>
      <c r="N390" s="1601">
        <f t="shared" si="118"/>
        <v>0</v>
      </c>
      <c r="O390" s="1601">
        <f t="shared" si="122"/>
        <v>0</v>
      </c>
      <c r="P390" s="1602">
        <f t="shared" si="119"/>
        <v>0</v>
      </c>
      <c r="Q390" s="1603">
        <f t="shared" si="120"/>
        <v>0</v>
      </c>
      <c r="R390" s="753"/>
      <c r="S390" s="110">
        <f t="shared" si="121"/>
        <v>0</v>
      </c>
    </row>
    <row r="391" spans="1:19" ht="14.25" hidden="1" x14ac:dyDescent="0.2">
      <c r="A391" s="105">
        <v>1815</v>
      </c>
      <c r="B391" s="754" t="s">
        <v>238</v>
      </c>
      <c r="C391" s="749">
        <f t="shared" si="112"/>
        <v>0</v>
      </c>
      <c r="D391" s="750">
        <f t="shared" si="112"/>
        <v>0</v>
      </c>
      <c r="E391" s="1597">
        <f t="shared" si="114"/>
        <v>0</v>
      </c>
      <c r="F391" s="749">
        <f t="shared" si="113"/>
        <v>0</v>
      </c>
      <c r="G391" s="750">
        <v>0</v>
      </c>
      <c r="H391" s="1597">
        <f t="shared" si="115"/>
        <v>0</v>
      </c>
      <c r="I391" s="751"/>
      <c r="J391" s="1616">
        <v>0</v>
      </c>
      <c r="K391" s="1599">
        <f t="shared" si="116"/>
        <v>0</v>
      </c>
      <c r="L391" s="752">
        <v>0</v>
      </c>
      <c r="M391" s="1604">
        <f t="shared" si="117"/>
        <v>0</v>
      </c>
      <c r="N391" s="1601">
        <f t="shared" si="118"/>
        <v>0</v>
      </c>
      <c r="O391" s="1601">
        <f t="shared" si="122"/>
        <v>0</v>
      </c>
      <c r="P391" s="1602">
        <f t="shared" si="119"/>
        <v>0</v>
      </c>
      <c r="Q391" s="1603">
        <f t="shared" si="120"/>
        <v>0</v>
      </c>
      <c r="R391" s="753"/>
      <c r="S391" s="110">
        <f t="shared" si="121"/>
        <v>0</v>
      </c>
    </row>
    <row r="392" spans="1:19" ht="14.25" x14ac:dyDescent="0.2">
      <c r="A392" s="105">
        <v>1820</v>
      </c>
      <c r="B392" s="754" t="s">
        <v>178</v>
      </c>
      <c r="C392" s="749">
        <f t="shared" si="112"/>
        <v>17547705.690000001</v>
      </c>
      <c r="D392" s="750">
        <f t="shared" si="112"/>
        <v>11226787.926014977</v>
      </c>
      <c r="E392" s="1597">
        <f t="shared" si="114"/>
        <v>6320917.7639850248</v>
      </c>
      <c r="F392" s="749">
        <f t="shared" si="113"/>
        <v>5852713.8300000001</v>
      </c>
      <c r="G392" s="750">
        <v>0</v>
      </c>
      <c r="H392" s="1597">
        <f t="shared" si="115"/>
        <v>5852713.8300000001</v>
      </c>
      <c r="I392" s="751">
        <v>2783837</v>
      </c>
      <c r="J392" s="1616">
        <v>22.767280906139572</v>
      </c>
      <c r="K392" s="1599">
        <f>IF(J392=0,0,1/J392)</f>
        <v>4.3922680276252644E-2</v>
      </c>
      <c r="L392" s="752">
        <v>45</v>
      </c>
      <c r="M392" s="1604">
        <f t="shared" si="117"/>
        <v>2.2222222222222223E-2</v>
      </c>
      <c r="N392" s="1601">
        <f t="shared" si="118"/>
        <v>277631.65000000002</v>
      </c>
      <c r="O392" s="1601">
        <f t="shared" si="122"/>
        <v>130060.30733333333</v>
      </c>
      <c r="P392" s="1602">
        <f t="shared" si="119"/>
        <v>30931.522222222222</v>
      </c>
      <c r="Q392" s="1603">
        <f t="shared" si="120"/>
        <v>438623.47955555556</v>
      </c>
      <c r="R392" s="753">
        <f>-'App.2-BA_Fixed Asset Cont'!I471-22538-9383-7695-6000</f>
        <v>424163.12700321258</v>
      </c>
      <c r="S392" s="110">
        <f t="shared" si="121"/>
        <v>-14460.352552342985</v>
      </c>
    </row>
    <row r="393" spans="1:19" ht="14.25" x14ac:dyDescent="0.2">
      <c r="A393" s="105">
        <v>1820</v>
      </c>
      <c r="B393" s="754" t="s">
        <v>178</v>
      </c>
      <c r="C393" s="749">
        <f t="shared" si="112"/>
        <v>0</v>
      </c>
      <c r="D393" s="750">
        <f t="shared" si="112"/>
        <v>0</v>
      </c>
      <c r="E393" s="1597">
        <f t="shared" si="114"/>
        <v>0</v>
      </c>
      <c r="F393" s="749">
        <f t="shared" si="113"/>
        <v>450762.62</v>
      </c>
      <c r="G393" s="750">
        <v>0</v>
      </c>
      <c r="H393" s="1597">
        <f t="shared" si="115"/>
        <v>450762.62</v>
      </c>
      <c r="I393" s="751"/>
      <c r="J393" s="1616">
        <v>0</v>
      </c>
      <c r="K393" s="1599">
        <f t="shared" si="116"/>
        <v>0</v>
      </c>
      <c r="L393" s="752">
        <v>20</v>
      </c>
      <c r="M393" s="1604">
        <f t="shared" si="117"/>
        <v>0.05</v>
      </c>
      <c r="N393" s="1601">
        <f t="shared" si="118"/>
        <v>0</v>
      </c>
      <c r="O393" s="1601">
        <f t="shared" si="122"/>
        <v>22538.131000000001</v>
      </c>
      <c r="P393" s="1602">
        <f t="shared" si="119"/>
        <v>0</v>
      </c>
      <c r="Q393" s="1603">
        <f t="shared" si="120"/>
        <v>22538.131000000001</v>
      </c>
      <c r="R393" s="753">
        <v>22538</v>
      </c>
      <c r="S393" s="110">
        <f t="shared" si="121"/>
        <v>-0.13100000000122236</v>
      </c>
    </row>
    <row r="394" spans="1:19" ht="14.25" x14ac:dyDescent="0.2">
      <c r="A394" s="105">
        <v>1820</v>
      </c>
      <c r="B394" s="754" t="s">
        <v>178</v>
      </c>
      <c r="C394" s="749">
        <f t="shared" si="112"/>
        <v>0</v>
      </c>
      <c r="D394" s="750">
        <f t="shared" si="112"/>
        <v>0</v>
      </c>
      <c r="E394" s="1597">
        <f t="shared" si="114"/>
        <v>0</v>
      </c>
      <c r="F394" s="749">
        <f t="shared" si="113"/>
        <v>234568.64</v>
      </c>
      <c r="G394" s="750">
        <v>0</v>
      </c>
      <c r="H394" s="1597">
        <f t="shared" si="115"/>
        <v>234568.64</v>
      </c>
      <c r="I394" s="751"/>
      <c r="J394" s="1616">
        <v>0</v>
      </c>
      <c r="K394" s="1599">
        <f t="shared" si="116"/>
        <v>0</v>
      </c>
      <c r="L394" s="752">
        <v>25</v>
      </c>
      <c r="M394" s="1604">
        <f>IF(L394=0,0,1/L394)</f>
        <v>0.04</v>
      </c>
      <c r="N394" s="1601">
        <f t="shared" si="118"/>
        <v>0</v>
      </c>
      <c r="O394" s="1601">
        <f t="shared" si="122"/>
        <v>9382.7456000000002</v>
      </c>
      <c r="P394" s="1602">
        <f t="shared" si="119"/>
        <v>0</v>
      </c>
      <c r="Q394" s="1603">
        <f t="shared" si="120"/>
        <v>9382.7456000000002</v>
      </c>
      <c r="R394" s="753">
        <v>9383</v>
      </c>
      <c r="S394" s="110">
        <f t="shared" si="121"/>
        <v>0.254399999999805</v>
      </c>
    </row>
    <row r="395" spans="1:19" ht="14.25" x14ac:dyDescent="0.2">
      <c r="A395" s="105">
        <v>1820</v>
      </c>
      <c r="B395" s="754" t="s">
        <v>178</v>
      </c>
      <c r="C395" s="749">
        <f t="shared" si="112"/>
        <v>0</v>
      </c>
      <c r="D395" s="750">
        <f t="shared" si="112"/>
        <v>0</v>
      </c>
      <c r="E395" s="1597">
        <f t="shared" si="114"/>
        <v>0</v>
      </c>
      <c r="F395" s="749">
        <f t="shared" si="113"/>
        <v>384748.49</v>
      </c>
      <c r="G395" s="750">
        <v>0</v>
      </c>
      <c r="H395" s="1597">
        <f t="shared" si="115"/>
        <v>384748.49</v>
      </c>
      <c r="I395" s="751"/>
      <c r="J395" s="1616">
        <v>0</v>
      </c>
      <c r="K395" s="1599">
        <f>IF(J395=0,0,1/J395)</f>
        <v>0</v>
      </c>
      <c r="L395" s="752">
        <v>50</v>
      </c>
      <c r="M395" s="1604">
        <f t="shared" si="117"/>
        <v>0.02</v>
      </c>
      <c r="N395" s="1601">
        <f t="shared" si="118"/>
        <v>0</v>
      </c>
      <c r="O395" s="1601">
        <f t="shared" si="122"/>
        <v>7694.9697999999999</v>
      </c>
      <c r="P395" s="1602">
        <f t="shared" si="119"/>
        <v>0</v>
      </c>
      <c r="Q395" s="1603">
        <f t="shared" si="120"/>
        <v>7694.9697999999999</v>
      </c>
      <c r="R395" s="753">
        <v>7695</v>
      </c>
      <c r="S395" s="110">
        <f t="shared" si="121"/>
        <v>3.0200000000149885E-2</v>
      </c>
    </row>
    <row r="396" spans="1:19" ht="14.25" x14ac:dyDescent="0.2">
      <c r="A396" s="105">
        <v>1820</v>
      </c>
      <c r="B396" s="754" t="s">
        <v>178</v>
      </c>
      <c r="C396" s="749">
        <f t="shared" si="112"/>
        <v>0</v>
      </c>
      <c r="D396" s="750">
        <f t="shared" si="112"/>
        <v>0</v>
      </c>
      <c r="E396" s="1597">
        <f t="shared" si="114"/>
        <v>0</v>
      </c>
      <c r="F396" s="749">
        <f t="shared" si="113"/>
        <v>180000</v>
      </c>
      <c r="G396" s="750">
        <v>0</v>
      </c>
      <c r="H396" s="1597">
        <f t="shared" si="115"/>
        <v>180000</v>
      </c>
      <c r="I396" s="751"/>
      <c r="J396" s="1616">
        <v>0</v>
      </c>
      <c r="K396" s="1599">
        <f>IF(J396=0,0,1/J396)</f>
        <v>0</v>
      </c>
      <c r="L396" s="752">
        <v>30</v>
      </c>
      <c r="M396" s="1604">
        <f t="shared" si="117"/>
        <v>3.3333333333333333E-2</v>
      </c>
      <c r="N396" s="1601">
        <f t="shared" si="118"/>
        <v>0</v>
      </c>
      <c r="O396" s="1601">
        <f t="shared" si="122"/>
        <v>6000</v>
      </c>
      <c r="P396" s="1602">
        <f t="shared" si="119"/>
        <v>0</v>
      </c>
      <c r="Q396" s="1603">
        <f t="shared" si="120"/>
        <v>6000</v>
      </c>
      <c r="R396" s="753">
        <v>6000</v>
      </c>
      <c r="S396" s="110">
        <f t="shared" si="121"/>
        <v>0</v>
      </c>
    </row>
    <row r="397" spans="1:19" ht="15.6" customHeight="1" x14ac:dyDescent="0.2">
      <c r="A397" s="105">
        <v>1825</v>
      </c>
      <c r="B397" s="754" t="s">
        <v>239</v>
      </c>
      <c r="C397" s="749">
        <f t="shared" si="112"/>
        <v>0</v>
      </c>
      <c r="D397" s="750">
        <f t="shared" si="112"/>
        <v>0</v>
      </c>
      <c r="E397" s="1597">
        <f t="shared" si="114"/>
        <v>0</v>
      </c>
      <c r="F397" s="749">
        <f t="shared" si="113"/>
        <v>881028.25000000023</v>
      </c>
      <c r="G397" s="750">
        <v>0</v>
      </c>
      <c r="H397" s="1597">
        <f t="shared" si="115"/>
        <v>881028.25000000023</v>
      </c>
      <c r="I397" s="751"/>
      <c r="J397" s="1616">
        <v>0</v>
      </c>
      <c r="K397" s="1599">
        <f t="shared" si="116"/>
        <v>0</v>
      </c>
      <c r="L397" s="752">
        <v>20</v>
      </c>
      <c r="M397" s="1604">
        <f t="shared" si="117"/>
        <v>0.05</v>
      </c>
      <c r="N397" s="1601">
        <f t="shared" si="118"/>
        <v>0</v>
      </c>
      <c r="O397" s="1601">
        <f t="shared" si="122"/>
        <v>44051.412500000013</v>
      </c>
      <c r="P397" s="1602">
        <f t="shared" si="119"/>
        <v>0</v>
      </c>
      <c r="Q397" s="1603">
        <f t="shared" si="120"/>
        <v>44051.412500000013</v>
      </c>
      <c r="R397" s="753">
        <f>-'App.2-BA_Fixed Asset Cont'!I472</f>
        <v>44051.4</v>
      </c>
      <c r="S397" s="110">
        <f t="shared" si="121"/>
        <v>-1.2500000011641532E-2</v>
      </c>
    </row>
    <row r="398" spans="1:19" ht="14.25" x14ac:dyDescent="0.2">
      <c r="A398" s="105">
        <v>1830</v>
      </c>
      <c r="B398" s="754" t="s">
        <v>240</v>
      </c>
      <c r="C398" s="749">
        <f t="shared" si="112"/>
        <v>19238774.109999999</v>
      </c>
      <c r="D398" s="750">
        <f t="shared" si="112"/>
        <v>9065588.3328476083</v>
      </c>
      <c r="E398" s="1597">
        <f t="shared" si="114"/>
        <v>10173185.777152391</v>
      </c>
      <c r="F398" s="749">
        <f t="shared" si="113"/>
        <v>11733914.736666668</v>
      </c>
      <c r="G398" s="750">
        <v>0</v>
      </c>
      <c r="H398" s="1597">
        <f t="shared" si="115"/>
        <v>11733914.736666668</v>
      </c>
      <c r="I398" s="751">
        <v>1502527.7999999998</v>
      </c>
      <c r="J398" s="1616">
        <v>32.14516805347607</v>
      </c>
      <c r="K398" s="1599">
        <f>IF(J398=0,0,1/J398)</f>
        <v>3.1108874538668445E-2</v>
      </c>
      <c r="L398" s="752">
        <v>40</v>
      </c>
      <c r="M398" s="1604">
        <f t="shared" si="117"/>
        <v>2.5000000000000001E-2</v>
      </c>
      <c r="N398" s="1601">
        <f t="shared" si="118"/>
        <v>316476.36</v>
      </c>
      <c r="O398" s="1601">
        <f t="shared" si="122"/>
        <v>293347.86841666669</v>
      </c>
      <c r="P398" s="1602">
        <f t="shared" si="119"/>
        <v>18781.597499999996</v>
      </c>
      <c r="Q398" s="1603">
        <f t="shared" si="120"/>
        <v>628605.82591666665</v>
      </c>
      <c r="R398" s="753">
        <f>-'App.2-BA_Fixed Asset Cont'!I473</f>
        <v>620406.4375</v>
      </c>
      <c r="S398" s="110">
        <f t="shared" si="121"/>
        <v>-8199.3884166666539</v>
      </c>
    </row>
    <row r="399" spans="1:19" ht="14.25" x14ac:dyDescent="0.2">
      <c r="A399" s="105">
        <v>1835</v>
      </c>
      <c r="B399" s="754" t="s">
        <v>179</v>
      </c>
      <c r="C399" s="749">
        <f t="shared" si="112"/>
        <v>38955843.480131179</v>
      </c>
      <c r="D399" s="750">
        <f t="shared" si="112"/>
        <v>28314245.019583322</v>
      </c>
      <c r="E399" s="1597">
        <f t="shared" si="114"/>
        <v>10641598.460547857</v>
      </c>
      <c r="F399" s="749">
        <f t="shared" si="113"/>
        <v>7069203.1100000003</v>
      </c>
      <c r="G399" s="750">
        <v>0</v>
      </c>
      <c r="H399" s="1597">
        <f t="shared" si="115"/>
        <v>7069203.1100000003</v>
      </c>
      <c r="I399" s="751">
        <v>1529657.1900000002</v>
      </c>
      <c r="J399" s="1616">
        <v>27.754472149665929</v>
      </c>
      <c r="K399" s="1599">
        <f t="shared" si="116"/>
        <v>3.6030229456626026E-2</v>
      </c>
      <c r="L399" s="752">
        <v>40</v>
      </c>
      <c r="M399" s="1604">
        <f t="shared" si="117"/>
        <v>2.5000000000000001E-2</v>
      </c>
      <c r="N399" s="1601">
        <f t="shared" si="118"/>
        <v>383419.23431881756</v>
      </c>
      <c r="O399" s="1601">
        <f t="shared" si="122"/>
        <v>176730.07775</v>
      </c>
      <c r="P399" s="1602">
        <f t="shared" si="119"/>
        <v>19120.714875000001</v>
      </c>
      <c r="Q399" s="1603">
        <f t="shared" si="120"/>
        <v>579270.0269438175</v>
      </c>
      <c r="R399" s="753">
        <f>-'App.2-BA_Fixed Asset Cont'!I474</f>
        <v>578714.29679381754</v>
      </c>
      <c r="S399" s="110">
        <f t="shared" si="121"/>
        <v>-555.73014999995939</v>
      </c>
    </row>
    <row r="400" spans="1:19" ht="14.25" x14ac:dyDescent="0.2">
      <c r="A400" s="105">
        <v>1840</v>
      </c>
      <c r="B400" s="754" t="s">
        <v>180</v>
      </c>
      <c r="C400" s="749">
        <f t="shared" si="112"/>
        <v>20841499.539999999</v>
      </c>
      <c r="D400" s="750">
        <f t="shared" si="112"/>
        <v>12176064.896733059</v>
      </c>
      <c r="E400" s="1597">
        <f t="shared" si="114"/>
        <v>8665434.6432669405</v>
      </c>
      <c r="F400" s="749">
        <f t="shared" si="113"/>
        <v>4196437.6100000003</v>
      </c>
      <c r="G400" s="750">
        <v>0</v>
      </c>
      <c r="H400" s="1597">
        <f t="shared" si="115"/>
        <v>4196437.6100000003</v>
      </c>
      <c r="I400" s="751">
        <v>778583.97</v>
      </c>
      <c r="J400" s="1616">
        <v>38.326866273354732</v>
      </c>
      <c r="K400" s="1599">
        <f t="shared" si="116"/>
        <v>2.6091358288147112E-2</v>
      </c>
      <c r="L400" s="752">
        <v>50</v>
      </c>
      <c r="M400" s="1604">
        <f t="shared" si="117"/>
        <v>0.02</v>
      </c>
      <c r="N400" s="1601">
        <f t="shared" si="118"/>
        <v>226092.96</v>
      </c>
      <c r="O400" s="1601">
        <f t="shared" si="122"/>
        <v>83928.752200000003</v>
      </c>
      <c r="P400" s="1602">
        <f t="shared" si="119"/>
        <v>7785.8396999999995</v>
      </c>
      <c r="Q400" s="1603">
        <f t="shared" si="120"/>
        <v>317807.55190000002</v>
      </c>
      <c r="R400" s="753">
        <f>-'App.2-BA_Fixed Asset Cont'!I475</f>
        <v>318129.47970000003</v>
      </c>
      <c r="S400" s="110">
        <f t="shared" si="121"/>
        <v>321.92780000000494</v>
      </c>
    </row>
    <row r="401" spans="1:19" ht="14.25" x14ac:dyDescent="0.2">
      <c r="A401" s="105">
        <v>1845</v>
      </c>
      <c r="B401" s="754" t="s">
        <v>181</v>
      </c>
      <c r="C401" s="749">
        <f t="shared" si="112"/>
        <v>15719869.667285465</v>
      </c>
      <c r="D401" s="750">
        <f t="shared" si="112"/>
        <v>11662374.440973222</v>
      </c>
      <c r="E401" s="1597">
        <f t="shared" si="114"/>
        <v>4057495.2263122424</v>
      </c>
      <c r="F401" s="749">
        <f t="shared" si="113"/>
        <v>4673506.4366666675</v>
      </c>
      <c r="G401" s="750">
        <v>0</v>
      </c>
      <c r="H401" s="1597">
        <f t="shared" si="115"/>
        <v>4673506.4366666675</v>
      </c>
      <c r="I401" s="751">
        <v>652415.18999999994</v>
      </c>
      <c r="J401" s="1616">
        <v>22.868255901902497</v>
      </c>
      <c r="K401" s="1599">
        <f t="shared" si="116"/>
        <v>4.3728739274638176E-2</v>
      </c>
      <c r="L401" s="752">
        <v>40</v>
      </c>
      <c r="M401" s="1604">
        <f t="shared" si="117"/>
        <v>2.5000000000000001E-2</v>
      </c>
      <c r="N401" s="1601">
        <f t="shared" si="118"/>
        <v>177429.15085949708</v>
      </c>
      <c r="O401" s="1601">
        <f t="shared" si="122"/>
        <v>116837.66091666669</v>
      </c>
      <c r="P401" s="1602">
        <f t="shared" si="119"/>
        <v>8155.1898749999991</v>
      </c>
      <c r="Q401" s="1603">
        <f t="shared" si="120"/>
        <v>302422.00165116374</v>
      </c>
      <c r="R401" s="753">
        <f>-'App.2-BA_Fixed Asset Cont'!I476</f>
        <v>282712.31281453901</v>
      </c>
      <c r="S401" s="110">
        <f t="shared" si="121"/>
        <v>-19709.688836624729</v>
      </c>
    </row>
    <row r="402" spans="1:19" ht="14.25" x14ac:dyDescent="0.2">
      <c r="A402" s="105">
        <v>1850</v>
      </c>
      <c r="B402" s="754" t="s">
        <v>241</v>
      </c>
      <c r="C402" s="749">
        <f t="shared" si="112"/>
        <v>25892036.769088108</v>
      </c>
      <c r="D402" s="750">
        <f t="shared" si="112"/>
        <v>17956843.743688975</v>
      </c>
      <c r="E402" s="1597">
        <f t="shared" si="114"/>
        <v>7935193.0253991336</v>
      </c>
      <c r="F402" s="749">
        <f t="shared" si="113"/>
        <v>11734084.910000002</v>
      </c>
      <c r="G402" s="750">
        <v>0</v>
      </c>
      <c r="H402" s="1597">
        <f t="shared" si="115"/>
        <v>11734084.910000002</v>
      </c>
      <c r="I402" s="751">
        <v>968558.92999999993</v>
      </c>
      <c r="J402" s="1616">
        <v>30.928732826223051</v>
      </c>
      <c r="K402" s="1599">
        <f>IF(J402=0,0,1/J402)</f>
        <v>3.2332394787029421E-2</v>
      </c>
      <c r="L402" s="752">
        <v>40</v>
      </c>
      <c r="M402" s="1604">
        <f t="shared" si="117"/>
        <v>2.5000000000000001E-2</v>
      </c>
      <c r="N402" s="1601">
        <f t="shared" si="118"/>
        <v>256563.79360848718</v>
      </c>
      <c r="O402" s="1601">
        <f t="shared" si="122"/>
        <v>293352.12275000004</v>
      </c>
      <c r="P402" s="1602">
        <f t="shared" si="119"/>
        <v>12106.986625</v>
      </c>
      <c r="Q402" s="1603">
        <f t="shared" si="120"/>
        <v>562022.90298348723</v>
      </c>
      <c r="R402" s="753">
        <f>-'App.2-BA_Fixed Asset Cont'!I477</f>
        <v>547686.7402334871</v>
      </c>
      <c r="S402" s="110">
        <f t="shared" si="121"/>
        <v>-14336.162750000134</v>
      </c>
    </row>
    <row r="403" spans="1:19" ht="14.25" x14ac:dyDescent="0.2">
      <c r="A403" s="105">
        <v>1855</v>
      </c>
      <c r="B403" s="754" t="s">
        <v>182</v>
      </c>
      <c r="C403" s="749">
        <f t="shared" si="112"/>
        <v>12342929.799999999</v>
      </c>
      <c r="D403" s="750">
        <f t="shared" si="112"/>
        <v>6500462.1358982157</v>
      </c>
      <c r="E403" s="1597">
        <f t="shared" si="114"/>
        <v>5842467.6641017832</v>
      </c>
      <c r="F403" s="749">
        <f t="shared" si="113"/>
        <v>5176315.3499999996</v>
      </c>
      <c r="G403" s="750">
        <v>0</v>
      </c>
      <c r="H403" s="1597">
        <f t="shared" si="115"/>
        <v>5176315.3499999996</v>
      </c>
      <c r="I403" s="751">
        <v>543664.92000000004</v>
      </c>
      <c r="J403" s="1616">
        <v>30.928826323828766</v>
      </c>
      <c r="K403" s="1599">
        <f>IF(J403=0,0,1/J403)</f>
        <v>3.2332297046446967E-2</v>
      </c>
      <c r="L403" s="752">
        <v>40</v>
      </c>
      <c r="M403" s="1604">
        <f t="shared" si="117"/>
        <v>2.5000000000000001E-2</v>
      </c>
      <c r="N403" s="1601">
        <f t="shared" si="118"/>
        <v>188900.4</v>
      </c>
      <c r="O403" s="1601">
        <f t="shared" si="122"/>
        <v>129407.88374999999</v>
      </c>
      <c r="P403" s="1602">
        <f t="shared" si="119"/>
        <v>6795.8115000000007</v>
      </c>
      <c r="Q403" s="1603">
        <f t="shared" si="120"/>
        <v>325104.09525000001</v>
      </c>
      <c r="R403" s="753">
        <f>-'App.2-BA_Fixed Asset Cont'!I478</f>
        <v>322457.4915</v>
      </c>
      <c r="S403" s="110">
        <f t="shared" si="121"/>
        <v>-2646.6037500000093</v>
      </c>
    </row>
    <row r="404" spans="1:19" ht="14.25" x14ac:dyDescent="0.2">
      <c r="A404" s="105">
        <v>1860</v>
      </c>
      <c r="B404" s="754" t="s">
        <v>242</v>
      </c>
      <c r="C404" s="749">
        <f t="shared" si="112"/>
        <v>8900387.9934</v>
      </c>
      <c r="D404" s="750">
        <f t="shared" si="112"/>
        <v>6817799.92275065</v>
      </c>
      <c r="E404" s="1597">
        <f t="shared" si="114"/>
        <v>2082588.0706493501</v>
      </c>
      <c r="F404" s="749">
        <f t="shared" si="113"/>
        <v>631199.84</v>
      </c>
      <c r="G404" s="750">
        <v>0</v>
      </c>
      <c r="H404" s="1597">
        <f t="shared" si="115"/>
        <v>631199.84</v>
      </c>
      <c r="I404" s="751">
        <v>174862</v>
      </c>
      <c r="J404" s="1616">
        <v>4.350682908520989</v>
      </c>
      <c r="K404" s="1599">
        <f>IF(J404=0,0,1/J404)</f>
        <v>0.22984897337414764</v>
      </c>
      <c r="L404" s="752">
        <v>15</v>
      </c>
      <c r="M404" s="1604">
        <f t="shared" si="117"/>
        <v>6.6666666666666666E-2</v>
      </c>
      <c r="N404" s="1601">
        <f t="shared" si="118"/>
        <v>478680.73</v>
      </c>
      <c r="O404" s="1601">
        <f t="shared" si="122"/>
        <v>42079.989333333331</v>
      </c>
      <c r="P404" s="1602">
        <f t="shared" si="119"/>
        <v>5828.7333333333336</v>
      </c>
      <c r="Q404" s="1603">
        <f t="shared" si="120"/>
        <v>526589.45266666659</v>
      </c>
      <c r="R404" s="753">
        <f>-'App.2-BA_Fixed Asset Cont'!I479-2037-5491</f>
        <v>516355.56719999993</v>
      </c>
      <c r="S404" s="110">
        <f t="shared" si="121"/>
        <v>-10233.885466666659</v>
      </c>
    </row>
    <row r="405" spans="1:19" ht="14.25" x14ac:dyDescent="0.2">
      <c r="A405" s="102">
        <v>1860</v>
      </c>
      <c r="B405" s="755" t="s">
        <v>242</v>
      </c>
      <c r="C405" s="749">
        <f t="shared" si="112"/>
        <v>0</v>
      </c>
      <c r="D405" s="750">
        <f t="shared" si="112"/>
        <v>0</v>
      </c>
      <c r="E405" s="1597">
        <f t="shared" si="114"/>
        <v>0</v>
      </c>
      <c r="F405" s="749">
        <f t="shared" si="113"/>
        <v>91643</v>
      </c>
      <c r="G405" s="750">
        <v>0</v>
      </c>
      <c r="H405" s="1597">
        <f t="shared" si="115"/>
        <v>91643</v>
      </c>
      <c r="I405" s="751"/>
      <c r="J405" s="1616">
        <v>0</v>
      </c>
      <c r="K405" s="1599">
        <f t="shared" si="116"/>
        <v>0</v>
      </c>
      <c r="L405" s="752">
        <v>45</v>
      </c>
      <c r="M405" s="1604">
        <f t="shared" si="117"/>
        <v>2.2222222222222223E-2</v>
      </c>
      <c r="N405" s="1601">
        <f t="shared" si="118"/>
        <v>0</v>
      </c>
      <c r="O405" s="1601">
        <f t="shared" si="122"/>
        <v>2036.5111111111112</v>
      </c>
      <c r="P405" s="1602">
        <f t="shared" si="119"/>
        <v>0</v>
      </c>
      <c r="Q405" s="1603">
        <f t="shared" si="120"/>
        <v>2036.5111111111112</v>
      </c>
      <c r="R405" s="753">
        <v>2037</v>
      </c>
      <c r="S405" s="110">
        <f t="shared" si="121"/>
        <v>0.4888888888888232</v>
      </c>
    </row>
    <row r="406" spans="1:19" ht="22.9" customHeight="1" x14ac:dyDescent="0.2">
      <c r="A406" s="105">
        <v>1860</v>
      </c>
      <c r="B406" s="754" t="s">
        <v>242</v>
      </c>
      <c r="C406" s="749">
        <f t="shared" si="112"/>
        <v>0</v>
      </c>
      <c r="D406" s="750">
        <f t="shared" si="112"/>
        <v>0</v>
      </c>
      <c r="E406" s="1597">
        <f t="shared" si="114"/>
        <v>0</v>
      </c>
      <c r="F406" s="749">
        <f t="shared" si="113"/>
        <v>137287</v>
      </c>
      <c r="G406" s="750">
        <v>0</v>
      </c>
      <c r="H406" s="1597">
        <f t="shared" si="115"/>
        <v>137287</v>
      </c>
      <c r="I406" s="751"/>
      <c r="J406" s="1616">
        <v>0</v>
      </c>
      <c r="K406" s="1599">
        <f t="shared" si="116"/>
        <v>0</v>
      </c>
      <c r="L406" s="752">
        <v>25</v>
      </c>
      <c r="M406" s="1604">
        <f t="shared" si="117"/>
        <v>0.04</v>
      </c>
      <c r="N406" s="1601">
        <f t="shared" si="118"/>
        <v>0</v>
      </c>
      <c r="O406" s="1601">
        <f t="shared" si="122"/>
        <v>5491.48</v>
      </c>
      <c r="P406" s="1602">
        <f t="shared" si="119"/>
        <v>0</v>
      </c>
      <c r="Q406" s="1603">
        <f t="shared" si="120"/>
        <v>5491.48</v>
      </c>
      <c r="R406" s="753">
        <v>5491</v>
      </c>
      <c r="S406" s="110">
        <f t="shared" si="121"/>
        <v>-0.47999999999956344</v>
      </c>
    </row>
    <row r="407" spans="1:19" ht="21" hidden="1" customHeight="1" x14ac:dyDescent="0.2">
      <c r="A407" s="102">
        <v>1905</v>
      </c>
      <c r="B407" s="755" t="s">
        <v>236</v>
      </c>
      <c r="C407" s="749">
        <f t="shared" si="112"/>
        <v>0</v>
      </c>
      <c r="D407" s="750">
        <f t="shared" si="112"/>
        <v>0</v>
      </c>
      <c r="E407" s="1597">
        <f t="shared" si="114"/>
        <v>0</v>
      </c>
      <c r="F407" s="749">
        <f t="shared" si="113"/>
        <v>0</v>
      </c>
      <c r="G407" s="750">
        <v>0</v>
      </c>
      <c r="H407" s="1597">
        <f t="shared" si="115"/>
        <v>0</v>
      </c>
      <c r="I407" s="751"/>
      <c r="J407" s="1616">
        <v>0</v>
      </c>
      <c r="K407" s="1599">
        <f t="shared" si="116"/>
        <v>0</v>
      </c>
      <c r="L407" s="752">
        <v>0</v>
      </c>
      <c r="M407" s="1604">
        <f t="shared" si="117"/>
        <v>0</v>
      </c>
      <c r="N407" s="1601">
        <f t="shared" si="118"/>
        <v>0</v>
      </c>
      <c r="O407" s="1601">
        <f t="shared" si="122"/>
        <v>0</v>
      </c>
      <c r="P407" s="1602">
        <f t="shared" si="119"/>
        <v>0</v>
      </c>
      <c r="Q407" s="1603">
        <f t="shared" si="120"/>
        <v>0</v>
      </c>
      <c r="R407" s="753"/>
      <c r="S407" s="110">
        <f t="shared" si="121"/>
        <v>0</v>
      </c>
    </row>
    <row r="408" spans="1:19" ht="15.6" customHeight="1" x14ac:dyDescent="0.2">
      <c r="A408" s="105">
        <v>1908</v>
      </c>
      <c r="B408" s="754" t="s">
        <v>244</v>
      </c>
      <c r="C408" s="749">
        <f t="shared" si="112"/>
        <v>6325331.71</v>
      </c>
      <c r="D408" s="750">
        <f t="shared" si="112"/>
        <v>3833995.26</v>
      </c>
      <c r="E408" s="1597">
        <f t="shared" si="114"/>
        <v>2491336.4500000002</v>
      </c>
      <c r="F408" s="749">
        <f>F354+I354</f>
        <v>1105590.1200000001</v>
      </c>
      <c r="G408" s="750">
        <v>0</v>
      </c>
      <c r="H408" s="1597">
        <f t="shared" si="115"/>
        <v>1105590.1200000001</v>
      </c>
      <c r="I408" s="751">
        <v>500000</v>
      </c>
      <c r="J408" s="1616">
        <v>17.999992269212886</v>
      </c>
      <c r="K408" s="1599">
        <f t="shared" si="116"/>
        <v>5.5555579416019858E-2</v>
      </c>
      <c r="L408" s="752">
        <v>50</v>
      </c>
      <c r="M408" s="1604">
        <f t="shared" si="117"/>
        <v>0.02</v>
      </c>
      <c r="N408" s="1601">
        <f t="shared" si="118"/>
        <v>138407.64000000001</v>
      </c>
      <c r="O408" s="1601">
        <f t="shared" si="122"/>
        <v>22111.8024</v>
      </c>
      <c r="P408" s="1602">
        <f t="shared" si="119"/>
        <v>5000</v>
      </c>
      <c r="Q408" s="1603">
        <f t="shared" si="120"/>
        <v>165519.4424</v>
      </c>
      <c r="R408" s="753">
        <f>-'App.2-BA_Fixed Asset Cont'!I482-199609</f>
        <v>162371.88</v>
      </c>
      <c r="S408" s="110">
        <f t="shared" si="121"/>
        <v>-3147.5623999999953</v>
      </c>
    </row>
    <row r="409" spans="1:19" ht="17.45" customHeight="1" x14ac:dyDescent="0.2">
      <c r="A409" s="105">
        <v>1908</v>
      </c>
      <c r="B409" s="754" t="s">
        <v>244</v>
      </c>
      <c r="C409" s="749">
        <f t="shared" si="112"/>
        <v>774496.75</v>
      </c>
      <c r="D409" s="750">
        <f t="shared" si="112"/>
        <v>494992.52</v>
      </c>
      <c r="E409" s="1597">
        <f t="shared" si="114"/>
        <v>279504.23</v>
      </c>
      <c r="F409" s="749">
        <f>F355+I355</f>
        <v>3768288.6599999997</v>
      </c>
      <c r="G409" s="750">
        <v>0</v>
      </c>
      <c r="H409" s="1597">
        <f t="shared" si="115"/>
        <v>3768288.6599999997</v>
      </c>
      <c r="I409" s="751"/>
      <c r="J409" s="1616">
        <v>5.7185132581569924</v>
      </c>
      <c r="K409" s="1599">
        <f t="shared" si="116"/>
        <v>0.1748706271815636</v>
      </c>
      <c r="L409" s="752">
        <v>25</v>
      </c>
      <c r="M409" s="1604">
        <f t="shared" si="117"/>
        <v>0.04</v>
      </c>
      <c r="N409" s="1601">
        <f t="shared" si="118"/>
        <v>48877.08</v>
      </c>
      <c r="O409" s="1601">
        <f t="shared" si="122"/>
        <v>150731.54639999999</v>
      </c>
      <c r="P409" s="1602">
        <f t="shared" si="119"/>
        <v>0</v>
      </c>
      <c r="Q409" s="1603">
        <f t="shared" si="120"/>
        <v>199608.62640000001</v>
      </c>
      <c r="R409" s="753">
        <v>199609</v>
      </c>
      <c r="S409" s="110">
        <f t="shared" si="121"/>
        <v>0.37359999999171123</v>
      </c>
    </row>
    <row r="410" spans="1:19" ht="14.25" x14ac:dyDescent="0.2">
      <c r="A410" s="105">
        <v>1915</v>
      </c>
      <c r="B410" s="754" t="s">
        <v>184</v>
      </c>
      <c r="C410" s="749">
        <f t="shared" si="112"/>
        <v>44314.559999999998</v>
      </c>
      <c r="D410" s="750">
        <f t="shared" si="112"/>
        <v>41713.569499999991</v>
      </c>
      <c r="E410" s="1597">
        <f t="shared" si="114"/>
        <v>2600.9905000000072</v>
      </c>
      <c r="F410" s="749">
        <f t="shared" si="113"/>
        <v>46301</v>
      </c>
      <c r="G410" s="750">
        <v>0</v>
      </c>
      <c r="H410" s="1597">
        <f t="shared" si="115"/>
        <v>46301</v>
      </c>
      <c r="I410" s="751"/>
      <c r="J410" s="1616">
        <v>0</v>
      </c>
      <c r="K410" s="1599">
        <f t="shared" si="116"/>
        <v>0</v>
      </c>
      <c r="L410" s="752">
        <v>10</v>
      </c>
      <c r="M410" s="1604">
        <f t="shared" si="117"/>
        <v>0.1</v>
      </c>
      <c r="N410" s="1601">
        <f t="shared" si="118"/>
        <v>0</v>
      </c>
      <c r="O410" s="1601">
        <f t="shared" si="122"/>
        <v>4630.1000000000004</v>
      </c>
      <c r="P410" s="1602">
        <f t="shared" si="119"/>
        <v>0</v>
      </c>
      <c r="Q410" s="1603">
        <f t="shared" si="120"/>
        <v>4630.1000000000004</v>
      </c>
      <c r="R410" s="753">
        <f>-'App.2-BA_Fixed Asset Cont'!I484</f>
        <v>4630.2</v>
      </c>
      <c r="S410" s="110">
        <f t="shared" si="121"/>
        <v>9.9999999999454303E-2</v>
      </c>
    </row>
    <row r="411" spans="1:19" ht="16.899999999999999" hidden="1" customHeight="1" x14ac:dyDescent="0.2">
      <c r="A411" s="105">
        <v>1915</v>
      </c>
      <c r="B411" s="754" t="s">
        <v>185</v>
      </c>
      <c r="C411" s="749">
        <f t="shared" si="112"/>
        <v>0</v>
      </c>
      <c r="D411" s="750">
        <f t="shared" si="112"/>
        <v>0</v>
      </c>
      <c r="E411" s="1597">
        <f t="shared" si="114"/>
        <v>0</v>
      </c>
      <c r="F411" s="749">
        <f t="shared" si="113"/>
        <v>0</v>
      </c>
      <c r="G411" s="750">
        <v>0</v>
      </c>
      <c r="H411" s="1597">
        <f t="shared" si="115"/>
        <v>0</v>
      </c>
      <c r="I411" s="751"/>
      <c r="J411" s="1616">
        <v>0</v>
      </c>
      <c r="K411" s="1599">
        <f t="shared" si="116"/>
        <v>0</v>
      </c>
      <c r="L411" s="752">
        <v>0</v>
      </c>
      <c r="M411" s="1604">
        <f t="shared" si="117"/>
        <v>0</v>
      </c>
      <c r="N411" s="1601">
        <f t="shared" si="118"/>
        <v>0</v>
      </c>
      <c r="O411" s="1601">
        <f t="shared" si="122"/>
        <v>0</v>
      </c>
      <c r="P411" s="1602">
        <f t="shared" si="119"/>
        <v>0</v>
      </c>
      <c r="Q411" s="1603">
        <f t="shared" si="120"/>
        <v>0</v>
      </c>
      <c r="R411" s="753">
        <f>'App.2-BA_Fixed Asset Cont'!I485</f>
        <v>0</v>
      </c>
      <c r="S411" s="110">
        <f t="shared" si="121"/>
        <v>0</v>
      </c>
    </row>
    <row r="412" spans="1:19" ht="14.25" x14ac:dyDescent="0.2">
      <c r="A412" s="102">
        <v>1920</v>
      </c>
      <c r="B412" s="755" t="s">
        <v>186</v>
      </c>
      <c r="C412" s="749">
        <f t="shared" si="112"/>
        <v>162987.72</v>
      </c>
      <c r="D412" s="750">
        <f t="shared" si="112"/>
        <v>162988</v>
      </c>
      <c r="E412" s="1597">
        <f t="shared" si="114"/>
        <v>-0.27999999999883585</v>
      </c>
      <c r="F412" s="749">
        <f t="shared" si="113"/>
        <v>394679.53</v>
      </c>
      <c r="G412" s="750">
        <v>370511.74000000005</v>
      </c>
      <c r="H412" s="1597">
        <f t="shared" si="115"/>
        <v>24167.789999999979</v>
      </c>
      <c r="I412" s="751"/>
      <c r="J412" s="1616">
        <v>0</v>
      </c>
      <c r="K412" s="1599">
        <f t="shared" si="116"/>
        <v>0</v>
      </c>
      <c r="L412" s="752">
        <v>5</v>
      </c>
      <c r="M412" s="1604">
        <f>IF(L412=0,0,1/L412)</f>
        <v>0.2</v>
      </c>
      <c r="N412" s="1601">
        <f t="shared" si="118"/>
        <v>0</v>
      </c>
      <c r="O412" s="1601">
        <f t="shared" si="122"/>
        <v>4833.5579999999954</v>
      </c>
      <c r="P412" s="1602">
        <f t="shared" si="119"/>
        <v>0</v>
      </c>
      <c r="Q412" s="1603">
        <f t="shared" si="120"/>
        <v>4833.5579999999954</v>
      </c>
      <c r="R412" s="753">
        <f>-'App.2-BA_Fixed Asset Cont'!I486</f>
        <v>4833.4799999999996</v>
      </c>
      <c r="S412" s="110">
        <f t="shared" si="121"/>
        <v>-7.7999999995881808E-2</v>
      </c>
    </row>
    <row r="413" spans="1:19" ht="9.6" hidden="1" customHeight="1" x14ac:dyDescent="0.2">
      <c r="A413" s="105">
        <v>1920</v>
      </c>
      <c r="B413" s="754" t="s">
        <v>188</v>
      </c>
      <c r="C413" s="749">
        <f t="shared" si="112"/>
        <v>0</v>
      </c>
      <c r="D413" s="750">
        <f t="shared" si="112"/>
        <v>0</v>
      </c>
      <c r="E413" s="1597">
        <f t="shared" si="114"/>
        <v>0</v>
      </c>
      <c r="F413" s="749">
        <f t="shared" si="113"/>
        <v>0</v>
      </c>
      <c r="G413" s="750">
        <v>0</v>
      </c>
      <c r="H413" s="1597">
        <f t="shared" si="115"/>
        <v>0</v>
      </c>
      <c r="I413" s="751"/>
      <c r="J413" s="1616">
        <v>0</v>
      </c>
      <c r="K413" s="1599">
        <f t="shared" si="116"/>
        <v>0</v>
      </c>
      <c r="L413" s="752">
        <v>0</v>
      </c>
      <c r="M413" s="1604">
        <f t="shared" si="117"/>
        <v>0</v>
      </c>
      <c r="N413" s="1601">
        <f t="shared" si="118"/>
        <v>0</v>
      </c>
      <c r="O413" s="1601">
        <f t="shared" si="122"/>
        <v>0</v>
      </c>
      <c r="P413" s="1602">
        <f t="shared" si="119"/>
        <v>0</v>
      </c>
      <c r="Q413" s="1603">
        <f t="shared" si="120"/>
        <v>0</v>
      </c>
      <c r="R413" s="753">
        <f>'App.2-BA_Fixed Asset Cont'!I487</f>
        <v>0</v>
      </c>
      <c r="S413" s="110">
        <f t="shared" si="121"/>
        <v>0</v>
      </c>
    </row>
    <row r="414" spans="1:19" ht="10.9" hidden="1" customHeight="1" x14ac:dyDescent="0.2">
      <c r="A414" s="105">
        <v>1920</v>
      </c>
      <c r="B414" s="754" t="s">
        <v>187</v>
      </c>
      <c r="C414" s="749">
        <f t="shared" si="112"/>
        <v>0</v>
      </c>
      <c r="D414" s="750">
        <f t="shared" si="112"/>
        <v>0</v>
      </c>
      <c r="E414" s="1597">
        <f t="shared" si="114"/>
        <v>0</v>
      </c>
      <c r="F414" s="749">
        <f t="shared" si="113"/>
        <v>0</v>
      </c>
      <c r="G414" s="750">
        <v>0</v>
      </c>
      <c r="H414" s="1597">
        <f t="shared" si="115"/>
        <v>0</v>
      </c>
      <c r="I414" s="751"/>
      <c r="J414" s="1616">
        <v>0</v>
      </c>
      <c r="K414" s="1599">
        <f t="shared" si="116"/>
        <v>0</v>
      </c>
      <c r="L414" s="752">
        <v>0</v>
      </c>
      <c r="M414" s="1604">
        <f t="shared" si="117"/>
        <v>0</v>
      </c>
      <c r="N414" s="1601">
        <f t="shared" si="118"/>
        <v>0</v>
      </c>
      <c r="O414" s="1601">
        <f t="shared" si="122"/>
        <v>0</v>
      </c>
      <c r="P414" s="1602">
        <f t="shared" si="119"/>
        <v>0</v>
      </c>
      <c r="Q414" s="1603">
        <f t="shared" si="120"/>
        <v>0</v>
      </c>
      <c r="R414" s="753">
        <f>'App.2-BA_Fixed Asset Cont'!I488</f>
        <v>0</v>
      </c>
      <c r="S414" s="110">
        <f t="shared" si="121"/>
        <v>0</v>
      </c>
    </row>
    <row r="415" spans="1:19" ht="14.25" x14ac:dyDescent="0.2">
      <c r="A415" s="105">
        <v>1930</v>
      </c>
      <c r="B415" s="754" t="s">
        <v>250</v>
      </c>
      <c r="C415" s="749">
        <f t="shared" ref="C415:C429" si="123">C361</f>
        <v>5258637.3600000003</v>
      </c>
      <c r="D415" s="750">
        <f>D361+903072</f>
        <v>5073354.966297619</v>
      </c>
      <c r="E415" s="1597">
        <f t="shared" si="114"/>
        <v>185282.39370238129</v>
      </c>
      <c r="F415" s="749">
        <f t="shared" si="113"/>
        <v>1850148.8399999999</v>
      </c>
      <c r="G415" s="750">
        <v>0</v>
      </c>
      <c r="H415" s="1597">
        <f t="shared" si="115"/>
        <v>1850148.8399999999</v>
      </c>
      <c r="I415" s="751">
        <v>450000</v>
      </c>
      <c r="J415" s="1616">
        <v>1.9151577245803646</v>
      </c>
      <c r="K415" s="1599">
        <f>IF(J415=0,0,1/J415)</f>
        <v>0.52215020578480698</v>
      </c>
      <c r="L415" s="752">
        <v>12</v>
      </c>
      <c r="M415" s="1604">
        <f t="shared" si="117"/>
        <v>8.3333333333333329E-2</v>
      </c>
      <c r="N415" s="1601">
        <f t="shared" si="118"/>
        <v>96745.24</v>
      </c>
      <c r="O415" s="1601">
        <f t="shared" si="122"/>
        <v>154179.06999999998</v>
      </c>
      <c r="P415" s="1602">
        <f t="shared" si="119"/>
        <v>18750</v>
      </c>
      <c r="Q415" s="1603">
        <f t="shared" si="120"/>
        <v>269674.31</v>
      </c>
      <c r="R415" s="753">
        <f>-'App.2-BA_Fixed Asset Cont'!I489-127555</f>
        <v>273951.28000000003</v>
      </c>
      <c r="S415" s="110">
        <f t="shared" si="121"/>
        <v>4276.9700000000303</v>
      </c>
    </row>
    <row r="416" spans="1:19" ht="14.25" x14ac:dyDescent="0.2">
      <c r="A416" s="105">
        <v>1930</v>
      </c>
      <c r="B416" s="754" t="s">
        <v>250</v>
      </c>
      <c r="C416" s="749">
        <f t="shared" si="123"/>
        <v>0</v>
      </c>
      <c r="D416" s="750">
        <f t="shared" ref="D416:D425" si="124">D362</f>
        <v>0</v>
      </c>
      <c r="E416" s="1597">
        <f t="shared" si="114"/>
        <v>0</v>
      </c>
      <c r="F416" s="749">
        <f t="shared" si="113"/>
        <v>968799</v>
      </c>
      <c r="G416" s="750">
        <v>0</v>
      </c>
      <c r="H416" s="1597">
        <f t="shared" si="115"/>
        <v>968799</v>
      </c>
      <c r="I416" s="751"/>
      <c r="J416" s="1616">
        <v>0</v>
      </c>
      <c r="K416" s="1599">
        <f t="shared" si="116"/>
        <v>0</v>
      </c>
      <c r="L416" s="752">
        <v>8</v>
      </c>
      <c r="M416" s="1604">
        <f t="shared" si="117"/>
        <v>0.125</v>
      </c>
      <c r="N416" s="1601">
        <f t="shared" si="118"/>
        <v>0</v>
      </c>
      <c r="O416" s="1601">
        <f t="shared" si="122"/>
        <v>121099.875</v>
      </c>
      <c r="P416" s="1602">
        <f t="shared" si="119"/>
        <v>0</v>
      </c>
      <c r="Q416" s="1603">
        <f t="shared" si="120"/>
        <v>121099.875</v>
      </c>
      <c r="R416" s="753">
        <v>127555</v>
      </c>
      <c r="S416" s="110">
        <f t="shared" si="121"/>
        <v>6455.125</v>
      </c>
    </row>
    <row r="417" spans="1:19" ht="15" hidden="1" customHeight="1" x14ac:dyDescent="0.2">
      <c r="A417" s="105">
        <v>1935</v>
      </c>
      <c r="B417" s="754" t="s">
        <v>251</v>
      </c>
      <c r="C417" s="749">
        <f t="shared" si="123"/>
        <v>0</v>
      </c>
      <c r="D417" s="750">
        <f t="shared" si="124"/>
        <v>0</v>
      </c>
      <c r="E417" s="1597">
        <f t="shared" si="114"/>
        <v>0</v>
      </c>
      <c r="F417" s="749">
        <f t="shared" si="113"/>
        <v>0</v>
      </c>
      <c r="G417" s="750">
        <v>0</v>
      </c>
      <c r="H417" s="1597">
        <f t="shared" si="115"/>
        <v>0</v>
      </c>
      <c r="I417" s="751"/>
      <c r="J417" s="1616">
        <v>0</v>
      </c>
      <c r="K417" s="1599">
        <f t="shared" si="116"/>
        <v>0</v>
      </c>
      <c r="L417" s="752">
        <v>0</v>
      </c>
      <c r="M417" s="1604">
        <f t="shared" si="117"/>
        <v>0</v>
      </c>
      <c r="N417" s="1601">
        <f t="shared" si="118"/>
        <v>0</v>
      </c>
      <c r="O417" s="1601">
        <f t="shared" si="122"/>
        <v>0</v>
      </c>
      <c r="P417" s="1602">
        <f t="shared" si="119"/>
        <v>0</v>
      </c>
      <c r="Q417" s="1603">
        <f t="shared" si="120"/>
        <v>0</v>
      </c>
      <c r="R417" s="753"/>
      <c r="S417" s="110">
        <f t="shared" si="121"/>
        <v>0</v>
      </c>
    </row>
    <row r="418" spans="1:19" ht="14.25" x14ac:dyDescent="0.2">
      <c r="A418" s="105">
        <v>1940</v>
      </c>
      <c r="B418" s="754" t="s">
        <v>252</v>
      </c>
      <c r="C418" s="749">
        <f t="shared" si="123"/>
        <v>1961496.07</v>
      </c>
      <c r="D418" s="750">
        <f t="shared" si="124"/>
        <v>1467290.8274999999</v>
      </c>
      <c r="E418" s="1597">
        <f t="shared" si="114"/>
        <v>494205.24250000017</v>
      </c>
      <c r="F418" s="749">
        <f t="shared" si="113"/>
        <v>639106.34000000008</v>
      </c>
      <c r="G418" s="750">
        <v>114715</v>
      </c>
      <c r="H418" s="1597">
        <f t="shared" si="115"/>
        <v>524391.34000000008</v>
      </c>
      <c r="I418" s="751">
        <v>85000</v>
      </c>
      <c r="J418" s="1616">
        <v>11.620637075505597</v>
      </c>
      <c r="K418" s="1599">
        <f>IF(J418=0,0,1/J418)</f>
        <v>8.6053801827081972E-2</v>
      </c>
      <c r="L418" s="752">
        <v>10</v>
      </c>
      <c r="M418" s="1604">
        <f t="shared" si="117"/>
        <v>0.1</v>
      </c>
      <c r="N418" s="1601">
        <f t="shared" si="118"/>
        <v>42528.240000000005</v>
      </c>
      <c r="O418" s="1601">
        <f t="shared" si="122"/>
        <v>52439.134000000005</v>
      </c>
      <c r="P418" s="1602">
        <f t="shared" si="119"/>
        <v>4250</v>
      </c>
      <c r="Q418" s="1603">
        <f t="shared" si="120"/>
        <v>99217.374000000011</v>
      </c>
      <c r="R418" s="753">
        <f>-'App.2-BA_Fixed Asset Cont'!I491</f>
        <v>94675.81</v>
      </c>
      <c r="S418" s="110">
        <f t="shared" si="121"/>
        <v>-4541.564000000013</v>
      </c>
    </row>
    <row r="419" spans="1:19" ht="7.9" hidden="1" customHeight="1" x14ac:dyDescent="0.2">
      <c r="A419" s="105">
        <v>1945</v>
      </c>
      <c r="B419" s="754" t="s">
        <v>253</v>
      </c>
      <c r="C419" s="749">
        <f t="shared" si="123"/>
        <v>0</v>
      </c>
      <c r="D419" s="750">
        <f t="shared" si="124"/>
        <v>0</v>
      </c>
      <c r="E419" s="1597">
        <f t="shared" si="114"/>
        <v>0</v>
      </c>
      <c r="F419" s="749">
        <f t="shared" si="113"/>
        <v>0</v>
      </c>
      <c r="G419" s="750">
        <v>0</v>
      </c>
      <c r="H419" s="1597">
        <f t="shared" si="115"/>
        <v>0</v>
      </c>
      <c r="I419" s="751"/>
      <c r="J419" s="1616">
        <v>0</v>
      </c>
      <c r="K419" s="1599">
        <f t="shared" si="116"/>
        <v>0</v>
      </c>
      <c r="L419" s="752">
        <v>0</v>
      </c>
      <c r="M419" s="1604">
        <f t="shared" si="117"/>
        <v>0</v>
      </c>
      <c r="N419" s="1601">
        <f t="shared" si="118"/>
        <v>0</v>
      </c>
      <c r="O419" s="1601">
        <f t="shared" si="122"/>
        <v>0</v>
      </c>
      <c r="P419" s="1602">
        <f t="shared" si="119"/>
        <v>0</v>
      </c>
      <c r="Q419" s="1603">
        <f t="shared" si="120"/>
        <v>0</v>
      </c>
      <c r="R419" s="753">
        <f>'App.2-BA_Fixed Asset Cont'!I492</f>
        <v>0</v>
      </c>
      <c r="S419" s="110">
        <f t="shared" si="121"/>
        <v>0</v>
      </c>
    </row>
    <row r="420" spans="1:19" ht="15" hidden="1" customHeight="1" x14ac:dyDescent="0.2">
      <c r="A420" s="105">
        <v>1950</v>
      </c>
      <c r="B420" s="754" t="s">
        <v>189</v>
      </c>
      <c r="C420" s="749">
        <f t="shared" si="123"/>
        <v>0</v>
      </c>
      <c r="D420" s="750">
        <f t="shared" si="124"/>
        <v>0</v>
      </c>
      <c r="E420" s="1597">
        <f t="shared" si="114"/>
        <v>0</v>
      </c>
      <c r="F420" s="749">
        <f t="shared" si="113"/>
        <v>0</v>
      </c>
      <c r="G420" s="750">
        <v>0</v>
      </c>
      <c r="H420" s="1597">
        <f t="shared" si="115"/>
        <v>0</v>
      </c>
      <c r="I420" s="751"/>
      <c r="J420" s="1616">
        <v>0</v>
      </c>
      <c r="K420" s="1599">
        <f t="shared" si="116"/>
        <v>0</v>
      </c>
      <c r="L420" s="752">
        <v>0</v>
      </c>
      <c r="M420" s="1604">
        <f t="shared" si="117"/>
        <v>0</v>
      </c>
      <c r="N420" s="1601">
        <f t="shared" si="118"/>
        <v>0</v>
      </c>
      <c r="O420" s="1601">
        <f t="shared" si="122"/>
        <v>0</v>
      </c>
      <c r="P420" s="1602">
        <f t="shared" si="119"/>
        <v>0</v>
      </c>
      <c r="Q420" s="1603">
        <f t="shared" si="120"/>
        <v>0</v>
      </c>
      <c r="R420" s="753">
        <f>'App.2-BA_Fixed Asset Cont'!I493</f>
        <v>0</v>
      </c>
      <c r="S420" s="110">
        <f t="shared" si="121"/>
        <v>0</v>
      </c>
    </row>
    <row r="421" spans="1:19" ht="19.899999999999999" customHeight="1" x14ac:dyDescent="0.2">
      <c r="A421" s="105">
        <v>1955</v>
      </c>
      <c r="B421" s="754" t="s">
        <v>254</v>
      </c>
      <c r="C421" s="749">
        <f t="shared" si="123"/>
        <v>2262458.79</v>
      </c>
      <c r="D421" s="750">
        <f t="shared" si="124"/>
        <v>1307813.078</v>
      </c>
      <c r="E421" s="1597">
        <f t="shared" si="114"/>
        <v>954645.71200000006</v>
      </c>
      <c r="F421" s="749">
        <f t="shared" si="113"/>
        <v>145140.69</v>
      </c>
      <c r="G421" s="750">
        <v>0</v>
      </c>
      <c r="H421" s="1597">
        <f t="shared" si="115"/>
        <v>145140.69</v>
      </c>
      <c r="I421" s="1633"/>
      <c r="J421" s="1616">
        <v>12.319808673989545</v>
      </c>
      <c r="K421" s="1599">
        <f>IF(J421=0,0,1/J421)</f>
        <v>8.1170091716705875E-2</v>
      </c>
      <c r="L421" s="752">
        <v>10</v>
      </c>
      <c r="M421" s="1604">
        <f t="shared" si="117"/>
        <v>0.1</v>
      </c>
      <c r="N421" s="1601">
        <f t="shared" si="118"/>
        <v>77488.679999999993</v>
      </c>
      <c r="O421" s="1601">
        <f t="shared" si="122"/>
        <v>14514.069</v>
      </c>
      <c r="P421" s="1602">
        <f t="shared" si="119"/>
        <v>0</v>
      </c>
      <c r="Q421" s="1603">
        <f t="shared" si="120"/>
        <v>92002.748999999996</v>
      </c>
      <c r="R421" s="753">
        <f>-'App.2-BA_Fixed Asset Cont'!I494</f>
        <v>90020.76</v>
      </c>
      <c r="S421" s="110">
        <f t="shared" si="121"/>
        <v>-1981.9890000000014</v>
      </c>
    </row>
    <row r="422" spans="1:19" ht="15" hidden="1" customHeight="1" x14ac:dyDescent="0.2">
      <c r="A422" s="102">
        <v>1955</v>
      </c>
      <c r="B422" s="755" t="s">
        <v>190</v>
      </c>
      <c r="C422" s="749">
        <f t="shared" si="123"/>
        <v>0</v>
      </c>
      <c r="D422" s="750">
        <f t="shared" si="124"/>
        <v>0</v>
      </c>
      <c r="E422" s="1597">
        <f t="shared" si="114"/>
        <v>0</v>
      </c>
      <c r="F422" s="749">
        <f t="shared" si="113"/>
        <v>0</v>
      </c>
      <c r="G422" s="750">
        <v>0</v>
      </c>
      <c r="H422" s="1597">
        <f t="shared" si="115"/>
        <v>0</v>
      </c>
      <c r="I422" s="1633"/>
      <c r="J422" s="1616">
        <v>0</v>
      </c>
      <c r="K422" s="1599">
        <f t="shared" si="116"/>
        <v>0</v>
      </c>
      <c r="L422" s="752">
        <v>0</v>
      </c>
      <c r="M422" s="1604">
        <f t="shared" si="117"/>
        <v>0</v>
      </c>
      <c r="N422" s="1601">
        <f t="shared" si="118"/>
        <v>0</v>
      </c>
      <c r="O422" s="1601">
        <f t="shared" si="122"/>
        <v>0</v>
      </c>
      <c r="P422" s="1602">
        <f t="shared" si="119"/>
        <v>0</v>
      </c>
      <c r="Q422" s="1603">
        <f t="shared" si="120"/>
        <v>0</v>
      </c>
      <c r="R422" s="753">
        <f>'App.2-BA_Fixed Asset Cont'!I495</f>
        <v>0</v>
      </c>
      <c r="S422" s="110">
        <f t="shared" si="121"/>
        <v>0</v>
      </c>
    </row>
    <row r="423" spans="1:19" ht="12.6" hidden="1" customHeight="1" x14ac:dyDescent="0.2">
      <c r="A423" s="105">
        <v>1960</v>
      </c>
      <c r="B423" s="754" t="s">
        <v>191</v>
      </c>
      <c r="C423" s="749">
        <f t="shared" si="123"/>
        <v>0</v>
      </c>
      <c r="D423" s="750">
        <f t="shared" si="124"/>
        <v>0</v>
      </c>
      <c r="E423" s="1597">
        <f t="shared" si="114"/>
        <v>0</v>
      </c>
      <c r="F423" s="749">
        <f t="shared" si="113"/>
        <v>0</v>
      </c>
      <c r="G423" s="750">
        <v>0</v>
      </c>
      <c r="H423" s="1597">
        <f t="shared" si="115"/>
        <v>0</v>
      </c>
      <c r="I423" s="1633"/>
      <c r="J423" s="1616">
        <v>0</v>
      </c>
      <c r="K423" s="1599">
        <f t="shared" si="116"/>
        <v>0</v>
      </c>
      <c r="L423" s="752">
        <v>0</v>
      </c>
      <c r="M423" s="1604">
        <f t="shared" si="117"/>
        <v>0</v>
      </c>
      <c r="N423" s="1601">
        <f t="shared" si="118"/>
        <v>0</v>
      </c>
      <c r="O423" s="1601">
        <f t="shared" si="122"/>
        <v>0</v>
      </c>
      <c r="P423" s="1602">
        <f t="shared" si="119"/>
        <v>0</v>
      </c>
      <c r="Q423" s="1603">
        <f t="shared" si="120"/>
        <v>0</v>
      </c>
      <c r="R423" s="753">
        <f>'App.2-BA_Fixed Asset Cont'!I496</f>
        <v>0</v>
      </c>
      <c r="S423" s="110">
        <f t="shared" si="121"/>
        <v>0</v>
      </c>
    </row>
    <row r="424" spans="1:19" ht="12" hidden="1" customHeight="1" x14ac:dyDescent="0.2">
      <c r="A424" s="102">
        <v>1970</v>
      </c>
      <c r="B424" s="756" t="s">
        <v>410</v>
      </c>
      <c r="C424" s="749">
        <f t="shared" si="123"/>
        <v>0</v>
      </c>
      <c r="D424" s="750">
        <f t="shared" si="124"/>
        <v>0</v>
      </c>
      <c r="E424" s="1597">
        <f t="shared" si="114"/>
        <v>0</v>
      </c>
      <c r="F424" s="749">
        <f t="shared" si="113"/>
        <v>0</v>
      </c>
      <c r="G424" s="750">
        <v>0</v>
      </c>
      <c r="H424" s="1597">
        <f t="shared" si="115"/>
        <v>0</v>
      </c>
      <c r="I424" s="1633"/>
      <c r="J424" s="1616">
        <v>0</v>
      </c>
      <c r="K424" s="1599">
        <f t="shared" si="116"/>
        <v>0</v>
      </c>
      <c r="L424" s="752">
        <v>0</v>
      </c>
      <c r="M424" s="1604">
        <f t="shared" si="117"/>
        <v>0</v>
      </c>
      <c r="N424" s="1601">
        <f t="shared" si="118"/>
        <v>0</v>
      </c>
      <c r="O424" s="1601">
        <f t="shared" si="122"/>
        <v>0</v>
      </c>
      <c r="P424" s="1602">
        <f t="shared" si="119"/>
        <v>0</v>
      </c>
      <c r="Q424" s="1603">
        <f t="shared" si="120"/>
        <v>0</v>
      </c>
      <c r="R424" s="753">
        <f>'App.2-BA_Fixed Asset Cont'!I497</f>
        <v>0</v>
      </c>
      <c r="S424" s="110">
        <f t="shared" si="121"/>
        <v>0</v>
      </c>
    </row>
    <row r="425" spans="1:19" ht="9" hidden="1" customHeight="1" x14ac:dyDescent="0.2">
      <c r="A425" s="105">
        <v>1975</v>
      </c>
      <c r="B425" s="754" t="s">
        <v>255</v>
      </c>
      <c r="C425" s="749">
        <f t="shared" si="123"/>
        <v>0</v>
      </c>
      <c r="D425" s="750">
        <f t="shared" si="124"/>
        <v>0</v>
      </c>
      <c r="E425" s="1597">
        <f t="shared" si="114"/>
        <v>0</v>
      </c>
      <c r="F425" s="749">
        <f t="shared" si="113"/>
        <v>0</v>
      </c>
      <c r="G425" s="750">
        <v>0</v>
      </c>
      <c r="H425" s="1597">
        <f t="shared" si="115"/>
        <v>0</v>
      </c>
      <c r="I425" s="1633"/>
      <c r="J425" s="1616">
        <v>0</v>
      </c>
      <c r="K425" s="1599">
        <f t="shared" si="116"/>
        <v>0</v>
      </c>
      <c r="L425" s="752">
        <v>0</v>
      </c>
      <c r="M425" s="1604">
        <f t="shared" si="117"/>
        <v>0</v>
      </c>
      <c r="N425" s="1601">
        <f t="shared" si="118"/>
        <v>0</v>
      </c>
      <c r="O425" s="1601">
        <f t="shared" si="122"/>
        <v>0</v>
      </c>
      <c r="P425" s="1602">
        <f t="shared" si="119"/>
        <v>0</v>
      </c>
      <c r="Q425" s="1603">
        <f t="shared" si="120"/>
        <v>0</v>
      </c>
      <c r="R425" s="753">
        <f>'App.2-BA_Fixed Asset Cont'!I498</f>
        <v>0</v>
      </c>
      <c r="S425" s="110">
        <f t="shared" si="121"/>
        <v>0</v>
      </c>
    </row>
    <row r="426" spans="1:19" ht="14.25" x14ac:dyDescent="0.2">
      <c r="A426" s="105">
        <v>1980</v>
      </c>
      <c r="B426" s="754" t="s">
        <v>256</v>
      </c>
      <c r="C426" s="749">
        <f t="shared" si="123"/>
        <v>1573528.65</v>
      </c>
      <c r="D426" s="750">
        <f>D372+49755.15</f>
        <v>1324384.8376041665</v>
      </c>
      <c r="E426" s="1597">
        <f t="shared" si="114"/>
        <v>249143.81239583343</v>
      </c>
      <c r="F426" s="749">
        <f t="shared" si="113"/>
        <v>1025928.6200000001</v>
      </c>
      <c r="G426" s="750">
        <v>0</v>
      </c>
      <c r="H426" s="1597">
        <f t="shared" si="115"/>
        <v>1025928.6200000001</v>
      </c>
      <c r="I426" s="1633">
        <v>18000</v>
      </c>
      <c r="J426" s="1616">
        <v>13.797111246731118</v>
      </c>
      <c r="K426" s="1599">
        <f>IF(J426=0,0,1/J426)</f>
        <v>7.2478940128639258E-2</v>
      </c>
      <c r="L426" s="752">
        <v>20</v>
      </c>
      <c r="M426" s="1604">
        <f>IF(L426=0,0,1/L426)</f>
        <v>0.05</v>
      </c>
      <c r="N426" s="1601">
        <f t="shared" si="118"/>
        <v>18057.679462058542</v>
      </c>
      <c r="O426" s="1601">
        <f t="shared" si="122"/>
        <v>51296.431000000004</v>
      </c>
      <c r="P426" s="1602">
        <f t="shared" si="119"/>
        <v>450</v>
      </c>
      <c r="Q426" s="1603">
        <f t="shared" si="120"/>
        <v>69804.110462058539</v>
      </c>
      <c r="R426" s="753">
        <f>-'App.2-BA_Fixed Asset Cont'!I499</f>
        <v>68938.38</v>
      </c>
      <c r="S426" s="110">
        <f t="shared" si="121"/>
        <v>-865.73046205853461</v>
      </c>
    </row>
    <row r="427" spans="1:19" ht="14.25" x14ac:dyDescent="0.2">
      <c r="A427" s="105">
        <v>1985</v>
      </c>
      <c r="B427" s="754" t="s">
        <v>257</v>
      </c>
      <c r="C427" s="749">
        <f t="shared" si="123"/>
        <v>42116.86</v>
      </c>
      <c r="D427" s="750">
        <f>D373</f>
        <v>42116.858000000007</v>
      </c>
      <c r="E427" s="1597">
        <f t="shared" si="114"/>
        <v>1.999999993131496E-3</v>
      </c>
      <c r="F427" s="749">
        <f t="shared" si="113"/>
        <v>5550.93</v>
      </c>
      <c r="G427" s="750">
        <v>0</v>
      </c>
      <c r="H427" s="1597">
        <f t="shared" si="115"/>
        <v>5550.93</v>
      </c>
      <c r="I427" s="1633"/>
      <c r="J427" s="1616">
        <v>0</v>
      </c>
      <c r="K427" s="1599">
        <f t="shared" si="116"/>
        <v>0</v>
      </c>
      <c r="L427" s="752">
        <v>10</v>
      </c>
      <c r="M427" s="1604">
        <f t="shared" si="117"/>
        <v>0.1</v>
      </c>
      <c r="N427" s="1601">
        <f t="shared" si="118"/>
        <v>0</v>
      </c>
      <c r="O427" s="1601">
        <f t="shared" si="122"/>
        <v>555.09300000000007</v>
      </c>
      <c r="P427" s="1602">
        <f t="shared" si="119"/>
        <v>0</v>
      </c>
      <c r="Q427" s="1603">
        <f t="shared" si="120"/>
        <v>555.09300000000007</v>
      </c>
      <c r="R427" s="753">
        <f>-'App.2-BA_Fixed Asset Cont'!I500</f>
        <v>555</v>
      </c>
      <c r="S427" s="110">
        <f t="shared" si="121"/>
        <v>-9.3000000000074579E-2</v>
      </c>
    </row>
    <row r="428" spans="1:19" ht="14.25" hidden="1" x14ac:dyDescent="0.2">
      <c r="A428" s="105">
        <v>1990</v>
      </c>
      <c r="B428" s="1614" t="s">
        <v>411</v>
      </c>
      <c r="C428" s="749">
        <f t="shared" si="123"/>
        <v>0</v>
      </c>
      <c r="D428" s="750">
        <f>D374</f>
        <v>0</v>
      </c>
      <c r="E428" s="1597">
        <f t="shared" si="114"/>
        <v>0</v>
      </c>
      <c r="F428" s="749">
        <f t="shared" si="113"/>
        <v>0</v>
      </c>
      <c r="G428" s="750">
        <v>0</v>
      </c>
      <c r="H428" s="1597">
        <f t="shared" si="115"/>
        <v>0</v>
      </c>
      <c r="I428" s="1633"/>
      <c r="J428" s="1616">
        <v>0</v>
      </c>
      <c r="K428" s="1599">
        <f t="shared" si="116"/>
        <v>0</v>
      </c>
      <c r="L428" s="752">
        <v>0</v>
      </c>
      <c r="M428" s="1604">
        <f t="shared" si="117"/>
        <v>0</v>
      </c>
      <c r="N428" s="1601">
        <f t="shared" si="118"/>
        <v>0</v>
      </c>
      <c r="O428" s="1601">
        <f t="shared" si="122"/>
        <v>0</v>
      </c>
      <c r="P428" s="1602">
        <f t="shared" si="119"/>
        <v>0</v>
      </c>
      <c r="Q428" s="1603">
        <f t="shared" si="120"/>
        <v>0</v>
      </c>
      <c r="R428" s="1634"/>
      <c r="S428" s="110">
        <f t="shared" si="121"/>
        <v>0</v>
      </c>
    </row>
    <row r="429" spans="1:19" ht="14.25" hidden="1" x14ac:dyDescent="0.2">
      <c r="A429" s="105">
        <v>1995</v>
      </c>
      <c r="B429" s="754" t="s">
        <v>258</v>
      </c>
      <c r="C429" s="749">
        <f t="shared" si="123"/>
        <v>0</v>
      </c>
      <c r="D429" s="750">
        <f>D375</f>
        <v>0</v>
      </c>
      <c r="E429" s="1597">
        <f t="shared" si="114"/>
        <v>0</v>
      </c>
      <c r="F429" s="749">
        <f t="shared" si="113"/>
        <v>0</v>
      </c>
      <c r="G429" s="750">
        <v>0</v>
      </c>
      <c r="H429" s="1597">
        <f t="shared" si="115"/>
        <v>0</v>
      </c>
      <c r="I429" s="751"/>
      <c r="J429" s="1616">
        <v>0</v>
      </c>
      <c r="K429" s="1599">
        <f t="shared" si="116"/>
        <v>0</v>
      </c>
      <c r="L429" s="752">
        <v>0</v>
      </c>
      <c r="M429" s="1677">
        <f t="shared" si="117"/>
        <v>0</v>
      </c>
      <c r="N429" s="1601">
        <f t="shared" si="118"/>
        <v>0</v>
      </c>
      <c r="O429" s="1601">
        <f t="shared" si="122"/>
        <v>0</v>
      </c>
      <c r="P429" s="1602">
        <f t="shared" si="119"/>
        <v>0</v>
      </c>
      <c r="Q429" s="1603">
        <f t="shared" si="120"/>
        <v>0</v>
      </c>
      <c r="R429" s="749"/>
      <c r="S429" s="110">
        <f t="shared" si="121"/>
        <v>0</v>
      </c>
    </row>
    <row r="430" spans="1:19" ht="14.25" x14ac:dyDescent="0.2">
      <c r="A430" s="1664">
        <v>2440</v>
      </c>
      <c r="B430" s="754" t="s">
        <v>1532</v>
      </c>
      <c r="C430" s="749"/>
      <c r="D430" s="753"/>
      <c r="E430" s="1597">
        <f t="shared" si="114"/>
        <v>0</v>
      </c>
      <c r="F430" s="749">
        <f>F376+I376</f>
        <v>-6761089.4000000004</v>
      </c>
      <c r="G430" s="753"/>
      <c r="H430" s="1597">
        <f t="shared" si="115"/>
        <v>-6761089.4000000004</v>
      </c>
      <c r="I430" s="751">
        <v>-1082100</v>
      </c>
      <c r="J430" s="1616"/>
      <c r="K430" s="1599">
        <f t="shared" si="116"/>
        <v>0</v>
      </c>
      <c r="L430" s="752">
        <f>-(F430+(I430/2))/'App.2-BA_Fixed Asset Cont'!I503</f>
        <v>35.139885473152297</v>
      </c>
      <c r="M430" s="1682">
        <f>IF(L430=0,0,1/L430)</f>
        <v>2.8457690926853577E-2</v>
      </c>
      <c r="N430" s="1601">
        <f t="shared" si="118"/>
        <v>0</v>
      </c>
      <c r="O430" s="1601">
        <f t="shared" si="122"/>
        <v>-192404.9924740259</v>
      </c>
      <c r="P430" s="1602">
        <f t="shared" si="119"/>
        <v>-15397.033675974129</v>
      </c>
      <c r="Q430" s="1603">
        <f t="shared" si="120"/>
        <v>-207802.02615000002</v>
      </c>
      <c r="R430" s="1675">
        <f>-'App.2-BA_Fixed Asset Cont'!I503</f>
        <v>-207802.02615000005</v>
      </c>
      <c r="S430" s="110">
        <f t="shared" si="121"/>
        <v>-2.9103830456733704E-11</v>
      </c>
    </row>
    <row r="431" spans="1:19" ht="15" thickBot="1" x14ac:dyDescent="0.25">
      <c r="A431" s="1664"/>
      <c r="B431" s="1665" t="s">
        <v>1533</v>
      </c>
      <c r="C431" s="1660">
        <f>C377</f>
        <v>-129739</v>
      </c>
      <c r="D431" s="1661">
        <f>D377</f>
        <v>-129739</v>
      </c>
      <c r="E431" s="1597">
        <f t="shared" si="114"/>
        <v>0</v>
      </c>
      <c r="F431" s="1660"/>
      <c r="G431" s="1661"/>
      <c r="H431" s="1597">
        <f t="shared" si="115"/>
        <v>0</v>
      </c>
      <c r="I431" s="1672"/>
      <c r="J431" s="1673"/>
      <c r="K431" s="1599">
        <f t="shared" si="116"/>
        <v>0</v>
      </c>
      <c r="L431" s="1663"/>
      <c r="M431" s="1676">
        <f t="shared" si="117"/>
        <v>0</v>
      </c>
      <c r="N431" s="1601">
        <f t="shared" si="118"/>
        <v>0</v>
      </c>
      <c r="O431" s="1601">
        <f t="shared" si="122"/>
        <v>0</v>
      </c>
      <c r="P431" s="1602">
        <f t="shared" si="119"/>
        <v>0</v>
      </c>
      <c r="Q431" s="1603">
        <f t="shared" si="120"/>
        <v>0</v>
      </c>
      <c r="R431" s="1661"/>
      <c r="S431" s="110">
        <f t="shared" si="121"/>
        <v>0</v>
      </c>
    </row>
    <row r="432" spans="1:19" ht="15.75" thickTop="1" thickBot="1" x14ac:dyDescent="0.25">
      <c r="A432" s="124"/>
      <c r="B432" s="757" t="s">
        <v>259</v>
      </c>
      <c r="C432" s="1617">
        <f t="shared" ref="C432:I432" si="125">SUM(C384:C431)</f>
        <v>181994221.14990482</v>
      </c>
      <c r="D432" s="1617">
        <f t="shared" si="125"/>
        <v>118026215.06971504</v>
      </c>
      <c r="E432" s="1617">
        <f t="shared" si="125"/>
        <v>63968006.080189705</v>
      </c>
      <c r="F432" s="1617">
        <f t="shared" si="125"/>
        <v>57141362.283333339</v>
      </c>
      <c r="G432" s="1617">
        <f t="shared" si="125"/>
        <v>635319.55000000005</v>
      </c>
      <c r="H432" s="1617">
        <f t="shared" si="125"/>
        <v>56506042.733333342</v>
      </c>
      <c r="I432" s="1618">
        <f t="shared" si="125"/>
        <v>9085007</v>
      </c>
      <c r="J432" s="1617"/>
      <c r="K432" s="1619"/>
      <c r="L432" s="1620"/>
      <c r="M432" s="1621"/>
      <c r="N432" s="1617">
        <f t="shared" ref="N432:S432" si="126">SUM(N384:N431)</f>
        <v>2775782.3182488605</v>
      </c>
      <c r="O432" s="1622">
        <f t="shared" si="126"/>
        <v>1776617.0975870858</v>
      </c>
      <c r="P432" s="1622">
        <f t="shared" si="126"/>
        <v>140559.36195458143</v>
      </c>
      <c r="Q432" s="1623">
        <f t="shared" si="126"/>
        <v>4692958.7777905259</v>
      </c>
      <c r="R432" s="1624">
        <f t="shared" si="126"/>
        <v>4622012.4965950549</v>
      </c>
      <c r="S432" s="1622">
        <f t="shared" si="126"/>
        <v>-70946.281195470772</v>
      </c>
    </row>
    <row r="436" spans="1:19" x14ac:dyDescent="0.2">
      <c r="A436" s="79" t="s">
        <v>196</v>
      </c>
      <c r="B436" s="38" t="s">
        <v>1062</v>
      </c>
    </row>
    <row r="437" spans="1:19" ht="12.75" customHeight="1" x14ac:dyDescent="0.2">
      <c r="B437" s="1550" t="s">
        <v>1063</v>
      </c>
      <c r="C437" s="1550"/>
      <c r="D437" s="1550"/>
      <c r="E437" s="1550"/>
      <c r="F437" s="1550"/>
      <c r="G437" s="1550"/>
      <c r="H437" s="1550"/>
      <c r="I437" s="1550"/>
      <c r="J437" s="1550"/>
      <c r="K437" s="1550"/>
      <c r="L437" s="1550"/>
      <c r="M437" s="1550"/>
      <c r="N437" s="1550"/>
      <c r="O437" s="1550"/>
      <c r="P437" s="1550"/>
      <c r="Q437" s="1550"/>
      <c r="R437" s="1550"/>
      <c r="S437" s="1550"/>
    </row>
    <row r="438" spans="1:19" x14ac:dyDescent="0.2">
      <c r="A438" s="79"/>
      <c r="B438" s="125"/>
      <c r="C438" s="125"/>
      <c r="D438" s="125"/>
      <c r="E438" s="125"/>
      <c r="F438" s="125"/>
      <c r="G438" s="125"/>
      <c r="H438" s="125"/>
      <c r="I438" s="125"/>
      <c r="J438" s="125"/>
      <c r="K438" s="125"/>
      <c r="L438" s="125"/>
      <c r="M438" s="125"/>
      <c r="N438" s="125"/>
      <c r="O438" s="125"/>
      <c r="P438" s="125"/>
      <c r="Q438" s="125"/>
      <c r="R438" s="125"/>
      <c r="S438" s="125"/>
    </row>
    <row r="439" spans="1:19" x14ac:dyDescent="0.2">
      <c r="B439" s="125"/>
      <c r="C439" s="125"/>
      <c r="D439" s="125"/>
      <c r="E439" s="125"/>
      <c r="F439" s="125"/>
      <c r="G439" s="125"/>
      <c r="H439" s="125"/>
      <c r="I439" s="125"/>
      <c r="J439" s="125"/>
      <c r="K439" s="125"/>
      <c r="L439" s="125"/>
      <c r="M439" s="125"/>
      <c r="N439" s="125"/>
      <c r="O439" s="125"/>
      <c r="P439" s="125"/>
      <c r="Q439" s="125"/>
      <c r="R439" s="125"/>
      <c r="S439" s="125"/>
    </row>
    <row r="440" spans="1:19" x14ac:dyDescent="0.2">
      <c r="A440" s="79" t="s">
        <v>6</v>
      </c>
    </row>
    <row r="441" spans="1:19" ht="156.6" customHeight="1" x14ac:dyDescent="0.2">
      <c r="A441" s="439">
        <v>1</v>
      </c>
      <c r="B441" s="1683" t="s">
        <v>1064</v>
      </c>
      <c r="C441" s="1550"/>
      <c r="D441" s="1550"/>
      <c r="E441" s="1550"/>
      <c r="F441" s="1550"/>
      <c r="G441" s="1550"/>
      <c r="H441" s="1550"/>
      <c r="I441" s="1550"/>
      <c r="J441" s="1550"/>
      <c r="K441" s="1550"/>
      <c r="L441" s="1550"/>
      <c r="M441" s="1550"/>
      <c r="N441" s="1550"/>
      <c r="O441" s="1550"/>
      <c r="P441" s="1550"/>
      <c r="Q441" s="1550"/>
      <c r="R441" s="1550"/>
      <c r="S441" s="1550"/>
    </row>
    <row r="442" spans="1:19" ht="129" customHeight="1" x14ac:dyDescent="0.2">
      <c r="A442" s="439">
        <v>2</v>
      </c>
      <c r="B442" s="1683" t="s">
        <v>1237</v>
      </c>
      <c r="C442" s="1550"/>
      <c r="D442" s="1550"/>
      <c r="E442" s="1550"/>
      <c r="F442" s="1550"/>
      <c r="G442" s="1550"/>
      <c r="H442" s="1550"/>
      <c r="I442" s="1550"/>
      <c r="J442" s="1550"/>
      <c r="K442" s="1550"/>
      <c r="L442" s="1550"/>
      <c r="M442" s="1550"/>
      <c r="N442" s="1550"/>
      <c r="O442" s="1550"/>
      <c r="P442" s="1550"/>
      <c r="Q442" s="1550"/>
      <c r="R442" s="1550"/>
      <c r="S442" s="1550"/>
    </row>
    <row r="443" spans="1:19" ht="276" customHeight="1" x14ac:dyDescent="0.2">
      <c r="A443" s="439">
        <v>3</v>
      </c>
      <c r="B443" s="1550" t="s">
        <v>893</v>
      </c>
      <c r="C443" s="1550"/>
      <c r="D443" s="1550"/>
      <c r="E443" s="1550"/>
      <c r="F443" s="1550"/>
      <c r="G443" s="1550"/>
      <c r="H443" s="1550"/>
      <c r="I443" s="1550"/>
      <c r="J443" s="1550"/>
      <c r="K443" s="1550"/>
      <c r="L443" s="1550"/>
      <c r="M443" s="1550"/>
      <c r="N443" s="1550"/>
      <c r="O443" s="1550"/>
      <c r="P443" s="1550"/>
      <c r="Q443" s="1550"/>
      <c r="R443" s="1550"/>
      <c r="S443" s="1550"/>
    </row>
    <row r="444" spans="1:19" ht="28.9" customHeight="1" x14ac:dyDescent="0.2">
      <c r="A444" s="439">
        <v>4</v>
      </c>
      <c r="B444" s="1685" t="s">
        <v>1065</v>
      </c>
      <c r="C444" s="1550"/>
      <c r="D444" s="1550"/>
      <c r="E444" s="1550"/>
      <c r="F444" s="1550"/>
      <c r="G444" s="1550"/>
      <c r="H444" s="1550"/>
      <c r="I444" s="1550"/>
      <c r="J444" s="1550"/>
      <c r="K444" s="1550"/>
      <c r="L444" s="1550"/>
      <c r="M444" s="1550"/>
      <c r="N444" s="1550"/>
      <c r="O444" s="1550"/>
      <c r="P444" s="1550"/>
      <c r="Q444" s="1550"/>
      <c r="R444" s="1550"/>
      <c r="S444" s="1550"/>
    </row>
    <row r="445" spans="1:19" ht="31.9" customHeight="1" x14ac:dyDescent="0.2">
      <c r="A445" s="439">
        <v>5</v>
      </c>
      <c r="B445" s="760" t="s">
        <v>1323</v>
      </c>
      <c r="C445" s="760"/>
      <c r="D445" s="760"/>
      <c r="E445" s="760"/>
      <c r="F445" s="760"/>
      <c r="G445" s="760"/>
      <c r="H445" s="760"/>
      <c r="I445" s="760"/>
      <c r="J445" s="760"/>
      <c r="K445" s="760"/>
      <c r="L445" s="760"/>
      <c r="M445" s="760"/>
      <c r="N445" s="760"/>
      <c r="O445" s="760"/>
      <c r="P445" s="760"/>
      <c r="Q445" s="760"/>
      <c r="R445" s="760"/>
      <c r="S445" s="760"/>
    </row>
    <row r="446" spans="1:19" ht="28.15" customHeight="1" x14ac:dyDescent="0.2">
      <c r="A446" s="439">
        <v>6</v>
      </c>
      <c r="B446" s="1685" t="s">
        <v>763</v>
      </c>
      <c r="C446" s="1550"/>
      <c r="D446" s="1550"/>
      <c r="E446" s="1550"/>
      <c r="F446" s="1550"/>
      <c r="G446" s="1550"/>
      <c r="H446" s="1550"/>
      <c r="I446" s="1550"/>
      <c r="J446" s="1550"/>
      <c r="K446" s="1550"/>
      <c r="L446" s="1550"/>
      <c r="M446" s="1550"/>
      <c r="N446" s="1550"/>
      <c r="O446" s="1550"/>
      <c r="P446" s="1550"/>
      <c r="Q446" s="1550"/>
      <c r="R446" s="1550"/>
      <c r="S446" s="1550"/>
    </row>
    <row r="447" spans="1:19" x14ac:dyDescent="0.2">
      <c r="A447" s="439">
        <v>7</v>
      </c>
      <c r="B447" s="760" t="s">
        <v>1239</v>
      </c>
      <c r="C447" s="760"/>
      <c r="D447" s="760"/>
      <c r="E447" s="760"/>
      <c r="F447" s="760"/>
      <c r="G447" s="760"/>
      <c r="H447" s="760"/>
      <c r="I447" s="760"/>
      <c r="J447" s="760"/>
      <c r="K447" s="760"/>
      <c r="L447" s="760"/>
      <c r="M447" s="760"/>
      <c r="N447" s="760"/>
      <c r="O447" s="760"/>
      <c r="P447" s="760"/>
      <c r="Q447" s="760"/>
      <c r="R447" s="760"/>
      <c r="S447" s="760"/>
    </row>
    <row r="448" spans="1:19" ht="12.75" customHeight="1" x14ac:dyDescent="0.2">
      <c r="A448" s="439">
        <v>8</v>
      </c>
      <c r="B448" s="760" t="s">
        <v>1238</v>
      </c>
      <c r="C448" s="1435"/>
      <c r="D448" s="1435"/>
      <c r="E448" s="1435"/>
      <c r="F448" s="1435"/>
      <c r="G448" s="1435"/>
      <c r="H448" s="1435"/>
      <c r="I448" s="1435"/>
      <c r="J448" s="1435"/>
      <c r="K448" s="1435"/>
      <c r="L448" s="1435"/>
      <c r="M448" s="1435"/>
      <c r="N448" s="1435"/>
      <c r="O448" s="1435"/>
      <c r="P448" s="1435"/>
      <c r="Q448" s="1435"/>
      <c r="R448" s="1435"/>
      <c r="S448" s="1435"/>
    </row>
    <row r="449" spans="1:19" x14ac:dyDescent="0.2">
      <c r="A449" s="439"/>
      <c r="B449" s="714"/>
      <c r="C449" s="714"/>
      <c r="D449" s="714"/>
      <c r="E449" s="714"/>
      <c r="F449" s="714"/>
      <c r="G449" s="714"/>
      <c r="H449" s="714"/>
      <c r="I449" s="714"/>
      <c r="J449" s="714"/>
      <c r="K449" s="714"/>
      <c r="L449" s="714"/>
      <c r="M449" s="714"/>
      <c r="N449" s="714"/>
      <c r="O449" s="714"/>
      <c r="P449" s="714"/>
      <c r="Q449" s="714"/>
      <c r="R449" s="714"/>
      <c r="S449" s="714"/>
    </row>
    <row r="450" spans="1:19" x14ac:dyDescent="0.2">
      <c r="C450" s="125"/>
      <c r="D450" s="125"/>
      <c r="E450" s="125"/>
      <c r="F450" s="125"/>
      <c r="G450" s="125"/>
      <c r="H450" s="125"/>
      <c r="I450" s="125"/>
      <c r="J450" s="125"/>
      <c r="K450" s="125"/>
      <c r="L450" s="125"/>
      <c r="M450" s="125"/>
      <c r="N450" s="125"/>
      <c r="O450" s="125"/>
      <c r="P450" s="125"/>
      <c r="Q450" s="125"/>
      <c r="R450" s="125"/>
      <c r="S450" s="125"/>
    </row>
  </sheetData>
  <mergeCells count="53">
    <mergeCell ref="C381:I381"/>
    <mergeCell ref="J381:M381"/>
    <mergeCell ref="N381:Q381"/>
    <mergeCell ref="A382:A383"/>
    <mergeCell ref="B382:B383"/>
    <mergeCell ref="C327:I327"/>
    <mergeCell ref="J327:M327"/>
    <mergeCell ref="N327:Q327"/>
    <mergeCell ref="A328:A329"/>
    <mergeCell ref="B328:B329"/>
    <mergeCell ref="C273:I273"/>
    <mergeCell ref="J273:M273"/>
    <mergeCell ref="N273:Q273"/>
    <mergeCell ref="A274:A275"/>
    <mergeCell ref="B274:B275"/>
    <mergeCell ref="C221:I221"/>
    <mergeCell ref="J221:M221"/>
    <mergeCell ref="N221:Q221"/>
    <mergeCell ref="A222:A223"/>
    <mergeCell ref="B222:B223"/>
    <mergeCell ref="A69:A70"/>
    <mergeCell ref="B69:B70"/>
    <mergeCell ref="C116:I116"/>
    <mergeCell ref="J116:M116"/>
    <mergeCell ref="N116:Q116"/>
    <mergeCell ref="A18:B18"/>
    <mergeCell ref="C18:Q18"/>
    <mergeCell ref="A21:A22"/>
    <mergeCell ref="B21:B22"/>
    <mergeCell ref="C68:I68"/>
    <mergeCell ref="J68:M68"/>
    <mergeCell ref="N68:Q68"/>
    <mergeCell ref="J168:M168"/>
    <mergeCell ref="N168:Q168"/>
    <mergeCell ref="A15:B15"/>
    <mergeCell ref="C15:Q15"/>
    <mergeCell ref="A9:S9"/>
    <mergeCell ref="A10:S10"/>
    <mergeCell ref="A11:S11"/>
    <mergeCell ref="A14:B14"/>
    <mergeCell ref="C14:Q14"/>
    <mergeCell ref="A16:B16"/>
    <mergeCell ref="C16:Q16"/>
    <mergeCell ref="A17:B17"/>
    <mergeCell ref="C17:Q17"/>
    <mergeCell ref="C20:I20"/>
    <mergeCell ref="J20:M20"/>
    <mergeCell ref="N20:Q20"/>
    <mergeCell ref="A169:A170"/>
    <mergeCell ref="B169:B170"/>
    <mergeCell ref="A117:A118"/>
    <mergeCell ref="B117:B118"/>
    <mergeCell ref="C168:I168"/>
  </mergeCells>
  <dataValidations count="4">
    <dataValidation type="list" allowBlank="1" showInputMessage="1" showErrorMessage="1" sqref="S17:S18" xr:uid="{00000000-0002-0000-0C00-000000000000}">
      <formula1>$Y$10:$Y$11</formula1>
    </dataValidation>
    <dataValidation type="list" allowBlank="1" showInputMessage="1" showErrorMessage="1" sqref="S15:S16" xr:uid="{00000000-0002-0000-0C00-000001000000}">
      <formula1>$Y$9:$Y$11</formula1>
    </dataValidation>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S65927 JM65927 TI65927 ADE65927 ANA65927 AWW65927 BGS65927 BQO65927 CAK65927 CKG65927 CUC65927 DDY65927 DNU65927 DXQ65927 EHM65927 ERI65927 FBE65927 FLA65927 FUW65927 GES65927 GOO65927 GYK65927 HIG65927 HSC65927 IBY65927 ILU65927 IVQ65927 JFM65927 JPI65927 JZE65927 KJA65927 KSW65927 LCS65927 LMO65927 LWK65927 MGG65927 MQC65927 MZY65927 NJU65927 NTQ65927 ODM65927 ONI65927 OXE65927 PHA65927 PQW65927 QAS65927 QKO65927 QUK65927 REG65927 ROC65927 RXY65927 SHU65927 SRQ65927 TBM65927 TLI65927 TVE65927 UFA65927 UOW65927 UYS65927 VIO65927 VSK65927 WCG65927 WMC65927 WVY65927 S131463 JM131463 TI131463 ADE131463 ANA131463 AWW131463 BGS131463 BQO131463 CAK131463 CKG131463 CUC131463 DDY131463 DNU131463 DXQ131463 EHM131463 ERI131463 FBE131463 FLA131463 FUW131463 GES131463 GOO131463 GYK131463 HIG131463 HSC131463 IBY131463 ILU131463 IVQ131463 JFM131463 JPI131463 JZE131463 KJA131463 KSW131463 LCS131463 LMO131463 LWK131463 MGG131463 MQC131463 MZY131463 NJU131463 NTQ131463 ODM131463 ONI131463 OXE131463 PHA131463 PQW131463 QAS131463 QKO131463 QUK131463 REG131463 ROC131463 RXY131463 SHU131463 SRQ131463 TBM131463 TLI131463 TVE131463 UFA131463 UOW131463 UYS131463 VIO131463 VSK131463 WCG131463 WMC131463 WVY131463 S196999 JM196999 TI196999 ADE196999 ANA196999 AWW196999 BGS196999 BQO196999 CAK196999 CKG196999 CUC196999 DDY196999 DNU196999 DXQ196999 EHM196999 ERI196999 FBE196999 FLA196999 FUW196999 GES196999 GOO196999 GYK196999 HIG196999 HSC196999 IBY196999 ILU196999 IVQ196999 JFM196999 JPI196999 JZE196999 KJA196999 KSW196999 LCS196999 LMO196999 LWK196999 MGG196999 MQC196999 MZY196999 NJU196999 NTQ196999 ODM196999 ONI196999 OXE196999 PHA196999 PQW196999 QAS196999 QKO196999 QUK196999 REG196999 ROC196999 RXY196999 SHU196999 SRQ196999 TBM196999 TLI196999 TVE196999 UFA196999 UOW196999 UYS196999 VIO196999 VSK196999 WCG196999 WMC196999 WVY196999 S262535 JM262535 TI262535 ADE262535 ANA262535 AWW262535 BGS262535 BQO262535 CAK262535 CKG262535 CUC262535 DDY262535 DNU262535 DXQ262535 EHM262535 ERI262535 FBE262535 FLA262535 FUW262535 GES262535 GOO262535 GYK262535 HIG262535 HSC262535 IBY262535 ILU262535 IVQ262535 JFM262535 JPI262535 JZE262535 KJA262535 KSW262535 LCS262535 LMO262535 LWK262535 MGG262535 MQC262535 MZY262535 NJU262535 NTQ262535 ODM262535 ONI262535 OXE262535 PHA262535 PQW262535 QAS262535 QKO262535 QUK262535 REG262535 ROC262535 RXY262535 SHU262535 SRQ262535 TBM262535 TLI262535 TVE262535 UFA262535 UOW262535 UYS262535 VIO262535 VSK262535 WCG262535 WMC262535 WVY262535 S328071 JM328071 TI328071 ADE328071 ANA328071 AWW328071 BGS328071 BQO328071 CAK328071 CKG328071 CUC328071 DDY328071 DNU328071 DXQ328071 EHM328071 ERI328071 FBE328071 FLA328071 FUW328071 GES328071 GOO328071 GYK328071 HIG328071 HSC328071 IBY328071 ILU328071 IVQ328071 JFM328071 JPI328071 JZE328071 KJA328071 KSW328071 LCS328071 LMO328071 LWK328071 MGG328071 MQC328071 MZY328071 NJU328071 NTQ328071 ODM328071 ONI328071 OXE328071 PHA328071 PQW328071 QAS328071 QKO328071 QUK328071 REG328071 ROC328071 RXY328071 SHU328071 SRQ328071 TBM328071 TLI328071 TVE328071 UFA328071 UOW328071 UYS328071 VIO328071 VSK328071 WCG328071 WMC328071 WVY328071 S393607 JM393607 TI393607 ADE393607 ANA393607 AWW393607 BGS393607 BQO393607 CAK393607 CKG393607 CUC393607 DDY393607 DNU393607 DXQ393607 EHM393607 ERI393607 FBE393607 FLA393607 FUW393607 GES393607 GOO393607 GYK393607 HIG393607 HSC393607 IBY393607 ILU393607 IVQ393607 JFM393607 JPI393607 JZE393607 KJA393607 KSW393607 LCS393607 LMO393607 LWK393607 MGG393607 MQC393607 MZY393607 NJU393607 NTQ393607 ODM393607 ONI393607 OXE393607 PHA393607 PQW393607 QAS393607 QKO393607 QUK393607 REG393607 ROC393607 RXY393607 SHU393607 SRQ393607 TBM393607 TLI393607 TVE393607 UFA393607 UOW393607 UYS393607 VIO393607 VSK393607 WCG393607 WMC393607 WVY393607 S459143 JM459143 TI459143 ADE459143 ANA459143 AWW459143 BGS459143 BQO459143 CAK459143 CKG459143 CUC459143 DDY459143 DNU459143 DXQ459143 EHM459143 ERI459143 FBE459143 FLA459143 FUW459143 GES459143 GOO459143 GYK459143 HIG459143 HSC459143 IBY459143 ILU459143 IVQ459143 JFM459143 JPI459143 JZE459143 KJA459143 KSW459143 LCS459143 LMO459143 LWK459143 MGG459143 MQC459143 MZY459143 NJU459143 NTQ459143 ODM459143 ONI459143 OXE459143 PHA459143 PQW459143 QAS459143 QKO459143 QUK459143 REG459143 ROC459143 RXY459143 SHU459143 SRQ459143 TBM459143 TLI459143 TVE459143 UFA459143 UOW459143 UYS459143 VIO459143 VSK459143 WCG459143 WMC459143 WVY459143 S524679 JM524679 TI524679 ADE524679 ANA524679 AWW524679 BGS524679 BQO524679 CAK524679 CKG524679 CUC524679 DDY524679 DNU524679 DXQ524679 EHM524679 ERI524679 FBE524679 FLA524679 FUW524679 GES524679 GOO524679 GYK524679 HIG524679 HSC524679 IBY524679 ILU524679 IVQ524679 JFM524679 JPI524679 JZE524679 KJA524679 KSW524679 LCS524679 LMO524679 LWK524679 MGG524679 MQC524679 MZY524679 NJU524679 NTQ524679 ODM524679 ONI524679 OXE524679 PHA524679 PQW524679 QAS524679 QKO524679 QUK524679 REG524679 ROC524679 RXY524679 SHU524679 SRQ524679 TBM524679 TLI524679 TVE524679 UFA524679 UOW524679 UYS524679 VIO524679 VSK524679 WCG524679 WMC524679 WVY524679 S590215 JM590215 TI590215 ADE590215 ANA590215 AWW590215 BGS590215 BQO590215 CAK590215 CKG590215 CUC590215 DDY590215 DNU590215 DXQ590215 EHM590215 ERI590215 FBE590215 FLA590215 FUW590215 GES590215 GOO590215 GYK590215 HIG590215 HSC590215 IBY590215 ILU590215 IVQ590215 JFM590215 JPI590215 JZE590215 KJA590215 KSW590215 LCS590215 LMO590215 LWK590215 MGG590215 MQC590215 MZY590215 NJU590215 NTQ590215 ODM590215 ONI590215 OXE590215 PHA590215 PQW590215 QAS590215 QKO590215 QUK590215 REG590215 ROC590215 RXY590215 SHU590215 SRQ590215 TBM590215 TLI590215 TVE590215 UFA590215 UOW590215 UYS590215 VIO590215 VSK590215 WCG590215 WMC590215 WVY590215 S655751 JM655751 TI655751 ADE655751 ANA655751 AWW655751 BGS655751 BQO655751 CAK655751 CKG655751 CUC655751 DDY655751 DNU655751 DXQ655751 EHM655751 ERI655751 FBE655751 FLA655751 FUW655751 GES655751 GOO655751 GYK655751 HIG655751 HSC655751 IBY655751 ILU655751 IVQ655751 JFM655751 JPI655751 JZE655751 KJA655751 KSW655751 LCS655751 LMO655751 LWK655751 MGG655751 MQC655751 MZY655751 NJU655751 NTQ655751 ODM655751 ONI655751 OXE655751 PHA655751 PQW655751 QAS655751 QKO655751 QUK655751 REG655751 ROC655751 RXY655751 SHU655751 SRQ655751 TBM655751 TLI655751 TVE655751 UFA655751 UOW655751 UYS655751 VIO655751 VSK655751 WCG655751 WMC655751 WVY655751 S721287 JM721287 TI721287 ADE721287 ANA721287 AWW721287 BGS721287 BQO721287 CAK721287 CKG721287 CUC721287 DDY721287 DNU721287 DXQ721287 EHM721287 ERI721287 FBE721287 FLA721287 FUW721287 GES721287 GOO721287 GYK721287 HIG721287 HSC721287 IBY721287 ILU721287 IVQ721287 JFM721287 JPI721287 JZE721287 KJA721287 KSW721287 LCS721287 LMO721287 LWK721287 MGG721287 MQC721287 MZY721287 NJU721287 NTQ721287 ODM721287 ONI721287 OXE721287 PHA721287 PQW721287 QAS721287 QKO721287 QUK721287 REG721287 ROC721287 RXY721287 SHU721287 SRQ721287 TBM721287 TLI721287 TVE721287 UFA721287 UOW721287 UYS721287 VIO721287 VSK721287 WCG721287 WMC721287 WVY721287 S786823 JM786823 TI786823 ADE786823 ANA786823 AWW786823 BGS786823 BQO786823 CAK786823 CKG786823 CUC786823 DDY786823 DNU786823 DXQ786823 EHM786823 ERI786823 FBE786823 FLA786823 FUW786823 GES786823 GOO786823 GYK786823 HIG786823 HSC786823 IBY786823 ILU786823 IVQ786823 JFM786823 JPI786823 JZE786823 KJA786823 KSW786823 LCS786823 LMO786823 LWK786823 MGG786823 MQC786823 MZY786823 NJU786823 NTQ786823 ODM786823 ONI786823 OXE786823 PHA786823 PQW786823 QAS786823 QKO786823 QUK786823 REG786823 ROC786823 RXY786823 SHU786823 SRQ786823 TBM786823 TLI786823 TVE786823 UFA786823 UOW786823 UYS786823 VIO786823 VSK786823 WCG786823 WMC786823 WVY786823 S852359 JM852359 TI852359 ADE852359 ANA852359 AWW852359 BGS852359 BQO852359 CAK852359 CKG852359 CUC852359 DDY852359 DNU852359 DXQ852359 EHM852359 ERI852359 FBE852359 FLA852359 FUW852359 GES852359 GOO852359 GYK852359 HIG852359 HSC852359 IBY852359 ILU852359 IVQ852359 JFM852359 JPI852359 JZE852359 KJA852359 KSW852359 LCS852359 LMO852359 LWK852359 MGG852359 MQC852359 MZY852359 NJU852359 NTQ852359 ODM852359 ONI852359 OXE852359 PHA852359 PQW852359 QAS852359 QKO852359 QUK852359 REG852359 ROC852359 RXY852359 SHU852359 SRQ852359 TBM852359 TLI852359 TVE852359 UFA852359 UOW852359 UYS852359 VIO852359 VSK852359 WCG852359 WMC852359 WVY852359 S917895 JM917895 TI917895 ADE917895 ANA917895 AWW917895 BGS917895 BQO917895 CAK917895 CKG917895 CUC917895 DDY917895 DNU917895 DXQ917895 EHM917895 ERI917895 FBE917895 FLA917895 FUW917895 GES917895 GOO917895 GYK917895 HIG917895 HSC917895 IBY917895 ILU917895 IVQ917895 JFM917895 JPI917895 JZE917895 KJA917895 KSW917895 LCS917895 LMO917895 LWK917895 MGG917895 MQC917895 MZY917895 NJU917895 NTQ917895 ODM917895 ONI917895 OXE917895 PHA917895 PQW917895 QAS917895 QKO917895 QUK917895 REG917895 ROC917895 RXY917895 SHU917895 SRQ917895 TBM917895 TLI917895 TVE917895 UFA917895 UOW917895 UYS917895 VIO917895 VSK917895 WCG917895 WMC917895 WVY917895 S983431 JM983431 TI983431 ADE983431 ANA983431 AWW983431 BGS983431 BQO983431 CAK983431 CKG983431 CUC983431 DDY983431 DNU983431 DXQ983431 EHM983431 ERI983431 FBE983431 FLA983431 FUW983431 GES983431 GOO983431 GYK983431 HIG983431 HSC983431 IBY983431 ILU983431 IVQ983431 JFM983431 JPI983431 JZE983431 KJA983431 KSW983431 LCS983431 LMO983431 LWK983431 MGG983431 MQC983431 MZY983431 NJU983431 NTQ983431 ODM983431 ONI983431 OXE983431 PHA983431 PQW983431 QAS983431 QKO983431 QUK983431 REG983431 ROC983431 RXY983431 SHU983431 SRQ983431 TBM983431 TLI983431 TVE983431 UFA983431 UOW983431 UYS983431 VIO983431 VSK983431 WCG983431 WMC983431 WVY983431" xr:uid="{00000000-0002-0000-0C00-000002000000}"/>
    <dataValidation type="list" allowBlank="1" showInputMessage="1" showErrorMessage="1" sqref="R15:R18" xr:uid="{00000000-0002-0000-0C00-000003000000}">
      <formula1>"2012,2013,2014,2015,2016,2017,2018,2019,2020,2021,2022"</formula1>
    </dataValidation>
  </dataValidations>
  <pageMargins left="0.70866141732283472" right="0.70866141732283472" top="0.74803149606299213" bottom="0.74803149606299213" header="0.31496062992125984" footer="0.31496062992125984"/>
  <pageSetup scale="39" fitToHeight="9" orientation="landscape" verticalDpi="1200" r:id="rId1"/>
  <rowBreaks count="8" manualBreakCount="8">
    <brk id="66" max="16383" man="1"/>
    <brk id="114" max="16383" man="1"/>
    <brk id="166" max="16383" man="1"/>
    <brk id="219" max="16383" man="1"/>
    <brk id="271" max="16383" man="1"/>
    <brk id="325" max="16383" man="1"/>
    <brk id="379" max="16383" man="1"/>
    <brk id="4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1361" r:id="rId4" name="Check Box 1">
              <controlPr defaultSize="0" autoFill="0" autoLine="0" autoPict="0">
                <anchor moveWithCells="1">
                  <from>
                    <xdr:col>1</xdr:col>
                    <xdr:colOff>371475</xdr:colOff>
                    <xdr:row>14</xdr:row>
                    <xdr:rowOff>285750</xdr:rowOff>
                  </from>
                  <to>
                    <xdr:col>1</xdr:col>
                    <xdr:colOff>638175</xdr:colOff>
                    <xdr:row>14</xdr:row>
                    <xdr:rowOff>400050</xdr:rowOff>
                  </to>
                </anchor>
              </controlPr>
            </control>
          </mc:Choice>
        </mc:AlternateContent>
        <mc:AlternateContent xmlns:mc="http://schemas.openxmlformats.org/markup-compatibility/2006">
          <mc:Choice Requires="x14">
            <control shapeId="271362" r:id="rId5" name="Check Box 2">
              <controlPr defaultSize="0" autoFill="0" autoLine="0" autoPict="0">
                <anchor moveWithCells="1">
                  <from>
                    <xdr:col>1</xdr:col>
                    <xdr:colOff>323850</xdr:colOff>
                    <xdr:row>16</xdr:row>
                    <xdr:rowOff>257175</xdr:rowOff>
                  </from>
                  <to>
                    <xdr:col>1</xdr:col>
                    <xdr:colOff>590550</xdr:colOff>
                    <xdr:row>16</xdr:row>
                    <xdr:rowOff>400050</xdr:rowOff>
                  </to>
                </anchor>
              </controlPr>
            </control>
          </mc:Choice>
        </mc:AlternateContent>
        <mc:AlternateContent xmlns:mc="http://schemas.openxmlformats.org/markup-compatibility/2006">
          <mc:Choice Requires="x14">
            <control shapeId="271363" r:id="rId6" name="Check Box 3">
              <controlPr defaultSize="0" autoFill="0" autoLine="0" autoPict="0">
                <anchor moveWithCells="1">
                  <from>
                    <xdr:col>1</xdr:col>
                    <xdr:colOff>285750</xdr:colOff>
                    <xdr:row>15</xdr:row>
                    <xdr:rowOff>257175</xdr:rowOff>
                  </from>
                  <to>
                    <xdr:col>1</xdr:col>
                    <xdr:colOff>552450</xdr:colOff>
                    <xdr:row>15</xdr:row>
                    <xdr:rowOff>371475</xdr:rowOff>
                  </to>
                </anchor>
              </controlPr>
            </control>
          </mc:Choice>
        </mc:AlternateContent>
        <mc:AlternateContent xmlns:mc="http://schemas.openxmlformats.org/markup-compatibility/2006">
          <mc:Choice Requires="x14">
            <control shapeId="271364" r:id="rId7" name="Check Box 4">
              <controlPr defaultSize="0" autoFill="0" autoLine="0" autoPict="0">
                <anchor moveWithCells="1">
                  <from>
                    <xdr:col>1</xdr:col>
                    <xdr:colOff>323850</xdr:colOff>
                    <xdr:row>17</xdr:row>
                    <xdr:rowOff>257175</xdr:rowOff>
                  </from>
                  <to>
                    <xdr:col>1</xdr:col>
                    <xdr:colOff>590550</xdr:colOff>
                    <xdr:row>17</xdr:row>
                    <xdr:rowOff>400050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tabColor rgb="FF00B0F0"/>
    <pageSetUpPr fitToPage="1"/>
  </sheetPr>
  <dimension ref="A1:O77"/>
  <sheetViews>
    <sheetView showGridLines="0" zoomScale="90" zoomScaleNormal="90" workbookViewId="0">
      <selection activeCell="H39" sqref="H39"/>
    </sheetView>
  </sheetViews>
  <sheetFormatPr defaultRowHeight="12.75" x14ac:dyDescent="0.2"/>
  <cols>
    <col min="1" max="1" width="35.7109375" style="34" customWidth="1"/>
    <col min="2" max="2" width="15.5703125" style="34" customWidth="1"/>
    <col min="3" max="3" width="15" style="34" customWidth="1"/>
    <col min="4" max="4" width="14.7109375" style="34" customWidth="1"/>
    <col min="5" max="5" width="16.7109375" style="34" customWidth="1"/>
    <col min="6" max="10" width="15.7109375" style="34" customWidth="1"/>
    <col min="11" max="11" width="13.5703125" style="34" customWidth="1"/>
    <col min="12" max="12" width="19.140625" style="34" customWidth="1"/>
    <col min="13" max="13" width="18.5703125" style="34" bestFit="1" customWidth="1"/>
    <col min="14" max="14" width="13.7109375" style="34" customWidth="1"/>
    <col min="15" max="15" width="54.5703125" style="34" bestFit="1" customWidth="1"/>
    <col min="16" max="254" width="9.28515625" style="34"/>
    <col min="255" max="255" width="2.7109375" style="34" customWidth="1"/>
    <col min="256" max="256" width="5" style="34" customWidth="1"/>
    <col min="257" max="257" width="62" style="34" customWidth="1"/>
    <col min="258" max="258" width="12.7109375" style="34" bestFit="1" customWidth="1"/>
    <col min="259" max="259" width="1.7109375" style="34" customWidth="1"/>
    <col min="260" max="262" width="15.7109375" style="34" customWidth="1"/>
    <col min="263" max="263" width="17.7109375" style="34" bestFit="1" customWidth="1"/>
    <col min="264" max="264" width="18.5703125" style="34" bestFit="1" customWidth="1"/>
    <col min="265" max="267" width="15.7109375" style="34" customWidth="1"/>
    <col min="268" max="268" width="20" style="34" customWidth="1"/>
    <col min="269" max="269" width="18.5703125" style="34" bestFit="1" customWidth="1"/>
    <col min="270" max="270" width="13.7109375" style="34" customWidth="1"/>
    <col min="271" max="271" width="54.5703125" style="34" bestFit="1" customWidth="1"/>
    <col min="272" max="510" width="9.28515625" style="34"/>
    <col min="511" max="511" width="2.7109375" style="34" customWidth="1"/>
    <col min="512" max="512" width="5" style="34" customWidth="1"/>
    <col min="513" max="513" width="62" style="34" customWidth="1"/>
    <col min="514" max="514" width="12.7109375" style="34" bestFit="1" customWidth="1"/>
    <col min="515" max="515" width="1.7109375" style="34" customWidth="1"/>
    <col min="516" max="518" width="15.7109375" style="34" customWidth="1"/>
    <col min="519" max="519" width="17.7109375" style="34" bestFit="1" customWidth="1"/>
    <col min="520" max="520" width="18.5703125" style="34" bestFit="1" customWidth="1"/>
    <col min="521" max="523" width="15.7109375" style="34" customWidth="1"/>
    <col min="524" max="524" width="20" style="34" customWidth="1"/>
    <col min="525" max="525" width="18.5703125" style="34" bestFit="1" customWidth="1"/>
    <col min="526" max="526" width="13.7109375" style="34" customWidth="1"/>
    <col min="527" max="527" width="54.5703125" style="34" bestFit="1" customWidth="1"/>
    <col min="528" max="766" width="9.28515625" style="34"/>
    <col min="767" max="767" width="2.7109375" style="34" customWidth="1"/>
    <col min="768" max="768" width="5" style="34" customWidth="1"/>
    <col min="769" max="769" width="62" style="34" customWidth="1"/>
    <col min="770" max="770" width="12.7109375" style="34" bestFit="1" customWidth="1"/>
    <col min="771" max="771" width="1.7109375" style="34" customWidth="1"/>
    <col min="772" max="774" width="15.7109375" style="34" customWidth="1"/>
    <col min="775" max="775" width="17.7109375" style="34" bestFit="1" customWidth="1"/>
    <col min="776" max="776" width="18.5703125" style="34" bestFit="1" customWidth="1"/>
    <col min="777" max="779" width="15.7109375" style="34" customWidth="1"/>
    <col min="780" max="780" width="20" style="34" customWidth="1"/>
    <col min="781" max="781" width="18.5703125" style="34" bestFit="1" customWidth="1"/>
    <col min="782" max="782" width="13.7109375" style="34" customWidth="1"/>
    <col min="783" max="783" width="54.5703125" style="34" bestFit="1" customWidth="1"/>
    <col min="784" max="1022" width="9.28515625" style="34"/>
    <col min="1023" max="1023" width="2.7109375" style="34" customWidth="1"/>
    <col min="1024" max="1024" width="5" style="34" customWidth="1"/>
    <col min="1025" max="1025" width="62" style="34" customWidth="1"/>
    <col min="1026" max="1026" width="12.7109375" style="34" bestFit="1" customWidth="1"/>
    <col min="1027" max="1027" width="1.7109375" style="34" customWidth="1"/>
    <col min="1028" max="1030" width="15.7109375" style="34" customWidth="1"/>
    <col min="1031" max="1031" width="17.7109375" style="34" bestFit="1" customWidth="1"/>
    <col min="1032" max="1032" width="18.5703125" style="34" bestFit="1" customWidth="1"/>
    <col min="1033" max="1035" width="15.7109375" style="34" customWidth="1"/>
    <col min="1036" max="1036" width="20" style="34" customWidth="1"/>
    <col min="1037" max="1037" width="18.5703125" style="34" bestFit="1" customWidth="1"/>
    <col min="1038" max="1038" width="13.7109375" style="34" customWidth="1"/>
    <col min="1039" max="1039" width="54.5703125" style="34" bestFit="1" customWidth="1"/>
    <col min="1040" max="1278" width="9.28515625" style="34"/>
    <col min="1279" max="1279" width="2.7109375" style="34" customWidth="1"/>
    <col min="1280" max="1280" width="5" style="34" customWidth="1"/>
    <col min="1281" max="1281" width="62" style="34" customWidth="1"/>
    <col min="1282" max="1282" width="12.7109375" style="34" bestFit="1" customWidth="1"/>
    <col min="1283" max="1283" width="1.7109375" style="34" customWidth="1"/>
    <col min="1284" max="1286" width="15.7109375" style="34" customWidth="1"/>
    <col min="1287" max="1287" width="17.7109375" style="34" bestFit="1" customWidth="1"/>
    <col min="1288" max="1288" width="18.5703125" style="34" bestFit="1" customWidth="1"/>
    <col min="1289" max="1291" width="15.7109375" style="34" customWidth="1"/>
    <col min="1292" max="1292" width="20" style="34" customWidth="1"/>
    <col min="1293" max="1293" width="18.5703125" style="34" bestFit="1" customWidth="1"/>
    <col min="1294" max="1294" width="13.7109375" style="34" customWidth="1"/>
    <col min="1295" max="1295" width="54.5703125" style="34" bestFit="1" customWidth="1"/>
    <col min="1296" max="1534" width="9.28515625" style="34"/>
    <col min="1535" max="1535" width="2.7109375" style="34" customWidth="1"/>
    <col min="1536" max="1536" width="5" style="34" customWidth="1"/>
    <col min="1537" max="1537" width="62" style="34" customWidth="1"/>
    <col min="1538" max="1538" width="12.7109375" style="34" bestFit="1" customWidth="1"/>
    <col min="1539" max="1539" width="1.7109375" style="34" customWidth="1"/>
    <col min="1540" max="1542" width="15.7109375" style="34" customWidth="1"/>
    <col min="1543" max="1543" width="17.7109375" style="34" bestFit="1" customWidth="1"/>
    <col min="1544" max="1544" width="18.5703125" style="34" bestFit="1" customWidth="1"/>
    <col min="1545" max="1547" width="15.7109375" style="34" customWidth="1"/>
    <col min="1548" max="1548" width="20" style="34" customWidth="1"/>
    <col min="1549" max="1549" width="18.5703125" style="34" bestFit="1" customWidth="1"/>
    <col min="1550" max="1550" width="13.7109375" style="34" customWidth="1"/>
    <col min="1551" max="1551" width="54.5703125" style="34" bestFit="1" customWidth="1"/>
    <col min="1552" max="1790" width="9.28515625" style="34"/>
    <col min="1791" max="1791" width="2.7109375" style="34" customWidth="1"/>
    <col min="1792" max="1792" width="5" style="34" customWidth="1"/>
    <col min="1793" max="1793" width="62" style="34" customWidth="1"/>
    <col min="1794" max="1794" width="12.7109375" style="34" bestFit="1" customWidth="1"/>
    <col min="1795" max="1795" width="1.7109375" style="34" customWidth="1"/>
    <col min="1796" max="1798" width="15.7109375" style="34" customWidth="1"/>
    <col min="1799" max="1799" width="17.7109375" style="34" bestFit="1" customWidth="1"/>
    <col min="1800" max="1800" width="18.5703125" style="34" bestFit="1" customWidth="1"/>
    <col min="1801" max="1803" width="15.7109375" style="34" customWidth="1"/>
    <col min="1804" max="1804" width="20" style="34" customWidth="1"/>
    <col min="1805" max="1805" width="18.5703125" style="34" bestFit="1" customWidth="1"/>
    <col min="1806" max="1806" width="13.7109375" style="34" customWidth="1"/>
    <col min="1807" max="1807" width="54.5703125" style="34" bestFit="1" customWidth="1"/>
    <col min="1808" max="2046" width="9.28515625" style="34"/>
    <col min="2047" max="2047" width="2.7109375" style="34" customWidth="1"/>
    <col min="2048" max="2048" width="5" style="34" customWidth="1"/>
    <col min="2049" max="2049" width="62" style="34" customWidth="1"/>
    <col min="2050" max="2050" width="12.7109375" style="34" bestFit="1" customWidth="1"/>
    <col min="2051" max="2051" width="1.7109375" style="34" customWidth="1"/>
    <col min="2052" max="2054" width="15.7109375" style="34" customWidth="1"/>
    <col min="2055" max="2055" width="17.7109375" style="34" bestFit="1" customWidth="1"/>
    <col min="2056" max="2056" width="18.5703125" style="34" bestFit="1" customWidth="1"/>
    <col min="2057" max="2059" width="15.7109375" style="34" customWidth="1"/>
    <col min="2060" max="2060" width="20" style="34" customWidth="1"/>
    <col min="2061" max="2061" width="18.5703125" style="34" bestFit="1" customWidth="1"/>
    <col min="2062" max="2062" width="13.7109375" style="34" customWidth="1"/>
    <col min="2063" max="2063" width="54.5703125" style="34" bestFit="1" customWidth="1"/>
    <col min="2064" max="2302" width="9.28515625" style="34"/>
    <col min="2303" max="2303" width="2.7109375" style="34" customWidth="1"/>
    <col min="2304" max="2304" width="5" style="34" customWidth="1"/>
    <col min="2305" max="2305" width="62" style="34" customWidth="1"/>
    <col min="2306" max="2306" width="12.7109375" style="34" bestFit="1" customWidth="1"/>
    <col min="2307" max="2307" width="1.7109375" style="34" customWidth="1"/>
    <col min="2308" max="2310" width="15.7109375" style="34" customWidth="1"/>
    <col min="2311" max="2311" width="17.7109375" style="34" bestFit="1" customWidth="1"/>
    <col min="2312" max="2312" width="18.5703125" style="34" bestFit="1" customWidth="1"/>
    <col min="2313" max="2315" width="15.7109375" style="34" customWidth="1"/>
    <col min="2316" max="2316" width="20" style="34" customWidth="1"/>
    <col min="2317" max="2317" width="18.5703125" style="34" bestFit="1" customWidth="1"/>
    <col min="2318" max="2318" width="13.7109375" style="34" customWidth="1"/>
    <col min="2319" max="2319" width="54.5703125" style="34" bestFit="1" customWidth="1"/>
    <col min="2320" max="2558" width="9.28515625" style="34"/>
    <col min="2559" max="2559" width="2.7109375" style="34" customWidth="1"/>
    <col min="2560" max="2560" width="5" style="34" customWidth="1"/>
    <col min="2561" max="2561" width="62" style="34" customWidth="1"/>
    <col min="2562" max="2562" width="12.7109375" style="34" bestFit="1" customWidth="1"/>
    <col min="2563" max="2563" width="1.7109375" style="34" customWidth="1"/>
    <col min="2564" max="2566" width="15.7109375" style="34" customWidth="1"/>
    <col min="2567" max="2567" width="17.7109375" style="34" bestFit="1" customWidth="1"/>
    <col min="2568" max="2568" width="18.5703125" style="34" bestFit="1" customWidth="1"/>
    <col min="2569" max="2571" width="15.7109375" style="34" customWidth="1"/>
    <col min="2572" max="2572" width="20" style="34" customWidth="1"/>
    <col min="2573" max="2573" width="18.5703125" style="34" bestFit="1" customWidth="1"/>
    <col min="2574" max="2574" width="13.7109375" style="34" customWidth="1"/>
    <col min="2575" max="2575" width="54.5703125" style="34" bestFit="1" customWidth="1"/>
    <col min="2576" max="2814" width="9.28515625" style="34"/>
    <col min="2815" max="2815" width="2.7109375" style="34" customWidth="1"/>
    <col min="2816" max="2816" width="5" style="34" customWidth="1"/>
    <col min="2817" max="2817" width="62" style="34" customWidth="1"/>
    <col min="2818" max="2818" width="12.7109375" style="34" bestFit="1" customWidth="1"/>
    <col min="2819" max="2819" width="1.7109375" style="34" customWidth="1"/>
    <col min="2820" max="2822" width="15.7109375" style="34" customWidth="1"/>
    <col min="2823" max="2823" width="17.7109375" style="34" bestFit="1" customWidth="1"/>
    <col min="2824" max="2824" width="18.5703125" style="34" bestFit="1" customWidth="1"/>
    <col min="2825" max="2827" width="15.7109375" style="34" customWidth="1"/>
    <col min="2828" max="2828" width="20" style="34" customWidth="1"/>
    <col min="2829" max="2829" width="18.5703125" style="34" bestFit="1" customWidth="1"/>
    <col min="2830" max="2830" width="13.7109375" style="34" customWidth="1"/>
    <col min="2831" max="2831" width="54.5703125" style="34" bestFit="1" customWidth="1"/>
    <col min="2832" max="3070" width="9.28515625" style="34"/>
    <col min="3071" max="3071" width="2.7109375" style="34" customWidth="1"/>
    <col min="3072" max="3072" width="5" style="34" customWidth="1"/>
    <col min="3073" max="3073" width="62" style="34" customWidth="1"/>
    <col min="3074" max="3074" width="12.7109375" style="34" bestFit="1" customWidth="1"/>
    <col min="3075" max="3075" width="1.7109375" style="34" customWidth="1"/>
    <col min="3076" max="3078" width="15.7109375" style="34" customWidth="1"/>
    <col min="3079" max="3079" width="17.7109375" style="34" bestFit="1" customWidth="1"/>
    <col min="3080" max="3080" width="18.5703125" style="34" bestFit="1" customWidth="1"/>
    <col min="3081" max="3083" width="15.7109375" style="34" customWidth="1"/>
    <col min="3084" max="3084" width="20" style="34" customWidth="1"/>
    <col min="3085" max="3085" width="18.5703125" style="34" bestFit="1" customWidth="1"/>
    <col min="3086" max="3086" width="13.7109375" style="34" customWidth="1"/>
    <col min="3087" max="3087" width="54.5703125" style="34" bestFit="1" customWidth="1"/>
    <col min="3088" max="3326" width="9.28515625" style="34"/>
    <col min="3327" max="3327" width="2.7109375" style="34" customWidth="1"/>
    <col min="3328" max="3328" width="5" style="34" customWidth="1"/>
    <col min="3329" max="3329" width="62" style="34" customWidth="1"/>
    <col min="3330" max="3330" width="12.7109375" style="34" bestFit="1" customWidth="1"/>
    <col min="3331" max="3331" width="1.7109375" style="34" customWidth="1"/>
    <col min="3332" max="3334" width="15.7109375" style="34" customWidth="1"/>
    <col min="3335" max="3335" width="17.7109375" style="34" bestFit="1" customWidth="1"/>
    <col min="3336" max="3336" width="18.5703125" style="34" bestFit="1" customWidth="1"/>
    <col min="3337" max="3339" width="15.7109375" style="34" customWidth="1"/>
    <col min="3340" max="3340" width="20" style="34" customWidth="1"/>
    <col min="3341" max="3341" width="18.5703125" style="34" bestFit="1" customWidth="1"/>
    <col min="3342" max="3342" width="13.7109375" style="34" customWidth="1"/>
    <col min="3343" max="3343" width="54.5703125" style="34" bestFit="1" customWidth="1"/>
    <col min="3344" max="3582" width="9.28515625" style="34"/>
    <col min="3583" max="3583" width="2.7109375" style="34" customWidth="1"/>
    <col min="3584" max="3584" width="5" style="34" customWidth="1"/>
    <col min="3585" max="3585" width="62" style="34" customWidth="1"/>
    <col min="3586" max="3586" width="12.7109375" style="34" bestFit="1" customWidth="1"/>
    <col min="3587" max="3587" width="1.7109375" style="34" customWidth="1"/>
    <col min="3588" max="3590" width="15.7109375" style="34" customWidth="1"/>
    <col min="3591" max="3591" width="17.7109375" style="34" bestFit="1" customWidth="1"/>
    <col min="3592" max="3592" width="18.5703125" style="34" bestFit="1" customWidth="1"/>
    <col min="3593" max="3595" width="15.7109375" style="34" customWidth="1"/>
    <col min="3596" max="3596" width="20" style="34" customWidth="1"/>
    <col min="3597" max="3597" width="18.5703125" style="34" bestFit="1" customWidth="1"/>
    <col min="3598" max="3598" width="13.7109375" style="34" customWidth="1"/>
    <col min="3599" max="3599" width="54.5703125" style="34" bestFit="1" customWidth="1"/>
    <col min="3600" max="3838" width="9.28515625" style="34"/>
    <col min="3839" max="3839" width="2.7109375" style="34" customWidth="1"/>
    <col min="3840" max="3840" width="5" style="34" customWidth="1"/>
    <col min="3841" max="3841" width="62" style="34" customWidth="1"/>
    <col min="3842" max="3842" width="12.7109375" style="34" bestFit="1" customWidth="1"/>
    <col min="3843" max="3843" width="1.7109375" style="34" customWidth="1"/>
    <col min="3844" max="3846" width="15.7109375" style="34" customWidth="1"/>
    <col min="3847" max="3847" width="17.7109375" style="34" bestFit="1" customWidth="1"/>
    <col min="3848" max="3848" width="18.5703125" style="34" bestFit="1" customWidth="1"/>
    <col min="3849" max="3851" width="15.7109375" style="34" customWidth="1"/>
    <col min="3852" max="3852" width="20" style="34" customWidth="1"/>
    <col min="3853" max="3853" width="18.5703125" style="34" bestFit="1" customWidth="1"/>
    <col min="3854" max="3854" width="13.7109375" style="34" customWidth="1"/>
    <col min="3855" max="3855" width="54.5703125" style="34" bestFit="1" customWidth="1"/>
    <col min="3856" max="4094" width="9.28515625" style="34"/>
    <col min="4095" max="4095" width="2.7109375" style="34" customWidth="1"/>
    <col min="4096" max="4096" width="5" style="34" customWidth="1"/>
    <col min="4097" max="4097" width="62" style="34" customWidth="1"/>
    <col min="4098" max="4098" width="12.7109375" style="34" bestFit="1" customWidth="1"/>
    <col min="4099" max="4099" width="1.7109375" style="34" customWidth="1"/>
    <col min="4100" max="4102" width="15.7109375" style="34" customWidth="1"/>
    <col min="4103" max="4103" width="17.7109375" style="34" bestFit="1" customWidth="1"/>
    <col min="4104" max="4104" width="18.5703125" style="34" bestFit="1" customWidth="1"/>
    <col min="4105" max="4107" width="15.7109375" style="34" customWidth="1"/>
    <col min="4108" max="4108" width="20" style="34" customWidth="1"/>
    <col min="4109" max="4109" width="18.5703125" style="34" bestFit="1" customWidth="1"/>
    <col min="4110" max="4110" width="13.7109375" style="34" customWidth="1"/>
    <col min="4111" max="4111" width="54.5703125" style="34" bestFit="1" customWidth="1"/>
    <col min="4112" max="4350" width="9.28515625" style="34"/>
    <col min="4351" max="4351" width="2.7109375" style="34" customWidth="1"/>
    <col min="4352" max="4352" width="5" style="34" customWidth="1"/>
    <col min="4353" max="4353" width="62" style="34" customWidth="1"/>
    <col min="4354" max="4354" width="12.7109375" style="34" bestFit="1" customWidth="1"/>
    <col min="4355" max="4355" width="1.7109375" style="34" customWidth="1"/>
    <col min="4356" max="4358" width="15.7109375" style="34" customWidth="1"/>
    <col min="4359" max="4359" width="17.7109375" style="34" bestFit="1" customWidth="1"/>
    <col min="4360" max="4360" width="18.5703125" style="34" bestFit="1" customWidth="1"/>
    <col min="4361" max="4363" width="15.7109375" style="34" customWidth="1"/>
    <col min="4364" max="4364" width="20" style="34" customWidth="1"/>
    <col min="4365" max="4365" width="18.5703125" style="34" bestFit="1" customWidth="1"/>
    <col min="4366" max="4366" width="13.7109375" style="34" customWidth="1"/>
    <col min="4367" max="4367" width="54.5703125" style="34" bestFit="1" customWidth="1"/>
    <col min="4368" max="4606" width="9.28515625" style="34"/>
    <col min="4607" max="4607" width="2.7109375" style="34" customWidth="1"/>
    <col min="4608" max="4608" width="5" style="34" customWidth="1"/>
    <col min="4609" max="4609" width="62" style="34" customWidth="1"/>
    <col min="4610" max="4610" width="12.7109375" style="34" bestFit="1" customWidth="1"/>
    <col min="4611" max="4611" width="1.7109375" style="34" customWidth="1"/>
    <col min="4612" max="4614" width="15.7109375" style="34" customWidth="1"/>
    <col min="4615" max="4615" width="17.7109375" style="34" bestFit="1" customWidth="1"/>
    <col min="4616" max="4616" width="18.5703125" style="34" bestFit="1" customWidth="1"/>
    <col min="4617" max="4619" width="15.7109375" style="34" customWidth="1"/>
    <col min="4620" max="4620" width="20" style="34" customWidth="1"/>
    <col min="4621" max="4621" width="18.5703125" style="34" bestFit="1" customWidth="1"/>
    <col min="4622" max="4622" width="13.7109375" style="34" customWidth="1"/>
    <col min="4623" max="4623" width="54.5703125" style="34" bestFit="1" customWidth="1"/>
    <col min="4624" max="4862" width="9.28515625" style="34"/>
    <col min="4863" max="4863" width="2.7109375" style="34" customWidth="1"/>
    <col min="4864" max="4864" width="5" style="34" customWidth="1"/>
    <col min="4865" max="4865" width="62" style="34" customWidth="1"/>
    <col min="4866" max="4866" width="12.7109375" style="34" bestFit="1" customWidth="1"/>
    <col min="4867" max="4867" width="1.7109375" style="34" customWidth="1"/>
    <col min="4868" max="4870" width="15.7109375" style="34" customWidth="1"/>
    <col min="4871" max="4871" width="17.7109375" style="34" bestFit="1" customWidth="1"/>
    <col min="4872" max="4872" width="18.5703125" style="34" bestFit="1" customWidth="1"/>
    <col min="4873" max="4875" width="15.7109375" style="34" customWidth="1"/>
    <col min="4876" max="4876" width="20" style="34" customWidth="1"/>
    <col min="4877" max="4877" width="18.5703125" style="34" bestFit="1" customWidth="1"/>
    <col min="4878" max="4878" width="13.7109375" style="34" customWidth="1"/>
    <col min="4879" max="4879" width="54.5703125" style="34" bestFit="1" customWidth="1"/>
    <col min="4880" max="5118" width="9.28515625" style="34"/>
    <col min="5119" max="5119" width="2.7109375" style="34" customWidth="1"/>
    <col min="5120" max="5120" width="5" style="34" customWidth="1"/>
    <col min="5121" max="5121" width="62" style="34" customWidth="1"/>
    <col min="5122" max="5122" width="12.7109375" style="34" bestFit="1" customWidth="1"/>
    <col min="5123" max="5123" width="1.7109375" style="34" customWidth="1"/>
    <col min="5124" max="5126" width="15.7109375" style="34" customWidth="1"/>
    <col min="5127" max="5127" width="17.7109375" style="34" bestFit="1" customWidth="1"/>
    <col min="5128" max="5128" width="18.5703125" style="34" bestFit="1" customWidth="1"/>
    <col min="5129" max="5131" width="15.7109375" style="34" customWidth="1"/>
    <col min="5132" max="5132" width="20" style="34" customWidth="1"/>
    <col min="5133" max="5133" width="18.5703125" style="34" bestFit="1" customWidth="1"/>
    <col min="5134" max="5134" width="13.7109375" style="34" customWidth="1"/>
    <col min="5135" max="5135" width="54.5703125" style="34" bestFit="1" customWidth="1"/>
    <col min="5136" max="5374" width="9.28515625" style="34"/>
    <col min="5375" max="5375" width="2.7109375" style="34" customWidth="1"/>
    <col min="5376" max="5376" width="5" style="34" customWidth="1"/>
    <col min="5377" max="5377" width="62" style="34" customWidth="1"/>
    <col min="5378" max="5378" width="12.7109375" style="34" bestFit="1" customWidth="1"/>
    <col min="5379" max="5379" width="1.7109375" style="34" customWidth="1"/>
    <col min="5380" max="5382" width="15.7109375" style="34" customWidth="1"/>
    <col min="5383" max="5383" width="17.7109375" style="34" bestFit="1" customWidth="1"/>
    <col min="5384" max="5384" width="18.5703125" style="34" bestFit="1" customWidth="1"/>
    <col min="5385" max="5387" width="15.7109375" style="34" customWidth="1"/>
    <col min="5388" max="5388" width="20" style="34" customWidth="1"/>
    <col min="5389" max="5389" width="18.5703125" style="34" bestFit="1" customWidth="1"/>
    <col min="5390" max="5390" width="13.7109375" style="34" customWidth="1"/>
    <col min="5391" max="5391" width="54.5703125" style="34" bestFit="1" customWidth="1"/>
    <col min="5392" max="5630" width="9.28515625" style="34"/>
    <col min="5631" max="5631" width="2.7109375" style="34" customWidth="1"/>
    <col min="5632" max="5632" width="5" style="34" customWidth="1"/>
    <col min="5633" max="5633" width="62" style="34" customWidth="1"/>
    <col min="5634" max="5634" width="12.7109375" style="34" bestFit="1" customWidth="1"/>
    <col min="5635" max="5635" width="1.7109375" style="34" customWidth="1"/>
    <col min="5636" max="5638" width="15.7109375" style="34" customWidth="1"/>
    <col min="5639" max="5639" width="17.7109375" style="34" bestFit="1" customWidth="1"/>
    <col min="5640" max="5640" width="18.5703125" style="34" bestFit="1" customWidth="1"/>
    <col min="5641" max="5643" width="15.7109375" style="34" customWidth="1"/>
    <col min="5644" max="5644" width="20" style="34" customWidth="1"/>
    <col min="5645" max="5645" width="18.5703125" style="34" bestFit="1" customWidth="1"/>
    <col min="5646" max="5646" width="13.7109375" style="34" customWidth="1"/>
    <col min="5647" max="5647" width="54.5703125" style="34" bestFit="1" customWidth="1"/>
    <col min="5648" max="5886" width="9.28515625" style="34"/>
    <col min="5887" max="5887" width="2.7109375" style="34" customWidth="1"/>
    <col min="5888" max="5888" width="5" style="34" customWidth="1"/>
    <col min="5889" max="5889" width="62" style="34" customWidth="1"/>
    <col min="5890" max="5890" width="12.7109375" style="34" bestFit="1" customWidth="1"/>
    <col min="5891" max="5891" width="1.7109375" style="34" customWidth="1"/>
    <col min="5892" max="5894" width="15.7109375" style="34" customWidth="1"/>
    <col min="5895" max="5895" width="17.7109375" style="34" bestFit="1" customWidth="1"/>
    <col min="5896" max="5896" width="18.5703125" style="34" bestFit="1" customWidth="1"/>
    <col min="5897" max="5899" width="15.7109375" style="34" customWidth="1"/>
    <col min="5900" max="5900" width="20" style="34" customWidth="1"/>
    <col min="5901" max="5901" width="18.5703125" style="34" bestFit="1" customWidth="1"/>
    <col min="5902" max="5902" width="13.7109375" style="34" customWidth="1"/>
    <col min="5903" max="5903" width="54.5703125" style="34" bestFit="1" customWidth="1"/>
    <col min="5904" max="6142" width="9.28515625" style="34"/>
    <col min="6143" max="6143" width="2.7109375" style="34" customWidth="1"/>
    <col min="6144" max="6144" width="5" style="34" customWidth="1"/>
    <col min="6145" max="6145" width="62" style="34" customWidth="1"/>
    <col min="6146" max="6146" width="12.7109375" style="34" bestFit="1" customWidth="1"/>
    <col min="6147" max="6147" width="1.7109375" style="34" customWidth="1"/>
    <col min="6148" max="6150" width="15.7109375" style="34" customWidth="1"/>
    <col min="6151" max="6151" width="17.7109375" style="34" bestFit="1" customWidth="1"/>
    <col min="6152" max="6152" width="18.5703125" style="34" bestFit="1" customWidth="1"/>
    <col min="6153" max="6155" width="15.7109375" style="34" customWidth="1"/>
    <col min="6156" max="6156" width="20" style="34" customWidth="1"/>
    <col min="6157" max="6157" width="18.5703125" style="34" bestFit="1" customWidth="1"/>
    <col min="6158" max="6158" width="13.7109375" style="34" customWidth="1"/>
    <col min="6159" max="6159" width="54.5703125" style="34" bestFit="1" customWidth="1"/>
    <col min="6160" max="6398" width="9.28515625" style="34"/>
    <col min="6399" max="6399" width="2.7109375" style="34" customWidth="1"/>
    <col min="6400" max="6400" width="5" style="34" customWidth="1"/>
    <col min="6401" max="6401" width="62" style="34" customWidth="1"/>
    <col min="6402" max="6402" width="12.7109375" style="34" bestFit="1" customWidth="1"/>
    <col min="6403" max="6403" width="1.7109375" style="34" customWidth="1"/>
    <col min="6404" max="6406" width="15.7109375" style="34" customWidth="1"/>
    <col min="6407" max="6407" width="17.7109375" style="34" bestFit="1" customWidth="1"/>
    <col min="6408" max="6408" width="18.5703125" style="34" bestFit="1" customWidth="1"/>
    <col min="6409" max="6411" width="15.7109375" style="34" customWidth="1"/>
    <col min="6412" max="6412" width="20" style="34" customWidth="1"/>
    <col min="6413" max="6413" width="18.5703125" style="34" bestFit="1" customWidth="1"/>
    <col min="6414" max="6414" width="13.7109375" style="34" customWidth="1"/>
    <col min="6415" max="6415" width="54.5703125" style="34" bestFit="1" customWidth="1"/>
    <col min="6416" max="6654" width="9.28515625" style="34"/>
    <col min="6655" max="6655" width="2.7109375" style="34" customWidth="1"/>
    <col min="6656" max="6656" width="5" style="34" customWidth="1"/>
    <col min="6657" max="6657" width="62" style="34" customWidth="1"/>
    <col min="6658" max="6658" width="12.7109375" style="34" bestFit="1" customWidth="1"/>
    <col min="6659" max="6659" width="1.7109375" style="34" customWidth="1"/>
    <col min="6660" max="6662" width="15.7109375" style="34" customWidth="1"/>
    <col min="6663" max="6663" width="17.7109375" style="34" bestFit="1" customWidth="1"/>
    <col min="6664" max="6664" width="18.5703125" style="34" bestFit="1" customWidth="1"/>
    <col min="6665" max="6667" width="15.7109375" style="34" customWidth="1"/>
    <col min="6668" max="6668" width="20" style="34" customWidth="1"/>
    <col min="6669" max="6669" width="18.5703125" style="34" bestFit="1" customWidth="1"/>
    <col min="6670" max="6670" width="13.7109375" style="34" customWidth="1"/>
    <col min="6671" max="6671" width="54.5703125" style="34" bestFit="1" customWidth="1"/>
    <col min="6672" max="6910" width="9.28515625" style="34"/>
    <col min="6911" max="6911" width="2.7109375" style="34" customWidth="1"/>
    <col min="6912" max="6912" width="5" style="34" customWidth="1"/>
    <col min="6913" max="6913" width="62" style="34" customWidth="1"/>
    <col min="6914" max="6914" width="12.7109375" style="34" bestFit="1" customWidth="1"/>
    <col min="6915" max="6915" width="1.7109375" style="34" customWidth="1"/>
    <col min="6916" max="6918" width="15.7109375" style="34" customWidth="1"/>
    <col min="6919" max="6919" width="17.7109375" style="34" bestFit="1" customWidth="1"/>
    <col min="6920" max="6920" width="18.5703125" style="34" bestFit="1" customWidth="1"/>
    <col min="6921" max="6923" width="15.7109375" style="34" customWidth="1"/>
    <col min="6924" max="6924" width="20" style="34" customWidth="1"/>
    <col min="6925" max="6925" width="18.5703125" style="34" bestFit="1" customWidth="1"/>
    <col min="6926" max="6926" width="13.7109375" style="34" customWidth="1"/>
    <col min="6927" max="6927" width="54.5703125" style="34" bestFit="1" customWidth="1"/>
    <col min="6928" max="7166" width="9.28515625" style="34"/>
    <col min="7167" max="7167" width="2.7109375" style="34" customWidth="1"/>
    <col min="7168" max="7168" width="5" style="34" customWidth="1"/>
    <col min="7169" max="7169" width="62" style="34" customWidth="1"/>
    <col min="7170" max="7170" width="12.7109375" style="34" bestFit="1" customWidth="1"/>
    <col min="7171" max="7171" width="1.7109375" style="34" customWidth="1"/>
    <col min="7172" max="7174" width="15.7109375" style="34" customWidth="1"/>
    <col min="7175" max="7175" width="17.7109375" style="34" bestFit="1" customWidth="1"/>
    <col min="7176" max="7176" width="18.5703125" style="34" bestFit="1" customWidth="1"/>
    <col min="7177" max="7179" width="15.7109375" style="34" customWidth="1"/>
    <col min="7180" max="7180" width="20" style="34" customWidth="1"/>
    <col min="7181" max="7181" width="18.5703125" style="34" bestFit="1" customWidth="1"/>
    <col min="7182" max="7182" width="13.7109375" style="34" customWidth="1"/>
    <col min="7183" max="7183" width="54.5703125" style="34" bestFit="1" customWidth="1"/>
    <col min="7184" max="7422" width="9.28515625" style="34"/>
    <col min="7423" max="7423" width="2.7109375" style="34" customWidth="1"/>
    <col min="7424" max="7424" width="5" style="34" customWidth="1"/>
    <col min="7425" max="7425" width="62" style="34" customWidth="1"/>
    <col min="7426" max="7426" width="12.7109375" style="34" bestFit="1" customWidth="1"/>
    <col min="7427" max="7427" width="1.7109375" style="34" customWidth="1"/>
    <col min="7428" max="7430" width="15.7109375" style="34" customWidth="1"/>
    <col min="7431" max="7431" width="17.7109375" style="34" bestFit="1" customWidth="1"/>
    <col min="7432" max="7432" width="18.5703125" style="34" bestFit="1" customWidth="1"/>
    <col min="7433" max="7435" width="15.7109375" style="34" customWidth="1"/>
    <col min="7436" max="7436" width="20" style="34" customWidth="1"/>
    <col min="7437" max="7437" width="18.5703125" style="34" bestFit="1" customWidth="1"/>
    <col min="7438" max="7438" width="13.7109375" style="34" customWidth="1"/>
    <col min="7439" max="7439" width="54.5703125" style="34" bestFit="1" customWidth="1"/>
    <col min="7440" max="7678" width="9.28515625" style="34"/>
    <col min="7679" max="7679" width="2.7109375" style="34" customWidth="1"/>
    <col min="7680" max="7680" width="5" style="34" customWidth="1"/>
    <col min="7681" max="7681" width="62" style="34" customWidth="1"/>
    <col min="7682" max="7682" width="12.7109375" style="34" bestFit="1" customWidth="1"/>
    <col min="7683" max="7683" width="1.7109375" style="34" customWidth="1"/>
    <col min="7684" max="7686" width="15.7109375" style="34" customWidth="1"/>
    <col min="7687" max="7687" width="17.7109375" style="34" bestFit="1" customWidth="1"/>
    <col min="7688" max="7688" width="18.5703125" style="34" bestFit="1" customWidth="1"/>
    <col min="7689" max="7691" width="15.7109375" style="34" customWidth="1"/>
    <col min="7692" max="7692" width="20" style="34" customWidth="1"/>
    <col min="7693" max="7693" width="18.5703125" style="34" bestFit="1" customWidth="1"/>
    <col min="7694" max="7694" width="13.7109375" style="34" customWidth="1"/>
    <col min="7695" max="7695" width="54.5703125" style="34" bestFit="1" customWidth="1"/>
    <col min="7696" max="7934" width="9.28515625" style="34"/>
    <col min="7935" max="7935" width="2.7109375" style="34" customWidth="1"/>
    <col min="7936" max="7936" width="5" style="34" customWidth="1"/>
    <col min="7937" max="7937" width="62" style="34" customWidth="1"/>
    <col min="7938" max="7938" width="12.7109375" style="34" bestFit="1" customWidth="1"/>
    <col min="7939" max="7939" width="1.7109375" style="34" customWidth="1"/>
    <col min="7940" max="7942" width="15.7109375" style="34" customWidth="1"/>
    <col min="7943" max="7943" width="17.7109375" style="34" bestFit="1" customWidth="1"/>
    <col min="7944" max="7944" width="18.5703125" style="34" bestFit="1" customWidth="1"/>
    <col min="7945" max="7947" width="15.7109375" style="34" customWidth="1"/>
    <col min="7948" max="7948" width="20" style="34" customWidth="1"/>
    <col min="7949" max="7949" width="18.5703125" style="34" bestFit="1" customWidth="1"/>
    <col min="7950" max="7950" width="13.7109375" style="34" customWidth="1"/>
    <col min="7951" max="7951" width="54.5703125" style="34" bestFit="1" customWidth="1"/>
    <col min="7952" max="8190" width="9.28515625" style="34"/>
    <col min="8191" max="8191" width="2.7109375" style="34" customWidth="1"/>
    <col min="8192" max="8192" width="5" style="34" customWidth="1"/>
    <col min="8193" max="8193" width="62" style="34" customWidth="1"/>
    <col min="8194" max="8194" width="12.7109375" style="34" bestFit="1" customWidth="1"/>
    <col min="8195" max="8195" width="1.7109375" style="34" customWidth="1"/>
    <col min="8196" max="8198" width="15.7109375" style="34" customWidth="1"/>
    <col min="8199" max="8199" width="17.7109375" style="34" bestFit="1" customWidth="1"/>
    <col min="8200" max="8200" width="18.5703125" style="34" bestFit="1" customWidth="1"/>
    <col min="8201" max="8203" width="15.7109375" style="34" customWidth="1"/>
    <col min="8204" max="8204" width="20" style="34" customWidth="1"/>
    <col min="8205" max="8205" width="18.5703125" style="34" bestFit="1" customWidth="1"/>
    <col min="8206" max="8206" width="13.7109375" style="34" customWidth="1"/>
    <col min="8207" max="8207" width="54.5703125" style="34" bestFit="1" customWidth="1"/>
    <col min="8208" max="8446" width="9.28515625" style="34"/>
    <col min="8447" max="8447" width="2.7109375" style="34" customWidth="1"/>
    <col min="8448" max="8448" width="5" style="34" customWidth="1"/>
    <col min="8449" max="8449" width="62" style="34" customWidth="1"/>
    <col min="8450" max="8450" width="12.7109375" style="34" bestFit="1" customWidth="1"/>
    <col min="8451" max="8451" width="1.7109375" style="34" customWidth="1"/>
    <col min="8452" max="8454" width="15.7109375" style="34" customWidth="1"/>
    <col min="8455" max="8455" width="17.7109375" style="34" bestFit="1" customWidth="1"/>
    <col min="8456" max="8456" width="18.5703125" style="34" bestFit="1" customWidth="1"/>
    <col min="8457" max="8459" width="15.7109375" style="34" customWidth="1"/>
    <col min="8460" max="8460" width="20" style="34" customWidth="1"/>
    <col min="8461" max="8461" width="18.5703125" style="34" bestFit="1" customWidth="1"/>
    <col min="8462" max="8462" width="13.7109375" style="34" customWidth="1"/>
    <col min="8463" max="8463" width="54.5703125" style="34" bestFit="1" customWidth="1"/>
    <col min="8464" max="8702" width="9.28515625" style="34"/>
    <col min="8703" max="8703" width="2.7109375" style="34" customWidth="1"/>
    <col min="8704" max="8704" width="5" style="34" customWidth="1"/>
    <col min="8705" max="8705" width="62" style="34" customWidth="1"/>
    <col min="8706" max="8706" width="12.7109375" style="34" bestFit="1" customWidth="1"/>
    <col min="8707" max="8707" width="1.7109375" style="34" customWidth="1"/>
    <col min="8708" max="8710" width="15.7109375" style="34" customWidth="1"/>
    <col min="8711" max="8711" width="17.7109375" style="34" bestFit="1" customWidth="1"/>
    <col min="8712" max="8712" width="18.5703125" style="34" bestFit="1" customWidth="1"/>
    <col min="8713" max="8715" width="15.7109375" style="34" customWidth="1"/>
    <col min="8716" max="8716" width="20" style="34" customWidth="1"/>
    <col min="8717" max="8717" width="18.5703125" style="34" bestFit="1" customWidth="1"/>
    <col min="8718" max="8718" width="13.7109375" style="34" customWidth="1"/>
    <col min="8719" max="8719" width="54.5703125" style="34" bestFit="1" customWidth="1"/>
    <col min="8720" max="8958" width="9.28515625" style="34"/>
    <col min="8959" max="8959" width="2.7109375" style="34" customWidth="1"/>
    <col min="8960" max="8960" width="5" style="34" customWidth="1"/>
    <col min="8961" max="8961" width="62" style="34" customWidth="1"/>
    <col min="8962" max="8962" width="12.7109375" style="34" bestFit="1" customWidth="1"/>
    <col min="8963" max="8963" width="1.7109375" style="34" customWidth="1"/>
    <col min="8964" max="8966" width="15.7109375" style="34" customWidth="1"/>
    <col min="8967" max="8967" width="17.7109375" style="34" bestFit="1" customWidth="1"/>
    <col min="8968" max="8968" width="18.5703125" style="34" bestFit="1" customWidth="1"/>
    <col min="8969" max="8971" width="15.7109375" style="34" customWidth="1"/>
    <col min="8972" max="8972" width="20" style="34" customWidth="1"/>
    <col min="8973" max="8973" width="18.5703125" style="34" bestFit="1" customWidth="1"/>
    <col min="8974" max="8974" width="13.7109375" style="34" customWidth="1"/>
    <col min="8975" max="8975" width="54.5703125" style="34" bestFit="1" customWidth="1"/>
    <col min="8976" max="9214" width="9.28515625" style="34"/>
    <col min="9215" max="9215" width="2.7109375" style="34" customWidth="1"/>
    <col min="9216" max="9216" width="5" style="34" customWidth="1"/>
    <col min="9217" max="9217" width="62" style="34" customWidth="1"/>
    <col min="9218" max="9218" width="12.7109375" style="34" bestFit="1" customWidth="1"/>
    <col min="9219" max="9219" width="1.7109375" style="34" customWidth="1"/>
    <col min="9220" max="9222" width="15.7109375" style="34" customWidth="1"/>
    <col min="9223" max="9223" width="17.7109375" style="34" bestFit="1" customWidth="1"/>
    <col min="9224" max="9224" width="18.5703125" style="34" bestFit="1" customWidth="1"/>
    <col min="9225" max="9227" width="15.7109375" style="34" customWidth="1"/>
    <col min="9228" max="9228" width="20" style="34" customWidth="1"/>
    <col min="9229" max="9229" width="18.5703125" style="34" bestFit="1" customWidth="1"/>
    <col min="9230" max="9230" width="13.7109375" style="34" customWidth="1"/>
    <col min="9231" max="9231" width="54.5703125" style="34" bestFit="1" customWidth="1"/>
    <col min="9232" max="9470" width="9.28515625" style="34"/>
    <col min="9471" max="9471" width="2.7109375" style="34" customWidth="1"/>
    <col min="9472" max="9472" width="5" style="34" customWidth="1"/>
    <col min="9473" max="9473" width="62" style="34" customWidth="1"/>
    <col min="9474" max="9474" width="12.7109375" style="34" bestFit="1" customWidth="1"/>
    <col min="9475" max="9475" width="1.7109375" style="34" customWidth="1"/>
    <col min="9476" max="9478" width="15.7109375" style="34" customWidth="1"/>
    <col min="9479" max="9479" width="17.7109375" style="34" bestFit="1" customWidth="1"/>
    <col min="9480" max="9480" width="18.5703125" style="34" bestFit="1" customWidth="1"/>
    <col min="9481" max="9483" width="15.7109375" style="34" customWidth="1"/>
    <col min="9484" max="9484" width="20" style="34" customWidth="1"/>
    <col min="9485" max="9485" width="18.5703125" style="34" bestFit="1" customWidth="1"/>
    <col min="9486" max="9486" width="13.7109375" style="34" customWidth="1"/>
    <col min="9487" max="9487" width="54.5703125" style="34" bestFit="1" customWidth="1"/>
    <col min="9488" max="9726" width="9.28515625" style="34"/>
    <col min="9727" max="9727" width="2.7109375" style="34" customWidth="1"/>
    <col min="9728" max="9728" width="5" style="34" customWidth="1"/>
    <col min="9729" max="9729" width="62" style="34" customWidth="1"/>
    <col min="9730" max="9730" width="12.7109375" style="34" bestFit="1" customWidth="1"/>
    <col min="9731" max="9731" width="1.7109375" style="34" customWidth="1"/>
    <col min="9732" max="9734" width="15.7109375" style="34" customWidth="1"/>
    <col min="9735" max="9735" width="17.7109375" style="34" bestFit="1" customWidth="1"/>
    <col min="9736" max="9736" width="18.5703125" style="34" bestFit="1" customWidth="1"/>
    <col min="9737" max="9739" width="15.7109375" style="34" customWidth="1"/>
    <col min="9740" max="9740" width="20" style="34" customWidth="1"/>
    <col min="9741" max="9741" width="18.5703125" style="34" bestFit="1" customWidth="1"/>
    <col min="9742" max="9742" width="13.7109375" style="34" customWidth="1"/>
    <col min="9743" max="9743" width="54.5703125" style="34" bestFit="1" customWidth="1"/>
    <col min="9744" max="9982" width="9.28515625" style="34"/>
    <col min="9983" max="9983" width="2.7109375" style="34" customWidth="1"/>
    <col min="9984" max="9984" width="5" style="34" customWidth="1"/>
    <col min="9985" max="9985" width="62" style="34" customWidth="1"/>
    <col min="9986" max="9986" width="12.7109375" style="34" bestFit="1" customWidth="1"/>
    <col min="9987" max="9987" width="1.7109375" style="34" customWidth="1"/>
    <col min="9988" max="9990" width="15.7109375" style="34" customWidth="1"/>
    <col min="9991" max="9991" width="17.7109375" style="34" bestFit="1" customWidth="1"/>
    <col min="9992" max="9992" width="18.5703125" style="34" bestFit="1" customWidth="1"/>
    <col min="9993" max="9995" width="15.7109375" style="34" customWidth="1"/>
    <col min="9996" max="9996" width="20" style="34" customWidth="1"/>
    <col min="9997" max="9997" width="18.5703125" style="34" bestFit="1" customWidth="1"/>
    <col min="9998" max="9998" width="13.7109375" style="34" customWidth="1"/>
    <col min="9999" max="9999" width="54.5703125" style="34" bestFit="1" customWidth="1"/>
    <col min="10000" max="10238" width="9.28515625" style="34"/>
    <col min="10239" max="10239" width="2.7109375" style="34" customWidth="1"/>
    <col min="10240" max="10240" width="5" style="34" customWidth="1"/>
    <col min="10241" max="10241" width="62" style="34" customWidth="1"/>
    <col min="10242" max="10242" width="12.7109375" style="34" bestFit="1" customWidth="1"/>
    <col min="10243" max="10243" width="1.7109375" style="34" customWidth="1"/>
    <col min="10244" max="10246" width="15.7109375" style="34" customWidth="1"/>
    <col min="10247" max="10247" width="17.7109375" style="34" bestFit="1" customWidth="1"/>
    <col min="10248" max="10248" width="18.5703125" style="34" bestFit="1" customWidth="1"/>
    <col min="10249" max="10251" width="15.7109375" style="34" customWidth="1"/>
    <col min="10252" max="10252" width="20" style="34" customWidth="1"/>
    <col min="10253" max="10253" width="18.5703125" style="34" bestFit="1" customWidth="1"/>
    <col min="10254" max="10254" width="13.7109375" style="34" customWidth="1"/>
    <col min="10255" max="10255" width="54.5703125" style="34" bestFit="1" customWidth="1"/>
    <col min="10256" max="10494" width="9.28515625" style="34"/>
    <col min="10495" max="10495" width="2.7109375" style="34" customWidth="1"/>
    <col min="10496" max="10496" width="5" style="34" customWidth="1"/>
    <col min="10497" max="10497" width="62" style="34" customWidth="1"/>
    <col min="10498" max="10498" width="12.7109375" style="34" bestFit="1" customWidth="1"/>
    <col min="10499" max="10499" width="1.7109375" style="34" customWidth="1"/>
    <col min="10500" max="10502" width="15.7109375" style="34" customWidth="1"/>
    <col min="10503" max="10503" width="17.7109375" style="34" bestFit="1" customWidth="1"/>
    <col min="10504" max="10504" width="18.5703125" style="34" bestFit="1" customWidth="1"/>
    <col min="10505" max="10507" width="15.7109375" style="34" customWidth="1"/>
    <col min="10508" max="10508" width="20" style="34" customWidth="1"/>
    <col min="10509" max="10509" width="18.5703125" style="34" bestFit="1" customWidth="1"/>
    <col min="10510" max="10510" width="13.7109375" style="34" customWidth="1"/>
    <col min="10511" max="10511" width="54.5703125" style="34" bestFit="1" customWidth="1"/>
    <col min="10512" max="10750" width="9.28515625" style="34"/>
    <col min="10751" max="10751" width="2.7109375" style="34" customWidth="1"/>
    <col min="10752" max="10752" width="5" style="34" customWidth="1"/>
    <col min="10753" max="10753" width="62" style="34" customWidth="1"/>
    <col min="10754" max="10754" width="12.7109375" style="34" bestFit="1" customWidth="1"/>
    <col min="10755" max="10755" width="1.7109375" style="34" customWidth="1"/>
    <col min="10756" max="10758" width="15.7109375" style="34" customWidth="1"/>
    <col min="10759" max="10759" width="17.7109375" style="34" bestFit="1" customWidth="1"/>
    <col min="10760" max="10760" width="18.5703125" style="34" bestFit="1" customWidth="1"/>
    <col min="10761" max="10763" width="15.7109375" style="34" customWidth="1"/>
    <col min="10764" max="10764" width="20" style="34" customWidth="1"/>
    <col min="10765" max="10765" width="18.5703125" style="34" bestFit="1" customWidth="1"/>
    <col min="10766" max="10766" width="13.7109375" style="34" customWidth="1"/>
    <col min="10767" max="10767" width="54.5703125" style="34" bestFit="1" customWidth="1"/>
    <col min="10768" max="11006" width="9.28515625" style="34"/>
    <col min="11007" max="11007" width="2.7109375" style="34" customWidth="1"/>
    <col min="11008" max="11008" width="5" style="34" customWidth="1"/>
    <col min="11009" max="11009" width="62" style="34" customWidth="1"/>
    <col min="11010" max="11010" width="12.7109375" style="34" bestFit="1" customWidth="1"/>
    <col min="11011" max="11011" width="1.7109375" style="34" customWidth="1"/>
    <col min="11012" max="11014" width="15.7109375" style="34" customWidth="1"/>
    <col min="11015" max="11015" width="17.7109375" style="34" bestFit="1" customWidth="1"/>
    <col min="11016" max="11016" width="18.5703125" style="34" bestFit="1" customWidth="1"/>
    <col min="11017" max="11019" width="15.7109375" style="34" customWidth="1"/>
    <col min="11020" max="11020" width="20" style="34" customWidth="1"/>
    <col min="11021" max="11021" width="18.5703125" style="34" bestFit="1" customWidth="1"/>
    <col min="11022" max="11022" width="13.7109375" style="34" customWidth="1"/>
    <col min="11023" max="11023" width="54.5703125" style="34" bestFit="1" customWidth="1"/>
    <col min="11024" max="11262" width="9.28515625" style="34"/>
    <col min="11263" max="11263" width="2.7109375" style="34" customWidth="1"/>
    <col min="11264" max="11264" width="5" style="34" customWidth="1"/>
    <col min="11265" max="11265" width="62" style="34" customWidth="1"/>
    <col min="11266" max="11266" width="12.7109375" style="34" bestFit="1" customWidth="1"/>
    <col min="11267" max="11267" width="1.7109375" style="34" customWidth="1"/>
    <col min="11268" max="11270" width="15.7109375" style="34" customWidth="1"/>
    <col min="11271" max="11271" width="17.7109375" style="34" bestFit="1" customWidth="1"/>
    <col min="11272" max="11272" width="18.5703125" style="34" bestFit="1" customWidth="1"/>
    <col min="11273" max="11275" width="15.7109375" style="34" customWidth="1"/>
    <col min="11276" max="11276" width="20" style="34" customWidth="1"/>
    <col min="11277" max="11277" width="18.5703125" style="34" bestFit="1" customWidth="1"/>
    <col min="11278" max="11278" width="13.7109375" style="34" customWidth="1"/>
    <col min="11279" max="11279" width="54.5703125" style="34" bestFit="1" customWidth="1"/>
    <col min="11280" max="11518" width="9.28515625" style="34"/>
    <col min="11519" max="11519" width="2.7109375" style="34" customWidth="1"/>
    <col min="11520" max="11520" width="5" style="34" customWidth="1"/>
    <col min="11521" max="11521" width="62" style="34" customWidth="1"/>
    <col min="11522" max="11522" width="12.7109375" style="34" bestFit="1" customWidth="1"/>
    <col min="11523" max="11523" width="1.7109375" style="34" customWidth="1"/>
    <col min="11524" max="11526" width="15.7109375" style="34" customWidth="1"/>
    <col min="11527" max="11527" width="17.7109375" style="34" bestFit="1" customWidth="1"/>
    <col min="11528" max="11528" width="18.5703125" style="34" bestFit="1" customWidth="1"/>
    <col min="11529" max="11531" width="15.7109375" style="34" customWidth="1"/>
    <col min="11532" max="11532" width="20" style="34" customWidth="1"/>
    <col min="11533" max="11533" width="18.5703125" style="34" bestFit="1" customWidth="1"/>
    <col min="11534" max="11534" width="13.7109375" style="34" customWidth="1"/>
    <col min="11535" max="11535" width="54.5703125" style="34" bestFit="1" customWidth="1"/>
    <col min="11536" max="11774" width="9.28515625" style="34"/>
    <col min="11775" max="11775" width="2.7109375" style="34" customWidth="1"/>
    <col min="11776" max="11776" width="5" style="34" customWidth="1"/>
    <col min="11777" max="11777" width="62" style="34" customWidth="1"/>
    <col min="11778" max="11778" width="12.7109375" style="34" bestFit="1" customWidth="1"/>
    <col min="11779" max="11779" width="1.7109375" style="34" customWidth="1"/>
    <col min="11780" max="11782" width="15.7109375" style="34" customWidth="1"/>
    <col min="11783" max="11783" width="17.7109375" style="34" bestFit="1" customWidth="1"/>
    <col min="11784" max="11784" width="18.5703125" style="34" bestFit="1" customWidth="1"/>
    <col min="11785" max="11787" width="15.7109375" style="34" customWidth="1"/>
    <col min="11788" max="11788" width="20" style="34" customWidth="1"/>
    <col min="11789" max="11789" width="18.5703125" style="34" bestFit="1" customWidth="1"/>
    <col min="11790" max="11790" width="13.7109375" style="34" customWidth="1"/>
    <col min="11791" max="11791" width="54.5703125" style="34" bestFit="1" customWidth="1"/>
    <col min="11792" max="12030" width="9.28515625" style="34"/>
    <col min="12031" max="12031" width="2.7109375" style="34" customWidth="1"/>
    <col min="12032" max="12032" width="5" style="34" customWidth="1"/>
    <col min="12033" max="12033" width="62" style="34" customWidth="1"/>
    <col min="12034" max="12034" width="12.7109375" style="34" bestFit="1" customWidth="1"/>
    <col min="12035" max="12035" width="1.7109375" style="34" customWidth="1"/>
    <col min="12036" max="12038" width="15.7109375" style="34" customWidth="1"/>
    <col min="12039" max="12039" width="17.7109375" style="34" bestFit="1" customWidth="1"/>
    <col min="12040" max="12040" width="18.5703125" style="34" bestFit="1" customWidth="1"/>
    <col min="12041" max="12043" width="15.7109375" style="34" customWidth="1"/>
    <col min="12044" max="12044" width="20" style="34" customWidth="1"/>
    <col min="12045" max="12045" width="18.5703125" style="34" bestFit="1" customWidth="1"/>
    <col min="12046" max="12046" width="13.7109375" style="34" customWidth="1"/>
    <col min="12047" max="12047" width="54.5703125" style="34" bestFit="1" customWidth="1"/>
    <col min="12048" max="12286" width="9.28515625" style="34"/>
    <col min="12287" max="12287" width="2.7109375" style="34" customWidth="1"/>
    <col min="12288" max="12288" width="5" style="34" customWidth="1"/>
    <col min="12289" max="12289" width="62" style="34" customWidth="1"/>
    <col min="12290" max="12290" width="12.7109375" style="34" bestFit="1" customWidth="1"/>
    <col min="12291" max="12291" width="1.7109375" style="34" customWidth="1"/>
    <col min="12292" max="12294" width="15.7109375" style="34" customWidth="1"/>
    <col min="12295" max="12295" width="17.7109375" style="34" bestFit="1" customWidth="1"/>
    <col min="12296" max="12296" width="18.5703125" style="34" bestFit="1" customWidth="1"/>
    <col min="12297" max="12299" width="15.7109375" style="34" customWidth="1"/>
    <col min="12300" max="12300" width="20" style="34" customWidth="1"/>
    <col min="12301" max="12301" width="18.5703125" style="34" bestFit="1" customWidth="1"/>
    <col min="12302" max="12302" width="13.7109375" style="34" customWidth="1"/>
    <col min="12303" max="12303" width="54.5703125" style="34" bestFit="1" customWidth="1"/>
    <col min="12304" max="12542" width="9.28515625" style="34"/>
    <col min="12543" max="12543" width="2.7109375" style="34" customWidth="1"/>
    <col min="12544" max="12544" width="5" style="34" customWidth="1"/>
    <col min="12545" max="12545" width="62" style="34" customWidth="1"/>
    <col min="12546" max="12546" width="12.7109375" style="34" bestFit="1" customWidth="1"/>
    <col min="12547" max="12547" width="1.7109375" style="34" customWidth="1"/>
    <col min="12548" max="12550" width="15.7109375" style="34" customWidth="1"/>
    <col min="12551" max="12551" width="17.7109375" style="34" bestFit="1" customWidth="1"/>
    <col min="12552" max="12552" width="18.5703125" style="34" bestFit="1" customWidth="1"/>
    <col min="12553" max="12555" width="15.7109375" style="34" customWidth="1"/>
    <col min="12556" max="12556" width="20" style="34" customWidth="1"/>
    <col min="12557" max="12557" width="18.5703125" style="34" bestFit="1" customWidth="1"/>
    <col min="12558" max="12558" width="13.7109375" style="34" customWidth="1"/>
    <col min="12559" max="12559" width="54.5703125" style="34" bestFit="1" customWidth="1"/>
    <col min="12560" max="12798" width="9.28515625" style="34"/>
    <col min="12799" max="12799" width="2.7109375" style="34" customWidth="1"/>
    <col min="12800" max="12800" width="5" style="34" customWidth="1"/>
    <col min="12801" max="12801" width="62" style="34" customWidth="1"/>
    <col min="12802" max="12802" width="12.7109375" style="34" bestFit="1" customWidth="1"/>
    <col min="12803" max="12803" width="1.7109375" style="34" customWidth="1"/>
    <col min="12804" max="12806" width="15.7109375" style="34" customWidth="1"/>
    <col min="12807" max="12807" width="17.7109375" style="34" bestFit="1" customWidth="1"/>
    <col min="12808" max="12808" width="18.5703125" style="34" bestFit="1" customWidth="1"/>
    <col min="12809" max="12811" width="15.7109375" style="34" customWidth="1"/>
    <col min="12812" max="12812" width="20" style="34" customWidth="1"/>
    <col min="12813" max="12813" width="18.5703125" style="34" bestFit="1" customWidth="1"/>
    <col min="12814" max="12814" width="13.7109375" style="34" customWidth="1"/>
    <col min="12815" max="12815" width="54.5703125" style="34" bestFit="1" customWidth="1"/>
    <col min="12816" max="13054" width="9.28515625" style="34"/>
    <col min="13055" max="13055" width="2.7109375" style="34" customWidth="1"/>
    <col min="13056" max="13056" width="5" style="34" customWidth="1"/>
    <col min="13057" max="13057" width="62" style="34" customWidth="1"/>
    <col min="13058" max="13058" width="12.7109375" style="34" bestFit="1" customWidth="1"/>
    <col min="13059" max="13059" width="1.7109375" style="34" customWidth="1"/>
    <col min="13060" max="13062" width="15.7109375" style="34" customWidth="1"/>
    <col min="13063" max="13063" width="17.7109375" style="34" bestFit="1" customWidth="1"/>
    <col min="13064" max="13064" width="18.5703125" style="34" bestFit="1" customWidth="1"/>
    <col min="13065" max="13067" width="15.7109375" style="34" customWidth="1"/>
    <col min="13068" max="13068" width="20" style="34" customWidth="1"/>
    <col min="13069" max="13069" width="18.5703125" style="34" bestFit="1" customWidth="1"/>
    <col min="13070" max="13070" width="13.7109375" style="34" customWidth="1"/>
    <col min="13071" max="13071" width="54.5703125" style="34" bestFit="1" customWidth="1"/>
    <col min="13072" max="13310" width="9.28515625" style="34"/>
    <col min="13311" max="13311" width="2.7109375" style="34" customWidth="1"/>
    <col min="13312" max="13312" width="5" style="34" customWidth="1"/>
    <col min="13313" max="13313" width="62" style="34" customWidth="1"/>
    <col min="13314" max="13314" width="12.7109375" style="34" bestFit="1" customWidth="1"/>
    <col min="13315" max="13315" width="1.7109375" style="34" customWidth="1"/>
    <col min="13316" max="13318" width="15.7109375" style="34" customWidth="1"/>
    <col min="13319" max="13319" width="17.7109375" style="34" bestFit="1" customWidth="1"/>
    <col min="13320" max="13320" width="18.5703125" style="34" bestFit="1" customWidth="1"/>
    <col min="13321" max="13323" width="15.7109375" style="34" customWidth="1"/>
    <col min="13324" max="13324" width="20" style="34" customWidth="1"/>
    <col min="13325" max="13325" width="18.5703125" style="34" bestFit="1" customWidth="1"/>
    <col min="13326" max="13326" width="13.7109375" style="34" customWidth="1"/>
    <col min="13327" max="13327" width="54.5703125" style="34" bestFit="1" customWidth="1"/>
    <col min="13328" max="13566" width="9.28515625" style="34"/>
    <col min="13567" max="13567" width="2.7109375" style="34" customWidth="1"/>
    <col min="13568" max="13568" width="5" style="34" customWidth="1"/>
    <col min="13569" max="13569" width="62" style="34" customWidth="1"/>
    <col min="13570" max="13570" width="12.7109375" style="34" bestFit="1" customWidth="1"/>
    <col min="13571" max="13571" width="1.7109375" style="34" customWidth="1"/>
    <col min="13572" max="13574" width="15.7109375" style="34" customWidth="1"/>
    <col min="13575" max="13575" width="17.7109375" style="34" bestFit="1" customWidth="1"/>
    <col min="13576" max="13576" width="18.5703125" style="34" bestFit="1" customWidth="1"/>
    <col min="13577" max="13579" width="15.7109375" style="34" customWidth="1"/>
    <col min="13580" max="13580" width="20" style="34" customWidth="1"/>
    <col min="13581" max="13581" width="18.5703125" style="34" bestFit="1" customWidth="1"/>
    <col min="13582" max="13582" width="13.7109375" style="34" customWidth="1"/>
    <col min="13583" max="13583" width="54.5703125" style="34" bestFit="1" customWidth="1"/>
    <col min="13584" max="13822" width="9.28515625" style="34"/>
    <col min="13823" max="13823" width="2.7109375" style="34" customWidth="1"/>
    <col min="13824" max="13824" width="5" style="34" customWidth="1"/>
    <col min="13825" max="13825" width="62" style="34" customWidth="1"/>
    <col min="13826" max="13826" width="12.7109375" style="34" bestFit="1" customWidth="1"/>
    <col min="13827" max="13827" width="1.7109375" style="34" customWidth="1"/>
    <col min="13828" max="13830" width="15.7109375" style="34" customWidth="1"/>
    <col min="13831" max="13831" width="17.7109375" style="34" bestFit="1" customWidth="1"/>
    <col min="13832" max="13832" width="18.5703125" style="34" bestFit="1" customWidth="1"/>
    <col min="13833" max="13835" width="15.7109375" style="34" customWidth="1"/>
    <col min="13836" max="13836" width="20" style="34" customWidth="1"/>
    <col min="13837" max="13837" width="18.5703125" style="34" bestFit="1" customWidth="1"/>
    <col min="13838" max="13838" width="13.7109375" style="34" customWidth="1"/>
    <col min="13839" max="13839" width="54.5703125" style="34" bestFit="1" customWidth="1"/>
    <col min="13840" max="14078" width="9.28515625" style="34"/>
    <col min="14079" max="14079" width="2.7109375" style="34" customWidth="1"/>
    <col min="14080" max="14080" width="5" style="34" customWidth="1"/>
    <col min="14081" max="14081" width="62" style="34" customWidth="1"/>
    <col min="14082" max="14082" width="12.7109375" style="34" bestFit="1" customWidth="1"/>
    <col min="14083" max="14083" width="1.7109375" style="34" customWidth="1"/>
    <col min="14084" max="14086" width="15.7109375" style="34" customWidth="1"/>
    <col min="14087" max="14087" width="17.7109375" style="34" bestFit="1" customWidth="1"/>
    <col min="14088" max="14088" width="18.5703125" style="34" bestFit="1" customWidth="1"/>
    <col min="14089" max="14091" width="15.7109375" style="34" customWidth="1"/>
    <col min="14092" max="14092" width="20" style="34" customWidth="1"/>
    <col min="14093" max="14093" width="18.5703125" style="34" bestFit="1" customWidth="1"/>
    <col min="14094" max="14094" width="13.7109375" style="34" customWidth="1"/>
    <col min="14095" max="14095" width="54.5703125" style="34" bestFit="1" customWidth="1"/>
    <col min="14096" max="14334" width="9.28515625" style="34"/>
    <col min="14335" max="14335" width="2.7109375" style="34" customWidth="1"/>
    <col min="14336" max="14336" width="5" style="34" customWidth="1"/>
    <col min="14337" max="14337" width="62" style="34" customWidth="1"/>
    <col min="14338" max="14338" width="12.7109375" style="34" bestFit="1" customWidth="1"/>
    <col min="14339" max="14339" width="1.7109375" style="34" customWidth="1"/>
    <col min="14340" max="14342" width="15.7109375" style="34" customWidth="1"/>
    <col min="14343" max="14343" width="17.7109375" style="34" bestFit="1" customWidth="1"/>
    <col min="14344" max="14344" width="18.5703125" style="34" bestFit="1" customWidth="1"/>
    <col min="14345" max="14347" width="15.7109375" style="34" customWidth="1"/>
    <col min="14348" max="14348" width="20" style="34" customWidth="1"/>
    <col min="14349" max="14349" width="18.5703125" style="34" bestFit="1" customWidth="1"/>
    <col min="14350" max="14350" width="13.7109375" style="34" customWidth="1"/>
    <col min="14351" max="14351" width="54.5703125" style="34" bestFit="1" customWidth="1"/>
    <col min="14352" max="14590" width="9.28515625" style="34"/>
    <col min="14591" max="14591" width="2.7109375" style="34" customWidth="1"/>
    <col min="14592" max="14592" width="5" style="34" customWidth="1"/>
    <col min="14593" max="14593" width="62" style="34" customWidth="1"/>
    <col min="14594" max="14594" width="12.7109375" style="34" bestFit="1" customWidth="1"/>
    <col min="14595" max="14595" width="1.7109375" style="34" customWidth="1"/>
    <col min="14596" max="14598" width="15.7109375" style="34" customWidth="1"/>
    <col min="14599" max="14599" width="17.7109375" style="34" bestFit="1" customWidth="1"/>
    <col min="14600" max="14600" width="18.5703125" style="34" bestFit="1" customWidth="1"/>
    <col min="14601" max="14603" width="15.7109375" style="34" customWidth="1"/>
    <col min="14604" max="14604" width="20" style="34" customWidth="1"/>
    <col min="14605" max="14605" width="18.5703125" style="34" bestFit="1" customWidth="1"/>
    <col min="14606" max="14606" width="13.7109375" style="34" customWidth="1"/>
    <col min="14607" max="14607" width="54.5703125" style="34" bestFit="1" customWidth="1"/>
    <col min="14608" max="14846" width="9.28515625" style="34"/>
    <col min="14847" max="14847" width="2.7109375" style="34" customWidth="1"/>
    <col min="14848" max="14848" width="5" style="34" customWidth="1"/>
    <col min="14849" max="14849" width="62" style="34" customWidth="1"/>
    <col min="14850" max="14850" width="12.7109375" style="34" bestFit="1" customWidth="1"/>
    <col min="14851" max="14851" width="1.7109375" style="34" customWidth="1"/>
    <col min="14852" max="14854" width="15.7109375" style="34" customWidth="1"/>
    <col min="14855" max="14855" width="17.7109375" style="34" bestFit="1" customWidth="1"/>
    <col min="14856" max="14856" width="18.5703125" style="34" bestFit="1" customWidth="1"/>
    <col min="14857" max="14859" width="15.7109375" style="34" customWidth="1"/>
    <col min="14860" max="14860" width="20" style="34" customWidth="1"/>
    <col min="14861" max="14861" width="18.5703125" style="34" bestFit="1" customWidth="1"/>
    <col min="14862" max="14862" width="13.7109375" style="34" customWidth="1"/>
    <col min="14863" max="14863" width="54.5703125" style="34" bestFit="1" customWidth="1"/>
    <col min="14864" max="15102" width="9.28515625" style="34"/>
    <col min="15103" max="15103" width="2.7109375" style="34" customWidth="1"/>
    <col min="15104" max="15104" width="5" style="34" customWidth="1"/>
    <col min="15105" max="15105" width="62" style="34" customWidth="1"/>
    <col min="15106" max="15106" width="12.7109375" style="34" bestFit="1" customWidth="1"/>
    <col min="15107" max="15107" width="1.7109375" style="34" customWidth="1"/>
    <col min="15108" max="15110" width="15.7109375" style="34" customWidth="1"/>
    <col min="15111" max="15111" width="17.7109375" style="34" bestFit="1" customWidth="1"/>
    <col min="15112" max="15112" width="18.5703125" style="34" bestFit="1" customWidth="1"/>
    <col min="15113" max="15115" width="15.7109375" style="34" customWidth="1"/>
    <col min="15116" max="15116" width="20" style="34" customWidth="1"/>
    <col min="15117" max="15117" width="18.5703125" style="34" bestFit="1" customWidth="1"/>
    <col min="15118" max="15118" width="13.7109375" style="34" customWidth="1"/>
    <col min="15119" max="15119" width="54.5703125" style="34" bestFit="1" customWidth="1"/>
    <col min="15120" max="15358" width="9.28515625" style="34"/>
    <col min="15359" max="15359" width="2.7109375" style="34" customWidth="1"/>
    <col min="15360" max="15360" width="5" style="34" customWidth="1"/>
    <col min="15361" max="15361" width="62" style="34" customWidth="1"/>
    <col min="15362" max="15362" width="12.7109375" style="34" bestFit="1" customWidth="1"/>
    <col min="15363" max="15363" width="1.7109375" style="34" customWidth="1"/>
    <col min="15364" max="15366" width="15.7109375" style="34" customWidth="1"/>
    <col min="15367" max="15367" width="17.7109375" style="34" bestFit="1" customWidth="1"/>
    <col min="15368" max="15368" width="18.5703125" style="34" bestFit="1" customWidth="1"/>
    <col min="15369" max="15371" width="15.7109375" style="34" customWidth="1"/>
    <col min="15372" max="15372" width="20" style="34" customWidth="1"/>
    <col min="15373" max="15373" width="18.5703125" style="34" bestFit="1" customWidth="1"/>
    <col min="15374" max="15374" width="13.7109375" style="34" customWidth="1"/>
    <col min="15375" max="15375" width="54.5703125" style="34" bestFit="1" customWidth="1"/>
    <col min="15376" max="15614" width="9.28515625" style="34"/>
    <col min="15615" max="15615" width="2.7109375" style="34" customWidth="1"/>
    <col min="15616" max="15616" width="5" style="34" customWidth="1"/>
    <col min="15617" max="15617" width="62" style="34" customWidth="1"/>
    <col min="15618" max="15618" width="12.7109375" style="34" bestFit="1" customWidth="1"/>
    <col min="15619" max="15619" width="1.7109375" style="34" customWidth="1"/>
    <col min="15620" max="15622" width="15.7109375" style="34" customWidth="1"/>
    <col min="15623" max="15623" width="17.7109375" style="34" bestFit="1" customWidth="1"/>
    <col min="15624" max="15624" width="18.5703125" style="34" bestFit="1" customWidth="1"/>
    <col min="15625" max="15627" width="15.7109375" style="34" customWidth="1"/>
    <col min="15628" max="15628" width="20" style="34" customWidth="1"/>
    <col min="15629" max="15629" width="18.5703125" style="34" bestFit="1" customWidth="1"/>
    <col min="15630" max="15630" width="13.7109375" style="34" customWidth="1"/>
    <col min="15631" max="15631" width="54.5703125" style="34" bestFit="1" customWidth="1"/>
    <col min="15632" max="15870" width="9.28515625" style="34"/>
    <col min="15871" max="15871" width="2.7109375" style="34" customWidth="1"/>
    <col min="15872" max="15872" width="5" style="34" customWidth="1"/>
    <col min="15873" max="15873" width="62" style="34" customWidth="1"/>
    <col min="15874" max="15874" width="12.7109375" style="34" bestFit="1" customWidth="1"/>
    <col min="15875" max="15875" width="1.7109375" style="34" customWidth="1"/>
    <col min="15876" max="15878" width="15.7109375" style="34" customWidth="1"/>
    <col min="15879" max="15879" width="17.7109375" style="34" bestFit="1" customWidth="1"/>
    <col min="15880" max="15880" width="18.5703125" style="34" bestFit="1" customWidth="1"/>
    <col min="15881" max="15883" width="15.7109375" style="34" customWidth="1"/>
    <col min="15884" max="15884" width="20" style="34" customWidth="1"/>
    <col min="15885" max="15885" width="18.5703125" style="34" bestFit="1" customWidth="1"/>
    <col min="15886" max="15886" width="13.7109375" style="34" customWidth="1"/>
    <col min="15887" max="15887" width="54.5703125" style="34" bestFit="1" customWidth="1"/>
    <col min="15888" max="16126" width="9.28515625" style="34"/>
    <col min="16127" max="16127" width="2.7109375" style="34" customWidth="1"/>
    <col min="16128" max="16128" width="5" style="34" customWidth="1"/>
    <col min="16129" max="16129" width="62" style="34" customWidth="1"/>
    <col min="16130" max="16130" width="12.7109375" style="34" bestFit="1" customWidth="1"/>
    <col min="16131" max="16131" width="1.7109375" style="34" customWidth="1"/>
    <col min="16132" max="16134" width="15.7109375" style="34" customWidth="1"/>
    <col min="16135" max="16135" width="17.7109375" style="34" bestFit="1" customWidth="1"/>
    <col min="16136" max="16136" width="18.5703125" style="34" bestFit="1" customWidth="1"/>
    <col min="16137" max="16139" width="15.7109375" style="34" customWidth="1"/>
    <col min="16140" max="16140" width="20" style="34" customWidth="1"/>
    <col min="16141" max="16141" width="18.5703125" style="34" bestFit="1" customWidth="1"/>
    <col min="16142" max="16142" width="13.7109375" style="34" customWidth="1"/>
    <col min="16143" max="16143" width="54.5703125" style="34" bestFit="1" customWidth="1"/>
    <col min="16144" max="16384" width="9.28515625" style="34"/>
  </cols>
  <sheetData>
    <row r="1" spans="1:15" x14ac:dyDescent="0.2">
      <c r="I1" s="81"/>
      <c r="K1" s="79" t="s">
        <v>264</v>
      </c>
      <c r="L1" s="875" t="str">
        <f>EBNUMBER</f>
        <v>EB-2019-0037</v>
      </c>
    </row>
    <row r="2" spans="1:15" x14ac:dyDescent="0.2">
      <c r="I2" s="81"/>
      <c r="K2" s="79" t="s">
        <v>265</v>
      </c>
      <c r="L2" s="33"/>
    </row>
    <row r="3" spans="1:15" x14ac:dyDescent="0.2">
      <c r="I3" s="81"/>
      <c r="K3" s="79" t="s">
        <v>266</v>
      </c>
      <c r="L3" s="33"/>
    </row>
    <row r="4" spans="1:15" x14ac:dyDescent="0.2">
      <c r="I4" s="81"/>
      <c r="K4" s="79" t="s">
        <v>267</v>
      </c>
      <c r="L4" s="33"/>
    </row>
    <row r="5" spans="1:15" x14ac:dyDescent="0.2">
      <c r="I5" s="81"/>
      <c r="K5" s="79" t="s">
        <v>268</v>
      </c>
      <c r="L5" s="448"/>
    </row>
    <row r="6" spans="1:15" x14ac:dyDescent="0.2">
      <c r="I6" s="81"/>
      <c r="K6" s="79"/>
      <c r="L6" s="590"/>
    </row>
    <row r="7" spans="1:15" x14ac:dyDescent="0.2">
      <c r="I7" s="81"/>
      <c r="K7" s="79" t="s">
        <v>269</v>
      </c>
      <c r="L7" s="448"/>
    </row>
    <row r="8" spans="1:15" ht="16.5" customHeight="1" x14ac:dyDescent="0.2"/>
    <row r="9" spans="1:15" ht="16.5" customHeight="1" x14ac:dyDescent="0.2">
      <c r="A9" s="1997" t="s">
        <v>791</v>
      </c>
      <c r="B9" s="1997"/>
      <c r="C9" s="1997"/>
      <c r="D9" s="1997"/>
      <c r="E9" s="1997"/>
      <c r="F9" s="1997"/>
      <c r="G9" s="1997"/>
      <c r="H9" s="1997"/>
      <c r="I9" s="1997"/>
      <c r="J9" s="1997"/>
      <c r="K9" s="1997"/>
      <c r="L9" s="1997"/>
      <c r="M9" s="724"/>
      <c r="N9" s="724"/>
      <c r="O9" s="724"/>
    </row>
    <row r="10" spans="1:15" ht="19.5" customHeight="1" x14ac:dyDescent="0.2">
      <c r="A10" s="1997" t="s">
        <v>344</v>
      </c>
      <c r="B10" s="1997"/>
      <c r="C10" s="1997"/>
      <c r="D10" s="1997"/>
      <c r="E10" s="1997"/>
      <c r="F10" s="1997"/>
      <c r="G10" s="1997"/>
      <c r="H10" s="1997"/>
      <c r="I10" s="1997"/>
      <c r="J10" s="1997"/>
      <c r="K10" s="1997"/>
      <c r="L10" s="1997"/>
      <c r="M10" s="725"/>
      <c r="N10" s="725"/>
      <c r="O10" s="725"/>
    </row>
    <row r="11" spans="1:15" ht="21.75" customHeight="1" x14ac:dyDescent="0.2"/>
    <row r="12" spans="1:15" ht="28.5" customHeight="1" x14ac:dyDescent="0.2">
      <c r="A12" s="1925" t="s">
        <v>798</v>
      </c>
      <c r="B12" s="1925"/>
      <c r="C12" s="1925"/>
      <c r="D12" s="1925"/>
      <c r="E12" s="1925"/>
      <c r="F12" s="1925"/>
      <c r="G12" s="1925"/>
      <c r="H12" s="1925"/>
      <c r="I12" s="1925"/>
      <c r="J12" s="1925"/>
      <c r="K12" s="794"/>
      <c r="L12" s="794"/>
      <c r="M12" s="725"/>
      <c r="N12" s="725"/>
      <c r="O12" s="725"/>
    </row>
    <row r="13" spans="1:15" ht="13.5" thickBot="1" x14ac:dyDescent="0.25">
      <c r="F13" s="134"/>
      <c r="G13" s="134"/>
      <c r="H13" s="134"/>
      <c r="I13" s="134"/>
      <c r="J13" s="134"/>
      <c r="K13" s="134"/>
      <c r="L13" s="134"/>
    </row>
    <row r="14" spans="1:15" x14ac:dyDescent="0.2">
      <c r="A14" s="2019" t="s">
        <v>793</v>
      </c>
      <c r="B14" s="1790"/>
      <c r="C14" s="1783"/>
      <c r="D14" s="1783"/>
      <c r="E14" s="1783"/>
      <c r="F14" s="1783"/>
      <c r="G14" s="1783"/>
      <c r="H14" s="1783"/>
      <c r="I14" s="1783"/>
      <c r="J14" s="1797"/>
    </row>
    <row r="15" spans="1:15" x14ac:dyDescent="0.2">
      <c r="A15" s="2020"/>
      <c r="B15" s="1791">
        <f>G15-4</f>
        <v>2013</v>
      </c>
      <c r="C15" s="1793">
        <v>2013</v>
      </c>
      <c r="D15" s="1793">
        <f>H15-4</f>
        <v>2014</v>
      </c>
      <c r="E15" s="1793">
        <f>I15-4</f>
        <v>2015</v>
      </c>
      <c r="F15" s="1793">
        <f>J15-4</f>
        <v>2016</v>
      </c>
      <c r="G15" s="1793">
        <f>J15-3</f>
        <v>2017</v>
      </c>
      <c r="H15" s="1793">
        <f>J15-2</f>
        <v>2018</v>
      </c>
      <c r="I15" s="1793">
        <f>J15-1</f>
        <v>2019</v>
      </c>
      <c r="J15" s="1784">
        <f>TestYear</f>
        <v>2020</v>
      </c>
    </row>
    <row r="16" spans="1:15" x14ac:dyDescent="0.2">
      <c r="A16" s="2021"/>
      <c r="B16" s="1792" t="s">
        <v>1460</v>
      </c>
      <c r="C16" s="1794" t="s">
        <v>824</v>
      </c>
      <c r="D16" s="1794" t="s">
        <v>824</v>
      </c>
      <c r="E16" s="1794" t="s">
        <v>824</v>
      </c>
      <c r="F16" s="1794" t="s">
        <v>824</v>
      </c>
      <c r="G16" s="1794" t="s">
        <v>824</v>
      </c>
      <c r="H16" s="1794" t="s">
        <v>824</v>
      </c>
      <c r="I16" s="1794" t="s">
        <v>276</v>
      </c>
      <c r="J16" s="1785" t="s">
        <v>277</v>
      </c>
    </row>
    <row r="17" spans="1:12" x14ac:dyDescent="0.2">
      <c r="A17" s="1780" t="s">
        <v>1630</v>
      </c>
      <c r="B17" s="1795">
        <v>3835190</v>
      </c>
      <c r="C17" s="1795">
        <v>4502706.5699999901</v>
      </c>
      <c r="D17" s="1795">
        <v>4942813.4700000118</v>
      </c>
      <c r="E17" s="1795">
        <v>4910477.7600000054</v>
      </c>
      <c r="F17" s="1795">
        <v>5313722.810000007</v>
      </c>
      <c r="G17" s="1795">
        <v>4935241.9300000025</v>
      </c>
      <c r="H17" s="1795">
        <v>4922433.0500000007</v>
      </c>
      <c r="I17" s="1795">
        <v>4914795.3700000104</v>
      </c>
      <c r="J17" s="1798">
        <v>4777799</v>
      </c>
    </row>
    <row r="18" spans="1:12" x14ac:dyDescent="0.2">
      <c r="A18" s="1780" t="s">
        <v>87</v>
      </c>
      <c r="B18" s="1795">
        <v>2114055</v>
      </c>
      <c r="C18" s="1795">
        <v>1866995.2000000014</v>
      </c>
      <c r="D18" s="1795">
        <v>2075374.2400000005</v>
      </c>
      <c r="E18" s="1795">
        <v>1839665.2799999968</v>
      </c>
      <c r="F18" s="1795">
        <v>2305885.4600000023</v>
      </c>
      <c r="G18" s="1795">
        <v>2043286.8300000075</v>
      </c>
      <c r="H18" s="1795">
        <v>2431549.8399999994</v>
      </c>
      <c r="I18" s="1795">
        <v>2496100.2399999984</v>
      </c>
      <c r="J18" s="1798">
        <v>2533693</v>
      </c>
    </row>
    <row r="19" spans="1:12" x14ac:dyDescent="0.2">
      <c r="A19" s="1780" t="s">
        <v>1631</v>
      </c>
      <c r="B19" s="1795">
        <v>0</v>
      </c>
      <c r="C19" s="1795">
        <v>524978.45999999461</v>
      </c>
      <c r="D19" s="1795">
        <v>39447.999999999818</v>
      </c>
      <c r="E19" s="1795">
        <v>65137.139999997853</v>
      </c>
      <c r="F19" s="1795">
        <v>-1.0000000266956022E-2</v>
      </c>
      <c r="G19" s="1795">
        <v>2217.4099999980326</v>
      </c>
      <c r="H19" s="1795">
        <v>9126.1699999985321</v>
      </c>
      <c r="I19" s="1795">
        <v>-10296.049999997727</v>
      </c>
      <c r="J19" s="1798">
        <v>0</v>
      </c>
    </row>
    <row r="20" spans="1:12" x14ac:dyDescent="0.2">
      <c r="A20" s="1780" t="s">
        <v>1637</v>
      </c>
      <c r="B20" s="1795">
        <v>1994623</v>
      </c>
      <c r="C20" s="1795">
        <v>2614037.3699999885</v>
      </c>
      <c r="D20" s="1795">
        <v>1787401.3000000059</v>
      </c>
      <c r="E20" s="1795">
        <v>2011057.5</v>
      </c>
      <c r="F20" s="1795">
        <v>2165932.5400000038</v>
      </c>
      <c r="G20" s="1795">
        <v>1815396.2299999991</v>
      </c>
      <c r="H20" s="1795">
        <v>1840611.4799999993</v>
      </c>
      <c r="I20" s="1795">
        <v>1862902.1600000034</v>
      </c>
      <c r="J20" s="1798">
        <v>2032385</v>
      </c>
    </row>
    <row r="21" spans="1:12" x14ac:dyDescent="0.2">
      <c r="A21" s="1780" t="s">
        <v>1638</v>
      </c>
      <c r="B21" s="1795">
        <v>5993671</v>
      </c>
      <c r="C21" s="1795">
        <v>4735948.3400000101</v>
      </c>
      <c r="D21" s="1795">
        <v>4884928.0700000413</v>
      </c>
      <c r="E21" s="1795">
        <v>5487597.1400000043</v>
      </c>
      <c r="F21" s="1795">
        <v>5377304.0399999991</v>
      </c>
      <c r="G21" s="1795">
        <v>5851329.9899999592</v>
      </c>
      <c r="H21" s="1795">
        <v>5738060.1699999785</v>
      </c>
      <c r="I21" s="1795">
        <v>6117286.170000013</v>
      </c>
      <c r="J21" s="1798">
        <v>6893900</v>
      </c>
    </row>
    <row r="22" spans="1:12" x14ac:dyDescent="0.2">
      <c r="A22" s="1780"/>
      <c r="B22" s="1795"/>
      <c r="C22" s="1795"/>
      <c r="D22" s="1795"/>
      <c r="E22" s="1795"/>
      <c r="F22" s="1795"/>
      <c r="G22" s="1795"/>
      <c r="H22" s="1795"/>
      <c r="I22" s="1795"/>
      <c r="J22" s="1798"/>
    </row>
    <row r="23" spans="1:12" x14ac:dyDescent="0.2">
      <c r="A23" s="1780" t="s">
        <v>1639</v>
      </c>
      <c r="B23" s="1795">
        <v>423500</v>
      </c>
      <c r="C23" s="1795">
        <v>472213.86999999994</v>
      </c>
      <c r="D23" s="1795">
        <v>615272.91999999993</v>
      </c>
      <c r="E23" s="1795">
        <v>643837.86999999976</v>
      </c>
      <c r="F23" s="1795">
        <v>643159.23999999953</v>
      </c>
      <c r="G23" s="1795">
        <v>609743.73</v>
      </c>
      <c r="H23" s="1795">
        <v>642318.73</v>
      </c>
      <c r="I23" s="1795">
        <v>712183.30999999994</v>
      </c>
      <c r="J23" s="1798">
        <v>659915</v>
      </c>
    </row>
    <row r="24" spans="1:12" x14ac:dyDescent="0.2">
      <c r="A24" s="1780" t="s">
        <v>1640</v>
      </c>
      <c r="B24" s="1795">
        <v>650020.29</v>
      </c>
      <c r="C24" s="1795">
        <v>482101.92999999993</v>
      </c>
      <c r="D24" s="1795">
        <v>477567.49999999994</v>
      </c>
      <c r="E24" s="1795">
        <v>500287.07999999961</v>
      </c>
      <c r="F24" s="1795">
        <v>522478.28000000009</v>
      </c>
      <c r="G24" s="1795">
        <v>535337.9500000003</v>
      </c>
      <c r="H24" s="1795">
        <v>596189.53000000038</v>
      </c>
      <c r="I24" s="1795">
        <v>634034.85000000056</v>
      </c>
      <c r="J24" s="1798">
        <v>658317</v>
      </c>
    </row>
    <row r="25" spans="1:12" ht="13.5" customHeight="1" x14ac:dyDescent="0.2">
      <c r="A25" s="1780" t="s">
        <v>1641</v>
      </c>
      <c r="B25" s="1795">
        <v>205657.49</v>
      </c>
      <c r="C25" s="1795">
        <v>170954.94265765371</v>
      </c>
      <c r="D25" s="1795">
        <v>165870.80351877632</v>
      </c>
      <c r="E25" s="1795">
        <v>170868.51893834025</v>
      </c>
      <c r="F25" s="1795">
        <v>179079.40040579159</v>
      </c>
      <c r="G25" s="1795">
        <v>230944.25738417637</v>
      </c>
      <c r="H25" s="1795">
        <v>269120.62525981665</v>
      </c>
      <c r="I25" s="1795">
        <v>220979.49917497765</v>
      </c>
      <c r="J25" s="1798">
        <v>241847.19101123605</v>
      </c>
    </row>
    <row r="26" spans="1:12" ht="13.5" customHeight="1" x14ac:dyDescent="0.2">
      <c r="A26" s="1780" t="s">
        <v>1642</v>
      </c>
      <c r="B26" s="1795">
        <v>196770.81</v>
      </c>
      <c r="C26" s="1795">
        <v>183357.08000000002</v>
      </c>
      <c r="D26" s="1795">
        <v>186200.66000000003</v>
      </c>
      <c r="E26" s="1795">
        <v>156701.28999999998</v>
      </c>
      <c r="F26" s="1795">
        <v>226468.23999999993</v>
      </c>
      <c r="G26" s="1795">
        <v>227863.98999999996</v>
      </c>
      <c r="H26" s="1795">
        <v>332763.61999999994</v>
      </c>
      <c r="I26" s="1795">
        <v>325669.04000000021</v>
      </c>
      <c r="J26" s="1798">
        <v>237640</v>
      </c>
    </row>
    <row r="27" spans="1:12" ht="13.5" thickBot="1" x14ac:dyDescent="0.25">
      <c r="A27" s="1786" t="s">
        <v>1643</v>
      </c>
      <c r="B27" s="1796">
        <v>161475.99764999998</v>
      </c>
      <c r="C27" s="1796">
        <v>151648.89999999994</v>
      </c>
      <c r="D27" s="1796">
        <v>129879.94000000008</v>
      </c>
      <c r="E27" s="1796">
        <v>230521.25000000026</v>
      </c>
      <c r="F27" s="1796">
        <v>202696.46999999983</v>
      </c>
      <c r="G27" s="1796"/>
      <c r="H27" s="1796"/>
      <c r="I27" s="1796"/>
      <c r="J27" s="1799"/>
    </row>
    <row r="28" spans="1:12" ht="14.25" customHeight="1" thickTop="1" thickBot="1" x14ac:dyDescent="0.25">
      <c r="A28" s="795" t="s">
        <v>796</v>
      </c>
      <c r="B28" s="137">
        <f t="shared" ref="B28:J28" si="0">SUM(B17:B27)</f>
        <v>15574963.587649999</v>
      </c>
      <c r="C28" s="137">
        <f t="shared" si="0"/>
        <v>15704942.662657635</v>
      </c>
      <c r="D28" s="137">
        <f t="shared" si="0"/>
        <v>15304756.903518835</v>
      </c>
      <c r="E28" s="137">
        <f t="shared" si="0"/>
        <v>16016150.828938343</v>
      </c>
      <c r="F28" s="137">
        <f t="shared" si="0"/>
        <v>16936726.470405802</v>
      </c>
      <c r="G28" s="137">
        <f t="shared" si="0"/>
        <v>16251362.317384144</v>
      </c>
      <c r="H28" s="137">
        <f t="shared" si="0"/>
        <v>16782173.215259798</v>
      </c>
      <c r="I28" s="137">
        <f t="shared" si="0"/>
        <v>17273654.589175005</v>
      </c>
      <c r="J28" s="137">
        <f t="shared" si="0"/>
        <v>18035496.191011235</v>
      </c>
    </row>
    <row r="29" spans="1:12" ht="14.25" customHeight="1" x14ac:dyDescent="0.2">
      <c r="A29" s="796"/>
      <c r="B29" s="796"/>
      <c r="C29" s="796"/>
      <c r="D29" s="796"/>
      <c r="E29" s="796"/>
      <c r="F29" s="797"/>
      <c r="G29" s="797"/>
      <c r="H29" s="797"/>
      <c r="I29" s="797"/>
      <c r="J29" s="797"/>
    </row>
    <row r="30" spans="1:12" s="113" customFormat="1" ht="31.5" customHeight="1" x14ac:dyDescent="0.2">
      <c r="A30" s="2028" t="s">
        <v>1240</v>
      </c>
      <c r="B30" s="2028"/>
      <c r="C30" s="2028"/>
      <c r="D30" s="2028"/>
      <c r="E30" s="2028"/>
      <c r="F30" s="2028"/>
      <c r="G30" s="2028"/>
      <c r="H30" s="2028"/>
      <c r="I30" s="2028"/>
      <c r="J30" s="2028"/>
      <c r="K30" s="798"/>
      <c r="L30" s="799"/>
    </row>
    <row r="31" spans="1:12" s="113" customFormat="1" ht="14.25" customHeight="1" thickBot="1" x14ac:dyDescent="0.25">
      <c r="A31" s="800"/>
      <c r="B31" s="800"/>
      <c r="C31" s="800"/>
      <c r="D31" s="800"/>
      <c r="E31" s="800"/>
      <c r="F31" s="798"/>
      <c r="G31" s="798"/>
      <c r="H31" s="798"/>
      <c r="I31" s="798"/>
      <c r="J31" s="798"/>
      <c r="K31" s="798"/>
      <c r="L31" s="799"/>
    </row>
    <row r="32" spans="1:12" x14ac:dyDescent="0.2">
      <c r="A32" s="2022" t="s">
        <v>792</v>
      </c>
      <c r="B32" s="1771"/>
      <c r="C32" s="1771"/>
      <c r="D32" s="1771"/>
      <c r="E32" s="1771"/>
      <c r="F32" s="726"/>
      <c r="G32" s="138"/>
      <c r="H32" s="801"/>
      <c r="I32" s="138"/>
      <c r="J32" s="801"/>
      <c r="K32" s="138" t="s">
        <v>327</v>
      </c>
      <c r="L32" s="2025" t="s">
        <v>794</v>
      </c>
    </row>
    <row r="33" spans="1:12" x14ac:dyDescent="0.2">
      <c r="A33" s="2023"/>
      <c r="B33" s="1781">
        <f>G33-4</f>
        <v>2013</v>
      </c>
      <c r="C33" s="1784">
        <v>2013</v>
      </c>
      <c r="D33" s="1784">
        <f>H33-4</f>
        <v>2014</v>
      </c>
      <c r="E33" s="1784">
        <f>I33-4</f>
        <v>2015</v>
      </c>
      <c r="F33" s="1440">
        <f>J33-4</f>
        <v>2016</v>
      </c>
      <c r="G33" s="1440">
        <f>J33-3</f>
        <v>2017</v>
      </c>
      <c r="H33" s="1440">
        <f>J33-2</f>
        <v>2018</v>
      </c>
      <c r="I33" s="1440">
        <f>J33-1</f>
        <v>2019</v>
      </c>
      <c r="J33" s="1440">
        <f>TestYear</f>
        <v>2020</v>
      </c>
      <c r="K33" s="139" t="s">
        <v>328</v>
      </c>
      <c r="L33" s="2026"/>
    </row>
    <row r="34" spans="1:12" x14ac:dyDescent="0.2">
      <c r="A34" s="2024"/>
      <c r="B34" s="1782" t="s">
        <v>1629</v>
      </c>
      <c r="C34" s="1785" t="s">
        <v>824</v>
      </c>
      <c r="D34" s="1785" t="s">
        <v>824</v>
      </c>
      <c r="E34" s="1785" t="s">
        <v>824</v>
      </c>
      <c r="F34" s="1441" t="s">
        <v>824</v>
      </c>
      <c r="G34" s="1441" t="s">
        <v>824</v>
      </c>
      <c r="H34" s="1441" t="s">
        <v>824</v>
      </c>
      <c r="I34" s="1442" t="s">
        <v>276</v>
      </c>
      <c r="J34" s="1443" t="s">
        <v>277</v>
      </c>
      <c r="K34" s="802" t="s">
        <v>1003</v>
      </c>
      <c r="L34" s="2027"/>
    </row>
    <row r="35" spans="1:12" x14ac:dyDescent="0.2">
      <c r="A35" s="1780" t="s">
        <v>1632</v>
      </c>
      <c r="B35" s="140">
        <f>B23</f>
        <v>423500</v>
      </c>
      <c r="C35" s="140">
        <f t="shared" ref="C35:J35" si="1">C23</f>
        <v>472213.86999999994</v>
      </c>
      <c r="D35" s="140">
        <f t="shared" si="1"/>
        <v>615272.91999999993</v>
      </c>
      <c r="E35" s="140">
        <f t="shared" si="1"/>
        <v>643837.86999999976</v>
      </c>
      <c r="F35" s="140">
        <f t="shared" si="1"/>
        <v>643159.23999999953</v>
      </c>
      <c r="G35" s="140">
        <f t="shared" si="1"/>
        <v>609743.73</v>
      </c>
      <c r="H35" s="140">
        <f t="shared" si="1"/>
        <v>642318.73</v>
      </c>
      <c r="I35" s="140">
        <f t="shared" si="1"/>
        <v>712183.30999999994</v>
      </c>
      <c r="J35" s="140">
        <f t="shared" si="1"/>
        <v>659915</v>
      </c>
      <c r="K35" s="141" t="s">
        <v>1389</v>
      </c>
      <c r="L35" s="142" t="s">
        <v>235</v>
      </c>
    </row>
    <row r="36" spans="1:12" x14ac:dyDescent="0.2">
      <c r="A36" s="1780" t="s">
        <v>1633</v>
      </c>
      <c r="B36" s="140">
        <f>B24</f>
        <v>650020.29</v>
      </c>
      <c r="C36" s="140">
        <f t="shared" ref="C36:J36" si="2">C24</f>
        <v>482101.92999999993</v>
      </c>
      <c r="D36" s="140">
        <f t="shared" si="2"/>
        <v>477567.49999999994</v>
      </c>
      <c r="E36" s="140">
        <f t="shared" si="2"/>
        <v>500287.07999999961</v>
      </c>
      <c r="F36" s="140">
        <f t="shared" si="2"/>
        <v>522478.28000000009</v>
      </c>
      <c r="G36" s="140">
        <f t="shared" si="2"/>
        <v>535337.9500000003</v>
      </c>
      <c r="H36" s="140">
        <f t="shared" si="2"/>
        <v>596189.53000000038</v>
      </c>
      <c r="I36" s="140">
        <f t="shared" si="2"/>
        <v>634034.85000000056</v>
      </c>
      <c r="J36" s="140">
        <f t="shared" si="2"/>
        <v>658317</v>
      </c>
      <c r="K36" s="141" t="s">
        <v>1389</v>
      </c>
      <c r="L36" s="142" t="s">
        <v>235</v>
      </c>
    </row>
    <row r="37" spans="1:12" x14ac:dyDescent="0.2">
      <c r="A37" s="1780" t="s">
        <v>1634</v>
      </c>
      <c r="B37" s="140">
        <f>B25</f>
        <v>205657.49</v>
      </c>
      <c r="C37" s="140">
        <f t="shared" ref="C37:J37" si="3">C25</f>
        <v>170954.94265765371</v>
      </c>
      <c r="D37" s="140">
        <f t="shared" si="3"/>
        <v>165870.80351877632</v>
      </c>
      <c r="E37" s="140">
        <f t="shared" si="3"/>
        <v>170868.51893834025</v>
      </c>
      <c r="F37" s="140">
        <f t="shared" si="3"/>
        <v>179079.40040579159</v>
      </c>
      <c r="G37" s="140">
        <f t="shared" si="3"/>
        <v>230944.25738417637</v>
      </c>
      <c r="H37" s="140">
        <f t="shared" si="3"/>
        <v>269120.62525981665</v>
      </c>
      <c r="I37" s="140">
        <f t="shared" si="3"/>
        <v>220979.49917497765</v>
      </c>
      <c r="J37" s="140">
        <f t="shared" si="3"/>
        <v>241847.19101123605</v>
      </c>
      <c r="K37" s="141" t="s">
        <v>1389</v>
      </c>
      <c r="L37" s="142" t="s">
        <v>235</v>
      </c>
    </row>
    <row r="38" spans="1:12" x14ac:dyDescent="0.2">
      <c r="A38" s="1780" t="s">
        <v>1635</v>
      </c>
      <c r="B38" s="140">
        <f>B26</f>
        <v>196770.81</v>
      </c>
      <c r="C38" s="140">
        <f t="shared" ref="C38:J38" si="4">C26</f>
        <v>183357.08000000002</v>
      </c>
      <c r="D38" s="140">
        <f t="shared" si="4"/>
        <v>186200.66000000003</v>
      </c>
      <c r="E38" s="140">
        <f t="shared" si="4"/>
        <v>156701.28999999998</v>
      </c>
      <c r="F38" s="140">
        <f t="shared" si="4"/>
        <v>226468.23999999993</v>
      </c>
      <c r="G38" s="140">
        <f t="shared" si="4"/>
        <v>227863.98999999996</v>
      </c>
      <c r="H38" s="140">
        <f t="shared" si="4"/>
        <v>332763.61999999994</v>
      </c>
      <c r="I38" s="140">
        <f t="shared" si="4"/>
        <v>325669.04000000021</v>
      </c>
      <c r="J38" s="140">
        <f t="shared" si="4"/>
        <v>237640</v>
      </c>
      <c r="K38" s="141" t="s">
        <v>1389</v>
      </c>
      <c r="L38" s="142" t="s">
        <v>235</v>
      </c>
    </row>
    <row r="39" spans="1:12" ht="51" x14ac:dyDescent="0.2">
      <c r="A39" s="804" t="s">
        <v>1644</v>
      </c>
      <c r="B39" s="140">
        <f>B27</f>
        <v>161475.99764999998</v>
      </c>
      <c r="C39" s="140">
        <f t="shared" ref="C39:J39" si="5">C27</f>
        <v>151648.89999999994</v>
      </c>
      <c r="D39" s="140">
        <f t="shared" si="5"/>
        <v>129879.94000000008</v>
      </c>
      <c r="E39" s="140">
        <f t="shared" si="5"/>
        <v>230521.25000000026</v>
      </c>
      <c r="F39" s="140">
        <f t="shared" si="5"/>
        <v>202696.46999999983</v>
      </c>
      <c r="G39" s="140">
        <f t="shared" si="5"/>
        <v>0</v>
      </c>
      <c r="H39" s="140">
        <f t="shared" si="5"/>
        <v>0</v>
      </c>
      <c r="I39" s="140">
        <f t="shared" si="5"/>
        <v>0</v>
      </c>
      <c r="J39" s="140">
        <f t="shared" si="5"/>
        <v>0</v>
      </c>
      <c r="K39" s="141" t="s">
        <v>1389</v>
      </c>
      <c r="L39" s="142" t="s">
        <v>1645</v>
      </c>
    </row>
    <row r="40" spans="1:12" x14ac:dyDescent="0.2">
      <c r="A40" s="804"/>
      <c r="B40" s="140"/>
      <c r="C40" s="140"/>
      <c r="D40" s="140"/>
      <c r="E40" s="140"/>
      <c r="F40" s="140"/>
      <c r="G40" s="140"/>
      <c r="H40" s="140"/>
      <c r="I40" s="140"/>
      <c r="J40" s="140"/>
      <c r="K40" s="141"/>
      <c r="L40" s="142"/>
    </row>
    <row r="41" spans="1:12" x14ac:dyDescent="0.2">
      <c r="A41" s="803"/>
      <c r="B41" s="140"/>
      <c r="C41" s="140"/>
      <c r="D41" s="140"/>
      <c r="E41" s="140"/>
      <c r="F41" s="140"/>
      <c r="G41" s="140"/>
      <c r="H41" s="140"/>
      <c r="I41" s="140"/>
      <c r="J41" s="140"/>
      <c r="K41" s="141"/>
      <c r="L41" s="142"/>
    </row>
    <row r="42" spans="1:12" x14ac:dyDescent="0.2">
      <c r="A42" s="805"/>
      <c r="B42" s="140"/>
      <c r="C42" s="140"/>
      <c r="D42" s="140"/>
      <c r="E42" s="140"/>
      <c r="F42" s="143"/>
      <c r="G42" s="143"/>
      <c r="H42" s="143"/>
      <c r="I42" s="143"/>
      <c r="J42" s="143"/>
      <c r="K42" s="141"/>
      <c r="L42" s="142"/>
    </row>
    <row r="43" spans="1:12" x14ac:dyDescent="0.2">
      <c r="A43" s="805"/>
      <c r="B43" s="140"/>
      <c r="C43" s="140"/>
      <c r="D43" s="140"/>
      <c r="E43" s="140"/>
      <c r="F43" s="143"/>
      <c r="G43" s="143"/>
      <c r="H43" s="143"/>
      <c r="I43" s="143"/>
      <c r="J43" s="143"/>
      <c r="K43" s="141"/>
      <c r="L43" s="142"/>
    </row>
    <row r="44" spans="1:12" x14ac:dyDescent="0.2">
      <c r="A44" s="804"/>
      <c r="B44" s="140"/>
      <c r="C44" s="140"/>
      <c r="D44" s="140"/>
      <c r="E44" s="140"/>
      <c r="F44" s="143"/>
      <c r="G44" s="143"/>
      <c r="H44" s="143"/>
      <c r="I44" s="143"/>
      <c r="J44" s="143"/>
      <c r="K44" s="144"/>
      <c r="L44" s="142"/>
    </row>
    <row r="45" spans="1:12" x14ac:dyDescent="0.2">
      <c r="A45" s="806"/>
      <c r="B45" s="140"/>
      <c r="C45" s="140"/>
      <c r="D45" s="140"/>
      <c r="E45" s="140"/>
      <c r="F45" s="143"/>
      <c r="G45" s="143"/>
      <c r="H45" s="143"/>
      <c r="I45" s="143"/>
      <c r="J45" s="143"/>
      <c r="K45" s="141"/>
      <c r="L45" s="142"/>
    </row>
    <row r="46" spans="1:12" x14ac:dyDescent="0.2">
      <c r="A46" s="145"/>
      <c r="B46" s="140"/>
      <c r="C46" s="140"/>
      <c r="D46" s="140"/>
      <c r="E46" s="140"/>
      <c r="F46" s="143"/>
      <c r="G46" s="143"/>
      <c r="H46" s="143"/>
      <c r="I46" s="143"/>
      <c r="J46" s="143"/>
      <c r="K46" s="141"/>
      <c r="L46" s="142"/>
    </row>
    <row r="47" spans="1:12" ht="13.5" thickBot="1" x14ac:dyDescent="0.25">
      <c r="A47" s="146"/>
      <c r="B47" s="140"/>
      <c r="C47" s="140"/>
      <c r="D47" s="140"/>
      <c r="E47" s="140"/>
      <c r="F47" s="147"/>
      <c r="G47" s="147"/>
      <c r="H47" s="147"/>
      <c r="I47" s="147"/>
      <c r="J47" s="147"/>
      <c r="K47" s="141"/>
      <c r="L47" s="148"/>
    </row>
    <row r="48" spans="1:12" ht="14.25" thickTop="1" thickBot="1" x14ac:dyDescent="0.25">
      <c r="A48" s="807" t="s">
        <v>795</v>
      </c>
      <c r="B48" s="808">
        <f t="shared" ref="B48:J48" si="6">SUM(B35:B47)</f>
        <v>1637424.5876500001</v>
      </c>
      <c r="C48" s="808">
        <f t="shared" si="6"/>
        <v>1460276.7226576535</v>
      </c>
      <c r="D48" s="808">
        <f t="shared" si="6"/>
        <v>1574791.8235187766</v>
      </c>
      <c r="E48" s="808">
        <f t="shared" si="6"/>
        <v>1702216.0089383398</v>
      </c>
      <c r="F48" s="808">
        <f t="shared" si="6"/>
        <v>1773881.6304057909</v>
      </c>
      <c r="G48" s="808">
        <f t="shared" si="6"/>
        <v>1603889.9273841765</v>
      </c>
      <c r="H48" s="808">
        <f t="shared" si="6"/>
        <v>1840392.5052598168</v>
      </c>
      <c r="I48" s="808">
        <f t="shared" si="6"/>
        <v>1892866.6991749785</v>
      </c>
      <c r="J48" s="808">
        <f t="shared" si="6"/>
        <v>1797719.191011236</v>
      </c>
      <c r="K48" s="809"/>
      <c r="L48" s="810"/>
    </row>
    <row r="49" spans="1:13" s="113" customFormat="1" ht="13.5" thickBot="1" x14ac:dyDescent="0.25">
      <c r="A49" s="800"/>
      <c r="B49" s="800"/>
      <c r="C49" s="800"/>
      <c r="D49" s="800"/>
      <c r="E49" s="800"/>
      <c r="F49" s="798"/>
      <c r="G49" s="798"/>
      <c r="H49" s="798"/>
      <c r="I49" s="798"/>
      <c r="J49" s="798"/>
      <c r="K49" s="798"/>
      <c r="L49" s="798"/>
    </row>
    <row r="50" spans="1:13" ht="13.5" thickBot="1" x14ac:dyDescent="0.25">
      <c r="A50" s="811" t="s">
        <v>797</v>
      </c>
      <c r="B50" s="812">
        <f t="shared" ref="B50:J50" si="7">IF(ISERROR(B48/B28),"0%",B48/B28)</f>
        <v>0.10513184049742359</v>
      </c>
      <c r="C50" s="812">
        <f t="shared" si="7"/>
        <v>9.2981983699298734E-2</v>
      </c>
      <c r="D50" s="812">
        <f t="shared" si="7"/>
        <v>0.1028955790311641</v>
      </c>
      <c r="E50" s="812">
        <f t="shared" si="7"/>
        <v>0.10628121744849814</v>
      </c>
      <c r="F50" s="812">
        <f t="shared" si="7"/>
        <v>0.10473580201613121</v>
      </c>
      <c r="G50" s="812">
        <f t="shared" si="7"/>
        <v>9.8692644718682401E-2</v>
      </c>
      <c r="H50" s="812">
        <f t="shared" si="7"/>
        <v>0.10966353890248096</v>
      </c>
      <c r="I50" s="812">
        <f t="shared" si="7"/>
        <v>0.10958113637175504</v>
      </c>
      <c r="J50" s="812">
        <f t="shared" si="7"/>
        <v>9.9676724830404545E-2</v>
      </c>
      <c r="K50" s="813"/>
      <c r="L50" s="149"/>
    </row>
    <row r="51" spans="1:13" x14ac:dyDescent="0.2">
      <c r="A51" s="2029"/>
      <c r="B51" s="1769"/>
      <c r="C51" s="1769"/>
      <c r="D51" s="1769"/>
      <c r="E51" s="1769"/>
      <c r="F51" s="2030"/>
      <c r="G51" s="721"/>
      <c r="H51" s="721"/>
      <c r="I51" s="716"/>
    </row>
    <row r="52" spans="1:13" x14ac:dyDescent="0.2">
      <c r="A52" s="2029"/>
      <c r="B52" s="1769"/>
      <c r="C52" s="1769"/>
      <c r="D52" s="1769"/>
      <c r="E52" s="1769"/>
      <c r="F52" s="2030"/>
      <c r="G52" s="721"/>
      <c r="H52" s="721"/>
      <c r="I52" s="438"/>
    </row>
    <row r="53" spans="1:13" x14ac:dyDescent="0.2">
      <c r="A53" s="78"/>
      <c r="B53" s="78"/>
      <c r="C53" s="78"/>
      <c r="D53" s="78"/>
      <c r="E53" s="78"/>
      <c r="F53" s="38"/>
      <c r="G53" s="38"/>
      <c r="H53" s="38"/>
    </row>
    <row r="54" spans="1:13" x14ac:dyDescent="0.2">
      <c r="A54" s="2029"/>
      <c r="B54" s="1769"/>
      <c r="C54" s="1769"/>
      <c r="D54" s="1769"/>
      <c r="E54" s="1769"/>
      <c r="F54" s="717"/>
      <c r="G54" s="717"/>
      <c r="H54" s="717"/>
      <c r="I54" s="120"/>
    </row>
    <row r="55" spans="1:13" x14ac:dyDescent="0.2">
      <c r="A55" s="2029"/>
      <c r="B55" s="1769"/>
      <c r="C55" s="1769"/>
      <c r="D55" s="1769"/>
      <c r="E55" s="1769"/>
      <c r="F55" s="116"/>
      <c r="G55" s="116"/>
      <c r="H55" s="116"/>
    </row>
    <row r="56" spans="1:13" x14ac:dyDescent="0.2">
      <c r="A56" s="134"/>
      <c r="B56" s="134"/>
      <c r="C56" s="134"/>
      <c r="D56" s="134"/>
      <c r="E56" s="134"/>
      <c r="F56" s="116"/>
      <c r="G56" s="116"/>
      <c r="H56" s="116"/>
    </row>
    <row r="57" spans="1:13" x14ac:dyDescent="0.2">
      <c r="A57" s="2029"/>
      <c r="B57" s="1769"/>
      <c r="C57" s="1769"/>
      <c r="D57" s="1769"/>
      <c r="E57" s="1769"/>
      <c r="F57" s="116"/>
      <c r="G57" s="116"/>
      <c r="H57" s="116"/>
      <c r="I57" s="438"/>
      <c r="J57" s="438"/>
      <c r="K57" s="438"/>
      <c r="L57" s="438"/>
      <c r="M57" s="438"/>
    </row>
    <row r="58" spans="1:13" x14ac:dyDescent="0.2">
      <c r="A58" s="2029"/>
      <c r="B58" s="1769"/>
      <c r="C58" s="1769"/>
      <c r="D58" s="1769"/>
      <c r="E58" s="1769"/>
      <c r="F58" s="116"/>
      <c r="G58" s="116"/>
      <c r="H58" s="116"/>
      <c r="I58" s="438"/>
      <c r="J58" s="438"/>
      <c r="K58" s="438"/>
      <c r="L58" s="438"/>
      <c r="M58" s="438"/>
    </row>
    <row r="59" spans="1:13" x14ac:dyDescent="0.2">
      <c r="A59" s="134"/>
      <c r="B59" s="134"/>
      <c r="C59" s="134"/>
      <c r="D59" s="134"/>
      <c r="E59" s="134"/>
      <c r="F59" s="116"/>
      <c r="G59" s="116"/>
      <c r="H59" s="116"/>
      <c r="I59" s="438"/>
      <c r="J59" s="438"/>
      <c r="K59" s="438"/>
      <c r="L59" s="438"/>
      <c r="M59" s="438"/>
    </row>
    <row r="60" spans="1:13" x14ac:dyDescent="0.2">
      <c r="A60" s="2031"/>
      <c r="B60" s="1770"/>
      <c r="C60" s="1770"/>
      <c r="D60" s="1770"/>
      <c r="E60" s="1770"/>
      <c r="F60" s="116"/>
      <c r="G60" s="116"/>
      <c r="H60" s="116"/>
      <c r="I60" s="438"/>
      <c r="J60" s="438"/>
      <c r="K60" s="438"/>
      <c r="L60" s="438"/>
      <c r="M60" s="438"/>
    </row>
    <row r="61" spans="1:13" x14ac:dyDescent="0.2">
      <c r="A61" s="2031"/>
      <c r="B61" s="1770"/>
      <c r="C61" s="1770"/>
      <c r="D61" s="1770"/>
      <c r="E61" s="1770"/>
      <c r="F61" s="116"/>
      <c r="G61" s="116"/>
      <c r="H61" s="116"/>
      <c r="I61" s="438"/>
      <c r="J61" s="438"/>
      <c r="K61" s="438"/>
      <c r="L61" s="438"/>
      <c r="M61" s="438"/>
    </row>
    <row r="62" spans="1:13" x14ac:dyDescent="0.2">
      <c r="A62" s="2031"/>
      <c r="B62" s="1770"/>
      <c r="C62" s="1770"/>
      <c r="D62" s="1770"/>
      <c r="E62" s="1770"/>
      <c r="F62" s="116"/>
      <c r="G62" s="116"/>
      <c r="H62" s="116"/>
      <c r="I62" s="438"/>
      <c r="J62" s="438"/>
      <c r="K62" s="438"/>
      <c r="L62" s="438"/>
      <c r="M62" s="438"/>
    </row>
    <row r="63" spans="1:13" x14ac:dyDescent="0.2">
      <c r="A63" s="2031"/>
      <c r="B63" s="1770"/>
      <c r="C63" s="1770"/>
      <c r="D63" s="1770"/>
      <c r="E63" s="1770"/>
      <c r="F63" s="116"/>
      <c r="G63" s="116"/>
      <c r="H63" s="116"/>
      <c r="I63" s="438"/>
      <c r="J63" s="438"/>
      <c r="K63" s="438"/>
      <c r="L63" s="438"/>
      <c r="M63" s="438"/>
    </row>
    <row r="64" spans="1:13" x14ac:dyDescent="0.2">
      <c r="A64" s="134"/>
      <c r="B64" s="134"/>
      <c r="C64" s="134"/>
      <c r="D64" s="134"/>
      <c r="E64" s="134"/>
      <c r="F64" s="116"/>
      <c r="G64" s="116"/>
      <c r="H64" s="116"/>
    </row>
    <row r="65" spans="1:13" x14ac:dyDescent="0.2">
      <c r="A65" s="2029"/>
      <c r="B65" s="1769"/>
      <c r="C65" s="1769"/>
      <c r="D65" s="1769"/>
      <c r="E65" s="1769"/>
      <c r="F65" s="116"/>
      <c r="G65" s="116"/>
      <c r="H65" s="116"/>
      <c r="I65" s="438"/>
      <c r="J65" s="438"/>
      <c r="K65" s="438"/>
      <c r="L65" s="438"/>
      <c r="M65" s="438"/>
    </row>
    <row r="66" spans="1:13" x14ac:dyDescent="0.2">
      <c r="A66" s="2029"/>
      <c r="B66" s="1769"/>
      <c r="C66" s="1769"/>
      <c r="D66" s="1769"/>
      <c r="E66" s="1769"/>
      <c r="F66" s="116"/>
      <c r="G66" s="116"/>
      <c r="H66" s="116"/>
      <c r="I66" s="438"/>
      <c r="J66" s="438"/>
      <c r="K66" s="438"/>
      <c r="L66" s="438"/>
      <c r="M66" s="438"/>
    </row>
    <row r="67" spans="1:13" x14ac:dyDescent="0.2">
      <c r="F67" s="116"/>
      <c r="G67" s="116"/>
      <c r="H67" s="116"/>
    </row>
    <row r="68" spans="1:13" x14ac:dyDescent="0.2">
      <c r="F68" s="116"/>
      <c r="G68" s="116"/>
      <c r="H68" s="116"/>
    </row>
    <row r="77" spans="1:13" x14ac:dyDescent="0.2">
      <c r="A77" s="116"/>
      <c r="B77" s="116"/>
      <c r="C77" s="116"/>
      <c r="D77" s="116"/>
      <c r="E77" s="116"/>
    </row>
  </sheetData>
  <mergeCells count="13">
    <mergeCell ref="A65:A66"/>
    <mergeCell ref="A51:A52"/>
    <mergeCell ref="F51:F52"/>
    <mergeCell ref="A54:A55"/>
    <mergeCell ref="A57:A58"/>
    <mergeCell ref="A60:A63"/>
    <mergeCell ref="A9:L9"/>
    <mergeCell ref="A10:L10"/>
    <mergeCell ref="A14:A16"/>
    <mergeCell ref="A32:A34"/>
    <mergeCell ref="L32:L34"/>
    <mergeCell ref="A12:J12"/>
    <mergeCell ref="A30:J30"/>
  </mergeCells>
  <dataValidations count="2">
    <dataValidation allowBlank="1" showInputMessage="1" showErrorMessage="1" promptTitle="Date Format" prompt="E.g:  &quot;August 1, 2011&quot;" sqref="WVT983038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JH65534 TD65534 ACZ65534 AMV65534 AWR65534 BGN65534 BQJ65534 CAF65534 CKB65534 CTX65534 DDT65534 DNP65534 DXL65534 EHH65534 ERD65534 FAZ65534 FKV65534 FUR65534 GEN65534 GOJ65534 GYF65534 HIB65534 HRX65534 IBT65534 ILP65534 IVL65534 JFH65534 JPD65534 JYZ65534 KIV65534 KSR65534 LCN65534 LMJ65534 LWF65534 MGB65534 MPX65534 MZT65534 NJP65534 NTL65534 ODH65534 OND65534 OWZ65534 PGV65534 PQR65534 QAN65534 QKJ65534 QUF65534 REB65534 RNX65534 RXT65534 SHP65534 SRL65534 TBH65534 TLD65534 TUZ65534 UEV65534 UOR65534 UYN65534 VIJ65534 VSF65534 WCB65534 WLX65534 WVT65534 JH131070 TD131070 ACZ131070 AMV131070 AWR131070 BGN131070 BQJ131070 CAF131070 CKB131070 CTX131070 DDT131070 DNP131070 DXL131070 EHH131070 ERD131070 FAZ131070 FKV131070 FUR131070 GEN131070 GOJ131070 GYF131070 HIB131070 HRX131070 IBT131070 ILP131070 IVL131070 JFH131070 JPD131070 JYZ131070 KIV131070 KSR131070 LCN131070 LMJ131070 LWF131070 MGB131070 MPX131070 MZT131070 NJP131070 NTL131070 ODH131070 OND131070 OWZ131070 PGV131070 PQR131070 QAN131070 QKJ131070 QUF131070 REB131070 RNX131070 RXT131070 SHP131070 SRL131070 TBH131070 TLD131070 TUZ131070 UEV131070 UOR131070 UYN131070 VIJ131070 VSF131070 WCB131070 WLX131070 WVT131070 JH196606 TD196606 ACZ196606 AMV196606 AWR196606 BGN196606 BQJ196606 CAF196606 CKB196606 CTX196606 DDT196606 DNP196606 DXL196606 EHH196606 ERD196606 FAZ196606 FKV196606 FUR196606 GEN196606 GOJ196606 GYF196606 HIB196606 HRX196606 IBT196606 ILP196606 IVL196606 JFH196606 JPD196606 JYZ196606 KIV196606 KSR196606 LCN196606 LMJ196606 LWF196606 MGB196606 MPX196606 MZT196606 NJP196606 NTL196606 ODH196606 OND196606 OWZ196606 PGV196606 PQR196606 QAN196606 QKJ196606 QUF196606 REB196606 RNX196606 RXT196606 SHP196606 SRL196606 TBH196606 TLD196606 TUZ196606 UEV196606 UOR196606 UYN196606 VIJ196606 VSF196606 WCB196606 WLX196606 WVT196606 JH262142 TD262142 ACZ262142 AMV262142 AWR262142 BGN262142 BQJ262142 CAF262142 CKB262142 CTX262142 DDT262142 DNP262142 DXL262142 EHH262142 ERD262142 FAZ262142 FKV262142 FUR262142 GEN262142 GOJ262142 GYF262142 HIB262142 HRX262142 IBT262142 ILP262142 IVL262142 JFH262142 JPD262142 JYZ262142 KIV262142 KSR262142 LCN262142 LMJ262142 LWF262142 MGB262142 MPX262142 MZT262142 NJP262142 NTL262142 ODH262142 OND262142 OWZ262142 PGV262142 PQR262142 QAN262142 QKJ262142 QUF262142 REB262142 RNX262142 RXT262142 SHP262142 SRL262142 TBH262142 TLD262142 TUZ262142 UEV262142 UOR262142 UYN262142 VIJ262142 VSF262142 WCB262142 WLX262142 WVT262142 JH327678 TD327678 ACZ327678 AMV327678 AWR327678 BGN327678 BQJ327678 CAF327678 CKB327678 CTX327678 DDT327678 DNP327678 DXL327678 EHH327678 ERD327678 FAZ327678 FKV327678 FUR327678 GEN327678 GOJ327678 GYF327678 HIB327678 HRX327678 IBT327678 ILP327678 IVL327678 JFH327678 JPD327678 JYZ327678 KIV327678 KSR327678 LCN327678 LMJ327678 LWF327678 MGB327678 MPX327678 MZT327678 NJP327678 NTL327678 ODH327678 OND327678 OWZ327678 PGV327678 PQR327678 QAN327678 QKJ327678 QUF327678 REB327678 RNX327678 RXT327678 SHP327678 SRL327678 TBH327678 TLD327678 TUZ327678 UEV327678 UOR327678 UYN327678 VIJ327678 VSF327678 WCB327678 WLX327678 WVT327678 JH393214 TD393214 ACZ393214 AMV393214 AWR393214 BGN393214 BQJ393214 CAF393214 CKB393214 CTX393214 DDT393214 DNP393214 DXL393214 EHH393214 ERD393214 FAZ393214 FKV393214 FUR393214 GEN393214 GOJ393214 GYF393214 HIB393214 HRX393214 IBT393214 ILP393214 IVL393214 JFH393214 JPD393214 JYZ393214 KIV393214 KSR393214 LCN393214 LMJ393214 LWF393214 MGB393214 MPX393214 MZT393214 NJP393214 NTL393214 ODH393214 OND393214 OWZ393214 PGV393214 PQR393214 QAN393214 QKJ393214 QUF393214 REB393214 RNX393214 RXT393214 SHP393214 SRL393214 TBH393214 TLD393214 TUZ393214 UEV393214 UOR393214 UYN393214 VIJ393214 VSF393214 WCB393214 WLX393214 WVT393214 JH458750 TD458750 ACZ458750 AMV458750 AWR458750 BGN458750 BQJ458750 CAF458750 CKB458750 CTX458750 DDT458750 DNP458750 DXL458750 EHH458750 ERD458750 FAZ458750 FKV458750 FUR458750 GEN458750 GOJ458750 GYF458750 HIB458750 HRX458750 IBT458750 ILP458750 IVL458750 JFH458750 JPD458750 JYZ458750 KIV458750 KSR458750 LCN458750 LMJ458750 LWF458750 MGB458750 MPX458750 MZT458750 NJP458750 NTL458750 ODH458750 OND458750 OWZ458750 PGV458750 PQR458750 QAN458750 QKJ458750 QUF458750 REB458750 RNX458750 RXT458750 SHP458750 SRL458750 TBH458750 TLD458750 TUZ458750 UEV458750 UOR458750 UYN458750 VIJ458750 VSF458750 WCB458750 WLX458750 WVT458750 JH524286 TD524286 ACZ524286 AMV524286 AWR524286 BGN524286 BQJ524286 CAF524286 CKB524286 CTX524286 DDT524286 DNP524286 DXL524286 EHH524286 ERD524286 FAZ524286 FKV524286 FUR524286 GEN524286 GOJ524286 GYF524286 HIB524286 HRX524286 IBT524286 ILP524286 IVL524286 JFH524286 JPD524286 JYZ524286 KIV524286 KSR524286 LCN524286 LMJ524286 LWF524286 MGB524286 MPX524286 MZT524286 NJP524286 NTL524286 ODH524286 OND524286 OWZ524286 PGV524286 PQR524286 QAN524286 QKJ524286 QUF524286 REB524286 RNX524286 RXT524286 SHP524286 SRL524286 TBH524286 TLD524286 TUZ524286 UEV524286 UOR524286 UYN524286 VIJ524286 VSF524286 WCB524286 WLX524286 WVT524286 JH589822 TD589822 ACZ589822 AMV589822 AWR589822 BGN589822 BQJ589822 CAF589822 CKB589822 CTX589822 DDT589822 DNP589822 DXL589822 EHH589822 ERD589822 FAZ589822 FKV589822 FUR589822 GEN589822 GOJ589822 GYF589822 HIB589822 HRX589822 IBT589822 ILP589822 IVL589822 JFH589822 JPD589822 JYZ589822 KIV589822 KSR589822 LCN589822 LMJ589822 LWF589822 MGB589822 MPX589822 MZT589822 NJP589822 NTL589822 ODH589822 OND589822 OWZ589822 PGV589822 PQR589822 QAN589822 QKJ589822 QUF589822 REB589822 RNX589822 RXT589822 SHP589822 SRL589822 TBH589822 TLD589822 TUZ589822 UEV589822 UOR589822 UYN589822 VIJ589822 VSF589822 WCB589822 WLX589822 WVT589822 JH655358 TD655358 ACZ655358 AMV655358 AWR655358 BGN655358 BQJ655358 CAF655358 CKB655358 CTX655358 DDT655358 DNP655358 DXL655358 EHH655358 ERD655358 FAZ655358 FKV655358 FUR655358 GEN655358 GOJ655358 GYF655358 HIB655358 HRX655358 IBT655358 ILP655358 IVL655358 JFH655358 JPD655358 JYZ655358 KIV655358 KSR655358 LCN655358 LMJ655358 LWF655358 MGB655358 MPX655358 MZT655358 NJP655358 NTL655358 ODH655358 OND655358 OWZ655358 PGV655358 PQR655358 QAN655358 QKJ655358 QUF655358 REB655358 RNX655358 RXT655358 SHP655358 SRL655358 TBH655358 TLD655358 TUZ655358 UEV655358 UOR655358 UYN655358 VIJ655358 VSF655358 WCB655358 WLX655358 WVT655358 JH720894 TD720894 ACZ720894 AMV720894 AWR720894 BGN720894 BQJ720894 CAF720894 CKB720894 CTX720894 DDT720894 DNP720894 DXL720894 EHH720894 ERD720894 FAZ720894 FKV720894 FUR720894 GEN720894 GOJ720894 GYF720894 HIB720894 HRX720894 IBT720894 ILP720894 IVL720894 JFH720894 JPD720894 JYZ720894 KIV720894 KSR720894 LCN720894 LMJ720894 LWF720894 MGB720894 MPX720894 MZT720894 NJP720894 NTL720894 ODH720894 OND720894 OWZ720894 PGV720894 PQR720894 QAN720894 QKJ720894 QUF720894 REB720894 RNX720894 RXT720894 SHP720894 SRL720894 TBH720894 TLD720894 TUZ720894 UEV720894 UOR720894 UYN720894 VIJ720894 VSF720894 WCB720894 WLX720894 WVT720894 JH786430 TD786430 ACZ786430 AMV786430 AWR786430 BGN786430 BQJ786430 CAF786430 CKB786430 CTX786430 DDT786430 DNP786430 DXL786430 EHH786430 ERD786430 FAZ786430 FKV786430 FUR786430 GEN786430 GOJ786430 GYF786430 HIB786430 HRX786430 IBT786430 ILP786430 IVL786430 JFH786430 JPD786430 JYZ786430 KIV786430 KSR786430 LCN786430 LMJ786430 LWF786430 MGB786430 MPX786430 MZT786430 NJP786430 NTL786430 ODH786430 OND786430 OWZ786430 PGV786430 PQR786430 QAN786430 QKJ786430 QUF786430 REB786430 RNX786430 RXT786430 SHP786430 SRL786430 TBH786430 TLD786430 TUZ786430 UEV786430 UOR786430 UYN786430 VIJ786430 VSF786430 WCB786430 WLX786430 WVT786430 JH851966 TD851966 ACZ851966 AMV851966 AWR851966 BGN851966 BQJ851966 CAF851966 CKB851966 CTX851966 DDT851966 DNP851966 DXL851966 EHH851966 ERD851966 FAZ851966 FKV851966 FUR851966 GEN851966 GOJ851966 GYF851966 HIB851966 HRX851966 IBT851966 ILP851966 IVL851966 JFH851966 JPD851966 JYZ851966 KIV851966 KSR851966 LCN851966 LMJ851966 LWF851966 MGB851966 MPX851966 MZT851966 NJP851966 NTL851966 ODH851966 OND851966 OWZ851966 PGV851966 PQR851966 QAN851966 QKJ851966 QUF851966 REB851966 RNX851966 RXT851966 SHP851966 SRL851966 TBH851966 TLD851966 TUZ851966 UEV851966 UOR851966 UYN851966 VIJ851966 VSF851966 WCB851966 WLX851966 WVT851966 JH917502 TD917502 ACZ917502 AMV917502 AWR917502 BGN917502 BQJ917502 CAF917502 CKB917502 CTX917502 DDT917502 DNP917502 DXL917502 EHH917502 ERD917502 FAZ917502 FKV917502 FUR917502 GEN917502 GOJ917502 GYF917502 HIB917502 HRX917502 IBT917502 ILP917502 IVL917502 JFH917502 JPD917502 JYZ917502 KIV917502 KSR917502 LCN917502 LMJ917502 LWF917502 MGB917502 MPX917502 MZT917502 NJP917502 NTL917502 ODH917502 OND917502 OWZ917502 PGV917502 PQR917502 QAN917502 QKJ917502 QUF917502 REB917502 RNX917502 RXT917502 SHP917502 SRL917502 TBH917502 TLD917502 TUZ917502 UEV917502 UOR917502 UYN917502 VIJ917502 VSF917502 WCB917502 WLX917502 WVT917502 JH983038 TD983038 ACZ983038 AMV983038 AWR983038 BGN983038 BQJ983038 CAF983038 CKB983038 CTX983038 DDT983038 DNP983038 DXL983038 EHH983038 ERD983038 FAZ983038 FKV983038 FUR983038 GEN983038 GOJ983038 GYF983038 HIB983038 HRX983038 IBT983038 ILP983038 IVL983038 JFH983038 JPD983038 JYZ983038 KIV983038 KSR983038 LCN983038 LMJ983038 LWF983038 MGB983038 MPX983038 MZT983038 NJP983038 NTL983038 ODH983038 OND983038 OWZ983038 PGV983038 PQR983038 QAN983038 QKJ983038 QUF983038 REB983038 RNX983038 RXT983038 SHP983038 SRL983038 TBH983038 TLD983038 TUZ983038 UEV983038 UOR983038 UYN983038 VIJ983038 VSF983038 WCB983038 WLX983038" xr:uid="{00000000-0002-0000-0D00-000000000000}"/>
    <dataValidation type="list" allowBlank="1" showInputMessage="1" showErrorMessage="1" sqref="K35:K47" xr:uid="{00000000-0002-0000-0D00-000001000000}">
      <formula1>"Yes, No"</formula1>
    </dataValidation>
  </dataValidations>
  <pageMargins left="0.75" right="0.75" top="1" bottom="1" header="0.5" footer="0.5"/>
  <pageSetup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tabColor rgb="FFFFC000"/>
    <pageSetUpPr fitToPage="1"/>
  </sheetPr>
  <dimension ref="A1:O59"/>
  <sheetViews>
    <sheetView showGridLines="0" zoomScaleNormal="100" workbookViewId="0">
      <selection activeCell="L2" sqref="L2:L7"/>
    </sheetView>
  </sheetViews>
  <sheetFormatPr defaultRowHeight="15" x14ac:dyDescent="0.25"/>
  <cols>
    <col min="1" max="1" width="60.42578125" style="150" customWidth="1"/>
    <col min="2" max="2" width="14.42578125" style="150" customWidth="1"/>
    <col min="3" max="9" width="13.7109375" style="150" customWidth="1"/>
    <col min="10" max="10" width="10.28515625" style="150" bestFit="1" customWidth="1"/>
    <col min="11" max="11" width="15.42578125" style="150" customWidth="1"/>
    <col min="12" max="12" width="11" style="150" bestFit="1" customWidth="1"/>
    <col min="13" max="13" width="9.28515625" style="150" bestFit="1" customWidth="1"/>
    <col min="14" max="259" width="9.28515625" style="150"/>
    <col min="260" max="260" width="51.7109375" style="150" customWidth="1"/>
    <col min="261" max="266" width="9.28515625" style="150"/>
    <col min="267" max="267" width="10.7109375" style="150" customWidth="1"/>
    <col min="268" max="515" width="9.28515625" style="150"/>
    <col min="516" max="516" width="51.7109375" style="150" customWidth="1"/>
    <col min="517" max="522" width="9.28515625" style="150"/>
    <col min="523" max="523" width="10.7109375" style="150" customWidth="1"/>
    <col min="524" max="771" width="9.28515625" style="150"/>
    <col min="772" max="772" width="51.7109375" style="150" customWidth="1"/>
    <col min="773" max="778" width="9.28515625" style="150"/>
    <col min="779" max="779" width="10.7109375" style="150" customWidth="1"/>
    <col min="780" max="1027" width="9.28515625" style="150"/>
    <col min="1028" max="1028" width="51.7109375" style="150" customWidth="1"/>
    <col min="1029" max="1034" width="9.28515625" style="150"/>
    <col min="1035" max="1035" width="10.7109375" style="150" customWidth="1"/>
    <col min="1036" max="1283" width="9.28515625" style="150"/>
    <col min="1284" max="1284" width="51.7109375" style="150" customWidth="1"/>
    <col min="1285" max="1290" width="9.28515625" style="150"/>
    <col min="1291" max="1291" width="10.7109375" style="150" customWidth="1"/>
    <col min="1292" max="1539" width="9.28515625" style="150"/>
    <col min="1540" max="1540" width="51.7109375" style="150" customWidth="1"/>
    <col min="1541" max="1546" width="9.28515625" style="150"/>
    <col min="1547" max="1547" width="10.7109375" style="150" customWidth="1"/>
    <col min="1548" max="1795" width="9.28515625" style="150"/>
    <col min="1796" max="1796" width="51.7109375" style="150" customWidth="1"/>
    <col min="1797" max="1802" width="9.28515625" style="150"/>
    <col min="1803" max="1803" width="10.7109375" style="150" customWidth="1"/>
    <col min="1804" max="2051" width="9.28515625" style="150"/>
    <col min="2052" max="2052" width="51.7109375" style="150" customWidth="1"/>
    <col min="2053" max="2058" width="9.28515625" style="150"/>
    <col min="2059" max="2059" width="10.7109375" style="150" customWidth="1"/>
    <col min="2060" max="2307" width="9.28515625" style="150"/>
    <col min="2308" max="2308" width="51.7109375" style="150" customWidth="1"/>
    <col min="2309" max="2314" width="9.28515625" style="150"/>
    <col min="2315" max="2315" width="10.7109375" style="150" customWidth="1"/>
    <col min="2316" max="2563" width="9.28515625" style="150"/>
    <col min="2564" max="2564" width="51.7109375" style="150" customWidth="1"/>
    <col min="2565" max="2570" width="9.28515625" style="150"/>
    <col min="2571" max="2571" width="10.7109375" style="150" customWidth="1"/>
    <col min="2572" max="2819" width="9.28515625" style="150"/>
    <col min="2820" max="2820" width="51.7109375" style="150" customWidth="1"/>
    <col min="2821" max="2826" width="9.28515625" style="150"/>
    <col min="2827" max="2827" width="10.7109375" style="150" customWidth="1"/>
    <col min="2828" max="3075" width="9.28515625" style="150"/>
    <col min="3076" max="3076" width="51.7109375" style="150" customWidth="1"/>
    <col min="3077" max="3082" width="9.28515625" style="150"/>
    <col min="3083" max="3083" width="10.7109375" style="150" customWidth="1"/>
    <col min="3084" max="3331" width="9.28515625" style="150"/>
    <col min="3332" max="3332" width="51.7109375" style="150" customWidth="1"/>
    <col min="3333" max="3338" width="9.28515625" style="150"/>
    <col min="3339" max="3339" width="10.7109375" style="150" customWidth="1"/>
    <col min="3340" max="3587" width="9.28515625" style="150"/>
    <col min="3588" max="3588" width="51.7109375" style="150" customWidth="1"/>
    <col min="3589" max="3594" width="9.28515625" style="150"/>
    <col min="3595" max="3595" width="10.7109375" style="150" customWidth="1"/>
    <col min="3596" max="3843" width="9.28515625" style="150"/>
    <col min="3844" max="3844" width="51.7109375" style="150" customWidth="1"/>
    <col min="3845" max="3850" width="9.28515625" style="150"/>
    <col min="3851" max="3851" width="10.7109375" style="150" customWidth="1"/>
    <col min="3852" max="4099" width="9.28515625" style="150"/>
    <col min="4100" max="4100" width="51.7109375" style="150" customWidth="1"/>
    <col min="4101" max="4106" width="9.28515625" style="150"/>
    <col min="4107" max="4107" width="10.7109375" style="150" customWidth="1"/>
    <col min="4108" max="4355" width="9.28515625" style="150"/>
    <col min="4356" max="4356" width="51.7109375" style="150" customWidth="1"/>
    <col min="4357" max="4362" width="9.28515625" style="150"/>
    <col min="4363" max="4363" width="10.7109375" style="150" customWidth="1"/>
    <col min="4364" max="4611" width="9.28515625" style="150"/>
    <col min="4612" max="4612" width="51.7109375" style="150" customWidth="1"/>
    <col min="4613" max="4618" width="9.28515625" style="150"/>
    <col min="4619" max="4619" width="10.7109375" style="150" customWidth="1"/>
    <col min="4620" max="4867" width="9.28515625" style="150"/>
    <col min="4868" max="4868" width="51.7109375" style="150" customWidth="1"/>
    <col min="4869" max="4874" width="9.28515625" style="150"/>
    <col min="4875" max="4875" width="10.7109375" style="150" customWidth="1"/>
    <col min="4876" max="5123" width="9.28515625" style="150"/>
    <col min="5124" max="5124" width="51.7109375" style="150" customWidth="1"/>
    <col min="5125" max="5130" width="9.28515625" style="150"/>
    <col min="5131" max="5131" width="10.7109375" style="150" customWidth="1"/>
    <col min="5132" max="5379" width="9.28515625" style="150"/>
    <col min="5380" max="5380" width="51.7109375" style="150" customWidth="1"/>
    <col min="5381" max="5386" width="9.28515625" style="150"/>
    <col min="5387" max="5387" width="10.7109375" style="150" customWidth="1"/>
    <col min="5388" max="5635" width="9.28515625" style="150"/>
    <col min="5636" max="5636" width="51.7109375" style="150" customWidth="1"/>
    <col min="5637" max="5642" width="9.28515625" style="150"/>
    <col min="5643" max="5643" width="10.7109375" style="150" customWidth="1"/>
    <col min="5644" max="5891" width="9.28515625" style="150"/>
    <col min="5892" max="5892" width="51.7109375" style="150" customWidth="1"/>
    <col min="5893" max="5898" width="9.28515625" style="150"/>
    <col min="5899" max="5899" width="10.7109375" style="150" customWidth="1"/>
    <col min="5900" max="6147" width="9.28515625" style="150"/>
    <col min="6148" max="6148" width="51.7109375" style="150" customWidth="1"/>
    <col min="6149" max="6154" width="9.28515625" style="150"/>
    <col min="6155" max="6155" width="10.7109375" style="150" customWidth="1"/>
    <col min="6156" max="6403" width="9.28515625" style="150"/>
    <col min="6404" max="6404" width="51.7109375" style="150" customWidth="1"/>
    <col min="6405" max="6410" width="9.28515625" style="150"/>
    <col min="6411" max="6411" width="10.7109375" style="150" customWidth="1"/>
    <col min="6412" max="6659" width="9.28515625" style="150"/>
    <col min="6660" max="6660" width="51.7109375" style="150" customWidth="1"/>
    <col min="6661" max="6666" width="9.28515625" style="150"/>
    <col min="6667" max="6667" width="10.7109375" style="150" customWidth="1"/>
    <col min="6668" max="6915" width="9.28515625" style="150"/>
    <col min="6916" max="6916" width="51.7109375" style="150" customWidth="1"/>
    <col min="6917" max="6922" width="9.28515625" style="150"/>
    <col min="6923" max="6923" width="10.7109375" style="150" customWidth="1"/>
    <col min="6924" max="7171" width="9.28515625" style="150"/>
    <col min="7172" max="7172" width="51.7109375" style="150" customWidth="1"/>
    <col min="7173" max="7178" width="9.28515625" style="150"/>
    <col min="7179" max="7179" width="10.7109375" style="150" customWidth="1"/>
    <col min="7180" max="7427" width="9.28515625" style="150"/>
    <col min="7428" max="7428" width="51.7109375" style="150" customWidth="1"/>
    <col min="7429" max="7434" width="9.28515625" style="150"/>
    <col min="7435" max="7435" width="10.7109375" style="150" customWidth="1"/>
    <col min="7436" max="7683" width="9.28515625" style="150"/>
    <col min="7684" max="7684" width="51.7109375" style="150" customWidth="1"/>
    <col min="7685" max="7690" width="9.28515625" style="150"/>
    <col min="7691" max="7691" width="10.7109375" style="150" customWidth="1"/>
    <col min="7692" max="7939" width="9.28515625" style="150"/>
    <col min="7940" max="7940" width="51.7109375" style="150" customWidth="1"/>
    <col min="7941" max="7946" width="9.28515625" style="150"/>
    <col min="7947" max="7947" width="10.7109375" style="150" customWidth="1"/>
    <col min="7948" max="8195" width="9.28515625" style="150"/>
    <col min="8196" max="8196" width="51.7109375" style="150" customWidth="1"/>
    <col min="8197" max="8202" width="9.28515625" style="150"/>
    <col min="8203" max="8203" width="10.7109375" style="150" customWidth="1"/>
    <col min="8204" max="8451" width="9.28515625" style="150"/>
    <col min="8452" max="8452" width="51.7109375" style="150" customWidth="1"/>
    <col min="8453" max="8458" width="9.28515625" style="150"/>
    <col min="8459" max="8459" width="10.7109375" style="150" customWidth="1"/>
    <col min="8460" max="8707" width="9.28515625" style="150"/>
    <col min="8708" max="8708" width="51.7109375" style="150" customWidth="1"/>
    <col min="8709" max="8714" width="9.28515625" style="150"/>
    <col min="8715" max="8715" width="10.7109375" style="150" customWidth="1"/>
    <col min="8716" max="8963" width="9.28515625" style="150"/>
    <col min="8964" max="8964" width="51.7109375" style="150" customWidth="1"/>
    <col min="8965" max="8970" width="9.28515625" style="150"/>
    <col min="8971" max="8971" width="10.7109375" style="150" customWidth="1"/>
    <col min="8972" max="9219" width="9.28515625" style="150"/>
    <col min="9220" max="9220" width="51.7109375" style="150" customWidth="1"/>
    <col min="9221" max="9226" width="9.28515625" style="150"/>
    <col min="9227" max="9227" width="10.7109375" style="150" customWidth="1"/>
    <col min="9228" max="9475" width="9.28515625" style="150"/>
    <col min="9476" max="9476" width="51.7109375" style="150" customWidth="1"/>
    <col min="9477" max="9482" width="9.28515625" style="150"/>
    <col min="9483" max="9483" width="10.7109375" style="150" customWidth="1"/>
    <col min="9484" max="9731" width="9.28515625" style="150"/>
    <col min="9732" max="9732" width="51.7109375" style="150" customWidth="1"/>
    <col min="9733" max="9738" width="9.28515625" style="150"/>
    <col min="9739" max="9739" width="10.7109375" style="150" customWidth="1"/>
    <col min="9740" max="9987" width="9.28515625" style="150"/>
    <col min="9988" max="9988" width="51.7109375" style="150" customWidth="1"/>
    <col min="9989" max="9994" width="9.28515625" style="150"/>
    <col min="9995" max="9995" width="10.7109375" style="150" customWidth="1"/>
    <col min="9996" max="10243" width="9.28515625" style="150"/>
    <col min="10244" max="10244" width="51.7109375" style="150" customWidth="1"/>
    <col min="10245" max="10250" width="9.28515625" style="150"/>
    <col min="10251" max="10251" width="10.7109375" style="150" customWidth="1"/>
    <col min="10252" max="10499" width="9.28515625" style="150"/>
    <col min="10500" max="10500" width="51.7109375" style="150" customWidth="1"/>
    <col min="10501" max="10506" width="9.28515625" style="150"/>
    <col min="10507" max="10507" width="10.7109375" style="150" customWidth="1"/>
    <col min="10508" max="10755" width="9.28515625" style="150"/>
    <col min="10756" max="10756" width="51.7109375" style="150" customWidth="1"/>
    <col min="10757" max="10762" width="9.28515625" style="150"/>
    <col min="10763" max="10763" width="10.7109375" style="150" customWidth="1"/>
    <col min="10764" max="11011" width="9.28515625" style="150"/>
    <col min="11012" max="11012" width="51.7109375" style="150" customWidth="1"/>
    <col min="11013" max="11018" width="9.28515625" style="150"/>
    <col min="11019" max="11019" width="10.7109375" style="150" customWidth="1"/>
    <col min="11020" max="11267" width="9.28515625" style="150"/>
    <col min="11268" max="11268" width="51.7109375" style="150" customWidth="1"/>
    <col min="11269" max="11274" width="9.28515625" style="150"/>
    <col min="11275" max="11275" width="10.7109375" style="150" customWidth="1"/>
    <col min="11276" max="11523" width="9.28515625" style="150"/>
    <col min="11524" max="11524" width="51.7109375" style="150" customWidth="1"/>
    <col min="11525" max="11530" width="9.28515625" style="150"/>
    <col min="11531" max="11531" width="10.7109375" style="150" customWidth="1"/>
    <col min="11532" max="11779" width="9.28515625" style="150"/>
    <col min="11780" max="11780" width="51.7109375" style="150" customWidth="1"/>
    <col min="11781" max="11786" width="9.28515625" style="150"/>
    <col min="11787" max="11787" width="10.7109375" style="150" customWidth="1"/>
    <col min="11788" max="12035" width="9.28515625" style="150"/>
    <col min="12036" max="12036" width="51.7109375" style="150" customWidth="1"/>
    <col min="12037" max="12042" width="9.28515625" style="150"/>
    <col min="12043" max="12043" width="10.7109375" style="150" customWidth="1"/>
    <col min="12044" max="12291" width="9.28515625" style="150"/>
    <col min="12292" max="12292" width="51.7109375" style="150" customWidth="1"/>
    <col min="12293" max="12298" width="9.28515625" style="150"/>
    <col min="12299" max="12299" width="10.7109375" style="150" customWidth="1"/>
    <col min="12300" max="12547" width="9.28515625" style="150"/>
    <col min="12548" max="12548" width="51.7109375" style="150" customWidth="1"/>
    <col min="12549" max="12554" width="9.28515625" style="150"/>
    <col min="12555" max="12555" width="10.7109375" style="150" customWidth="1"/>
    <col min="12556" max="12803" width="9.28515625" style="150"/>
    <col min="12804" max="12804" width="51.7109375" style="150" customWidth="1"/>
    <col min="12805" max="12810" width="9.28515625" style="150"/>
    <col min="12811" max="12811" width="10.7109375" style="150" customWidth="1"/>
    <col min="12812" max="13059" width="9.28515625" style="150"/>
    <col min="13060" max="13060" width="51.7109375" style="150" customWidth="1"/>
    <col min="13061" max="13066" width="9.28515625" style="150"/>
    <col min="13067" max="13067" width="10.7109375" style="150" customWidth="1"/>
    <col min="13068" max="13315" width="9.28515625" style="150"/>
    <col min="13316" max="13316" width="51.7109375" style="150" customWidth="1"/>
    <col min="13317" max="13322" width="9.28515625" style="150"/>
    <col min="13323" max="13323" width="10.7109375" style="150" customWidth="1"/>
    <col min="13324" max="13571" width="9.28515625" style="150"/>
    <col min="13572" max="13572" width="51.7109375" style="150" customWidth="1"/>
    <col min="13573" max="13578" width="9.28515625" style="150"/>
    <col min="13579" max="13579" width="10.7109375" style="150" customWidth="1"/>
    <col min="13580" max="13827" width="9.28515625" style="150"/>
    <col min="13828" max="13828" width="51.7109375" style="150" customWidth="1"/>
    <col min="13829" max="13834" width="9.28515625" style="150"/>
    <col min="13835" max="13835" width="10.7109375" style="150" customWidth="1"/>
    <col min="13836" max="14083" width="9.28515625" style="150"/>
    <col min="14084" max="14084" width="51.7109375" style="150" customWidth="1"/>
    <col min="14085" max="14090" width="9.28515625" style="150"/>
    <col min="14091" max="14091" width="10.7109375" style="150" customWidth="1"/>
    <col min="14092" max="14339" width="9.28515625" style="150"/>
    <col min="14340" max="14340" width="51.7109375" style="150" customWidth="1"/>
    <col min="14341" max="14346" width="9.28515625" style="150"/>
    <col min="14347" max="14347" width="10.7109375" style="150" customWidth="1"/>
    <col min="14348" max="14595" width="9.28515625" style="150"/>
    <col min="14596" max="14596" width="51.7109375" style="150" customWidth="1"/>
    <col min="14597" max="14602" width="9.28515625" style="150"/>
    <col min="14603" max="14603" width="10.7109375" style="150" customWidth="1"/>
    <col min="14604" max="14851" width="9.28515625" style="150"/>
    <col min="14852" max="14852" width="51.7109375" style="150" customWidth="1"/>
    <col min="14853" max="14858" width="9.28515625" style="150"/>
    <col min="14859" max="14859" width="10.7109375" style="150" customWidth="1"/>
    <col min="14860" max="15107" width="9.28515625" style="150"/>
    <col min="15108" max="15108" width="51.7109375" style="150" customWidth="1"/>
    <col min="15109" max="15114" width="9.28515625" style="150"/>
    <col min="15115" max="15115" width="10.7109375" style="150" customWidth="1"/>
    <col min="15116" max="15363" width="9.28515625" style="150"/>
    <col min="15364" max="15364" width="51.7109375" style="150" customWidth="1"/>
    <col min="15365" max="15370" width="9.28515625" style="150"/>
    <col min="15371" max="15371" width="10.7109375" style="150" customWidth="1"/>
    <col min="15372" max="15619" width="9.28515625" style="150"/>
    <col min="15620" max="15620" width="51.7109375" style="150" customWidth="1"/>
    <col min="15621" max="15626" width="9.28515625" style="150"/>
    <col min="15627" max="15627" width="10.7109375" style="150" customWidth="1"/>
    <col min="15628" max="15875" width="9.28515625" style="150"/>
    <col min="15876" max="15876" width="51.7109375" style="150" customWidth="1"/>
    <col min="15877" max="15882" width="9.28515625" style="150"/>
    <col min="15883" max="15883" width="10.7109375" style="150" customWidth="1"/>
    <col min="15884" max="16131" width="9.28515625" style="150"/>
    <col min="16132" max="16132" width="51.7109375" style="150" customWidth="1"/>
    <col min="16133" max="16138" width="9.28515625" style="150"/>
    <col min="16139" max="16139" width="10.7109375" style="150" customWidth="1"/>
    <col min="16140" max="16384" width="9.28515625" style="150"/>
  </cols>
  <sheetData>
    <row r="1" spans="1:15" x14ac:dyDescent="0.25">
      <c r="A1" s="34"/>
      <c r="B1" s="34"/>
      <c r="C1" s="34"/>
      <c r="D1" s="34"/>
      <c r="E1" s="34"/>
      <c r="F1" s="34"/>
      <c r="G1" s="34"/>
      <c r="H1" s="34"/>
      <c r="I1" s="34"/>
      <c r="J1" s="34"/>
      <c r="K1" s="79" t="s">
        <v>264</v>
      </c>
      <c r="L1" s="590" t="str">
        <f>EBNUMBER</f>
        <v>EB-2019-0037</v>
      </c>
    </row>
    <row r="2" spans="1:15" x14ac:dyDescent="0.25">
      <c r="A2" s="34"/>
      <c r="B2" s="34"/>
      <c r="C2" s="34"/>
      <c r="D2" s="34"/>
      <c r="E2" s="34"/>
      <c r="F2" s="34"/>
      <c r="G2" s="34"/>
      <c r="H2" s="34"/>
      <c r="I2" s="34"/>
      <c r="J2" s="34"/>
      <c r="K2" s="79" t="s">
        <v>265</v>
      </c>
      <c r="L2" s="33"/>
    </row>
    <row r="3" spans="1:15" x14ac:dyDescent="0.25">
      <c r="A3" s="34"/>
      <c r="B3" s="34"/>
      <c r="C3" s="34"/>
      <c r="D3" s="34"/>
      <c r="E3" s="34"/>
      <c r="F3" s="34"/>
      <c r="G3" s="34"/>
      <c r="H3" s="34"/>
      <c r="I3" s="34"/>
      <c r="J3" s="34"/>
      <c r="K3" s="79" t="s">
        <v>266</v>
      </c>
      <c r="L3" s="33"/>
    </row>
    <row r="4" spans="1:15" x14ac:dyDescent="0.25">
      <c r="A4" s="34"/>
      <c r="B4" s="34"/>
      <c r="C4" s="34"/>
      <c r="D4" s="34"/>
      <c r="E4" s="34"/>
      <c r="F4" s="34"/>
      <c r="G4" s="34"/>
      <c r="H4" s="34"/>
      <c r="I4" s="34"/>
      <c r="J4" s="34"/>
      <c r="K4" s="79" t="s">
        <v>267</v>
      </c>
      <c r="L4" s="33"/>
    </row>
    <row r="5" spans="1:15" x14ac:dyDescent="0.25">
      <c r="A5" s="34"/>
      <c r="B5" s="34"/>
      <c r="C5" s="34"/>
      <c r="D5" s="34"/>
      <c r="E5" s="34"/>
      <c r="F5" s="34"/>
      <c r="G5" s="34"/>
      <c r="H5" s="34"/>
      <c r="I5" s="34"/>
      <c r="J5" s="34"/>
      <c r="K5" s="79" t="s">
        <v>268</v>
      </c>
      <c r="L5" s="448"/>
    </row>
    <row r="6" spans="1:15" x14ac:dyDescent="0.25">
      <c r="A6" s="34"/>
      <c r="B6" s="34"/>
      <c r="C6" s="34"/>
      <c r="D6" s="34"/>
      <c r="E6" s="34"/>
      <c r="F6" s="34"/>
      <c r="G6" s="34"/>
      <c r="H6" s="34"/>
      <c r="I6" s="34"/>
      <c r="J6" s="34"/>
      <c r="K6" s="79"/>
      <c r="L6" s="590"/>
    </row>
    <row r="7" spans="1:15" x14ac:dyDescent="0.25">
      <c r="A7" s="34"/>
      <c r="B7" s="34"/>
      <c r="C7" s="34"/>
      <c r="D7" s="34"/>
      <c r="E7" s="34"/>
      <c r="F7" s="34"/>
      <c r="G7" s="34"/>
      <c r="H7" s="34"/>
      <c r="I7" s="34"/>
      <c r="J7" s="34"/>
      <c r="K7" s="79" t="s">
        <v>269</v>
      </c>
      <c r="L7" s="1697"/>
    </row>
    <row r="8" spans="1:15" x14ac:dyDescent="0.25">
      <c r="A8" s="34"/>
      <c r="B8" s="34"/>
      <c r="C8" s="34"/>
      <c r="D8" s="34"/>
      <c r="E8" s="34"/>
      <c r="F8" s="34"/>
      <c r="G8" s="34"/>
      <c r="H8" s="34"/>
      <c r="I8" s="34"/>
      <c r="J8" s="34"/>
      <c r="K8" s="34"/>
      <c r="L8" s="34"/>
    </row>
    <row r="9" spans="1:15" ht="18" x14ac:dyDescent="0.25">
      <c r="A9" s="2015" t="s">
        <v>346</v>
      </c>
      <c r="B9" s="2015"/>
      <c r="C9" s="2034"/>
      <c r="D9" s="2034"/>
      <c r="E9" s="2034"/>
      <c r="F9" s="2034"/>
      <c r="G9" s="2034"/>
      <c r="H9" s="2034"/>
      <c r="I9" s="2034"/>
      <c r="J9" s="2034"/>
      <c r="K9" s="2034"/>
      <c r="L9" s="2034"/>
    </row>
    <row r="10" spans="1:15" ht="18" x14ac:dyDescent="0.25">
      <c r="A10" s="2015" t="s">
        <v>340</v>
      </c>
      <c r="B10" s="2015"/>
      <c r="C10" s="2035"/>
      <c r="D10" s="2035"/>
      <c r="E10" s="2035"/>
      <c r="F10" s="2035"/>
      <c r="G10" s="2035"/>
      <c r="H10" s="2035"/>
      <c r="I10" s="2035"/>
      <c r="J10" s="2035"/>
      <c r="K10" s="2035"/>
      <c r="L10" s="2035"/>
    </row>
    <row r="11" spans="1:15" ht="18" x14ac:dyDescent="0.25">
      <c r="A11" s="2015" t="s">
        <v>789</v>
      </c>
      <c r="B11" s="2015"/>
      <c r="C11" s="2035"/>
      <c r="D11" s="2035"/>
      <c r="E11" s="2035"/>
      <c r="F11" s="2035"/>
      <c r="G11" s="2035"/>
      <c r="H11" s="2035"/>
      <c r="I11" s="2035"/>
      <c r="J11" s="2035"/>
      <c r="K11" s="2035"/>
      <c r="L11" s="2035"/>
    </row>
    <row r="12" spans="1:15" x14ac:dyDescent="0.25">
      <c r="A12" s="34"/>
      <c r="B12" s="34"/>
      <c r="C12" s="34"/>
      <c r="D12" s="34"/>
      <c r="E12" s="34"/>
      <c r="F12" s="34"/>
      <c r="G12" s="34"/>
      <c r="H12" s="34"/>
      <c r="I12" s="34"/>
      <c r="J12" s="34"/>
      <c r="K12" s="34"/>
      <c r="L12" s="34"/>
    </row>
    <row r="13" spans="1:15" s="151" customFormat="1" x14ac:dyDescent="0.25">
      <c r="A13" s="2036" t="s">
        <v>881</v>
      </c>
      <c r="B13" s="2036"/>
      <c r="C13" s="2036"/>
      <c r="D13" s="2036"/>
      <c r="E13" s="2036"/>
      <c r="F13" s="2036"/>
      <c r="G13" s="2036"/>
      <c r="H13" s="2036"/>
      <c r="I13" s="2036"/>
      <c r="J13" s="2036"/>
      <c r="K13" s="2036"/>
      <c r="L13" s="2036"/>
      <c r="M13" s="133"/>
      <c r="N13" s="133"/>
      <c r="O13" s="133"/>
    </row>
    <row r="14" spans="1:15" x14ac:dyDescent="0.25">
      <c r="A14" s="152"/>
      <c r="B14" s="152"/>
      <c r="C14" s="152"/>
      <c r="D14" s="152"/>
      <c r="E14" s="152"/>
      <c r="F14" s="152"/>
      <c r="G14" s="152"/>
      <c r="H14" s="152"/>
      <c r="I14" s="152"/>
      <c r="J14" s="152"/>
      <c r="K14" s="152"/>
      <c r="L14" s="152"/>
      <c r="M14" s="153"/>
      <c r="N14" s="153"/>
    </row>
    <row r="15" spans="1:15" x14ac:dyDescent="0.25">
      <c r="A15" s="2036"/>
      <c r="B15" s="2036"/>
      <c r="C15" s="2036"/>
      <c r="D15" s="2036"/>
      <c r="E15" s="2036"/>
      <c r="F15" s="2036"/>
      <c r="G15" s="2036"/>
      <c r="H15" s="2036"/>
      <c r="I15" s="2036"/>
      <c r="J15" s="2036"/>
      <c r="K15" s="2036"/>
      <c r="L15" s="2036"/>
      <c r="M15" s="153"/>
      <c r="N15" s="153"/>
    </row>
    <row r="16" spans="1:15" x14ac:dyDescent="0.25">
      <c r="A16" s="152"/>
      <c r="B16" s="152"/>
      <c r="C16" s="152"/>
      <c r="D16" s="152"/>
      <c r="E16" s="152"/>
      <c r="F16" s="152"/>
      <c r="G16" s="152"/>
      <c r="H16" s="152"/>
      <c r="I16" s="152"/>
      <c r="J16" s="152"/>
      <c r="K16" s="152"/>
      <c r="L16" s="152"/>
      <c r="M16" s="153"/>
      <c r="N16" s="153"/>
    </row>
    <row r="17" spans="1:10" ht="39" x14ac:dyDescent="0.25">
      <c r="A17" s="152"/>
      <c r="B17" s="154">
        <f>TestYear-7</f>
        <v>2013</v>
      </c>
      <c r="C17" s="154">
        <f>TestYear-6</f>
        <v>2014</v>
      </c>
      <c r="D17" s="154">
        <f>TestYear-5</f>
        <v>2015</v>
      </c>
      <c r="E17" s="154">
        <f>TestYear-4</f>
        <v>2016</v>
      </c>
      <c r="F17" s="154">
        <f>TestYear-3</f>
        <v>2017</v>
      </c>
      <c r="G17" s="154">
        <f>TestYear-2</f>
        <v>2018</v>
      </c>
      <c r="H17" s="154" t="str">
        <f>CONCATENATE(TestYear-1," Bridge Year")</f>
        <v>2019 Bridge Year</v>
      </c>
      <c r="I17" s="154" t="str">
        <f>CONCATENATE(TestYear," Rebasing Year")</f>
        <v>2020 Rebasing Year</v>
      </c>
      <c r="J17" s="153"/>
    </row>
    <row r="18" spans="1:10" ht="43.5" customHeight="1" x14ac:dyDescent="0.25">
      <c r="A18" s="155" t="s">
        <v>90</v>
      </c>
      <c r="B18" s="157" t="s">
        <v>1507</v>
      </c>
      <c r="C18" s="156" t="s">
        <v>92</v>
      </c>
      <c r="D18" s="156" t="s">
        <v>92</v>
      </c>
      <c r="E18" s="156" t="s">
        <v>92</v>
      </c>
      <c r="F18" s="156" t="s">
        <v>92</v>
      </c>
      <c r="G18" s="156" t="s">
        <v>92</v>
      </c>
      <c r="H18" s="157" t="s">
        <v>92</v>
      </c>
      <c r="I18" s="157" t="s">
        <v>92</v>
      </c>
      <c r="J18" s="153"/>
    </row>
    <row r="19" spans="1:10" x14ac:dyDescent="0.25">
      <c r="A19" s="155"/>
      <c r="B19" s="156" t="s">
        <v>334</v>
      </c>
      <c r="C19" s="156" t="s">
        <v>334</v>
      </c>
      <c r="D19" s="156" t="s">
        <v>334</v>
      </c>
      <c r="E19" s="156" t="s">
        <v>334</v>
      </c>
      <c r="F19" s="156" t="s">
        <v>334</v>
      </c>
      <c r="G19" s="156" t="s">
        <v>334</v>
      </c>
      <c r="H19" s="156" t="s">
        <v>77</v>
      </c>
      <c r="I19" s="156" t="s">
        <v>77</v>
      </c>
      <c r="J19" s="153"/>
    </row>
    <row r="20" spans="1:10" x14ac:dyDescent="0.25">
      <c r="A20" s="152"/>
      <c r="B20" s="159"/>
      <c r="C20" s="159"/>
      <c r="D20" s="159"/>
      <c r="E20" s="159"/>
      <c r="F20" s="159"/>
      <c r="G20" s="159" t="s">
        <v>148</v>
      </c>
      <c r="H20" s="159" t="s">
        <v>148</v>
      </c>
      <c r="I20" s="159"/>
      <c r="J20" s="153"/>
    </row>
    <row r="21" spans="1:10" x14ac:dyDescent="0.25">
      <c r="A21" s="155" t="s">
        <v>335</v>
      </c>
      <c r="B21" s="155"/>
      <c r="C21" s="2032"/>
      <c r="D21" s="2032"/>
      <c r="E21" s="2032"/>
      <c r="F21" s="2032"/>
      <c r="G21" s="2032"/>
      <c r="H21" s="2032"/>
      <c r="I21" s="2033"/>
      <c r="J21" s="153"/>
    </row>
    <row r="22" spans="1:10" x14ac:dyDescent="0.25">
      <c r="A22" s="158" t="s">
        <v>336</v>
      </c>
      <c r="B22" s="161">
        <v>68358254</v>
      </c>
      <c r="C22" s="814">
        <f t="shared" ref="C22:H22" si="0">+B25</f>
        <v>75948147</v>
      </c>
      <c r="D22" s="814">
        <f t="shared" si="0"/>
        <v>79204054</v>
      </c>
      <c r="E22" s="814">
        <f t="shared" si="0"/>
        <v>82494816</v>
      </c>
      <c r="F22" s="814">
        <f t="shared" si="0"/>
        <v>86632342</v>
      </c>
      <c r="G22" s="814">
        <f t="shared" si="0"/>
        <v>91480812</v>
      </c>
      <c r="H22" s="814">
        <f t="shared" si="0"/>
        <v>96853505</v>
      </c>
      <c r="I22" s="160"/>
      <c r="J22" s="153"/>
    </row>
    <row r="23" spans="1:10" x14ac:dyDescent="0.25">
      <c r="A23" s="158" t="s">
        <v>631</v>
      </c>
      <c r="B23" s="161">
        <v>6522886</v>
      </c>
      <c r="C23" s="165">
        <v>6746694</v>
      </c>
      <c r="D23" s="161">
        <v>7416008</v>
      </c>
      <c r="E23" s="161">
        <v>8239046</v>
      </c>
      <c r="F23" s="161">
        <v>8969843</v>
      </c>
      <c r="G23" s="161">
        <v>9670171</v>
      </c>
      <c r="H23" s="161">
        <f>'App.2-BA_Fixed Asset Cont'!E443+'App.2-BA_Fixed Asset Cont'!G443+'App.2-BA_Fixed Asset Cont'!F441+3</f>
        <v>8366752.0933333328</v>
      </c>
      <c r="I23" s="160"/>
      <c r="J23" s="153"/>
    </row>
    <row r="24" spans="1:10" x14ac:dyDescent="0.25">
      <c r="A24" s="158" t="s">
        <v>632</v>
      </c>
      <c r="B24" s="161">
        <v>1067007</v>
      </c>
      <c r="C24" s="165">
        <v>-3490787</v>
      </c>
      <c r="D24" s="161">
        <v>-4125246</v>
      </c>
      <c r="E24" s="161">
        <v>-4101520</v>
      </c>
      <c r="F24" s="161">
        <v>-4121373</v>
      </c>
      <c r="G24" s="161">
        <v>-4297478</v>
      </c>
      <c r="H24" s="161">
        <f>'App.2-BA_Fixed Asset Cont'!J443+'App.2-BA_Fixed Asset Cont'!L443</f>
        <v>-4527965.7611418441</v>
      </c>
      <c r="I24" s="160"/>
      <c r="J24" s="153"/>
    </row>
    <row r="25" spans="1:10" x14ac:dyDescent="0.25">
      <c r="A25" s="162" t="s">
        <v>337</v>
      </c>
      <c r="B25" s="163">
        <f t="shared" ref="B25:H25" si="1">SUM(B22:B24)</f>
        <v>75948147</v>
      </c>
      <c r="C25" s="163">
        <f t="shared" si="1"/>
        <v>79204054</v>
      </c>
      <c r="D25" s="163">
        <f t="shared" si="1"/>
        <v>82494816</v>
      </c>
      <c r="E25" s="163">
        <f t="shared" si="1"/>
        <v>86632342</v>
      </c>
      <c r="F25" s="163">
        <f t="shared" si="1"/>
        <v>91480812</v>
      </c>
      <c r="G25" s="163">
        <f t="shared" si="1"/>
        <v>96853505</v>
      </c>
      <c r="H25" s="163">
        <f t="shared" si="1"/>
        <v>100692291.3321915</v>
      </c>
      <c r="I25" s="160"/>
      <c r="J25" s="153"/>
    </row>
    <row r="26" spans="1:10" x14ac:dyDescent="0.25">
      <c r="A26" s="152"/>
      <c r="B26" s="152"/>
      <c r="C26" s="2039"/>
      <c r="D26" s="2039"/>
      <c r="E26" s="2039"/>
      <c r="F26" s="2039"/>
      <c r="G26" s="2039"/>
      <c r="H26" s="2039"/>
      <c r="I26" s="2040"/>
      <c r="J26" s="153"/>
    </row>
    <row r="27" spans="1:10" x14ac:dyDescent="0.25">
      <c r="A27" s="164" t="s">
        <v>820</v>
      </c>
      <c r="B27" s="164"/>
      <c r="C27" s="2041"/>
      <c r="D27" s="2041"/>
      <c r="E27" s="2041"/>
      <c r="F27" s="2041"/>
      <c r="G27" s="2041"/>
      <c r="H27" s="2041"/>
      <c r="I27" s="2042"/>
      <c r="J27" s="153"/>
    </row>
    <row r="28" spans="1:10" x14ac:dyDescent="0.25">
      <c r="A28" s="158" t="s">
        <v>338</v>
      </c>
      <c r="B28" s="165">
        <f>B22</f>
        <v>68358254</v>
      </c>
      <c r="C28" s="814">
        <f t="shared" ref="C28:H28" si="2">+B31</f>
        <v>75948147</v>
      </c>
      <c r="D28" s="814">
        <f t="shared" si="2"/>
        <v>79204054</v>
      </c>
      <c r="E28" s="814">
        <f t="shared" si="2"/>
        <v>80938784</v>
      </c>
      <c r="F28" s="814">
        <f t="shared" si="2"/>
        <v>84401032</v>
      </c>
      <c r="G28" s="814">
        <f t="shared" si="2"/>
        <v>88740882</v>
      </c>
      <c r="H28" s="814">
        <f t="shared" si="2"/>
        <v>93461959</v>
      </c>
      <c r="I28" s="160"/>
      <c r="J28" s="153"/>
    </row>
    <row r="29" spans="1:10" x14ac:dyDescent="0.25">
      <c r="A29" s="158" t="s">
        <v>631</v>
      </c>
      <c r="B29" s="161">
        <f>B23</f>
        <v>6522886</v>
      </c>
      <c r="C29" s="165">
        <f>C23</f>
        <v>6746694</v>
      </c>
      <c r="D29" s="165">
        <v>3131750</v>
      </c>
      <c r="E29" s="165">
        <v>4845339</v>
      </c>
      <c r="F29" s="161">
        <v>6490834</v>
      </c>
      <c r="G29" s="161">
        <v>5754803</v>
      </c>
      <c r="H29" s="161">
        <f>'App.2-BA_Fixed Asset Cont'!E443+'App.2-BA_Fixed Asset Cont'!G443+'App.2-BA_Fixed Asset Cont'!F443+3</f>
        <v>5506246.3933333326</v>
      </c>
      <c r="I29" s="160"/>
      <c r="J29" s="153"/>
    </row>
    <row r="30" spans="1:10" x14ac:dyDescent="0.25">
      <c r="A30" s="158" t="s">
        <v>632</v>
      </c>
      <c r="B30" s="161">
        <f>B24</f>
        <v>1067007</v>
      </c>
      <c r="C30" s="165">
        <f>C24</f>
        <v>-3490787</v>
      </c>
      <c r="D30" s="165">
        <v>-1397020</v>
      </c>
      <c r="E30" s="165">
        <v>-1383091</v>
      </c>
      <c r="F30" s="161">
        <v>-2150984</v>
      </c>
      <c r="G30" s="161">
        <v>-1033726</v>
      </c>
      <c r="H30" s="161">
        <f>'App.2-BA_Fixed Asset Cont'!J443+'App.2-BA_Fixed Asset Cont'!L443+'App.2-BA_Fixed Asset Cont'!K443</f>
        <v>-2266176.121141844</v>
      </c>
      <c r="I30" s="160"/>
      <c r="J30" s="153"/>
    </row>
    <row r="31" spans="1:10" x14ac:dyDescent="0.25">
      <c r="A31" s="162" t="s">
        <v>339</v>
      </c>
      <c r="B31" s="163">
        <f t="shared" ref="B31:H31" si="3">SUM(B28:B30)</f>
        <v>75948147</v>
      </c>
      <c r="C31" s="163">
        <f t="shared" si="3"/>
        <v>79204054</v>
      </c>
      <c r="D31" s="163">
        <f t="shared" si="3"/>
        <v>80938784</v>
      </c>
      <c r="E31" s="163">
        <f t="shared" si="3"/>
        <v>84401032</v>
      </c>
      <c r="F31" s="163">
        <f t="shared" si="3"/>
        <v>88740882</v>
      </c>
      <c r="G31" s="163">
        <f t="shared" si="3"/>
        <v>93461959</v>
      </c>
      <c r="H31" s="163">
        <f t="shared" si="3"/>
        <v>96702029.27219148</v>
      </c>
      <c r="I31" s="160"/>
      <c r="J31" s="153"/>
    </row>
    <row r="32" spans="1:10" x14ac:dyDescent="0.25">
      <c r="A32" s="1759"/>
      <c r="B32" s="1760"/>
      <c r="C32" s="1762"/>
      <c r="D32" s="1762"/>
      <c r="E32" s="1762"/>
      <c r="F32" s="1762"/>
      <c r="G32" s="1762"/>
      <c r="H32" s="1762"/>
      <c r="I32" s="1761"/>
      <c r="J32" s="153"/>
    </row>
    <row r="33" spans="1:14" x14ac:dyDescent="0.25">
      <c r="A33" s="1759" t="s">
        <v>1604</v>
      </c>
      <c r="B33" s="1760"/>
      <c r="C33" s="1763"/>
      <c r="D33" s="1763"/>
      <c r="E33" s="1763"/>
      <c r="F33" s="1763"/>
      <c r="G33" s="1763"/>
      <c r="H33" s="1763"/>
      <c r="I33" s="1761"/>
      <c r="J33" s="153"/>
    </row>
    <row r="34" spans="1:14" x14ac:dyDescent="0.25">
      <c r="A34" s="158" t="s">
        <v>1602</v>
      </c>
      <c r="B34" s="163"/>
      <c r="C34" s="1764"/>
      <c r="D34" s="1764"/>
      <c r="E34" s="1764">
        <f>D36</f>
        <v>-565450</v>
      </c>
      <c r="F34" s="1764">
        <f>E36</f>
        <v>-606556</v>
      </c>
      <c r="G34" s="1764">
        <f>F36</f>
        <v>-653326</v>
      </c>
      <c r="H34" s="1764">
        <f>G36</f>
        <v>-680220</v>
      </c>
      <c r="I34" s="1761"/>
      <c r="J34" s="153"/>
    </row>
    <row r="35" spans="1:14" x14ac:dyDescent="0.25">
      <c r="A35" s="158" t="s">
        <v>1605</v>
      </c>
      <c r="B35" s="163"/>
      <c r="C35" s="163"/>
      <c r="D35" s="163">
        <v>-565450</v>
      </c>
      <c r="E35" s="163">
        <v>-41106</v>
      </c>
      <c r="F35" s="163">
        <v>-46770</v>
      </c>
      <c r="G35" s="163">
        <v>-26894</v>
      </c>
      <c r="H35" s="163">
        <f>-82917</f>
        <v>-82917</v>
      </c>
      <c r="I35" s="1761"/>
      <c r="J35" s="153"/>
    </row>
    <row r="36" spans="1:14" x14ac:dyDescent="0.25">
      <c r="A36" s="162" t="s">
        <v>1603</v>
      </c>
      <c r="B36" s="163"/>
      <c r="C36" s="163"/>
      <c r="D36" s="163">
        <f>D34+D35</f>
        <v>-565450</v>
      </c>
      <c r="E36" s="163">
        <f>E34+E35</f>
        <v>-606556</v>
      </c>
      <c r="F36" s="163">
        <f>F34+F35</f>
        <v>-653326</v>
      </c>
      <c r="G36" s="163">
        <f>G34+G35</f>
        <v>-680220</v>
      </c>
      <c r="H36" s="163">
        <f>H34+H35</f>
        <v>-763137</v>
      </c>
      <c r="I36" s="1761"/>
      <c r="J36" s="153"/>
    </row>
    <row r="37" spans="1:14" x14ac:dyDescent="0.25">
      <c r="A37" s="152"/>
      <c r="B37" s="152"/>
      <c r="C37" s="2041"/>
      <c r="D37" s="2041"/>
      <c r="E37" s="2041"/>
      <c r="F37" s="2041"/>
      <c r="G37" s="2041"/>
      <c r="H37" s="2041"/>
      <c r="I37" s="2033"/>
      <c r="J37" s="153"/>
    </row>
    <row r="38" spans="1:14" ht="26.25" x14ac:dyDescent="0.25">
      <c r="A38" s="166" t="s">
        <v>638</v>
      </c>
      <c r="B38" s="167">
        <f>B25-B31+B34</f>
        <v>0</v>
      </c>
      <c r="C38" s="167">
        <f>C25-C31+C34</f>
        <v>0</v>
      </c>
      <c r="D38" s="167">
        <f>D25-D31+D36</f>
        <v>990582</v>
      </c>
      <c r="E38" s="167">
        <f>E25-E31+E36</f>
        <v>1624754</v>
      </c>
      <c r="F38" s="167">
        <f>F25-F31+F36</f>
        <v>2086604</v>
      </c>
      <c r="G38" s="167">
        <f>G25-G31+G36</f>
        <v>2711326</v>
      </c>
      <c r="H38" s="167">
        <f>H25-H31+H36</f>
        <v>3227125.0600000173</v>
      </c>
      <c r="I38" s="160"/>
      <c r="J38" s="153"/>
      <c r="K38" s="1827"/>
    </row>
    <row r="39" spans="1:14" x14ac:dyDescent="0.25">
      <c r="A39" s="155"/>
      <c r="B39" s="168"/>
      <c r="C39" s="168"/>
      <c r="D39" s="168"/>
      <c r="E39" s="168"/>
      <c r="F39" s="168"/>
      <c r="G39" s="168"/>
      <c r="H39" s="168"/>
      <c r="I39" s="168"/>
      <c r="J39" s="168"/>
      <c r="K39" s="168"/>
      <c r="L39" s="152"/>
      <c r="M39" s="153"/>
      <c r="N39" s="153"/>
    </row>
    <row r="40" spans="1:14" x14ac:dyDescent="0.25">
      <c r="A40" s="155"/>
      <c r="B40" s="168"/>
      <c r="C40" s="168"/>
      <c r="D40" s="168"/>
      <c r="E40" s="168"/>
      <c r="F40" s="168"/>
      <c r="G40" s="168"/>
      <c r="H40" s="168"/>
      <c r="I40" s="168"/>
      <c r="J40" s="168"/>
      <c r="K40" s="168"/>
      <c r="L40" s="152"/>
      <c r="M40" s="153"/>
      <c r="N40" s="153"/>
    </row>
    <row r="41" spans="1:14" x14ac:dyDescent="0.25">
      <c r="A41" s="155" t="s">
        <v>633</v>
      </c>
      <c r="B41" s="168"/>
      <c r="C41" s="168"/>
      <c r="D41" s="168"/>
      <c r="E41" s="168"/>
      <c r="F41" s="168"/>
      <c r="G41" s="168"/>
      <c r="H41" s="168"/>
      <c r="I41" s="168"/>
      <c r="J41" s="168"/>
      <c r="K41" s="168"/>
      <c r="L41" s="152"/>
      <c r="M41" s="153"/>
      <c r="N41" s="153"/>
    </row>
    <row r="42" spans="1:14" s="174" customFormat="1" x14ac:dyDescent="0.25">
      <c r="A42" s="169" t="s">
        <v>1016</v>
      </c>
      <c r="B42" s="170"/>
      <c r="C42" s="170"/>
      <c r="D42" s="170"/>
      <c r="E42" s="170"/>
      <c r="F42" s="170"/>
      <c r="G42" s="170"/>
      <c r="H42" s="170"/>
      <c r="I42" s="171">
        <f>IF(ISERROR(H38), 0, H38)</f>
        <v>3227125.0600000173</v>
      </c>
      <c r="J42" s="152"/>
      <c r="K42" s="172" t="s">
        <v>341</v>
      </c>
      <c r="L42" s="173">
        <f>'App.2-OA Capital Structure'!K31</f>
        <v>5.2820000000000006E-2</v>
      </c>
      <c r="M42" s="153"/>
      <c r="N42" s="153"/>
    </row>
    <row r="43" spans="1:14" s="174" customFormat="1" ht="26.25" customHeight="1" x14ac:dyDescent="0.25">
      <c r="A43" s="169" t="s">
        <v>1017</v>
      </c>
      <c r="B43" s="170"/>
      <c r="C43" s="170"/>
      <c r="D43" s="170"/>
      <c r="E43" s="170"/>
      <c r="F43" s="170"/>
      <c r="G43" s="170"/>
      <c r="H43" s="170"/>
      <c r="I43" s="171">
        <f>H38*L42*L43</f>
        <v>852283.72834600462</v>
      </c>
      <c r="J43" s="2043" t="s">
        <v>634</v>
      </c>
      <c r="K43" s="2043"/>
      <c r="L43" s="2044">
        <v>5</v>
      </c>
      <c r="M43" s="175"/>
      <c r="N43" s="153"/>
    </row>
    <row r="44" spans="1:14" x14ac:dyDescent="0.25">
      <c r="A44" s="176" t="s">
        <v>635</v>
      </c>
      <c r="B44" s="177"/>
      <c r="C44" s="177"/>
      <c r="D44" s="177"/>
      <c r="E44" s="177"/>
      <c r="F44" s="177"/>
      <c r="G44" s="177"/>
      <c r="H44" s="177"/>
      <c r="I44" s="178">
        <f>I42+I43</f>
        <v>4079408.7883460219</v>
      </c>
      <c r="J44" s="2043"/>
      <c r="K44" s="2043"/>
      <c r="L44" s="2045"/>
      <c r="M44" s="153"/>
      <c r="N44" s="153"/>
    </row>
    <row r="45" spans="1:14" x14ac:dyDescent="0.25">
      <c r="A45" s="155"/>
      <c r="B45" s="152"/>
      <c r="C45" s="152"/>
      <c r="D45" s="152"/>
      <c r="E45" s="152"/>
      <c r="F45" s="152"/>
      <c r="G45" s="152"/>
      <c r="H45" s="152"/>
      <c r="I45" s="152"/>
      <c r="J45" s="152"/>
      <c r="K45" s="152"/>
      <c r="L45" s="152"/>
      <c r="M45" s="153"/>
      <c r="N45" s="153"/>
    </row>
    <row r="46" spans="1:14" x14ac:dyDescent="0.25">
      <c r="A46" s="155" t="s">
        <v>6</v>
      </c>
      <c r="B46" s="152"/>
      <c r="C46" s="152"/>
      <c r="D46" s="152"/>
      <c r="E46" s="152"/>
      <c r="F46" s="152"/>
      <c r="G46" s="152"/>
      <c r="H46" s="152"/>
      <c r="I46" s="152"/>
      <c r="J46" s="152"/>
      <c r="K46" s="152"/>
      <c r="L46" s="152"/>
      <c r="M46" s="153"/>
      <c r="N46" s="153"/>
    </row>
    <row r="47" spans="1:14" x14ac:dyDescent="0.25">
      <c r="A47" s="152" t="s">
        <v>882</v>
      </c>
      <c r="B47" s="815"/>
      <c r="C47" s="815"/>
      <c r="D47" s="815"/>
      <c r="E47" s="815"/>
      <c r="F47" s="815"/>
      <c r="G47" s="815"/>
      <c r="H47" s="815"/>
      <c r="I47" s="815"/>
      <c r="J47" s="815"/>
      <c r="K47" s="815"/>
      <c r="L47" s="815"/>
      <c r="M47" s="815"/>
      <c r="N47" s="153"/>
    </row>
    <row r="48" spans="1:14" x14ac:dyDescent="0.25">
      <c r="A48" s="152" t="s">
        <v>636</v>
      </c>
      <c r="B48" s="152"/>
      <c r="C48" s="152"/>
      <c r="D48" s="152"/>
      <c r="E48" s="152"/>
      <c r="F48" s="152"/>
      <c r="G48" s="152"/>
      <c r="H48" s="152"/>
      <c r="I48" s="152"/>
      <c r="J48" s="152"/>
      <c r="K48" s="152"/>
      <c r="L48" s="152"/>
      <c r="M48" s="153"/>
      <c r="N48" s="153"/>
    </row>
    <row r="49" spans="1:14" x14ac:dyDescent="0.25">
      <c r="A49" s="152" t="s">
        <v>1018</v>
      </c>
      <c r="B49" s="152"/>
      <c r="C49" s="152"/>
      <c r="D49" s="152"/>
      <c r="E49" s="152"/>
      <c r="F49" s="152"/>
      <c r="G49" s="152"/>
      <c r="H49" s="152"/>
      <c r="I49" s="152"/>
      <c r="J49" s="152"/>
      <c r="K49" s="152"/>
      <c r="L49" s="152"/>
      <c r="M49" s="153"/>
      <c r="N49" s="153"/>
    </row>
    <row r="50" spans="1:14" x14ac:dyDescent="0.25">
      <c r="A50" s="152" t="s">
        <v>342</v>
      </c>
      <c r="B50" s="152"/>
      <c r="C50" s="152"/>
      <c r="D50" s="152"/>
      <c r="E50" s="152"/>
      <c r="F50" s="152"/>
      <c r="G50" s="152"/>
      <c r="H50" s="152"/>
      <c r="I50" s="152"/>
      <c r="J50" s="152"/>
      <c r="K50" s="152"/>
      <c r="L50" s="152"/>
      <c r="M50" s="153"/>
      <c r="N50" s="153"/>
    </row>
    <row r="51" spans="1:14" ht="20.25" customHeight="1" x14ac:dyDescent="0.25">
      <c r="A51" s="816" t="s">
        <v>637</v>
      </c>
      <c r="B51" s="817"/>
      <c r="C51" s="817"/>
      <c r="D51" s="817"/>
      <c r="E51" s="817"/>
      <c r="F51" s="817"/>
      <c r="G51" s="817"/>
      <c r="H51" s="817"/>
      <c r="I51" s="817"/>
      <c r="J51" s="817"/>
      <c r="K51" s="817"/>
      <c r="L51" s="152"/>
      <c r="M51" s="153"/>
      <c r="N51" s="153"/>
    </row>
    <row r="52" spans="1:14" ht="15.75" customHeight="1" x14ac:dyDescent="0.25">
      <c r="A52" s="152" t="s">
        <v>764</v>
      </c>
      <c r="B52" s="153"/>
      <c r="C52" s="153"/>
      <c r="D52" s="153"/>
      <c r="E52" s="153"/>
      <c r="F52" s="153"/>
      <c r="G52" s="153"/>
      <c r="H52" s="153"/>
      <c r="I52" s="153"/>
      <c r="J52" s="153"/>
      <c r="K52" s="153"/>
      <c r="L52" s="722"/>
      <c r="M52" s="153"/>
      <c r="N52" s="153"/>
    </row>
    <row r="53" spans="1:14" x14ac:dyDescent="0.25">
      <c r="A53" s="2037" t="s">
        <v>1606</v>
      </c>
      <c r="B53" s="2037"/>
      <c r="C53" s="2037"/>
      <c r="D53" s="2037"/>
      <c r="E53" s="2037"/>
      <c r="F53" s="2037"/>
      <c r="G53" s="2037"/>
      <c r="H53" s="2037"/>
      <c r="I53" s="2037"/>
      <c r="J53" s="2037"/>
      <c r="K53" s="2037"/>
      <c r="L53" s="2037"/>
      <c r="M53" s="2037"/>
      <c r="N53" s="153"/>
    </row>
    <row r="54" spans="1:14" x14ac:dyDescent="0.25">
      <c r="A54" s="152"/>
      <c r="B54" s="152"/>
      <c r="C54" s="152"/>
      <c r="D54" s="152"/>
      <c r="E54" s="152"/>
      <c r="F54" s="152"/>
      <c r="G54" s="152"/>
      <c r="H54" s="152"/>
      <c r="I54" s="152"/>
      <c r="J54" s="152"/>
      <c r="K54" s="152"/>
      <c r="L54" s="152"/>
      <c r="M54" s="153"/>
      <c r="N54" s="153"/>
    </row>
    <row r="55" spans="1:14" x14ac:dyDescent="0.25">
      <c r="A55" s="152"/>
      <c r="B55" s="152"/>
      <c r="C55" s="152"/>
      <c r="D55" s="152"/>
      <c r="E55" s="152"/>
      <c r="F55" s="152"/>
      <c r="G55" s="152"/>
      <c r="H55" s="152"/>
      <c r="I55" s="152"/>
      <c r="J55" s="152"/>
      <c r="K55" s="152"/>
      <c r="L55" s="152"/>
      <c r="M55" s="153"/>
      <c r="N55" s="153"/>
    </row>
    <row r="56" spans="1:14" x14ac:dyDescent="0.25">
      <c r="A56" s="152"/>
      <c r="B56" s="152"/>
      <c r="C56" s="152"/>
      <c r="D56" s="152"/>
      <c r="E56" s="152"/>
      <c r="F56" s="152"/>
      <c r="G56" s="152"/>
      <c r="H56" s="152"/>
      <c r="I56" s="152"/>
      <c r="J56" s="152"/>
      <c r="K56" s="152"/>
      <c r="L56" s="152"/>
      <c r="M56" s="153"/>
      <c r="N56" s="153"/>
    </row>
    <row r="57" spans="1:14" x14ac:dyDescent="0.25">
      <c r="A57" s="152"/>
      <c r="B57" s="152"/>
      <c r="C57" s="152"/>
      <c r="D57" s="152"/>
      <c r="E57" s="152"/>
      <c r="F57" s="152"/>
      <c r="G57" s="152"/>
      <c r="H57" s="152"/>
      <c r="I57" s="152"/>
      <c r="J57" s="152"/>
      <c r="K57" s="152"/>
      <c r="L57" s="152"/>
      <c r="M57" s="153"/>
      <c r="N57" s="153"/>
    </row>
    <row r="58" spans="1:14" ht="24.75" customHeight="1" x14ac:dyDescent="0.25">
      <c r="A58" s="2038"/>
      <c r="B58" s="2038"/>
      <c r="C58" s="2038"/>
      <c r="D58" s="2038"/>
      <c r="E58" s="2038"/>
      <c r="F58" s="2038"/>
      <c r="G58" s="2038"/>
      <c r="H58" s="2038"/>
      <c r="I58" s="2038"/>
      <c r="J58" s="2038"/>
      <c r="K58" s="2038"/>
      <c r="L58" s="2038"/>
      <c r="M58" s="153"/>
      <c r="N58" s="153"/>
    </row>
    <row r="59" spans="1:14" ht="24.75" customHeight="1" x14ac:dyDescent="0.25">
      <c r="A59" s="2038"/>
      <c r="B59" s="2038"/>
      <c r="C59" s="2038"/>
      <c r="D59" s="2038"/>
      <c r="E59" s="2038"/>
      <c r="F59" s="2038"/>
      <c r="G59" s="2038"/>
      <c r="H59" s="2038"/>
      <c r="I59" s="2038"/>
      <c r="J59" s="2038"/>
      <c r="K59" s="2038"/>
      <c r="L59" s="2038"/>
    </row>
  </sheetData>
  <mergeCells count="12">
    <mergeCell ref="A53:M53"/>
    <mergeCell ref="A58:L59"/>
    <mergeCell ref="C26:I27"/>
    <mergeCell ref="C37:I37"/>
    <mergeCell ref="J43:K44"/>
    <mergeCell ref="L43:L44"/>
    <mergeCell ref="C21:I21"/>
    <mergeCell ref="A9:L9"/>
    <mergeCell ref="A10:L10"/>
    <mergeCell ref="A11:L11"/>
    <mergeCell ref="A13:L13"/>
    <mergeCell ref="A15:L15"/>
  </mergeCells>
  <dataValidations disablePrompts="1" count="1">
    <dataValidation allowBlank="1" showInputMessage="1" showErrorMessage="1" promptTitle="Date Format" prompt="E.g:  &quot;August 1, 2011&quot;" sqref="WVP98304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xr:uid="{00000000-0002-0000-0E00-000000000000}"/>
  </dataValidations>
  <pageMargins left="0.7" right="0.7" top="0.75" bottom="0.75" header="0.3" footer="0.3"/>
  <pageSetup scale="5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5">
    <tabColor rgb="FFFFC000"/>
    <pageSetUpPr fitToPage="1"/>
  </sheetPr>
  <dimension ref="A1:O55"/>
  <sheetViews>
    <sheetView showGridLines="0" zoomScaleNormal="100" workbookViewId="0"/>
  </sheetViews>
  <sheetFormatPr defaultRowHeight="15" x14ac:dyDescent="0.25"/>
  <cols>
    <col min="1" max="1" width="51.7109375" style="150" customWidth="1"/>
    <col min="2" max="2" width="11" style="150" customWidth="1"/>
    <col min="3" max="8" width="13.7109375" style="150" customWidth="1"/>
    <col min="9" max="9" width="12.7109375" style="150" customWidth="1"/>
    <col min="10" max="10" width="8.5703125" style="150" customWidth="1"/>
    <col min="11" max="11" width="13" style="150" customWidth="1"/>
    <col min="12" max="12" width="11.5703125" style="150" customWidth="1"/>
    <col min="13" max="13" width="9.28515625" style="150" bestFit="1" customWidth="1"/>
    <col min="14" max="259" width="9.28515625" style="150"/>
    <col min="260" max="260" width="51.7109375" style="150" customWidth="1"/>
    <col min="261" max="266" width="9.28515625" style="150"/>
    <col min="267" max="267" width="11.28515625" style="150" customWidth="1"/>
    <col min="268" max="515" width="9.28515625" style="150"/>
    <col min="516" max="516" width="51.7109375" style="150" customWidth="1"/>
    <col min="517" max="522" width="9.28515625" style="150"/>
    <col min="523" max="523" width="11.28515625" style="150" customWidth="1"/>
    <col min="524" max="771" width="9.28515625" style="150"/>
    <col min="772" max="772" width="51.7109375" style="150" customWidth="1"/>
    <col min="773" max="778" width="9.28515625" style="150"/>
    <col min="779" max="779" width="11.28515625" style="150" customWidth="1"/>
    <col min="780" max="1027" width="9.28515625" style="150"/>
    <col min="1028" max="1028" width="51.7109375" style="150" customWidth="1"/>
    <col min="1029" max="1034" width="9.28515625" style="150"/>
    <col min="1035" max="1035" width="11.28515625" style="150" customWidth="1"/>
    <col min="1036" max="1283" width="9.28515625" style="150"/>
    <col min="1284" max="1284" width="51.7109375" style="150" customWidth="1"/>
    <col min="1285" max="1290" width="9.28515625" style="150"/>
    <col min="1291" max="1291" width="11.28515625" style="150" customWidth="1"/>
    <col min="1292" max="1539" width="9.28515625" style="150"/>
    <col min="1540" max="1540" width="51.7109375" style="150" customWidth="1"/>
    <col min="1541" max="1546" width="9.28515625" style="150"/>
    <col min="1547" max="1547" width="11.28515625" style="150" customWidth="1"/>
    <col min="1548" max="1795" width="9.28515625" style="150"/>
    <col min="1796" max="1796" width="51.7109375" style="150" customWidth="1"/>
    <col min="1797" max="1802" width="9.28515625" style="150"/>
    <col min="1803" max="1803" width="11.28515625" style="150" customWidth="1"/>
    <col min="1804" max="2051" width="9.28515625" style="150"/>
    <col min="2052" max="2052" width="51.7109375" style="150" customWidth="1"/>
    <col min="2053" max="2058" width="9.28515625" style="150"/>
    <col min="2059" max="2059" width="11.28515625" style="150" customWidth="1"/>
    <col min="2060" max="2307" width="9.28515625" style="150"/>
    <col min="2308" max="2308" width="51.7109375" style="150" customWidth="1"/>
    <col min="2309" max="2314" width="9.28515625" style="150"/>
    <col min="2315" max="2315" width="11.28515625" style="150" customWidth="1"/>
    <col min="2316" max="2563" width="9.28515625" style="150"/>
    <col min="2564" max="2564" width="51.7109375" style="150" customWidth="1"/>
    <col min="2565" max="2570" width="9.28515625" style="150"/>
    <col min="2571" max="2571" width="11.28515625" style="150" customWidth="1"/>
    <col min="2572" max="2819" width="9.28515625" style="150"/>
    <col min="2820" max="2820" width="51.7109375" style="150" customWidth="1"/>
    <col min="2821" max="2826" width="9.28515625" style="150"/>
    <col min="2827" max="2827" width="11.28515625" style="150" customWidth="1"/>
    <col min="2828" max="3075" width="9.28515625" style="150"/>
    <col min="3076" max="3076" width="51.7109375" style="150" customWidth="1"/>
    <col min="3077" max="3082" width="9.28515625" style="150"/>
    <col min="3083" max="3083" width="11.28515625" style="150" customWidth="1"/>
    <col min="3084" max="3331" width="9.28515625" style="150"/>
    <col min="3332" max="3332" width="51.7109375" style="150" customWidth="1"/>
    <col min="3333" max="3338" width="9.28515625" style="150"/>
    <col min="3339" max="3339" width="11.28515625" style="150" customWidth="1"/>
    <col min="3340" max="3587" width="9.28515625" style="150"/>
    <col min="3588" max="3588" width="51.7109375" style="150" customWidth="1"/>
    <col min="3589" max="3594" width="9.28515625" style="150"/>
    <col min="3595" max="3595" width="11.28515625" style="150" customWidth="1"/>
    <col min="3596" max="3843" width="9.28515625" style="150"/>
    <col min="3844" max="3844" width="51.7109375" style="150" customWidth="1"/>
    <col min="3845" max="3850" width="9.28515625" style="150"/>
    <col min="3851" max="3851" width="11.28515625" style="150" customWidth="1"/>
    <col min="3852" max="4099" width="9.28515625" style="150"/>
    <col min="4100" max="4100" width="51.7109375" style="150" customWidth="1"/>
    <col min="4101" max="4106" width="9.28515625" style="150"/>
    <col min="4107" max="4107" width="11.28515625" style="150" customWidth="1"/>
    <col min="4108" max="4355" width="9.28515625" style="150"/>
    <col min="4356" max="4356" width="51.7109375" style="150" customWidth="1"/>
    <col min="4357" max="4362" width="9.28515625" style="150"/>
    <col min="4363" max="4363" width="11.28515625" style="150" customWidth="1"/>
    <col min="4364" max="4611" width="9.28515625" style="150"/>
    <col min="4612" max="4612" width="51.7109375" style="150" customWidth="1"/>
    <col min="4613" max="4618" width="9.28515625" style="150"/>
    <col min="4619" max="4619" width="11.28515625" style="150" customWidth="1"/>
    <col min="4620" max="4867" width="9.28515625" style="150"/>
    <col min="4868" max="4868" width="51.7109375" style="150" customWidth="1"/>
    <col min="4869" max="4874" width="9.28515625" style="150"/>
    <col min="4875" max="4875" width="11.28515625" style="150" customWidth="1"/>
    <col min="4876" max="5123" width="9.28515625" style="150"/>
    <col min="5124" max="5124" width="51.7109375" style="150" customWidth="1"/>
    <col min="5125" max="5130" width="9.28515625" style="150"/>
    <col min="5131" max="5131" width="11.28515625" style="150" customWidth="1"/>
    <col min="5132" max="5379" width="9.28515625" style="150"/>
    <col min="5380" max="5380" width="51.7109375" style="150" customWidth="1"/>
    <col min="5381" max="5386" width="9.28515625" style="150"/>
    <col min="5387" max="5387" width="11.28515625" style="150" customWidth="1"/>
    <col min="5388" max="5635" width="9.28515625" style="150"/>
    <col min="5636" max="5636" width="51.7109375" style="150" customWidth="1"/>
    <col min="5637" max="5642" width="9.28515625" style="150"/>
    <col min="5643" max="5643" width="11.28515625" style="150" customWidth="1"/>
    <col min="5644" max="5891" width="9.28515625" style="150"/>
    <col min="5892" max="5892" width="51.7109375" style="150" customWidth="1"/>
    <col min="5893" max="5898" width="9.28515625" style="150"/>
    <col min="5899" max="5899" width="11.28515625" style="150" customWidth="1"/>
    <col min="5900" max="6147" width="9.28515625" style="150"/>
    <col min="6148" max="6148" width="51.7109375" style="150" customWidth="1"/>
    <col min="6149" max="6154" width="9.28515625" style="150"/>
    <col min="6155" max="6155" width="11.28515625" style="150" customWidth="1"/>
    <col min="6156" max="6403" width="9.28515625" style="150"/>
    <col min="6404" max="6404" width="51.7109375" style="150" customWidth="1"/>
    <col min="6405" max="6410" width="9.28515625" style="150"/>
    <col min="6411" max="6411" width="11.28515625" style="150" customWidth="1"/>
    <col min="6412" max="6659" width="9.28515625" style="150"/>
    <col min="6660" max="6660" width="51.7109375" style="150" customWidth="1"/>
    <col min="6661" max="6666" width="9.28515625" style="150"/>
    <col min="6667" max="6667" width="11.28515625" style="150" customWidth="1"/>
    <col min="6668" max="6915" width="9.28515625" style="150"/>
    <col min="6916" max="6916" width="51.7109375" style="150" customWidth="1"/>
    <col min="6917" max="6922" width="9.28515625" style="150"/>
    <col min="6923" max="6923" width="11.28515625" style="150" customWidth="1"/>
    <col min="6924" max="7171" width="9.28515625" style="150"/>
    <col min="7172" max="7172" width="51.7109375" style="150" customWidth="1"/>
    <col min="7173" max="7178" width="9.28515625" style="150"/>
    <col min="7179" max="7179" width="11.28515625" style="150" customWidth="1"/>
    <col min="7180" max="7427" width="9.28515625" style="150"/>
    <col min="7428" max="7428" width="51.7109375" style="150" customWidth="1"/>
    <col min="7429" max="7434" width="9.28515625" style="150"/>
    <col min="7435" max="7435" width="11.28515625" style="150" customWidth="1"/>
    <col min="7436" max="7683" width="9.28515625" style="150"/>
    <col min="7684" max="7684" width="51.7109375" style="150" customWidth="1"/>
    <col min="7685" max="7690" width="9.28515625" style="150"/>
    <col min="7691" max="7691" width="11.28515625" style="150" customWidth="1"/>
    <col min="7692" max="7939" width="9.28515625" style="150"/>
    <col min="7940" max="7940" width="51.7109375" style="150" customWidth="1"/>
    <col min="7941" max="7946" width="9.28515625" style="150"/>
    <col min="7947" max="7947" width="11.28515625" style="150" customWidth="1"/>
    <col min="7948" max="8195" width="9.28515625" style="150"/>
    <col min="8196" max="8196" width="51.7109375" style="150" customWidth="1"/>
    <col min="8197" max="8202" width="9.28515625" style="150"/>
    <col min="8203" max="8203" width="11.28515625" style="150" customWidth="1"/>
    <col min="8204" max="8451" width="9.28515625" style="150"/>
    <col min="8452" max="8452" width="51.7109375" style="150" customWidth="1"/>
    <col min="8453" max="8458" width="9.28515625" style="150"/>
    <col min="8459" max="8459" width="11.28515625" style="150" customWidth="1"/>
    <col min="8460" max="8707" width="9.28515625" style="150"/>
    <col min="8708" max="8708" width="51.7109375" style="150" customWidth="1"/>
    <col min="8709" max="8714" width="9.28515625" style="150"/>
    <col min="8715" max="8715" width="11.28515625" style="150" customWidth="1"/>
    <col min="8716" max="8963" width="9.28515625" style="150"/>
    <col min="8964" max="8964" width="51.7109375" style="150" customWidth="1"/>
    <col min="8965" max="8970" width="9.28515625" style="150"/>
    <col min="8971" max="8971" width="11.28515625" style="150" customWidth="1"/>
    <col min="8972" max="9219" width="9.28515625" style="150"/>
    <col min="9220" max="9220" width="51.7109375" style="150" customWidth="1"/>
    <col min="9221" max="9226" width="9.28515625" style="150"/>
    <col min="9227" max="9227" width="11.28515625" style="150" customWidth="1"/>
    <col min="9228" max="9475" width="9.28515625" style="150"/>
    <col min="9476" max="9476" width="51.7109375" style="150" customWidth="1"/>
    <col min="9477" max="9482" width="9.28515625" style="150"/>
    <col min="9483" max="9483" width="11.28515625" style="150" customWidth="1"/>
    <col min="9484" max="9731" width="9.28515625" style="150"/>
    <col min="9732" max="9732" width="51.7109375" style="150" customWidth="1"/>
    <col min="9733" max="9738" width="9.28515625" style="150"/>
    <col min="9739" max="9739" width="11.28515625" style="150" customWidth="1"/>
    <col min="9740" max="9987" width="9.28515625" style="150"/>
    <col min="9988" max="9988" width="51.7109375" style="150" customWidth="1"/>
    <col min="9989" max="9994" width="9.28515625" style="150"/>
    <col min="9995" max="9995" width="11.28515625" style="150" customWidth="1"/>
    <col min="9996" max="10243" width="9.28515625" style="150"/>
    <col min="10244" max="10244" width="51.7109375" style="150" customWidth="1"/>
    <col min="10245" max="10250" width="9.28515625" style="150"/>
    <col min="10251" max="10251" width="11.28515625" style="150" customWidth="1"/>
    <col min="10252" max="10499" width="9.28515625" style="150"/>
    <col min="10500" max="10500" width="51.7109375" style="150" customWidth="1"/>
    <col min="10501" max="10506" width="9.28515625" style="150"/>
    <col min="10507" max="10507" width="11.28515625" style="150" customWidth="1"/>
    <col min="10508" max="10755" width="9.28515625" style="150"/>
    <col min="10756" max="10756" width="51.7109375" style="150" customWidth="1"/>
    <col min="10757" max="10762" width="9.28515625" style="150"/>
    <col min="10763" max="10763" width="11.28515625" style="150" customWidth="1"/>
    <col min="10764" max="11011" width="9.28515625" style="150"/>
    <col min="11012" max="11012" width="51.7109375" style="150" customWidth="1"/>
    <col min="11013" max="11018" width="9.28515625" style="150"/>
    <col min="11019" max="11019" width="11.28515625" style="150" customWidth="1"/>
    <col min="11020" max="11267" width="9.28515625" style="150"/>
    <col min="11268" max="11268" width="51.7109375" style="150" customWidth="1"/>
    <col min="11269" max="11274" width="9.28515625" style="150"/>
    <col min="11275" max="11275" width="11.28515625" style="150" customWidth="1"/>
    <col min="11276" max="11523" width="9.28515625" style="150"/>
    <col min="11524" max="11524" width="51.7109375" style="150" customWidth="1"/>
    <col min="11525" max="11530" width="9.28515625" style="150"/>
    <col min="11531" max="11531" width="11.28515625" style="150" customWidth="1"/>
    <col min="11532" max="11779" width="9.28515625" style="150"/>
    <col min="11780" max="11780" width="51.7109375" style="150" customWidth="1"/>
    <col min="11781" max="11786" width="9.28515625" style="150"/>
    <col min="11787" max="11787" width="11.28515625" style="150" customWidth="1"/>
    <col min="11788" max="12035" width="9.28515625" style="150"/>
    <col min="12036" max="12036" width="51.7109375" style="150" customWidth="1"/>
    <col min="12037" max="12042" width="9.28515625" style="150"/>
    <col min="12043" max="12043" width="11.28515625" style="150" customWidth="1"/>
    <col min="12044" max="12291" width="9.28515625" style="150"/>
    <col min="12292" max="12292" width="51.7109375" style="150" customWidth="1"/>
    <col min="12293" max="12298" width="9.28515625" style="150"/>
    <col min="12299" max="12299" width="11.28515625" style="150" customWidth="1"/>
    <col min="12300" max="12547" width="9.28515625" style="150"/>
    <col min="12548" max="12548" width="51.7109375" style="150" customWidth="1"/>
    <col min="12549" max="12554" width="9.28515625" style="150"/>
    <col min="12555" max="12555" width="11.28515625" style="150" customWidth="1"/>
    <col min="12556" max="12803" width="9.28515625" style="150"/>
    <col min="12804" max="12804" width="51.7109375" style="150" customWidth="1"/>
    <col min="12805" max="12810" width="9.28515625" style="150"/>
    <col min="12811" max="12811" width="11.28515625" style="150" customWidth="1"/>
    <col min="12812" max="13059" width="9.28515625" style="150"/>
    <col min="13060" max="13060" width="51.7109375" style="150" customWidth="1"/>
    <col min="13061" max="13066" width="9.28515625" style="150"/>
    <col min="13067" max="13067" width="11.28515625" style="150" customWidth="1"/>
    <col min="13068" max="13315" width="9.28515625" style="150"/>
    <col min="13316" max="13316" width="51.7109375" style="150" customWidth="1"/>
    <col min="13317" max="13322" width="9.28515625" style="150"/>
    <col min="13323" max="13323" width="11.28515625" style="150" customWidth="1"/>
    <col min="13324" max="13571" width="9.28515625" style="150"/>
    <col min="13572" max="13572" width="51.7109375" style="150" customWidth="1"/>
    <col min="13573" max="13578" width="9.28515625" style="150"/>
    <col min="13579" max="13579" width="11.28515625" style="150" customWidth="1"/>
    <col min="13580" max="13827" width="9.28515625" style="150"/>
    <col min="13828" max="13828" width="51.7109375" style="150" customWidth="1"/>
    <col min="13829" max="13834" width="9.28515625" style="150"/>
    <col min="13835" max="13835" width="11.28515625" style="150" customWidth="1"/>
    <col min="13836" max="14083" width="9.28515625" style="150"/>
    <col min="14084" max="14084" width="51.7109375" style="150" customWidth="1"/>
    <col min="14085" max="14090" width="9.28515625" style="150"/>
    <col min="14091" max="14091" width="11.28515625" style="150" customWidth="1"/>
    <col min="14092" max="14339" width="9.28515625" style="150"/>
    <col min="14340" max="14340" width="51.7109375" style="150" customWidth="1"/>
    <col min="14341" max="14346" width="9.28515625" style="150"/>
    <col min="14347" max="14347" width="11.28515625" style="150" customWidth="1"/>
    <col min="14348" max="14595" width="9.28515625" style="150"/>
    <col min="14596" max="14596" width="51.7109375" style="150" customWidth="1"/>
    <col min="14597" max="14602" width="9.28515625" style="150"/>
    <col min="14603" max="14603" width="11.28515625" style="150" customWidth="1"/>
    <col min="14604" max="14851" width="9.28515625" style="150"/>
    <col min="14852" max="14852" width="51.7109375" style="150" customWidth="1"/>
    <col min="14853" max="14858" width="9.28515625" style="150"/>
    <col min="14859" max="14859" width="11.28515625" style="150" customWidth="1"/>
    <col min="14860" max="15107" width="9.28515625" style="150"/>
    <col min="15108" max="15108" width="51.7109375" style="150" customWidth="1"/>
    <col min="15109" max="15114" width="9.28515625" style="150"/>
    <col min="15115" max="15115" width="11.28515625" style="150" customWidth="1"/>
    <col min="15116" max="15363" width="9.28515625" style="150"/>
    <col min="15364" max="15364" width="51.7109375" style="150" customWidth="1"/>
    <col min="15365" max="15370" width="9.28515625" style="150"/>
    <col min="15371" max="15371" width="11.28515625" style="150" customWidth="1"/>
    <col min="15372" max="15619" width="9.28515625" style="150"/>
    <col min="15620" max="15620" width="51.7109375" style="150" customWidth="1"/>
    <col min="15621" max="15626" width="9.28515625" style="150"/>
    <col min="15627" max="15627" width="11.28515625" style="150" customWidth="1"/>
    <col min="15628" max="15875" width="9.28515625" style="150"/>
    <col min="15876" max="15876" width="51.7109375" style="150" customWidth="1"/>
    <col min="15877" max="15882" width="9.28515625" style="150"/>
    <col min="15883" max="15883" width="11.28515625" style="150" customWidth="1"/>
    <col min="15884" max="16131" width="9.28515625" style="150"/>
    <col min="16132" max="16132" width="51.7109375" style="150" customWidth="1"/>
    <col min="16133" max="16138" width="9.28515625" style="150"/>
    <col min="16139" max="16139" width="11.28515625" style="150" customWidth="1"/>
    <col min="16140" max="16384" width="9.28515625" style="150"/>
  </cols>
  <sheetData>
    <row r="1" spans="1:15" x14ac:dyDescent="0.25">
      <c r="A1" s="34"/>
      <c r="B1" s="81"/>
      <c r="C1" s="81"/>
      <c r="D1" s="81"/>
      <c r="E1" s="81"/>
      <c r="F1" s="81"/>
      <c r="G1" s="81"/>
      <c r="H1" s="81"/>
      <c r="I1" s="81"/>
      <c r="J1" s="34"/>
      <c r="K1" s="79" t="s">
        <v>264</v>
      </c>
      <c r="L1" s="590" t="str">
        <f>EBNUMBER</f>
        <v>EB-2019-0037</v>
      </c>
    </row>
    <row r="2" spans="1:15" x14ac:dyDescent="0.25">
      <c r="A2" s="34"/>
      <c r="B2" s="81"/>
      <c r="C2" s="81"/>
      <c r="D2" s="81"/>
      <c r="E2" s="81"/>
      <c r="F2" s="81"/>
      <c r="G2" s="81"/>
      <c r="H2" s="81"/>
      <c r="I2" s="81"/>
      <c r="J2" s="34"/>
      <c r="K2" s="79" t="s">
        <v>265</v>
      </c>
      <c r="L2" s="33"/>
    </row>
    <row r="3" spans="1:15" x14ac:dyDescent="0.25">
      <c r="A3" s="34"/>
      <c r="B3" s="81"/>
      <c r="C3" s="81"/>
      <c r="D3" s="81"/>
      <c r="E3" s="81"/>
      <c r="F3" s="81"/>
      <c r="G3" s="81"/>
      <c r="H3" s="81"/>
      <c r="I3" s="81"/>
      <c r="J3" s="34"/>
      <c r="K3" s="79" t="s">
        <v>266</v>
      </c>
      <c r="L3" s="33"/>
    </row>
    <row r="4" spans="1:15" x14ac:dyDescent="0.25">
      <c r="A4" s="34"/>
      <c r="B4" s="81"/>
      <c r="C4" s="81"/>
      <c r="D4" s="81"/>
      <c r="E4" s="81"/>
      <c r="F4" s="81"/>
      <c r="G4" s="81"/>
      <c r="H4" s="81"/>
      <c r="I4" s="81"/>
      <c r="J4" s="34"/>
      <c r="K4" s="79" t="s">
        <v>267</v>
      </c>
      <c r="L4" s="33"/>
    </row>
    <row r="5" spans="1:15" x14ac:dyDescent="0.25">
      <c r="A5" s="34"/>
      <c r="B5" s="81"/>
      <c r="C5" s="81"/>
      <c r="D5" s="81"/>
      <c r="E5" s="81"/>
      <c r="F5" s="81"/>
      <c r="G5" s="81"/>
      <c r="H5" s="81"/>
      <c r="I5" s="81"/>
      <c r="J5" s="34"/>
      <c r="K5" s="79" t="s">
        <v>268</v>
      </c>
      <c r="L5" s="448"/>
    </row>
    <row r="6" spans="1:15" x14ac:dyDescent="0.25">
      <c r="A6" s="34"/>
      <c r="B6" s="81"/>
      <c r="C6" s="81"/>
      <c r="D6" s="81"/>
      <c r="E6" s="81"/>
      <c r="F6" s="81"/>
      <c r="G6" s="81"/>
      <c r="H6" s="81"/>
      <c r="I6" s="81"/>
      <c r="J6" s="34"/>
      <c r="K6" s="79"/>
      <c r="L6" s="590"/>
    </row>
    <row r="7" spans="1:15" x14ac:dyDescent="0.25">
      <c r="A7" s="34"/>
      <c r="B7" s="81"/>
      <c r="C7" s="81"/>
      <c r="D7" s="81"/>
      <c r="E7" s="81"/>
      <c r="F7" s="81"/>
      <c r="G7" s="81"/>
      <c r="H7" s="81"/>
      <c r="I7" s="81"/>
      <c r="J7" s="34"/>
      <c r="K7" s="79" t="s">
        <v>269</v>
      </c>
      <c r="L7" s="448"/>
    </row>
    <row r="8" spans="1:15" x14ac:dyDescent="0.25">
      <c r="A8" s="34"/>
      <c r="B8" s="34"/>
      <c r="C8" s="34"/>
      <c r="D8" s="34"/>
      <c r="E8" s="34"/>
      <c r="F8" s="34"/>
      <c r="G8" s="34"/>
      <c r="H8" s="34"/>
      <c r="I8" s="34"/>
      <c r="J8" s="34"/>
      <c r="K8" s="34"/>
      <c r="L8" s="34"/>
    </row>
    <row r="9" spans="1:15" ht="18" x14ac:dyDescent="0.25">
      <c r="A9" s="2015" t="s">
        <v>345</v>
      </c>
      <c r="B9" s="2015"/>
      <c r="C9" s="2015"/>
      <c r="D9" s="2015"/>
      <c r="E9" s="2015"/>
      <c r="F9" s="2015"/>
      <c r="G9" s="2015"/>
      <c r="H9" s="2015"/>
      <c r="I9" s="2015"/>
      <c r="J9" s="2015"/>
      <c r="K9" s="2015"/>
      <c r="L9" s="2015"/>
    </row>
    <row r="10" spans="1:15" ht="18" x14ac:dyDescent="0.25">
      <c r="A10" s="2015" t="s">
        <v>421</v>
      </c>
      <c r="B10" s="2015"/>
      <c r="C10" s="2015"/>
      <c r="D10" s="2015"/>
      <c r="E10" s="2015"/>
      <c r="F10" s="2015"/>
      <c r="G10" s="2015"/>
      <c r="H10" s="2015"/>
      <c r="I10" s="2015"/>
      <c r="J10" s="2015"/>
      <c r="K10" s="2015"/>
      <c r="L10" s="2015"/>
    </row>
    <row r="11" spans="1:15" ht="18" x14ac:dyDescent="0.25">
      <c r="A11" s="2015" t="s">
        <v>422</v>
      </c>
      <c r="B11" s="2015"/>
      <c r="C11" s="2015"/>
      <c r="D11" s="2015"/>
      <c r="E11" s="2015"/>
      <c r="F11" s="2015"/>
      <c r="G11" s="2015"/>
      <c r="H11" s="2015"/>
      <c r="I11" s="2015"/>
      <c r="J11" s="2015"/>
      <c r="K11" s="2015"/>
      <c r="L11" s="2015"/>
    </row>
    <row r="12" spans="1:15" x14ac:dyDescent="0.25">
      <c r="A12" s="34"/>
      <c r="B12" s="34"/>
      <c r="C12" s="34"/>
      <c r="D12" s="34"/>
      <c r="E12" s="34"/>
      <c r="F12" s="34"/>
      <c r="G12" s="34"/>
      <c r="H12" s="34"/>
      <c r="I12" s="34"/>
      <c r="J12" s="34"/>
      <c r="K12" s="34"/>
      <c r="L12" s="34"/>
    </row>
    <row r="13" spans="1:15" s="151" customFormat="1" ht="15" customHeight="1" x14ac:dyDescent="0.25">
      <c r="A13" s="2047" t="s">
        <v>1066</v>
      </c>
      <c r="B13" s="2047"/>
      <c r="C13" s="2047"/>
      <c r="D13" s="2047"/>
      <c r="E13" s="2047"/>
      <c r="F13" s="2047"/>
      <c r="G13" s="2047"/>
      <c r="H13" s="2047"/>
      <c r="I13" s="2047"/>
      <c r="J13" s="2047"/>
      <c r="K13" s="2047"/>
      <c r="L13" s="2047"/>
      <c r="M13" s="133"/>
      <c r="N13" s="133"/>
      <c r="O13" s="133"/>
    </row>
    <row r="14" spans="1:15" x14ac:dyDescent="0.25">
      <c r="A14" s="2047"/>
      <c r="B14" s="2047"/>
      <c r="C14" s="2047"/>
      <c r="D14" s="2047"/>
      <c r="E14" s="2047"/>
      <c r="F14" s="2047"/>
      <c r="G14" s="2047"/>
      <c r="H14" s="2047"/>
      <c r="I14" s="2047"/>
      <c r="J14" s="2047"/>
      <c r="K14" s="2047"/>
      <c r="L14" s="2047"/>
      <c r="M14" s="153"/>
      <c r="N14" s="153"/>
    </row>
    <row r="15" spans="1:15" x14ac:dyDescent="0.25">
      <c r="A15" s="2036"/>
      <c r="B15" s="2036"/>
      <c r="C15" s="2036"/>
      <c r="D15" s="2036"/>
      <c r="E15" s="2036"/>
      <c r="F15" s="2036"/>
      <c r="G15" s="2036"/>
      <c r="H15" s="2036"/>
      <c r="I15" s="2036"/>
      <c r="J15" s="2036"/>
      <c r="K15" s="2036"/>
      <c r="L15" s="2036"/>
      <c r="M15" s="153"/>
      <c r="N15" s="153"/>
    </row>
    <row r="16" spans="1:15" x14ac:dyDescent="0.25">
      <c r="A16" s="152"/>
      <c r="B16" s="152"/>
      <c r="C16" s="152"/>
      <c r="D16" s="152"/>
      <c r="E16" s="152"/>
      <c r="F16" s="152"/>
      <c r="G16" s="152"/>
      <c r="H16" s="152"/>
      <c r="I16" s="152"/>
      <c r="J16" s="152"/>
      <c r="K16" s="152"/>
      <c r="L16" s="152"/>
      <c r="M16" s="153"/>
      <c r="N16" s="153"/>
    </row>
    <row r="17" spans="1:10" ht="39" x14ac:dyDescent="0.25">
      <c r="A17" s="152"/>
      <c r="B17" s="154" t="s">
        <v>1067</v>
      </c>
      <c r="C17" s="154">
        <v>2012</v>
      </c>
      <c r="D17" s="154">
        <v>2013</v>
      </c>
      <c r="E17" s="154">
        <v>2014</v>
      </c>
      <c r="F17" s="154">
        <v>2015</v>
      </c>
      <c r="G17" s="154">
        <v>2016</v>
      </c>
      <c r="H17" s="154">
        <v>2017</v>
      </c>
      <c r="I17" s="154" t="s">
        <v>1068</v>
      </c>
      <c r="J17" s="153"/>
    </row>
    <row r="18" spans="1:10" ht="25.5" x14ac:dyDescent="0.25">
      <c r="A18" s="155" t="s">
        <v>90</v>
      </c>
      <c r="B18" s="156" t="s">
        <v>91</v>
      </c>
      <c r="C18" s="156" t="s">
        <v>91</v>
      </c>
      <c r="D18" s="156" t="s">
        <v>91</v>
      </c>
      <c r="E18" s="156" t="s">
        <v>91</v>
      </c>
      <c r="F18" s="157" t="s">
        <v>899</v>
      </c>
      <c r="G18" s="156" t="s">
        <v>92</v>
      </c>
      <c r="H18" s="156" t="s">
        <v>92</v>
      </c>
      <c r="I18" s="157" t="s">
        <v>92</v>
      </c>
      <c r="J18" s="153"/>
    </row>
    <row r="19" spans="1:10" x14ac:dyDescent="0.25">
      <c r="A19" s="155"/>
      <c r="B19" s="156" t="s">
        <v>77</v>
      </c>
      <c r="C19" s="156" t="s">
        <v>334</v>
      </c>
      <c r="D19" s="156" t="s">
        <v>334</v>
      </c>
      <c r="E19" s="156" t="s">
        <v>334</v>
      </c>
      <c r="F19" s="156" t="s">
        <v>334</v>
      </c>
      <c r="G19" s="156" t="s">
        <v>334</v>
      </c>
      <c r="H19" s="156" t="s">
        <v>77</v>
      </c>
      <c r="I19" s="156" t="s">
        <v>77</v>
      </c>
      <c r="J19" s="153"/>
    </row>
    <row r="20" spans="1:10" x14ac:dyDescent="0.25">
      <c r="A20" s="152"/>
      <c r="B20" s="179"/>
      <c r="C20" s="159" t="s">
        <v>148</v>
      </c>
      <c r="D20" s="159" t="s">
        <v>148</v>
      </c>
      <c r="E20" s="159" t="s">
        <v>148</v>
      </c>
      <c r="F20" s="159" t="s">
        <v>148</v>
      </c>
      <c r="G20" s="159" t="s">
        <v>148</v>
      </c>
      <c r="H20" s="159" t="s">
        <v>148</v>
      </c>
      <c r="I20" s="159"/>
      <c r="J20" s="153"/>
    </row>
    <row r="21" spans="1:10" x14ac:dyDescent="0.25">
      <c r="A21" s="155" t="s">
        <v>423</v>
      </c>
      <c r="B21" s="2048"/>
      <c r="C21" s="2032"/>
      <c r="D21" s="2032"/>
      <c r="E21" s="2032"/>
      <c r="F21" s="2032"/>
      <c r="G21" s="2032"/>
      <c r="H21" s="2032"/>
      <c r="I21" s="2033"/>
      <c r="J21" s="153"/>
    </row>
    <row r="22" spans="1:10" x14ac:dyDescent="0.25">
      <c r="A22" s="158" t="s">
        <v>336</v>
      </c>
      <c r="B22" s="180"/>
      <c r="C22" s="161"/>
      <c r="D22" s="163">
        <f>+C25</f>
        <v>0</v>
      </c>
      <c r="E22" s="163">
        <f>+D25</f>
        <v>0</v>
      </c>
      <c r="F22" s="163">
        <f>+E25</f>
        <v>0</v>
      </c>
      <c r="G22" s="163">
        <f>+F25</f>
        <v>0</v>
      </c>
      <c r="H22" s="163">
        <f>+G25</f>
        <v>0</v>
      </c>
      <c r="I22" s="160"/>
      <c r="J22" s="153"/>
    </row>
    <row r="23" spans="1:10" x14ac:dyDescent="0.25">
      <c r="A23" s="158" t="s">
        <v>631</v>
      </c>
      <c r="B23" s="180"/>
      <c r="C23" s="161"/>
      <c r="D23" s="161"/>
      <c r="E23" s="161"/>
      <c r="F23" s="161"/>
      <c r="G23" s="161"/>
      <c r="H23" s="161"/>
      <c r="I23" s="160"/>
      <c r="J23" s="153"/>
    </row>
    <row r="24" spans="1:10" x14ac:dyDescent="0.25">
      <c r="A24" s="158" t="s">
        <v>632</v>
      </c>
      <c r="B24" s="180"/>
      <c r="C24" s="161"/>
      <c r="D24" s="161"/>
      <c r="E24" s="161"/>
      <c r="F24" s="161"/>
      <c r="G24" s="161"/>
      <c r="H24" s="161"/>
      <c r="I24" s="160"/>
      <c r="J24" s="153"/>
    </row>
    <row r="25" spans="1:10" x14ac:dyDescent="0.25">
      <c r="A25" s="162" t="s">
        <v>337</v>
      </c>
      <c r="B25" s="180"/>
      <c r="C25" s="163">
        <f t="shared" ref="C25:H25" si="0">C22+C23+C24</f>
        <v>0</v>
      </c>
      <c r="D25" s="163">
        <f t="shared" si="0"/>
        <v>0</v>
      </c>
      <c r="E25" s="163">
        <f t="shared" si="0"/>
        <v>0</v>
      </c>
      <c r="F25" s="163">
        <f t="shared" si="0"/>
        <v>0</v>
      </c>
      <c r="G25" s="163">
        <f t="shared" si="0"/>
        <v>0</v>
      </c>
      <c r="H25" s="163">
        <f t="shared" si="0"/>
        <v>0</v>
      </c>
      <c r="I25" s="160"/>
      <c r="J25" s="153"/>
    </row>
    <row r="26" spans="1:10" x14ac:dyDescent="0.25">
      <c r="A26" s="152"/>
      <c r="B26" s="2049"/>
      <c r="C26" s="2039"/>
      <c r="D26" s="2039"/>
      <c r="E26" s="2039"/>
      <c r="F26" s="2039"/>
      <c r="G26" s="2039"/>
      <c r="H26" s="2039"/>
      <c r="I26" s="2040"/>
      <c r="J26" s="153"/>
    </row>
    <row r="27" spans="1:10" x14ac:dyDescent="0.25">
      <c r="A27" s="164" t="s">
        <v>424</v>
      </c>
      <c r="B27" s="2050"/>
      <c r="C27" s="2041"/>
      <c r="D27" s="2041"/>
      <c r="E27" s="2041"/>
      <c r="F27" s="2041"/>
      <c r="G27" s="2041"/>
      <c r="H27" s="2041"/>
      <c r="I27" s="2042"/>
      <c r="J27" s="153"/>
    </row>
    <row r="28" spans="1:10" x14ac:dyDescent="0.25">
      <c r="A28" s="158" t="s">
        <v>338</v>
      </c>
      <c r="B28" s="160"/>
      <c r="C28" s="165"/>
      <c r="D28" s="163">
        <f>+C31</f>
        <v>0</v>
      </c>
      <c r="E28" s="163">
        <f>+D31</f>
        <v>0</v>
      </c>
      <c r="F28" s="163">
        <f>+E31</f>
        <v>0</v>
      </c>
      <c r="G28" s="163">
        <f>+F31</f>
        <v>0</v>
      </c>
      <c r="H28" s="163">
        <f>+G31</f>
        <v>0</v>
      </c>
      <c r="I28" s="160"/>
      <c r="J28" s="153"/>
    </row>
    <row r="29" spans="1:10" x14ac:dyDescent="0.25">
      <c r="A29" s="158" t="s">
        <v>631</v>
      </c>
      <c r="B29" s="160"/>
      <c r="C29" s="165"/>
      <c r="D29" s="165"/>
      <c r="E29" s="165"/>
      <c r="F29" s="165"/>
      <c r="G29" s="165"/>
      <c r="H29" s="165"/>
      <c r="I29" s="160"/>
      <c r="J29" s="153"/>
    </row>
    <row r="30" spans="1:10" x14ac:dyDescent="0.25">
      <c r="A30" s="158" t="s">
        <v>632</v>
      </c>
      <c r="B30" s="160"/>
      <c r="C30" s="165"/>
      <c r="D30" s="165"/>
      <c r="E30" s="165"/>
      <c r="F30" s="165"/>
      <c r="G30" s="165"/>
      <c r="H30" s="165"/>
      <c r="I30" s="160"/>
      <c r="J30" s="153"/>
    </row>
    <row r="31" spans="1:10" x14ac:dyDescent="0.25">
      <c r="A31" s="162" t="s">
        <v>339</v>
      </c>
      <c r="B31" s="160"/>
      <c r="C31" s="163">
        <f t="shared" ref="C31:H31" si="1">SUM(C28:C30)</f>
        <v>0</v>
      </c>
      <c r="D31" s="163">
        <f t="shared" si="1"/>
        <v>0</v>
      </c>
      <c r="E31" s="163">
        <f t="shared" si="1"/>
        <v>0</v>
      </c>
      <c r="F31" s="163">
        <f t="shared" si="1"/>
        <v>0</v>
      </c>
      <c r="G31" s="163">
        <f t="shared" si="1"/>
        <v>0</v>
      </c>
      <c r="H31" s="163">
        <f t="shared" si="1"/>
        <v>0</v>
      </c>
      <c r="I31" s="160"/>
      <c r="J31" s="153"/>
    </row>
    <row r="32" spans="1:10" x14ac:dyDescent="0.25">
      <c r="A32" s="152"/>
      <c r="B32" s="2048"/>
      <c r="C32" s="2032"/>
      <c r="D32" s="2032"/>
      <c r="E32" s="2032"/>
      <c r="F32" s="2032"/>
      <c r="G32" s="2032"/>
      <c r="H32" s="2032"/>
      <c r="I32" s="2033"/>
      <c r="J32" s="153"/>
    </row>
    <row r="33" spans="1:14" ht="26.25" x14ac:dyDescent="0.25">
      <c r="A33" s="166" t="s">
        <v>638</v>
      </c>
      <c r="B33" s="160"/>
      <c r="C33" s="167">
        <f t="shared" ref="C33:H33" si="2">C25-C31</f>
        <v>0</v>
      </c>
      <c r="D33" s="167">
        <f t="shared" si="2"/>
        <v>0</v>
      </c>
      <c r="E33" s="167">
        <f t="shared" si="2"/>
        <v>0</v>
      </c>
      <c r="F33" s="167">
        <f t="shared" si="2"/>
        <v>0</v>
      </c>
      <c r="G33" s="167">
        <f t="shared" si="2"/>
        <v>0</v>
      </c>
      <c r="H33" s="167">
        <f t="shared" si="2"/>
        <v>0</v>
      </c>
      <c r="I33" s="160"/>
      <c r="J33" s="153"/>
    </row>
    <row r="34" spans="1:14" x14ac:dyDescent="0.25">
      <c r="A34" s="155"/>
      <c r="B34" s="152"/>
      <c r="C34" s="152"/>
      <c r="D34" s="168"/>
      <c r="E34" s="168"/>
      <c r="F34" s="168"/>
      <c r="G34" s="168"/>
      <c r="H34" s="168"/>
      <c r="I34" s="168"/>
      <c r="J34" s="168"/>
      <c r="K34" s="168"/>
      <c r="L34" s="152"/>
      <c r="M34" s="153"/>
      <c r="N34" s="153"/>
    </row>
    <row r="35" spans="1:14" x14ac:dyDescent="0.25">
      <c r="A35" s="155"/>
      <c r="B35" s="152"/>
      <c r="C35" s="152"/>
      <c r="D35" s="168"/>
      <c r="E35" s="168"/>
      <c r="F35" s="168"/>
      <c r="G35" s="168"/>
      <c r="H35" s="168"/>
      <c r="I35" s="168"/>
      <c r="J35" s="168"/>
      <c r="K35" s="168"/>
      <c r="L35" s="152"/>
      <c r="M35" s="153"/>
      <c r="N35" s="153"/>
    </row>
    <row r="36" spans="1:14" x14ac:dyDescent="0.25">
      <c r="A36" s="155" t="s">
        <v>633</v>
      </c>
      <c r="B36" s="152"/>
      <c r="C36" s="152"/>
      <c r="D36" s="168"/>
      <c r="E36" s="168"/>
      <c r="F36" s="168"/>
      <c r="G36" s="168"/>
      <c r="H36" s="168"/>
      <c r="I36" s="168"/>
      <c r="J36" s="168"/>
      <c r="K36" s="168"/>
      <c r="L36" s="152"/>
      <c r="M36" s="153"/>
      <c r="N36" s="153"/>
    </row>
    <row r="37" spans="1:14" s="174" customFormat="1" x14ac:dyDescent="0.25">
      <c r="A37" s="169" t="s">
        <v>639</v>
      </c>
      <c r="B37" s="170"/>
      <c r="C37" s="170"/>
      <c r="D37" s="170"/>
      <c r="E37" s="170"/>
      <c r="F37" s="170"/>
      <c r="G37" s="170"/>
      <c r="H37" s="170"/>
      <c r="I37" s="171">
        <f>IF(ISERROR(H33), 0, H33)</f>
        <v>0</v>
      </c>
      <c r="J37" s="152"/>
      <c r="K37" s="172" t="s">
        <v>341</v>
      </c>
      <c r="L37" s="173"/>
      <c r="M37" s="153"/>
      <c r="N37" s="153"/>
    </row>
    <row r="38" spans="1:14" s="174" customFormat="1" ht="26.25" customHeight="1" x14ac:dyDescent="0.25">
      <c r="A38" s="169" t="s">
        <v>640</v>
      </c>
      <c r="B38" s="170"/>
      <c r="C38" s="170"/>
      <c r="D38" s="170"/>
      <c r="E38" s="170"/>
      <c r="F38" s="170"/>
      <c r="G38" s="170"/>
      <c r="H38" s="170"/>
      <c r="I38" s="171">
        <f>H33*L37*L38</f>
        <v>0</v>
      </c>
      <c r="J38" s="2043" t="s">
        <v>634</v>
      </c>
      <c r="K38" s="2043"/>
      <c r="L38" s="2044"/>
      <c r="M38" s="175"/>
      <c r="N38" s="153"/>
    </row>
    <row r="39" spans="1:14" x14ac:dyDescent="0.25">
      <c r="A39" s="176" t="s">
        <v>635</v>
      </c>
      <c r="B39" s="177"/>
      <c r="C39" s="177"/>
      <c r="D39" s="177"/>
      <c r="E39" s="177"/>
      <c r="F39" s="177"/>
      <c r="G39" s="177"/>
      <c r="H39" s="177"/>
      <c r="I39" s="178">
        <f>I37+I38</f>
        <v>0</v>
      </c>
      <c r="J39" s="2043"/>
      <c r="K39" s="2043"/>
      <c r="L39" s="2045"/>
      <c r="M39" s="153"/>
      <c r="N39" s="153"/>
    </row>
    <row r="40" spans="1:14" x14ac:dyDescent="0.25">
      <c r="A40" s="155"/>
      <c r="B40" s="152"/>
      <c r="C40" s="152"/>
      <c r="D40" s="152"/>
      <c r="E40" s="152"/>
      <c r="F40" s="152"/>
      <c r="G40" s="152"/>
      <c r="H40" s="152"/>
      <c r="I40" s="181"/>
      <c r="J40" s="152"/>
      <c r="K40" s="152"/>
      <c r="L40" s="152"/>
      <c r="M40" s="153"/>
      <c r="N40" s="153"/>
    </row>
    <row r="41" spans="1:14" x14ac:dyDescent="0.25">
      <c r="A41" s="155" t="s">
        <v>6</v>
      </c>
      <c r="B41" s="152"/>
      <c r="C41" s="152"/>
      <c r="D41" s="152"/>
      <c r="E41" s="152"/>
      <c r="F41" s="152"/>
      <c r="G41" s="152"/>
      <c r="H41" s="152"/>
      <c r="I41" s="152"/>
      <c r="J41" s="152"/>
      <c r="K41" s="152"/>
      <c r="L41" s="152"/>
      <c r="M41" s="153"/>
      <c r="N41" s="153"/>
    </row>
    <row r="42" spans="1:14" ht="27.75" customHeight="1" x14ac:dyDescent="0.25">
      <c r="A42" s="2046" t="s">
        <v>425</v>
      </c>
      <c r="B42" s="2046"/>
      <c r="C42" s="2046"/>
      <c r="D42" s="2046"/>
      <c r="E42" s="2046"/>
      <c r="F42" s="2046"/>
      <c r="G42" s="2046"/>
      <c r="H42" s="2046"/>
      <c r="I42" s="2046"/>
      <c r="J42" s="2046"/>
      <c r="K42" s="2046"/>
      <c r="L42" s="2046"/>
      <c r="M42" s="2046"/>
      <c r="N42" s="153"/>
    </row>
    <row r="43" spans="1:14" x14ac:dyDescent="0.25">
      <c r="A43" s="152" t="s">
        <v>641</v>
      </c>
      <c r="B43" s="152"/>
      <c r="C43" s="152"/>
      <c r="D43" s="152"/>
      <c r="E43" s="152"/>
      <c r="F43" s="152"/>
      <c r="G43" s="152"/>
      <c r="H43" s="152"/>
      <c r="I43" s="152"/>
      <c r="J43" s="152"/>
      <c r="K43" s="152"/>
      <c r="L43" s="152"/>
      <c r="M43" s="153"/>
      <c r="N43" s="153"/>
    </row>
    <row r="44" spans="1:14" x14ac:dyDescent="0.25">
      <c r="A44" s="152" t="s">
        <v>1069</v>
      </c>
      <c r="B44" s="152"/>
      <c r="C44" s="152"/>
      <c r="D44" s="152"/>
      <c r="E44" s="152"/>
      <c r="F44" s="152"/>
      <c r="G44" s="152"/>
      <c r="H44" s="152"/>
      <c r="I44" s="152"/>
      <c r="J44" s="152"/>
      <c r="K44" s="152"/>
      <c r="L44" s="152"/>
      <c r="M44" s="153"/>
      <c r="N44" s="153"/>
    </row>
    <row r="45" spans="1:14" x14ac:dyDescent="0.25">
      <c r="A45" s="152" t="s">
        <v>342</v>
      </c>
      <c r="B45" s="152"/>
      <c r="C45" s="152"/>
      <c r="D45" s="152"/>
      <c r="E45" s="152"/>
      <c r="F45" s="152"/>
      <c r="G45" s="152"/>
      <c r="H45" s="152"/>
      <c r="I45" s="152"/>
      <c r="J45" s="152"/>
      <c r="K45" s="152"/>
      <c r="L45" s="152"/>
      <c r="M45" s="153"/>
      <c r="N45" s="153"/>
    </row>
    <row r="46" spans="1:14" ht="15" customHeight="1" x14ac:dyDescent="0.25">
      <c r="A46" s="2038" t="s">
        <v>642</v>
      </c>
      <c r="B46" s="2038"/>
      <c r="C46" s="2038"/>
      <c r="D46" s="2038"/>
      <c r="E46" s="2038"/>
      <c r="F46" s="2038"/>
      <c r="G46" s="2038"/>
      <c r="H46" s="2038"/>
      <c r="I46" s="2038"/>
      <c r="J46" s="2038"/>
      <c r="K46" s="2038"/>
      <c r="L46" s="152"/>
      <c r="M46" s="153"/>
      <c r="N46" s="153"/>
    </row>
    <row r="47" spans="1:14" x14ac:dyDescent="0.25">
      <c r="A47" s="152" t="s">
        <v>764</v>
      </c>
      <c r="B47" s="153"/>
      <c r="C47" s="153"/>
      <c r="D47" s="153"/>
      <c r="E47" s="153"/>
      <c r="F47" s="153"/>
      <c r="G47" s="153"/>
      <c r="H47" s="153"/>
      <c r="I47" s="153"/>
      <c r="J47" s="153"/>
      <c r="K47" s="153"/>
      <c r="L47" s="152"/>
      <c r="M47" s="153"/>
      <c r="N47" s="153"/>
    </row>
    <row r="48" spans="1:14" x14ac:dyDescent="0.25">
      <c r="A48" s="152" t="s">
        <v>901</v>
      </c>
      <c r="B48" s="152"/>
      <c r="C48" s="152"/>
      <c r="D48" s="152"/>
      <c r="E48" s="152"/>
      <c r="F48" s="152"/>
      <c r="G48" s="152"/>
      <c r="H48" s="152"/>
      <c r="I48" s="152"/>
      <c r="J48" s="152"/>
      <c r="K48" s="152"/>
      <c r="L48" s="152"/>
      <c r="M48" s="153"/>
      <c r="N48" s="153"/>
    </row>
    <row r="49" spans="1:14" x14ac:dyDescent="0.25">
      <c r="A49" s="152"/>
      <c r="B49" s="152"/>
      <c r="C49" s="152"/>
      <c r="D49" s="152"/>
      <c r="E49" s="152"/>
      <c r="F49" s="152"/>
      <c r="G49" s="152"/>
      <c r="H49" s="152"/>
      <c r="I49" s="152"/>
      <c r="J49" s="152"/>
      <c r="K49" s="152"/>
      <c r="L49" s="152"/>
      <c r="M49" s="153"/>
      <c r="N49" s="153"/>
    </row>
    <row r="50" spans="1:14" x14ac:dyDescent="0.25">
      <c r="A50" s="152"/>
      <c r="B50" s="152"/>
      <c r="C50" s="152"/>
      <c r="D50" s="152"/>
      <c r="E50" s="152"/>
      <c r="F50" s="152"/>
      <c r="G50" s="152"/>
      <c r="H50" s="152"/>
      <c r="I50" s="152"/>
      <c r="J50" s="152"/>
      <c r="K50" s="152"/>
      <c r="L50" s="152"/>
      <c r="M50" s="153"/>
      <c r="N50" s="153"/>
    </row>
    <row r="51" spans="1:14" x14ac:dyDescent="0.25">
      <c r="A51" s="152"/>
      <c r="B51" s="152"/>
      <c r="C51" s="152"/>
      <c r="D51" s="152"/>
      <c r="E51" s="152"/>
      <c r="F51" s="152"/>
      <c r="G51" s="152"/>
      <c r="H51" s="152"/>
      <c r="I51" s="152"/>
      <c r="J51" s="152"/>
      <c r="K51" s="152"/>
      <c r="L51" s="152"/>
      <c r="M51" s="153"/>
      <c r="N51" s="153"/>
    </row>
    <row r="52" spans="1:14" x14ac:dyDescent="0.25">
      <c r="A52" s="152"/>
      <c r="B52" s="152"/>
      <c r="C52" s="152"/>
      <c r="D52" s="152"/>
      <c r="E52" s="152"/>
      <c r="F52" s="152"/>
      <c r="G52" s="152"/>
      <c r="H52" s="152"/>
      <c r="I52" s="152"/>
      <c r="J52" s="152"/>
      <c r="K52" s="152"/>
      <c r="L52" s="152"/>
      <c r="M52" s="153"/>
      <c r="N52" s="153"/>
    </row>
    <row r="53" spans="1:14" x14ac:dyDescent="0.25">
      <c r="A53" s="152"/>
      <c r="B53" s="152"/>
      <c r="C53" s="152"/>
      <c r="D53" s="152"/>
      <c r="E53" s="152"/>
      <c r="F53" s="152"/>
      <c r="G53" s="152"/>
      <c r="H53" s="152"/>
      <c r="I53" s="152"/>
      <c r="J53" s="152"/>
      <c r="K53" s="152"/>
      <c r="L53" s="152"/>
      <c r="M53" s="153"/>
      <c r="N53" s="153"/>
    </row>
    <row r="54" spans="1:14" x14ac:dyDescent="0.25">
      <c r="A54" s="152"/>
      <c r="B54" s="152"/>
      <c r="C54" s="152"/>
      <c r="D54" s="152"/>
      <c r="E54" s="152"/>
      <c r="F54" s="152"/>
      <c r="G54" s="152"/>
      <c r="H54" s="152"/>
      <c r="I54" s="152"/>
      <c r="J54" s="152"/>
      <c r="K54" s="152"/>
      <c r="L54" s="152"/>
      <c r="M54" s="153"/>
      <c r="N54" s="153"/>
    </row>
    <row r="55" spans="1:14" x14ac:dyDescent="0.25">
      <c r="A55" s="152"/>
      <c r="B55" s="153"/>
      <c r="C55" s="153"/>
      <c r="D55" s="153"/>
      <c r="E55" s="153"/>
      <c r="F55" s="153"/>
      <c r="G55" s="153"/>
      <c r="H55" s="153"/>
      <c r="I55" s="153"/>
      <c r="J55" s="153"/>
      <c r="K55" s="153"/>
      <c r="L55" s="153"/>
      <c r="M55" s="153"/>
      <c r="N55" s="153"/>
    </row>
  </sheetData>
  <sheetProtection algorithmName="SHA-512" hashValue="oQXhwVVGSj2z8pbwSSfZjb4nXJS/+e3cDtjnte2q/lcdDwQnIrUcdzINuCOCJCwS8B0UZao6jedI3ZQPtwhjYw==" saltValue="WfNAxeE+eCVHG0+eF4lsMA==" spinCount="100000" sheet="1" objects="1" scenarios="1"/>
  <mergeCells count="12">
    <mergeCell ref="A42:M42"/>
    <mergeCell ref="A46:K46"/>
    <mergeCell ref="A9:L9"/>
    <mergeCell ref="A10:L10"/>
    <mergeCell ref="A11:L11"/>
    <mergeCell ref="A13:L14"/>
    <mergeCell ref="A15:L15"/>
    <mergeCell ref="B21:I21"/>
    <mergeCell ref="B26:I27"/>
    <mergeCell ref="B32:I32"/>
    <mergeCell ref="J38:K39"/>
    <mergeCell ref="L38:L39"/>
  </mergeCells>
  <dataValidations count="1">
    <dataValidation allowBlank="1" showInputMessage="1" showErrorMessage="1" promptTitle="Date Format" prompt="E.g:  &quot;August 1, 2011&quot;" sqref="WVP983044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G65540: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G131076: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G196612: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G262148: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G327684: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G393220: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G458756: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G524292: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G589828: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G655364: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G720900: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G786436: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G851972: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G917508: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G983044: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xr:uid="{00000000-0002-0000-0F00-000000000000}"/>
  </dataValidations>
  <pageMargins left="0.7" right="0.7" top="0.75" bottom="0.75" header="0.3" footer="0.3"/>
  <pageSetup scale="46" orientation="portrait"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3">
    <tabColor rgb="FFFFC000"/>
    <pageSetUpPr fitToPage="1"/>
  </sheetPr>
  <dimension ref="A1:N55"/>
  <sheetViews>
    <sheetView showGridLines="0" zoomScaleNormal="100" workbookViewId="0"/>
  </sheetViews>
  <sheetFormatPr defaultRowHeight="15" x14ac:dyDescent="0.25"/>
  <cols>
    <col min="1" max="1" width="51.7109375" style="150" customWidth="1"/>
    <col min="2" max="2" width="11" style="150" customWidth="1"/>
    <col min="3" max="7" width="13.7109375" style="150" customWidth="1"/>
    <col min="8" max="8" width="12.7109375" style="150" customWidth="1"/>
    <col min="9" max="9" width="9.42578125" style="150" customWidth="1"/>
    <col min="10" max="10" width="13.7109375" style="150" customWidth="1"/>
    <col min="11" max="11" width="12.42578125" style="150" customWidth="1"/>
    <col min="12" max="12" width="9.28515625" style="150" bestFit="1" customWidth="1"/>
    <col min="13" max="258" width="9.28515625" style="150"/>
    <col min="259" max="259" width="51.7109375" style="150" customWidth="1"/>
    <col min="260" max="265" width="9.28515625" style="150"/>
    <col min="266" max="266" width="11.28515625" style="150" customWidth="1"/>
    <col min="267" max="514" width="9.28515625" style="150"/>
    <col min="515" max="515" width="51.7109375" style="150" customWidth="1"/>
    <col min="516" max="521" width="9.28515625" style="150"/>
    <col min="522" max="522" width="11.28515625" style="150" customWidth="1"/>
    <col min="523" max="770" width="9.28515625" style="150"/>
    <col min="771" max="771" width="51.7109375" style="150" customWidth="1"/>
    <col min="772" max="777" width="9.28515625" style="150"/>
    <col min="778" max="778" width="11.28515625" style="150" customWidth="1"/>
    <col min="779" max="1026" width="9.28515625" style="150"/>
    <col min="1027" max="1027" width="51.7109375" style="150" customWidth="1"/>
    <col min="1028" max="1033" width="9.28515625" style="150"/>
    <col min="1034" max="1034" width="11.28515625" style="150" customWidth="1"/>
    <col min="1035" max="1282" width="9.28515625" style="150"/>
    <col min="1283" max="1283" width="51.7109375" style="150" customWidth="1"/>
    <col min="1284" max="1289" width="9.28515625" style="150"/>
    <col min="1290" max="1290" width="11.28515625" style="150" customWidth="1"/>
    <col min="1291" max="1538" width="9.28515625" style="150"/>
    <col min="1539" max="1539" width="51.7109375" style="150" customWidth="1"/>
    <col min="1540" max="1545" width="9.28515625" style="150"/>
    <col min="1546" max="1546" width="11.28515625" style="150" customWidth="1"/>
    <col min="1547" max="1794" width="9.28515625" style="150"/>
    <col min="1795" max="1795" width="51.7109375" style="150" customWidth="1"/>
    <col min="1796" max="1801" width="9.28515625" style="150"/>
    <col min="1802" max="1802" width="11.28515625" style="150" customWidth="1"/>
    <col min="1803" max="2050" width="9.28515625" style="150"/>
    <col min="2051" max="2051" width="51.7109375" style="150" customWidth="1"/>
    <col min="2052" max="2057" width="9.28515625" style="150"/>
    <col min="2058" max="2058" width="11.28515625" style="150" customWidth="1"/>
    <col min="2059" max="2306" width="9.28515625" style="150"/>
    <col min="2307" max="2307" width="51.7109375" style="150" customWidth="1"/>
    <col min="2308" max="2313" width="9.28515625" style="150"/>
    <col min="2314" max="2314" width="11.28515625" style="150" customWidth="1"/>
    <col min="2315" max="2562" width="9.28515625" style="150"/>
    <col min="2563" max="2563" width="51.7109375" style="150" customWidth="1"/>
    <col min="2564" max="2569" width="9.28515625" style="150"/>
    <col min="2570" max="2570" width="11.28515625" style="150" customWidth="1"/>
    <col min="2571" max="2818" width="9.28515625" style="150"/>
    <col min="2819" max="2819" width="51.7109375" style="150" customWidth="1"/>
    <col min="2820" max="2825" width="9.28515625" style="150"/>
    <col min="2826" max="2826" width="11.28515625" style="150" customWidth="1"/>
    <col min="2827" max="3074" width="9.28515625" style="150"/>
    <col min="3075" max="3075" width="51.7109375" style="150" customWidth="1"/>
    <col min="3076" max="3081" width="9.28515625" style="150"/>
    <col min="3082" max="3082" width="11.28515625" style="150" customWidth="1"/>
    <col min="3083" max="3330" width="9.28515625" style="150"/>
    <col min="3331" max="3331" width="51.7109375" style="150" customWidth="1"/>
    <col min="3332" max="3337" width="9.28515625" style="150"/>
    <col min="3338" max="3338" width="11.28515625" style="150" customWidth="1"/>
    <col min="3339" max="3586" width="9.28515625" style="150"/>
    <col min="3587" max="3587" width="51.7109375" style="150" customWidth="1"/>
    <col min="3588" max="3593" width="9.28515625" style="150"/>
    <col min="3594" max="3594" width="11.28515625" style="150" customWidth="1"/>
    <col min="3595" max="3842" width="9.28515625" style="150"/>
    <col min="3843" max="3843" width="51.7109375" style="150" customWidth="1"/>
    <col min="3844" max="3849" width="9.28515625" style="150"/>
    <col min="3850" max="3850" width="11.28515625" style="150" customWidth="1"/>
    <col min="3851" max="4098" width="9.28515625" style="150"/>
    <col min="4099" max="4099" width="51.7109375" style="150" customWidth="1"/>
    <col min="4100" max="4105" width="9.28515625" style="150"/>
    <col min="4106" max="4106" width="11.28515625" style="150" customWidth="1"/>
    <col min="4107" max="4354" width="9.28515625" style="150"/>
    <col min="4355" max="4355" width="51.7109375" style="150" customWidth="1"/>
    <col min="4356" max="4361" width="9.28515625" style="150"/>
    <col min="4362" max="4362" width="11.28515625" style="150" customWidth="1"/>
    <col min="4363" max="4610" width="9.28515625" style="150"/>
    <col min="4611" max="4611" width="51.7109375" style="150" customWidth="1"/>
    <col min="4612" max="4617" width="9.28515625" style="150"/>
    <col min="4618" max="4618" width="11.28515625" style="150" customWidth="1"/>
    <col min="4619" max="4866" width="9.28515625" style="150"/>
    <col min="4867" max="4867" width="51.7109375" style="150" customWidth="1"/>
    <col min="4868" max="4873" width="9.28515625" style="150"/>
    <col min="4874" max="4874" width="11.28515625" style="150" customWidth="1"/>
    <col min="4875" max="5122" width="9.28515625" style="150"/>
    <col min="5123" max="5123" width="51.7109375" style="150" customWidth="1"/>
    <col min="5124" max="5129" width="9.28515625" style="150"/>
    <col min="5130" max="5130" width="11.28515625" style="150" customWidth="1"/>
    <col min="5131" max="5378" width="9.28515625" style="150"/>
    <col min="5379" max="5379" width="51.7109375" style="150" customWidth="1"/>
    <col min="5380" max="5385" width="9.28515625" style="150"/>
    <col min="5386" max="5386" width="11.28515625" style="150" customWidth="1"/>
    <col min="5387" max="5634" width="9.28515625" style="150"/>
    <col min="5635" max="5635" width="51.7109375" style="150" customWidth="1"/>
    <col min="5636" max="5641" width="9.28515625" style="150"/>
    <col min="5642" max="5642" width="11.28515625" style="150" customWidth="1"/>
    <col min="5643" max="5890" width="9.28515625" style="150"/>
    <col min="5891" max="5891" width="51.7109375" style="150" customWidth="1"/>
    <col min="5892" max="5897" width="9.28515625" style="150"/>
    <col min="5898" max="5898" width="11.28515625" style="150" customWidth="1"/>
    <col min="5899" max="6146" width="9.28515625" style="150"/>
    <col min="6147" max="6147" width="51.7109375" style="150" customWidth="1"/>
    <col min="6148" max="6153" width="9.28515625" style="150"/>
    <col min="6154" max="6154" width="11.28515625" style="150" customWidth="1"/>
    <col min="6155" max="6402" width="9.28515625" style="150"/>
    <col min="6403" max="6403" width="51.7109375" style="150" customWidth="1"/>
    <col min="6404" max="6409" width="9.28515625" style="150"/>
    <col min="6410" max="6410" width="11.28515625" style="150" customWidth="1"/>
    <col min="6411" max="6658" width="9.28515625" style="150"/>
    <col min="6659" max="6659" width="51.7109375" style="150" customWidth="1"/>
    <col min="6660" max="6665" width="9.28515625" style="150"/>
    <col min="6666" max="6666" width="11.28515625" style="150" customWidth="1"/>
    <col min="6667" max="6914" width="9.28515625" style="150"/>
    <col min="6915" max="6915" width="51.7109375" style="150" customWidth="1"/>
    <col min="6916" max="6921" width="9.28515625" style="150"/>
    <col min="6922" max="6922" width="11.28515625" style="150" customWidth="1"/>
    <col min="6923" max="7170" width="9.28515625" style="150"/>
    <col min="7171" max="7171" width="51.7109375" style="150" customWidth="1"/>
    <col min="7172" max="7177" width="9.28515625" style="150"/>
    <col min="7178" max="7178" width="11.28515625" style="150" customWidth="1"/>
    <col min="7179" max="7426" width="9.28515625" style="150"/>
    <col min="7427" max="7427" width="51.7109375" style="150" customWidth="1"/>
    <col min="7428" max="7433" width="9.28515625" style="150"/>
    <col min="7434" max="7434" width="11.28515625" style="150" customWidth="1"/>
    <col min="7435" max="7682" width="9.28515625" style="150"/>
    <col min="7683" max="7683" width="51.7109375" style="150" customWidth="1"/>
    <col min="7684" max="7689" width="9.28515625" style="150"/>
    <col min="7690" max="7690" width="11.28515625" style="150" customWidth="1"/>
    <col min="7691" max="7938" width="9.28515625" style="150"/>
    <col min="7939" max="7939" width="51.7109375" style="150" customWidth="1"/>
    <col min="7940" max="7945" width="9.28515625" style="150"/>
    <col min="7946" max="7946" width="11.28515625" style="150" customWidth="1"/>
    <col min="7947" max="8194" width="9.28515625" style="150"/>
    <col min="8195" max="8195" width="51.7109375" style="150" customWidth="1"/>
    <col min="8196" max="8201" width="9.28515625" style="150"/>
    <col min="8202" max="8202" width="11.28515625" style="150" customWidth="1"/>
    <col min="8203" max="8450" width="9.28515625" style="150"/>
    <col min="8451" max="8451" width="51.7109375" style="150" customWidth="1"/>
    <col min="8452" max="8457" width="9.28515625" style="150"/>
    <col min="8458" max="8458" width="11.28515625" style="150" customWidth="1"/>
    <col min="8459" max="8706" width="9.28515625" style="150"/>
    <col min="8707" max="8707" width="51.7109375" style="150" customWidth="1"/>
    <col min="8708" max="8713" width="9.28515625" style="150"/>
    <col min="8714" max="8714" width="11.28515625" style="150" customWidth="1"/>
    <col min="8715" max="8962" width="9.28515625" style="150"/>
    <col min="8963" max="8963" width="51.7109375" style="150" customWidth="1"/>
    <col min="8964" max="8969" width="9.28515625" style="150"/>
    <col min="8970" max="8970" width="11.28515625" style="150" customWidth="1"/>
    <col min="8971" max="9218" width="9.28515625" style="150"/>
    <col min="9219" max="9219" width="51.7109375" style="150" customWidth="1"/>
    <col min="9220" max="9225" width="9.28515625" style="150"/>
    <col min="9226" max="9226" width="11.28515625" style="150" customWidth="1"/>
    <col min="9227" max="9474" width="9.28515625" style="150"/>
    <col min="9475" max="9475" width="51.7109375" style="150" customWidth="1"/>
    <col min="9476" max="9481" width="9.28515625" style="150"/>
    <col min="9482" max="9482" width="11.28515625" style="150" customWidth="1"/>
    <col min="9483" max="9730" width="9.28515625" style="150"/>
    <col min="9731" max="9731" width="51.7109375" style="150" customWidth="1"/>
    <col min="9732" max="9737" width="9.28515625" style="150"/>
    <col min="9738" max="9738" width="11.28515625" style="150" customWidth="1"/>
    <col min="9739" max="9986" width="9.28515625" style="150"/>
    <col min="9987" max="9987" width="51.7109375" style="150" customWidth="1"/>
    <col min="9988" max="9993" width="9.28515625" style="150"/>
    <col min="9994" max="9994" width="11.28515625" style="150" customWidth="1"/>
    <col min="9995" max="10242" width="9.28515625" style="150"/>
    <col min="10243" max="10243" width="51.7109375" style="150" customWidth="1"/>
    <col min="10244" max="10249" width="9.28515625" style="150"/>
    <col min="10250" max="10250" width="11.28515625" style="150" customWidth="1"/>
    <col min="10251" max="10498" width="9.28515625" style="150"/>
    <col min="10499" max="10499" width="51.7109375" style="150" customWidth="1"/>
    <col min="10500" max="10505" width="9.28515625" style="150"/>
    <col min="10506" max="10506" width="11.28515625" style="150" customWidth="1"/>
    <col min="10507" max="10754" width="9.28515625" style="150"/>
    <col min="10755" max="10755" width="51.7109375" style="150" customWidth="1"/>
    <col min="10756" max="10761" width="9.28515625" style="150"/>
    <col min="10762" max="10762" width="11.28515625" style="150" customWidth="1"/>
    <col min="10763" max="11010" width="9.28515625" style="150"/>
    <col min="11011" max="11011" width="51.7109375" style="150" customWidth="1"/>
    <col min="11012" max="11017" width="9.28515625" style="150"/>
    <col min="11018" max="11018" width="11.28515625" style="150" customWidth="1"/>
    <col min="11019" max="11266" width="9.28515625" style="150"/>
    <col min="11267" max="11267" width="51.7109375" style="150" customWidth="1"/>
    <col min="11268" max="11273" width="9.28515625" style="150"/>
    <col min="11274" max="11274" width="11.28515625" style="150" customWidth="1"/>
    <col min="11275" max="11522" width="9.28515625" style="150"/>
    <col min="11523" max="11523" width="51.7109375" style="150" customWidth="1"/>
    <col min="11524" max="11529" width="9.28515625" style="150"/>
    <col min="11530" max="11530" width="11.28515625" style="150" customWidth="1"/>
    <col min="11531" max="11778" width="9.28515625" style="150"/>
    <col min="11779" max="11779" width="51.7109375" style="150" customWidth="1"/>
    <col min="11780" max="11785" width="9.28515625" style="150"/>
    <col min="11786" max="11786" width="11.28515625" style="150" customWidth="1"/>
    <col min="11787" max="12034" width="9.28515625" style="150"/>
    <col min="12035" max="12035" width="51.7109375" style="150" customWidth="1"/>
    <col min="12036" max="12041" width="9.28515625" style="150"/>
    <col min="12042" max="12042" width="11.28515625" style="150" customWidth="1"/>
    <col min="12043" max="12290" width="9.28515625" style="150"/>
    <col min="12291" max="12291" width="51.7109375" style="150" customWidth="1"/>
    <col min="12292" max="12297" width="9.28515625" style="150"/>
    <col min="12298" max="12298" width="11.28515625" style="150" customWidth="1"/>
    <col min="12299" max="12546" width="9.28515625" style="150"/>
    <col min="12547" max="12547" width="51.7109375" style="150" customWidth="1"/>
    <col min="12548" max="12553" width="9.28515625" style="150"/>
    <col min="12554" max="12554" width="11.28515625" style="150" customWidth="1"/>
    <col min="12555" max="12802" width="9.28515625" style="150"/>
    <col min="12803" max="12803" width="51.7109375" style="150" customWidth="1"/>
    <col min="12804" max="12809" width="9.28515625" style="150"/>
    <col min="12810" max="12810" width="11.28515625" style="150" customWidth="1"/>
    <col min="12811" max="13058" width="9.28515625" style="150"/>
    <col min="13059" max="13059" width="51.7109375" style="150" customWidth="1"/>
    <col min="13060" max="13065" width="9.28515625" style="150"/>
    <col min="13066" max="13066" width="11.28515625" style="150" customWidth="1"/>
    <col min="13067" max="13314" width="9.28515625" style="150"/>
    <col min="13315" max="13315" width="51.7109375" style="150" customWidth="1"/>
    <col min="13316" max="13321" width="9.28515625" style="150"/>
    <col min="13322" max="13322" width="11.28515625" style="150" customWidth="1"/>
    <col min="13323" max="13570" width="9.28515625" style="150"/>
    <col min="13571" max="13571" width="51.7109375" style="150" customWidth="1"/>
    <col min="13572" max="13577" width="9.28515625" style="150"/>
    <col min="13578" max="13578" width="11.28515625" style="150" customWidth="1"/>
    <col min="13579" max="13826" width="9.28515625" style="150"/>
    <col min="13827" max="13827" width="51.7109375" style="150" customWidth="1"/>
    <col min="13828" max="13833" width="9.28515625" style="150"/>
    <col min="13834" max="13834" width="11.28515625" style="150" customWidth="1"/>
    <col min="13835" max="14082" width="9.28515625" style="150"/>
    <col min="14083" max="14083" width="51.7109375" style="150" customWidth="1"/>
    <col min="14084" max="14089" width="9.28515625" style="150"/>
    <col min="14090" max="14090" width="11.28515625" style="150" customWidth="1"/>
    <col min="14091" max="14338" width="9.28515625" style="150"/>
    <col min="14339" max="14339" width="51.7109375" style="150" customWidth="1"/>
    <col min="14340" max="14345" width="9.28515625" style="150"/>
    <col min="14346" max="14346" width="11.28515625" style="150" customWidth="1"/>
    <col min="14347" max="14594" width="9.28515625" style="150"/>
    <col min="14595" max="14595" width="51.7109375" style="150" customWidth="1"/>
    <col min="14596" max="14601" width="9.28515625" style="150"/>
    <col min="14602" max="14602" width="11.28515625" style="150" customWidth="1"/>
    <col min="14603" max="14850" width="9.28515625" style="150"/>
    <col min="14851" max="14851" width="51.7109375" style="150" customWidth="1"/>
    <col min="14852" max="14857" width="9.28515625" style="150"/>
    <col min="14858" max="14858" width="11.28515625" style="150" customWidth="1"/>
    <col min="14859" max="15106" width="9.28515625" style="150"/>
    <col min="15107" max="15107" width="51.7109375" style="150" customWidth="1"/>
    <col min="15108" max="15113" width="9.28515625" style="150"/>
    <col min="15114" max="15114" width="11.28515625" style="150" customWidth="1"/>
    <col min="15115" max="15362" width="9.28515625" style="150"/>
    <col min="15363" max="15363" width="51.7109375" style="150" customWidth="1"/>
    <col min="15364" max="15369" width="9.28515625" style="150"/>
    <col min="15370" max="15370" width="11.28515625" style="150" customWidth="1"/>
    <col min="15371" max="15618" width="9.28515625" style="150"/>
    <col min="15619" max="15619" width="51.7109375" style="150" customWidth="1"/>
    <col min="15620" max="15625" width="9.28515625" style="150"/>
    <col min="15626" max="15626" width="11.28515625" style="150" customWidth="1"/>
    <col min="15627" max="15874" width="9.28515625" style="150"/>
    <col min="15875" max="15875" width="51.7109375" style="150" customWidth="1"/>
    <col min="15876" max="15881" width="9.28515625" style="150"/>
    <col min="15882" max="15882" width="11.28515625" style="150" customWidth="1"/>
    <col min="15883" max="16130" width="9.28515625" style="150"/>
    <col min="16131" max="16131" width="51.7109375" style="150" customWidth="1"/>
    <col min="16132" max="16137" width="9.28515625" style="150"/>
    <col min="16138" max="16138" width="11.28515625" style="150" customWidth="1"/>
    <col min="16139" max="16384" width="9.28515625" style="150"/>
  </cols>
  <sheetData>
    <row r="1" spans="1:14" x14ac:dyDescent="0.25">
      <c r="A1" s="34"/>
      <c r="B1" s="81"/>
      <c r="C1" s="81"/>
      <c r="D1" s="81"/>
      <c r="E1" s="81"/>
      <c r="F1" s="81"/>
      <c r="G1" s="81"/>
      <c r="H1" s="81"/>
      <c r="I1" s="34"/>
      <c r="J1" s="79" t="s">
        <v>264</v>
      </c>
      <c r="K1" s="590" t="str">
        <f>EBNUMBER</f>
        <v>EB-2019-0037</v>
      </c>
    </row>
    <row r="2" spans="1:14" x14ac:dyDescent="0.25">
      <c r="A2" s="34"/>
      <c r="B2" s="81"/>
      <c r="C2" s="81"/>
      <c r="D2" s="81"/>
      <c r="E2" s="81"/>
      <c r="F2" s="81"/>
      <c r="G2" s="81"/>
      <c r="H2" s="81"/>
      <c r="I2" s="34"/>
      <c r="J2" s="79" t="s">
        <v>265</v>
      </c>
      <c r="K2" s="33"/>
    </row>
    <row r="3" spans="1:14" x14ac:dyDescent="0.25">
      <c r="A3" s="34"/>
      <c r="B3" s="81"/>
      <c r="C3" s="81"/>
      <c r="D3" s="81"/>
      <c r="E3" s="81"/>
      <c r="F3" s="81"/>
      <c r="G3" s="81"/>
      <c r="H3" s="81"/>
      <c r="I3" s="34"/>
      <c r="J3" s="79" t="s">
        <v>266</v>
      </c>
      <c r="K3" s="33"/>
    </row>
    <row r="4" spans="1:14" x14ac:dyDescent="0.25">
      <c r="A4" s="34"/>
      <c r="B4" s="81"/>
      <c r="C4" s="81"/>
      <c r="D4" s="81"/>
      <c r="E4" s="81"/>
      <c r="F4" s="81"/>
      <c r="G4" s="81"/>
      <c r="H4" s="81"/>
      <c r="I4" s="34"/>
      <c r="J4" s="79" t="s">
        <v>267</v>
      </c>
      <c r="K4" s="33"/>
    </row>
    <row r="5" spans="1:14" x14ac:dyDescent="0.25">
      <c r="A5" s="34"/>
      <c r="B5" s="81"/>
      <c r="C5" s="81"/>
      <c r="D5" s="81"/>
      <c r="E5" s="81"/>
      <c r="F5" s="81"/>
      <c r="G5" s="81"/>
      <c r="H5" s="81"/>
      <c r="I5" s="34"/>
      <c r="J5" s="79" t="s">
        <v>268</v>
      </c>
      <c r="K5" s="448"/>
    </row>
    <row r="6" spans="1:14" x14ac:dyDescent="0.25">
      <c r="A6" s="34"/>
      <c r="B6" s="81"/>
      <c r="C6" s="81"/>
      <c r="D6" s="81"/>
      <c r="E6" s="81"/>
      <c r="F6" s="81"/>
      <c r="G6" s="81"/>
      <c r="H6" s="81"/>
      <c r="I6" s="34"/>
      <c r="J6" s="79"/>
      <c r="K6" s="590"/>
    </row>
    <row r="7" spans="1:14" x14ac:dyDescent="0.25">
      <c r="A7" s="34"/>
      <c r="B7" s="81"/>
      <c r="C7" s="81"/>
      <c r="D7" s="81"/>
      <c r="E7" s="81"/>
      <c r="F7" s="81"/>
      <c r="G7" s="81"/>
      <c r="H7" s="81"/>
      <c r="I7" s="34"/>
      <c r="J7" s="79" t="s">
        <v>269</v>
      </c>
      <c r="K7" s="448"/>
    </row>
    <row r="8" spans="1:14" x14ac:dyDescent="0.25">
      <c r="A8" s="34"/>
      <c r="B8" s="34"/>
      <c r="C8" s="34"/>
      <c r="D8" s="34"/>
      <c r="E8" s="34"/>
      <c r="F8" s="34"/>
      <c r="G8" s="34"/>
      <c r="H8" s="34"/>
      <c r="I8" s="34"/>
      <c r="J8" s="34"/>
      <c r="K8" s="34"/>
    </row>
    <row r="9" spans="1:14" ht="18" x14ac:dyDescent="0.25">
      <c r="A9" s="2015" t="s">
        <v>419</v>
      </c>
      <c r="B9" s="2034"/>
      <c r="C9" s="2034"/>
      <c r="D9" s="2034"/>
      <c r="E9" s="2034"/>
      <c r="F9" s="2034"/>
      <c r="G9" s="2034"/>
      <c r="H9" s="2034"/>
      <c r="I9" s="2034"/>
      <c r="J9" s="2034"/>
      <c r="K9" s="2034"/>
    </row>
    <row r="10" spans="1:14" ht="18" x14ac:dyDescent="0.25">
      <c r="A10" s="2015" t="s">
        <v>421</v>
      </c>
      <c r="B10" s="2035"/>
      <c r="C10" s="2035"/>
      <c r="D10" s="2035"/>
      <c r="E10" s="2035"/>
      <c r="F10" s="2035"/>
      <c r="G10" s="2035"/>
      <c r="H10" s="2035"/>
      <c r="I10" s="2035"/>
      <c r="J10" s="2035"/>
      <c r="K10" s="2035"/>
    </row>
    <row r="11" spans="1:14" ht="18" x14ac:dyDescent="0.25">
      <c r="A11" s="2015" t="s">
        <v>426</v>
      </c>
      <c r="B11" s="2035"/>
      <c r="C11" s="2035"/>
      <c r="D11" s="2035"/>
      <c r="E11" s="2035"/>
      <c r="F11" s="2035"/>
      <c r="G11" s="2035"/>
      <c r="H11" s="2035"/>
      <c r="I11" s="2035"/>
      <c r="J11" s="2035"/>
      <c r="K11" s="2035"/>
    </row>
    <row r="12" spans="1:14" x14ac:dyDescent="0.25">
      <c r="A12" s="34"/>
      <c r="B12" s="34"/>
      <c r="C12" s="34"/>
      <c r="D12" s="34"/>
      <c r="E12" s="34"/>
      <c r="F12" s="34"/>
      <c r="G12" s="34"/>
      <c r="H12" s="34"/>
      <c r="I12" s="34"/>
      <c r="J12" s="34"/>
      <c r="K12" s="34"/>
    </row>
    <row r="13" spans="1:14" s="151" customFormat="1" ht="36" customHeight="1" x14ac:dyDescent="0.25">
      <c r="A13" s="2047" t="s">
        <v>1070</v>
      </c>
      <c r="B13" s="2047"/>
      <c r="C13" s="2047"/>
      <c r="D13" s="2047"/>
      <c r="E13" s="2047"/>
      <c r="F13" s="2047"/>
      <c r="G13" s="2047"/>
      <c r="H13" s="2047"/>
      <c r="I13" s="2047"/>
      <c r="J13" s="2047"/>
      <c r="K13" s="2047"/>
      <c r="L13" s="133"/>
      <c r="M13" s="133"/>
      <c r="N13" s="133"/>
    </row>
    <row r="14" spans="1:14" x14ac:dyDescent="0.25">
      <c r="A14" s="152"/>
      <c r="B14" s="152"/>
      <c r="C14" s="152"/>
      <c r="D14" s="152"/>
      <c r="E14" s="152"/>
      <c r="F14" s="152"/>
      <c r="G14" s="152"/>
      <c r="H14" s="152"/>
      <c r="I14" s="152"/>
      <c r="J14" s="152"/>
      <c r="K14" s="152"/>
      <c r="L14" s="153"/>
      <c r="M14" s="153"/>
    </row>
    <row r="15" spans="1:14" x14ac:dyDescent="0.25">
      <c r="A15" s="2036"/>
      <c r="B15" s="2036"/>
      <c r="C15" s="2036"/>
      <c r="D15" s="2036"/>
      <c r="E15" s="2036"/>
      <c r="F15" s="2036"/>
      <c r="G15" s="2036"/>
      <c r="H15" s="2036"/>
      <c r="I15" s="2036"/>
      <c r="J15" s="2036"/>
      <c r="K15" s="2036"/>
      <c r="L15" s="153"/>
      <c r="M15" s="153"/>
    </row>
    <row r="16" spans="1:14" x14ac:dyDescent="0.25">
      <c r="A16" s="152"/>
      <c r="B16" s="152"/>
      <c r="C16" s="152"/>
      <c r="D16" s="152"/>
      <c r="E16" s="152"/>
      <c r="F16" s="152"/>
      <c r="G16" s="152"/>
      <c r="H16" s="152"/>
      <c r="I16" s="152"/>
      <c r="J16" s="152"/>
      <c r="K16" s="152"/>
      <c r="L16" s="153"/>
      <c r="M16" s="153"/>
    </row>
    <row r="17" spans="1:9" ht="39" x14ac:dyDescent="0.25">
      <c r="A17" s="152"/>
      <c r="B17" s="154" t="s">
        <v>1067</v>
      </c>
      <c r="C17" s="154">
        <v>2013</v>
      </c>
      <c r="D17" s="154">
        <v>2014</v>
      </c>
      <c r="E17" s="154">
        <v>2015</v>
      </c>
      <c r="F17" s="154">
        <v>2016</v>
      </c>
      <c r="G17" s="154">
        <v>2017</v>
      </c>
      <c r="H17" s="154" t="s">
        <v>1068</v>
      </c>
      <c r="I17" s="153"/>
    </row>
    <row r="18" spans="1:9" ht="25.5" x14ac:dyDescent="0.25">
      <c r="A18" s="155" t="s">
        <v>90</v>
      </c>
      <c r="B18" s="156" t="s">
        <v>91</v>
      </c>
      <c r="C18" s="156" t="s">
        <v>91</v>
      </c>
      <c r="D18" s="156" t="s">
        <v>91</v>
      </c>
      <c r="E18" s="157" t="s">
        <v>900</v>
      </c>
      <c r="F18" s="156" t="s">
        <v>92</v>
      </c>
      <c r="G18" s="156" t="s">
        <v>92</v>
      </c>
      <c r="H18" s="157" t="s">
        <v>92</v>
      </c>
      <c r="I18" s="153"/>
    </row>
    <row r="19" spans="1:9" x14ac:dyDescent="0.25">
      <c r="A19" s="155"/>
      <c r="B19" s="156" t="s">
        <v>334</v>
      </c>
      <c r="C19" s="156" t="s">
        <v>334</v>
      </c>
      <c r="D19" s="156" t="s">
        <v>334</v>
      </c>
      <c r="E19" s="156" t="s">
        <v>334</v>
      </c>
      <c r="F19" s="156" t="s">
        <v>334</v>
      </c>
      <c r="G19" s="156" t="s">
        <v>77</v>
      </c>
      <c r="H19" s="156" t="s">
        <v>77</v>
      </c>
      <c r="I19" s="153"/>
    </row>
    <row r="20" spans="1:9" x14ac:dyDescent="0.25">
      <c r="A20" s="152"/>
      <c r="B20" s="723"/>
      <c r="C20" s="159" t="s">
        <v>148</v>
      </c>
      <c r="D20" s="159" t="s">
        <v>148</v>
      </c>
      <c r="E20" s="159"/>
      <c r="F20" s="159" t="s">
        <v>148</v>
      </c>
      <c r="G20" s="159"/>
      <c r="H20" s="159"/>
      <c r="I20" s="153"/>
    </row>
    <row r="21" spans="1:9" x14ac:dyDescent="0.25">
      <c r="A21" s="155" t="s">
        <v>423</v>
      </c>
      <c r="B21" s="2032"/>
      <c r="C21" s="2032"/>
      <c r="D21" s="2032"/>
      <c r="E21" s="2032"/>
      <c r="F21" s="2032"/>
      <c r="G21" s="2032"/>
      <c r="H21" s="2033"/>
      <c r="I21" s="153"/>
    </row>
    <row r="22" spans="1:9" x14ac:dyDescent="0.25">
      <c r="A22" s="158" t="s">
        <v>336</v>
      </c>
      <c r="B22" s="180"/>
      <c r="C22" s="161"/>
      <c r="D22" s="163">
        <f>+C25</f>
        <v>0</v>
      </c>
      <c r="E22" s="163">
        <f>+D25</f>
        <v>0</v>
      </c>
      <c r="F22" s="163">
        <f>+E25</f>
        <v>0</v>
      </c>
      <c r="G22" s="163">
        <f>+F25</f>
        <v>0</v>
      </c>
      <c r="H22" s="160"/>
      <c r="I22" s="153"/>
    </row>
    <row r="23" spans="1:9" x14ac:dyDescent="0.25">
      <c r="A23" s="158" t="s">
        <v>631</v>
      </c>
      <c r="B23" s="180"/>
      <c r="C23" s="161"/>
      <c r="D23" s="161"/>
      <c r="E23" s="161"/>
      <c r="F23" s="161"/>
      <c r="G23" s="161"/>
      <c r="H23" s="160"/>
      <c r="I23" s="153"/>
    </row>
    <row r="24" spans="1:9" x14ac:dyDescent="0.25">
      <c r="A24" s="158" t="s">
        <v>632</v>
      </c>
      <c r="B24" s="180"/>
      <c r="C24" s="161"/>
      <c r="D24" s="161"/>
      <c r="E24" s="161"/>
      <c r="F24" s="161"/>
      <c r="G24" s="161"/>
      <c r="H24" s="160"/>
      <c r="I24" s="153"/>
    </row>
    <row r="25" spans="1:9" x14ac:dyDescent="0.25">
      <c r="A25" s="162" t="s">
        <v>337</v>
      </c>
      <c r="B25" s="180"/>
      <c r="C25" s="163">
        <f>C22+C23+C24</f>
        <v>0</v>
      </c>
      <c r="D25" s="163">
        <f>D22+D23+D24</f>
        <v>0</v>
      </c>
      <c r="E25" s="163">
        <f>E22+E23+E24</f>
        <v>0</v>
      </c>
      <c r="F25" s="163">
        <f>F22+F23+F24</f>
        <v>0</v>
      </c>
      <c r="G25" s="163">
        <f>G22+G23+G24</f>
        <v>0</v>
      </c>
      <c r="H25" s="160"/>
      <c r="I25" s="153"/>
    </row>
    <row r="26" spans="1:9" x14ac:dyDescent="0.25">
      <c r="A26" s="152"/>
      <c r="B26" s="2039"/>
      <c r="C26" s="2039"/>
      <c r="D26" s="2039"/>
      <c r="E26" s="2039"/>
      <c r="F26" s="2039"/>
      <c r="G26" s="2039"/>
      <c r="H26" s="2040"/>
      <c r="I26" s="153"/>
    </row>
    <row r="27" spans="1:9" x14ac:dyDescent="0.25">
      <c r="A27" s="164" t="s">
        <v>424</v>
      </c>
      <c r="B27" s="2041"/>
      <c r="C27" s="2041"/>
      <c r="D27" s="2041"/>
      <c r="E27" s="2041"/>
      <c r="F27" s="2041"/>
      <c r="G27" s="2041"/>
      <c r="H27" s="2042"/>
      <c r="I27" s="153"/>
    </row>
    <row r="28" spans="1:9" x14ac:dyDescent="0.25">
      <c r="A28" s="158" t="s">
        <v>338</v>
      </c>
      <c r="B28" s="160"/>
      <c r="C28" s="165"/>
      <c r="D28" s="163">
        <f>+C31</f>
        <v>0</v>
      </c>
      <c r="E28" s="163">
        <f>+D31</f>
        <v>0</v>
      </c>
      <c r="F28" s="163">
        <f>+E31</f>
        <v>0</v>
      </c>
      <c r="G28" s="163">
        <f>+F31</f>
        <v>0</v>
      </c>
      <c r="H28" s="160"/>
      <c r="I28" s="153"/>
    </row>
    <row r="29" spans="1:9" x14ac:dyDescent="0.25">
      <c r="A29" s="158" t="s">
        <v>631</v>
      </c>
      <c r="B29" s="160"/>
      <c r="C29" s="161"/>
      <c r="D29" s="161"/>
      <c r="E29" s="161"/>
      <c r="F29" s="161"/>
      <c r="G29" s="161"/>
      <c r="H29" s="160"/>
      <c r="I29" s="153"/>
    </row>
    <row r="30" spans="1:9" x14ac:dyDescent="0.25">
      <c r="A30" s="158" t="s">
        <v>632</v>
      </c>
      <c r="B30" s="160"/>
      <c r="C30" s="161"/>
      <c r="D30" s="161"/>
      <c r="E30" s="161"/>
      <c r="F30" s="161"/>
      <c r="G30" s="161"/>
      <c r="H30" s="160"/>
      <c r="I30" s="153"/>
    </row>
    <row r="31" spans="1:9" x14ac:dyDescent="0.25">
      <c r="A31" s="162" t="s">
        <v>339</v>
      </c>
      <c r="B31" s="160"/>
      <c r="C31" s="163">
        <f>SUM(C28:C30)</f>
        <v>0</v>
      </c>
      <c r="D31" s="163">
        <f>SUM(D28:D30)</f>
        <v>0</v>
      </c>
      <c r="E31" s="163">
        <f>SUM(E28:E30)</f>
        <v>0</v>
      </c>
      <c r="F31" s="163">
        <f>SUM(F28:F30)</f>
        <v>0</v>
      </c>
      <c r="G31" s="163">
        <f>SUM(G28:G30)</f>
        <v>0</v>
      </c>
      <c r="H31" s="160"/>
      <c r="I31" s="153"/>
    </row>
    <row r="32" spans="1:9" x14ac:dyDescent="0.25">
      <c r="A32" s="152"/>
      <c r="B32" s="2032"/>
      <c r="C32" s="2032"/>
      <c r="D32" s="2032"/>
      <c r="E32" s="2032"/>
      <c r="F32" s="2032"/>
      <c r="G32" s="2032"/>
      <c r="H32" s="2033"/>
      <c r="I32" s="153"/>
    </row>
    <row r="33" spans="1:13" ht="26.25" x14ac:dyDescent="0.25">
      <c r="A33" s="166" t="s">
        <v>638</v>
      </c>
      <c r="B33" s="160"/>
      <c r="C33" s="167">
        <f>C25-C31</f>
        <v>0</v>
      </c>
      <c r="D33" s="167">
        <f>D25-D31</f>
        <v>0</v>
      </c>
      <c r="E33" s="167">
        <f>E25-E31</f>
        <v>0</v>
      </c>
      <c r="F33" s="167">
        <f>F25-F31</f>
        <v>0</v>
      </c>
      <c r="G33" s="167">
        <f>G25-G31</f>
        <v>0</v>
      </c>
      <c r="H33" s="160"/>
      <c r="I33" s="153"/>
    </row>
    <row r="34" spans="1:13" x14ac:dyDescent="0.25">
      <c r="A34" s="155"/>
      <c r="B34" s="152"/>
      <c r="C34" s="168"/>
      <c r="D34" s="168"/>
      <c r="E34" s="168"/>
      <c r="F34" s="168"/>
      <c r="G34" s="168"/>
      <c r="H34" s="168"/>
      <c r="I34" s="168"/>
      <c r="J34" s="168"/>
      <c r="K34" s="152"/>
      <c r="L34" s="153"/>
      <c r="M34" s="153"/>
    </row>
    <row r="35" spans="1:13" x14ac:dyDescent="0.25">
      <c r="A35" s="155"/>
      <c r="B35" s="152"/>
      <c r="C35" s="168"/>
      <c r="D35" s="168"/>
      <c r="E35" s="168"/>
      <c r="F35" s="168"/>
      <c r="G35" s="168"/>
      <c r="H35" s="168"/>
      <c r="I35" s="168"/>
      <c r="J35" s="168"/>
      <c r="K35" s="152"/>
      <c r="L35" s="153"/>
      <c r="M35" s="153"/>
    </row>
    <row r="36" spans="1:13" x14ac:dyDescent="0.25">
      <c r="A36" s="155" t="s">
        <v>633</v>
      </c>
      <c r="B36" s="152"/>
      <c r="C36" s="168"/>
      <c r="D36" s="168"/>
      <c r="E36" s="168"/>
      <c r="F36" s="168"/>
      <c r="G36" s="168"/>
      <c r="H36" s="168"/>
      <c r="I36" s="168"/>
      <c r="J36" s="168"/>
      <c r="K36" s="152"/>
      <c r="L36" s="153"/>
      <c r="M36" s="153"/>
    </row>
    <row r="37" spans="1:13" s="174" customFormat="1" x14ac:dyDescent="0.25">
      <c r="A37" s="169" t="s">
        <v>639</v>
      </c>
      <c r="B37" s="170"/>
      <c r="C37" s="170"/>
      <c r="D37" s="170"/>
      <c r="E37" s="170"/>
      <c r="F37" s="170"/>
      <c r="G37" s="170"/>
      <c r="H37" s="171">
        <f>IF(ISERROR(G33), 0, G33)</f>
        <v>0</v>
      </c>
      <c r="I37" s="152"/>
      <c r="J37" s="172" t="s">
        <v>341</v>
      </c>
      <c r="K37" s="173"/>
      <c r="L37" s="153"/>
      <c r="M37" s="153"/>
    </row>
    <row r="38" spans="1:13" s="174" customFormat="1" ht="26.25" customHeight="1" x14ac:dyDescent="0.25">
      <c r="A38" s="169" t="s">
        <v>640</v>
      </c>
      <c r="B38" s="170"/>
      <c r="C38" s="170"/>
      <c r="D38" s="170"/>
      <c r="E38" s="170"/>
      <c r="F38" s="170"/>
      <c r="G38" s="170"/>
      <c r="H38" s="171">
        <f>G33*K37*K38</f>
        <v>0</v>
      </c>
      <c r="I38" s="2043" t="s">
        <v>634</v>
      </c>
      <c r="J38" s="2043"/>
      <c r="K38" s="2044"/>
      <c r="L38" s="175"/>
      <c r="M38" s="153"/>
    </row>
    <row r="39" spans="1:13" x14ac:dyDescent="0.25">
      <c r="A39" s="176" t="s">
        <v>635</v>
      </c>
      <c r="B39" s="177"/>
      <c r="C39" s="177"/>
      <c r="D39" s="177"/>
      <c r="E39" s="177"/>
      <c r="F39" s="177"/>
      <c r="G39" s="177"/>
      <c r="H39" s="178">
        <f>H37+H38</f>
        <v>0</v>
      </c>
      <c r="I39" s="2043"/>
      <c r="J39" s="2043"/>
      <c r="K39" s="2045"/>
      <c r="L39" s="153"/>
      <c r="M39" s="153"/>
    </row>
    <row r="40" spans="1:13" x14ac:dyDescent="0.25">
      <c r="A40" s="155"/>
      <c r="B40" s="152"/>
      <c r="C40" s="152"/>
      <c r="D40" s="152"/>
      <c r="E40" s="152"/>
      <c r="F40" s="152"/>
      <c r="G40" s="152"/>
      <c r="H40" s="181"/>
      <c r="I40" s="152"/>
      <c r="J40" s="152"/>
      <c r="K40" s="152"/>
      <c r="L40" s="153"/>
      <c r="M40" s="153"/>
    </row>
    <row r="41" spans="1:13" x14ac:dyDescent="0.25">
      <c r="A41" s="155" t="s">
        <v>6</v>
      </c>
      <c r="B41" s="152"/>
      <c r="C41" s="152"/>
      <c r="D41" s="152"/>
      <c r="E41" s="152"/>
      <c r="F41" s="152"/>
      <c r="G41" s="152"/>
      <c r="H41" s="152"/>
      <c r="I41" s="152"/>
      <c r="J41" s="152"/>
      <c r="K41" s="152"/>
      <c r="L41" s="153"/>
      <c r="M41" s="153"/>
    </row>
    <row r="42" spans="1:13" ht="27.75" customHeight="1" x14ac:dyDescent="0.25">
      <c r="A42" s="2046" t="s">
        <v>427</v>
      </c>
      <c r="B42" s="2046"/>
      <c r="C42" s="2046"/>
      <c r="D42" s="2046"/>
      <c r="E42" s="2046"/>
      <c r="F42" s="2046"/>
      <c r="G42" s="2046"/>
      <c r="H42" s="2046"/>
      <c r="I42" s="2046"/>
      <c r="J42" s="2046"/>
      <c r="K42" s="2046"/>
      <c r="L42" s="2046"/>
      <c r="M42" s="153"/>
    </row>
    <row r="43" spans="1:13" x14ac:dyDescent="0.25">
      <c r="A43" s="152" t="s">
        <v>641</v>
      </c>
      <c r="B43" s="152"/>
      <c r="C43" s="152"/>
      <c r="D43" s="152"/>
      <c r="E43" s="152"/>
      <c r="F43" s="152"/>
      <c r="G43" s="152"/>
      <c r="H43" s="152"/>
      <c r="I43" s="152"/>
      <c r="J43" s="152"/>
      <c r="K43" s="152"/>
      <c r="L43" s="153"/>
      <c r="M43" s="153"/>
    </row>
    <row r="44" spans="1:13" x14ac:dyDescent="0.25">
      <c r="A44" s="152" t="s">
        <v>1069</v>
      </c>
      <c r="B44" s="152"/>
      <c r="C44" s="152"/>
      <c r="D44" s="152"/>
      <c r="E44" s="152"/>
      <c r="F44" s="152"/>
      <c r="G44" s="152"/>
      <c r="H44" s="152"/>
      <c r="I44" s="152"/>
      <c r="J44" s="152"/>
      <c r="K44" s="152"/>
      <c r="L44" s="153"/>
      <c r="M44" s="153"/>
    </row>
    <row r="45" spans="1:13" x14ac:dyDescent="0.25">
      <c r="A45" s="152" t="s">
        <v>342</v>
      </c>
      <c r="B45" s="152"/>
      <c r="C45" s="152"/>
      <c r="D45" s="152"/>
      <c r="E45" s="152"/>
      <c r="F45" s="152"/>
      <c r="G45" s="152"/>
      <c r="H45" s="152"/>
      <c r="I45" s="152"/>
      <c r="J45" s="152"/>
      <c r="K45" s="152"/>
      <c r="L45" s="153"/>
      <c r="M45" s="153"/>
    </row>
    <row r="46" spans="1:13" ht="15" customHeight="1" x14ac:dyDescent="0.25">
      <c r="A46" s="2038" t="s">
        <v>642</v>
      </c>
      <c r="B46" s="2038"/>
      <c r="C46" s="2038"/>
      <c r="D46" s="2038"/>
      <c r="E46" s="2038"/>
      <c r="F46" s="2038"/>
      <c r="G46" s="2038"/>
      <c r="H46" s="2038"/>
      <c r="I46" s="2038"/>
      <c r="J46" s="2038"/>
      <c r="K46" s="152"/>
      <c r="L46" s="153"/>
      <c r="M46" s="153"/>
    </row>
    <row r="47" spans="1:13" x14ac:dyDescent="0.25">
      <c r="A47" s="152" t="s">
        <v>764</v>
      </c>
      <c r="B47" s="153"/>
      <c r="C47" s="153"/>
      <c r="D47" s="153"/>
      <c r="E47" s="153"/>
      <c r="F47" s="153"/>
      <c r="G47" s="153"/>
      <c r="H47" s="153"/>
      <c r="I47" s="153"/>
      <c r="J47" s="153"/>
      <c r="K47" s="152"/>
      <c r="L47" s="153"/>
      <c r="M47" s="153"/>
    </row>
    <row r="48" spans="1:13" x14ac:dyDescent="0.25">
      <c r="A48" s="152" t="s">
        <v>901</v>
      </c>
      <c r="B48" s="152"/>
      <c r="C48" s="152"/>
      <c r="D48" s="152"/>
      <c r="E48" s="152"/>
      <c r="F48" s="152"/>
      <c r="G48" s="152"/>
      <c r="H48" s="152"/>
      <c r="I48" s="152"/>
      <c r="J48" s="152"/>
      <c r="K48" s="152"/>
      <c r="L48" s="153"/>
      <c r="M48" s="153"/>
    </row>
    <row r="49" spans="1:13" x14ac:dyDescent="0.25">
      <c r="A49" s="152"/>
      <c r="B49" s="152"/>
      <c r="C49" s="152"/>
      <c r="D49" s="152"/>
      <c r="E49" s="152"/>
      <c r="F49" s="152"/>
      <c r="G49" s="152"/>
      <c r="H49" s="152"/>
      <c r="I49" s="152"/>
      <c r="J49" s="152"/>
      <c r="K49" s="152"/>
      <c r="L49" s="153"/>
      <c r="M49" s="153"/>
    </row>
    <row r="50" spans="1:13" x14ac:dyDescent="0.25">
      <c r="A50" s="152"/>
      <c r="B50" s="152"/>
      <c r="C50" s="152"/>
      <c r="D50" s="152"/>
      <c r="E50" s="152"/>
      <c r="F50" s="152"/>
      <c r="G50" s="152"/>
      <c r="H50" s="152"/>
      <c r="I50" s="152"/>
      <c r="J50" s="152"/>
      <c r="K50" s="152"/>
      <c r="L50" s="153"/>
      <c r="M50" s="153"/>
    </row>
    <row r="51" spans="1:13" x14ac:dyDescent="0.25">
      <c r="A51" s="152"/>
      <c r="B51" s="152"/>
      <c r="C51" s="152"/>
      <c r="D51" s="152"/>
      <c r="E51" s="152"/>
      <c r="F51" s="152"/>
      <c r="G51" s="152"/>
      <c r="H51" s="152"/>
      <c r="I51" s="152"/>
      <c r="J51" s="152"/>
      <c r="K51" s="152"/>
      <c r="L51" s="153"/>
      <c r="M51" s="153"/>
    </row>
    <row r="52" spans="1:13" x14ac:dyDescent="0.25">
      <c r="A52" s="152"/>
      <c r="B52" s="152"/>
      <c r="C52" s="152"/>
      <c r="D52" s="152"/>
      <c r="E52" s="152"/>
      <c r="F52" s="152"/>
      <c r="G52" s="152"/>
      <c r="H52" s="152"/>
      <c r="I52" s="152"/>
      <c r="J52" s="152"/>
      <c r="K52" s="152"/>
      <c r="L52" s="153"/>
      <c r="M52" s="153"/>
    </row>
    <row r="53" spans="1:13" x14ac:dyDescent="0.25">
      <c r="A53" s="152"/>
      <c r="B53" s="152"/>
      <c r="C53" s="152"/>
      <c r="D53" s="152"/>
      <c r="E53" s="152"/>
      <c r="F53" s="152"/>
      <c r="G53" s="152"/>
      <c r="H53" s="152"/>
      <c r="I53" s="152"/>
      <c r="J53" s="152"/>
      <c r="K53" s="152"/>
      <c r="L53" s="153"/>
      <c r="M53" s="153"/>
    </row>
    <row r="54" spans="1:13" x14ac:dyDescent="0.25">
      <c r="A54" s="152"/>
      <c r="B54" s="152"/>
      <c r="C54" s="152"/>
      <c r="D54" s="152"/>
      <c r="E54" s="152"/>
      <c r="F54" s="152"/>
      <c r="G54" s="152"/>
      <c r="H54" s="152"/>
      <c r="I54" s="152"/>
      <c r="J54" s="152"/>
      <c r="K54" s="152"/>
      <c r="L54" s="153"/>
      <c r="M54" s="153"/>
    </row>
    <row r="55" spans="1:13" x14ac:dyDescent="0.25">
      <c r="A55" s="152"/>
      <c r="B55" s="153"/>
      <c r="C55" s="153"/>
      <c r="D55" s="153"/>
      <c r="E55" s="153"/>
      <c r="F55" s="153"/>
      <c r="G55" s="153"/>
      <c r="H55" s="153"/>
      <c r="I55" s="153"/>
      <c r="J55" s="153"/>
      <c r="K55" s="153"/>
      <c r="L55" s="153"/>
      <c r="M55" s="153"/>
    </row>
  </sheetData>
  <sheetProtection algorithmName="SHA-512" hashValue="5JCO3lteYvHRmC9mn0/gBliGdHWPsopa3G4oSGsi0pPjBwXxk5Rf7cqtMl82OPsJFfrFMHduxxbhbGl0SO+UWg==" saltValue="L1gHkeee2sd7eovAckL7ng==" spinCount="100000" sheet="1" objects="1" scenarios="1"/>
  <mergeCells count="12">
    <mergeCell ref="A46:J46"/>
    <mergeCell ref="A9:K9"/>
    <mergeCell ref="A10:K10"/>
    <mergeCell ref="A11:K11"/>
    <mergeCell ref="A13:K13"/>
    <mergeCell ref="A15:K15"/>
    <mergeCell ref="K38:K39"/>
    <mergeCell ref="B21:H21"/>
    <mergeCell ref="B26:H27"/>
    <mergeCell ref="B32:H32"/>
    <mergeCell ref="I38:J39"/>
    <mergeCell ref="A42:L42"/>
  </mergeCells>
  <dataValidations count="1">
    <dataValidation allowBlank="1" showInputMessage="1" showErrorMessage="1" promptTitle="Date Format" prompt="E.g:  &quot;August 1, 2011&quot;" sqref="WVO983044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F65540: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F131076: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F196612: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F262148: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F327684: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F393220: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F458756: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F524292: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F589828: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F655364: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F720900: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F786436: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F851972: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F917508: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F983044: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xr:uid="{00000000-0002-0000-1000-000000000000}"/>
  </dataValidations>
  <pageMargins left="0.7" right="0.7" top="0.75" bottom="0.75" header="0.3" footer="0.3"/>
  <pageSetup scale="48" orientation="portrait"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7">
    <tabColor rgb="FF00B0F0"/>
  </sheetPr>
  <dimension ref="A1:O102"/>
  <sheetViews>
    <sheetView showGridLines="0" zoomScaleNormal="100" zoomScaleSheetLayoutView="40" workbookViewId="0">
      <selection activeCell="G40" sqref="G40"/>
    </sheetView>
  </sheetViews>
  <sheetFormatPr defaultColWidth="8.7109375" defaultRowHeight="15" x14ac:dyDescent="0.25"/>
  <cols>
    <col min="1" max="1" width="30.42578125" style="934" customWidth="1"/>
    <col min="2" max="2" width="11.7109375" style="934" customWidth="1"/>
    <col min="3" max="12" width="16.7109375" style="934" customWidth="1"/>
    <col min="13" max="16384" width="8.7109375" style="934"/>
  </cols>
  <sheetData>
    <row r="1" spans="1:15" s="929" customFormat="1" x14ac:dyDescent="0.25">
      <c r="A1" s="893"/>
      <c r="B1" s="893"/>
      <c r="C1" s="893"/>
      <c r="D1" s="893"/>
      <c r="E1" s="893"/>
      <c r="K1" s="874" t="s">
        <v>264</v>
      </c>
      <c r="L1" s="930" t="str">
        <f>EBNUMBER</f>
        <v>EB-2019-0037</v>
      </c>
    </row>
    <row r="2" spans="1:15" s="929" customFormat="1" x14ac:dyDescent="0.25">
      <c r="A2" s="893"/>
      <c r="B2" s="893"/>
      <c r="C2" s="893"/>
      <c r="D2" s="893"/>
      <c r="E2" s="893"/>
      <c r="K2" s="874" t="s">
        <v>265</v>
      </c>
      <c r="L2" s="41"/>
    </row>
    <row r="3" spans="1:15" s="929" customFormat="1" x14ac:dyDescent="0.25">
      <c r="A3" s="893"/>
      <c r="B3" s="893"/>
      <c r="C3" s="893"/>
      <c r="D3" s="893"/>
      <c r="E3" s="893"/>
      <c r="K3" s="874" t="s">
        <v>266</v>
      </c>
      <c r="L3" s="41"/>
    </row>
    <row r="4" spans="1:15" s="929" customFormat="1" x14ac:dyDescent="0.25">
      <c r="A4" s="931" t="s">
        <v>1144</v>
      </c>
      <c r="B4" s="893"/>
      <c r="C4" s="893"/>
      <c r="D4" s="893"/>
      <c r="E4" s="893"/>
      <c r="K4" s="874" t="s">
        <v>267</v>
      </c>
      <c r="L4" s="41"/>
    </row>
    <row r="5" spans="1:15" s="929" customFormat="1" x14ac:dyDescent="0.25">
      <c r="A5" s="893"/>
      <c r="B5" s="893"/>
      <c r="C5" s="893"/>
      <c r="D5" s="893"/>
      <c r="E5" s="893"/>
      <c r="K5" s="874" t="s">
        <v>268</v>
      </c>
      <c r="L5" s="42"/>
    </row>
    <row r="6" spans="1:15" s="929" customFormat="1" x14ac:dyDescent="0.25">
      <c r="A6" s="893"/>
      <c r="B6" s="893"/>
      <c r="C6" s="893"/>
      <c r="D6" s="893"/>
      <c r="E6" s="893"/>
      <c r="K6" s="874"/>
      <c r="L6" s="875"/>
    </row>
    <row r="7" spans="1:15" s="929" customFormat="1" x14ac:dyDescent="0.25">
      <c r="A7" s="893"/>
      <c r="B7" s="893"/>
      <c r="C7" s="893"/>
      <c r="D7" s="893"/>
      <c r="E7" s="893"/>
      <c r="K7" s="874" t="s">
        <v>269</v>
      </c>
      <c r="L7" s="42"/>
    </row>
    <row r="8" spans="1:15" s="929" customFormat="1" x14ac:dyDescent="0.25">
      <c r="A8" s="894"/>
      <c r="B8" s="894"/>
      <c r="C8" s="894"/>
      <c r="D8" s="894"/>
      <c r="E8" s="894"/>
      <c r="F8" s="894"/>
      <c r="G8" s="894"/>
      <c r="H8" s="894"/>
      <c r="I8" s="894"/>
      <c r="J8" s="894"/>
      <c r="M8" s="932"/>
      <c r="N8" s="932"/>
      <c r="O8" s="932"/>
    </row>
    <row r="9" spans="1:15" s="929" customFormat="1" ht="18" x14ac:dyDescent="0.25">
      <c r="A9" s="1916" t="s">
        <v>420</v>
      </c>
      <c r="B9" s="1916"/>
      <c r="C9" s="1916"/>
      <c r="D9" s="1916"/>
      <c r="E9" s="1916"/>
      <c r="F9" s="1916"/>
      <c r="G9" s="1916"/>
      <c r="H9" s="1916"/>
      <c r="I9" s="1916"/>
      <c r="J9" s="1916"/>
      <c r="K9" s="1916"/>
      <c r="L9" s="1916"/>
      <c r="M9" s="932"/>
      <c r="N9" s="932"/>
      <c r="O9" s="932"/>
    </row>
    <row r="10" spans="1:15" s="929" customFormat="1" ht="18" x14ac:dyDescent="0.25">
      <c r="A10" s="1916" t="s">
        <v>854</v>
      </c>
      <c r="B10" s="1916"/>
      <c r="C10" s="1916"/>
      <c r="D10" s="1916"/>
      <c r="E10" s="1916"/>
      <c r="F10" s="1916"/>
      <c r="G10" s="1916"/>
      <c r="H10" s="1916"/>
      <c r="I10" s="1916"/>
      <c r="J10" s="1916"/>
      <c r="K10" s="1916"/>
      <c r="L10" s="1916"/>
      <c r="M10" s="932"/>
      <c r="N10" s="932"/>
      <c r="O10" s="932"/>
    </row>
    <row r="11" spans="1:15" s="929" customFormat="1" ht="18" x14ac:dyDescent="0.25">
      <c r="A11" s="933"/>
      <c r="B11" s="933"/>
      <c r="C11" s="933"/>
      <c r="D11" s="933"/>
      <c r="E11" s="933"/>
      <c r="F11" s="933"/>
      <c r="G11" s="933"/>
      <c r="H11" s="933"/>
      <c r="I11" s="933"/>
      <c r="J11" s="933"/>
      <c r="K11" s="933"/>
      <c r="L11" s="933"/>
      <c r="M11" s="932"/>
      <c r="N11" s="932"/>
      <c r="O11" s="932"/>
    </row>
    <row r="12" spans="1:15" x14ac:dyDescent="0.25">
      <c r="A12" s="2051" t="s">
        <v>855</v>
      </c>
      <c r="B12" s="2051"/>
      <c r="C12" s="2051"/>
      <c r="D12" s="2051"/>
      <c r="E12" s="2051"/>
      <c r="F12" s="2051"/>
      <c r="G12" s="2051"/>
      <c r="H12" s="2051"/>
      <c r="I12" s="1"/>
      <c r="J12" s="1"/>
    </row>
    <row r="13" spans="1:15" x14ac:dyDescent="0.25">
      <c r="A13" s="2051" t="s">
        <v>536</v>
      </c>
      <c r="B13" s="2051"/>
      <c r="C13" s="2051"/>
      <c r="D13" s="2051"/>
      <c r="E13" s="2051"/>
      <c r="F13" s="2051"/>
      <c r="G13" s="2051"/>
      <c r="H13" s="2051"/>
      <c r="I13" s="1"/>
      <c r="J13" s="1"/>
    </row>
    <row r="14" spans="1:15" x14ac:dyDescent="0.25">
      <c r="A14" s="2052" t="s">
        <v>549</v>
      </c>
      <c r="B14" s="2052"/>
      <c r="C14" s="2052"/>
      <c r="D14" s="2052"/>
      <c r="E14" s="2052"/>
      <c r="F14" s="2052"/>
      <c r="G14" s="2052"/>
      <c r="H14" s="1"/>
      <c r="I14" s="1"/>
      <c r="J14" s="1"/>
    </row>
    <row r="15" spans="1:15" x14ac:dyDescent="0.25">
      <c r="A15" s="2052" t="s">
        <v>550</v>
      </c>
      <c r="B15" s="2052"/>
      <c r="C15" s="2052"/>
      <c r="D15" s="2052"/>
      <c r="E15" s="2052"/>
      <c r="F15" s="2052"/>
      <c r="G15" s="2052"/>
      <c r="H15" s="1"/>
      <c r="I15" s="1"/>
      <c r="J15" s="1"/>
    </row>
    <row r="16" spans="1:15" ht="15.75" x14ac:dyDescent="0.25">
      <c r="A16" s="871"/>
      <c r="B16" s="1"/>
      <c r="C16" s="1"/>
      <c r="D16" s="1"/>
      <c r="E16" s="1"/>
      <c r="F16" s="1"/>
      <c r="G16" s="1"/>
      <c r="H16" s="1"/>
      <c r="I16" s="1"/>
      <c r="J16" s="1"/>
    </row>
    <row r="17" spans="1:12" ht="15" customHeight="1" x14ac:dyDescent="0.25">
      <c r="A17" s="1905" t="s">
        <v>775</v>
      </c>
      <c r="B17" s="1905"/>
      <c r="C17" s="1905"/>
      <c r="D17" s="1905"/>
      <c r="E17" s="1905"/>
      <c r="F17" s="1905"/>
      <c r="G17" s="1905"/>
      <c r="H17" s="1905"/>
      <c r="I17" s="1905"/>
      <c r="J17" s="1905"/>
      <c r="K17" s="1905"/>
    </row>
    <row r="18" spans="1:12" ht="15.75" customHeight="1" x14ac:dyDescent="0.25">
      <c r="A18" s="1905" t="s">
        <v>886</v>
      </c>
      <c r="B18" s="1905"/>
      <c r="C18" s="1905"/>
      <c r="D18" s="1905"/>
      <c r="E18" s="1905"/>
      <c r="F18" s="1905"/>
      <c r="G18" s="1905"/>
      <c r="H18" s="1905"/>
      <c r="I18" s="1905"/>
      <c r="J18" s="1905"/>
    </row>
    <row r="19" spans="1:12" ht="15.75" customHeight="1" x14ac:dyDescent="0.25">
      <c r="A19" s="935"/>
      <c r="B19" s="935"/>
      <c r="C19" s="935"/>
      <c r="D19" s="935"/>
      <c r="E19" s="935"/>
      <c r="F19" s="935"/>
      <c r="G19" s="935"/>
      <c r="H19" s="935"/>
      <c r="I19" s="935"/>
      <c r="J19" s="935"/>
    </row>
    <row r="20" spans="1:12" ht="15.75" customHeight="1" x14ac:dyDescent="0.25">
      <c r="A20" s="936" t="s">
        <v>856</v>
      </c>
      <c r="B20" s="935"/>
      <c r="C20" s="935"/>
      <c r="D20" s="935"/>
      <c r="E20" s="935"/>
      <c r="F20" s="935"/>
      <c r="G20" s="935"/>
      <c r="H20" s="935"/>
      <c r="I20" s="935"/>
      <c r="J20" s="935"/>
    </row>
    <row r="21" spans="1:12" x14ac:dyDescent="0.25">
      <c r="A21" s="1455" t="s">
        <v>1301</v>
      </c>
      <c r="B21" s="934" t="s">
        <v>1300</v>
      </c>
      <c r="H21" s="1"/>
      <c r="I21" s="1"/>
      <c r="J21" s="1"/>
    </row>
    <row r="22" spans="1:12" x14ac:dyDescent="0.25">
      <c r="B22" s="938" t="s">
        <v>857</v>
      </c>
      <c r="H22" s="1"/>
      <c r="I22" s="1"/>
      <c r="J22" s="1"/>
    </row>
    <row r="23" spans="1:12" x14ac:dyDescent="0.25">
      <c r="B23" s="937" t="s">
        <v>858</v>
      </c>
      <c r="H23" s="1"/>
      <c r="I23" s="1"/>
      <c r="J23" s="1"/>
    </row>
    <row r="24" spans="1:12" x14ac:dyDescent="0.25">
      <c r="B24" s="939" t="s">
        <v>859</v>
      </c>
      <c r="H24" s="1"/>
      <c r="I24" s="1"/>
      <c r="J24" s="1"/>
    </row>
    <row r="25" spans="1:12" ht="12.75" customHeight="1" x14ac:dyDescent="0.25">
      <c r="B25" s="939" t="s">
        <v>860</v>
      </c>
      <c r="H25" s="1"/>
      <c r="I25" s="1"/>
      <c r="J25" s="1"/>
    </row>
    <row r="26" spans="1:12" ht="12.75" customHeight="1" x14ac:dyDescent="0.25">
      <c r="A26" s="939"/>
      <c r="H26" s="1"/>
      <c r="I26" s="1"/>
      <c r="J26" s="1"/>
    </row>
    <row r="27" spans="1:12" x14ac:dyDescent="0.25">
      <c r="A27" s="1455" t="s">
        <v>1302</v>
      </c>
      <c r="B27" s="934" t="str">
        <f>"Investments in the Test Year and Beyond.  Distributor plans to make investments in " &amp; TestYear &amp; " and/or beyond.  These investments should be added to 2-FA in the appropriate year."</f>
        <v>Investments in the Test Year and Beyond.  Distributor plans to make investments in 2020 and/or beyond.  These investments should be added to 2-FA in the appropriate year.</v>
      </c>
      <c r="H27" s="1"/>
      <c r="I27" s="1"/>
      <c r="J27" s="1"/>
    </row>
    <row r="28" spans="1:12" x14ac:dyDescent="0.25">
      <c r="B28" s="937" t="s">
        <v>861</v>
      </c>
      <c r="H28" s="1"/>
      <c r="I28" s="1"/>
      <c r="J28" s="1"/>
    </row>
    <row r="29" spans="1:12" x14ac:dyDescent="0.25">
      <c r="A29" s="940"/>
      <c r="H29" s="1"/>
      <c r="I29" s="1"/>
      <c r="J29" s="1"/>
    </row>
    <row r="30" spans="1:12" ht="18" x14ac:dyDescent="0.25">
      <c r="A30" s="941" t="s">
        <v>537</v>
      </c>
      <c r="B30" s="860"/>
      <c r="C30" s="942" t="str">
        <f t="shared" ref="C30:L30" si="0">IF(C31=TestYear, "Test Year", "")</f>
        <v/>
      </c>
      <c r="D30" s="942" t="str">
        <f t="shared" si="0"/>
        <v/>
      </c>
      <c r="E30" s="942" t="str">
        <f t="shared" si="0"/>
        <v/>
      </c>
      <c r="F30" s="942" t="str">
        <f t="shared" si="0"/>
        <v/>
      </c>
      <c r="G30" s="942" t="str">
        <f t="shared" si="0"/>
        <v/>
      </c>
      <c r="H30" s="942" t="str">
        <f t="shared" si="0"/>
        <v>Test Year</v>
      </c>
      <c r="I30" s="942" t="str">
        <f t="shared" si="0"/>
        <v/>
      </c>
      <c r="J30" s="942" t="str">
        <f t="shared" si="0"/>
        <v/>
      </c>
      <c r="K30" s="942" t="str">
        <f t="shared" si="0"/>
        <v/>
      </c>
      <c r="L30" s="942" t="str">
        <f t="shared" si="0"/>
        <v/>
      </c>
    </row>
    <row r="31" spans="1:12" x14ac:dyDescent="0.25">
      <c r="A31" s="865" t="s">
        <v>538</v>
      </c>
      <c r="B31" s="860"/>
      <c r="C31" s="943">
        <f>D31-1</f>
        <v>2015</v>
      </c>
      <c r="D31" s="943">
        <f>E31-1</f>
        <v>2016</v>
      </c>
      <c r="E31" s="943">
        <f>F31-1</f>
        <v>2017</v>
      </c>
      <c r="F31" s="943">
        <f>G31-1</f>
        <v>2018</v>
      </c>
      <c r="G31" s="943">
        <f>H31-1</f>
        <v>2019</v>
      </c>
      <c r="H31" s="943">
        <f>TestYear</f>
        <v>2020</v>
      </c>
      <c r="I31" s="943">
        <f>H31+1</f>
        <v>2021</v>
      </c>
      <c r="J31" s="943">
        <f>I31+1</f>
        <v>2022</v>
      </c>
      <c r="K31" s="943">
        <f>J31+1</f>
        <v>2023</v>
      </c>
      <c r="L31" s="943">
        <f>K31+1</f>
        <v>2024</v>
      </c>
    </row>
    <row r="32" spans="1:12" x14ac:dyDescent="0.25">
      <c r="A32" s="874" t="s">
        <v>539</v>
      </c>
      <c r="B32" s="860"/>
      <c r="C32" s="860"/>
      <c r="D32" s="860"/>
      <c r="E32" s="860"/>
      <c r="F32" s="860"/>
      <c r="G32" s="860"/>
      <c r="H32" s="860"/>
      <c r="I32" s="860"/>
      <c r="J32" s="860"/>
      <c r="K32" s="860"/>
      <c r="L32" s="860"/>
    </row>
    <row r="33" spans="1:12" x14ac:dyDescent="0.25">
      <c r="A33" s="944" t="s">
        <v>774</v>
      </c>
      <c r="B33" s="860"/>
      <c r="C33" s="860"/>
      <c r="D33" s="860"/>
      <c r="E33" s="860"/>
      <c r="F33" s="860"/>
      <c r="G33" s="860"/>
      <c r="H33" s="860"/>
      <c r="I33" s="860"/>
      <c r="J33" s="860"/>
      <c r="K33" s="860"/>
      <c r="L33" s="860"/>
    </row>
    <row r="34" spans="1:12" x14ac:dyDescent="0.25">
      <c r="A34" s="860" t="s">
        <v>540</v>
      </c>
      <c r="B34" s="860"/>
      <c r="C34" s="185">
        <v>0</v>
      </c>
      <c r="D34" s="185">
        <v>0</v>
      </c>
      <c r="E34" s="185">
        <v>0</v>
      </c>
      <c r="F34" s="185">
        <v>0</v>
      </c>
      <c r="G34" s="185">
        <v>0</v>
      </c>
      <c r="H34" s="185">
        <v>0</v>
      </c>
      <c r="I34" s="185">
        <v>0</v>
      </c>
      <c r="J34" s="185">
        <v>0</v>
      </c>
      <c r="K34" s="185">
        <v>0</v>
      </c>
      <c r="L34" s="185">
        <v>0</v>
      </c>
    </row>
    <row r="35" spans="1:12" x14ac:dyDescent="0.25">
      <c r="A35" s="860" t="s">
        <v>541</v>
      </c>
      <c r="B35" s="860"/>
      <c r="C35" s="185">
        <v>0</v>
      </c>
      <c r="D35" s="185">
        <v>0</v>
      </c>
      <c r="E35" s="185">
        <v>0</v>
      </c>
      <c r="F35" s="185">
        <v>0</v>
      </c>
      <c r="G35" s="185">
        <v>0</v>
      </c>
      <c r="H35" s="185">
        <v>0</v>
      </c>
      <c r="I35" s="185">
        <v>0</v>
      </c>
      <c r="J35" s="185">
        <v>0</v>
      </c>
      <c r="K35" s="185">
        <v>0</v>
      </c>
      <c r="L35" s="185">
        <v>0</v>
      </c>
    </row>
    <row r="36" spans="1:12" x14ac:dyDescent="0.25">
      <c r="A36" s="860" t="s">
        <v>542</v>
      </c>
      <c r="B36" s="860"/>
      <c r="C36" s="185">
        <v>0</v>
      </c>
      <c r="D36" s="185">
        <v>0</v>
      </c>
      <c r="E36" s="185">
        <v>0</v>
      </c>
      <c r="F36" s="185">
        <v>0</v>
      </c>
      <c r="G36" s="185">
        <v>0</v>
      </c>
      <c r="H36" s="185">
        <v>0</v>
      </c>
      <c r="I36" s="185">
        <v>0</v>
      </c>
      <c r="J36" s="185">
        <v>0</v>
      </c>
      <c r="K36" s="185">
        <v>0</v>
      </c>
      <c r="L36" s="185">
        <v>0</v>
      </c>
    </row>
    <row r="37" spans="1:12" x14ac:dyDescent="0.25">
      <c r="A37" s="860"/>
      <c r="B37" s="860"/>
      <c r="C37" s="860"/>
      <c r="D37" s="860"/>
      <c r="E37" s="860"/>
      <c r="F37" s="860"/>
      <c r="G37" s="860"/>
      <c r="H37" s="860"/>
      <c r="I37" s="860"/>
      <c r="J37" s="860"/>
      <c r="K37" s="860"/>
      <c r="L37" s="860"/>
    </row>
    <row r="38" spans="1:12" x14ac:dyDescent="0.25">
      <c r="A38" s="874" t="s">
        <v>543</v>
      </c>
      <c r="B38" s="860"/>
      <c r="C38" s="860"/>
      <c r="D38" s="860"/>
      <c r="E38" s="860"/>
      <c r="F38" s="860"/>
      <c r="G38" s="860"/>
      <c r="H38" s="860"/>
      <c r="I38" s="860"/>
      <c r="J38" s="860"/>
      <c r="K38" s="860"/>
      <c r="L38" s="860"/>
    </row>
    <row r="39" spans="1:12" x14ac:dyDescent="0.25">
      <c r="A39" s="944" t="s">
        <v>774</v>
      </c>
      <c r="B39" s="860"/>
      <c r="C39" s="860"/>
      <c r="D39" s="860"/>
      <c r="E39" s="860"/>
      <c r="F39" s="860"/>
      <c r="G39" s="860"/>
      <c r="H39" s="860"/>
      <c r="I39" s="860"/>
      <c r="J39" s="860"/>
      <c r="K39" s="860"/>
      <c r="L39" s="860"/>
    </row>
    <row r="40" spans="1:12" x14ac:dyDescent="0.25">
      <c r="A40" s="860" t="s">
        <v>540</v>
      </c>
      <c r="B40" s="860"/>
      <c r="C40" s="185">
        <v>0</v>
      </c>
      <c r="D40" s="185">
        <v>0</v>
      </c>
      <c r="E40" s="185">
        <v>0</v>
      </c>
      <c r="F40" s="185">
        <v>0</v>
      </c>
      <c r="G40" s="185">
        <v>0</v>
      </c>
      <c r="H40" s="185">
        <v>0</v>
      </c>
      <c r="I40" s="185">
        <v>0</v>
      </c>
      <c r="J40" s="185">
        <v>0</v>
      </c>
      <c r="K40" s="185">
        <v>0</v>
      </c>
      <c r="L40" s="185">
        <v>0</v>
      </c>
    </row>
    <row r="41" spans="1:12" x14ac:dyDescent="0.25">
      <c r="A41" s="860" t="s">
        <v>541</v>
      </c>
      <c r="B41" s="860"/>
      <c r="C41" s="185">
        <v>0</v>
      </c>
      <c r="D41" s="185">
        <v>0</v>
      </c>
      <c r="E41" s="185">
        <v>0</v>
      </c>
      <c r="F41" s="185">
        <v>0</v>
      </c>
      <c r="G41" s="185">
        <v>0</v>
      </c>
      <c r="H41" s="185">
        <v>0</v>
      </c>
      <c r="I41" s="185">
        <v>0</v>
      </c>
      <c r="J41" s="185">
        <v>0</v>
      </c>
      <c r="K41" s="185">
        <v>0</v>
      </c>
      <c r="L41" s="185">
        <v>0</v>
      </c>
    </row>
    <row r="42" spans="1:12" x14ac:dyDescent="0.25">
      <c r="A42" s="860" t="s">
        <v>542</v>
      </c>
      <c r="B42" s="860"/>
      <c r="C42" s="185">
        <v>0</v>
      </c>
      <c r="D42" s="185">
        <v>0</v>
      </c>
      <c r="E42" s="185">
        <v>0</v>
      </c>
      <c r="F42" s="185">
        <v>0</v>
      </c>
      <c r="G42" s="185">
        <v>0</v>
      </c>
      <c r="H42" s="185">
        <v>0</v>
      </c>
      <c r="I42" s="185">
        <v>0</v>
      </c>
      <c r="J42" s="185">
        <v>0</v>
      </c>
      <c r="K42" s="185">
        <v>0</v>
      </c>
      <c r="L42" s="185">
        <v>0</v>
      </c>
    </row>
    <row r="43" spans="1:12" x14ac:dyDescent="0.25">
      <c r="A43" s="860"/>
      <c r="B43" s="860"/>
      <c r="C43" s="860"/>
      <c r="D43" s="860"/>
      <c r="E43" s="860"/>
      <c r="F43" s="860"/>
      <c r="G43" s="860"/>
      <c r="H43" s="860"/>
      <c r="I43" s="860"/>
      <c r="J43" s="860"/>
      <c r="K43" s="860"/>
      <c r="L43" s="860"/>
    </row>
    <row r="44" spans="1:12" x14ac:dyDescent="0.25">
      <c r="A44" s="874" t="s">
        <v>544</v>
      </c>
      <c r="B44" s="860"/>
      <c r="C44" s="860"/>
      <c r="D44" s="860"/>
      <c r="E44" s="860"/>
      <c r="F44" s="860"/>
      <c r="G44" s="860"/>
      <c r="H44" s="860"/>
      <c r="I44" s="860"/>
      <c r="J44" s="860"/>
      <c r="K44" s="860"/>
      <c r="L44" s="860"/>
    </row>
    <row r="45" spans="1:12" x14ac:dyDescent="0.25">
      <c r="A45" s="944" t="s">
        <v>774</v>
      </c>
      <c r="B45" s="860"/>
      <c r="C45" s="860"/>
      <c r="D45" s="860"/>
      <c r="E45" s="860"/>
      <c r="F45" s="860"/>
      <c r="G45" s="860"/>
      <c r="H45" s="860"/>
      <c r="I45" s="860"/>
      <c r="J45" s="860"/>
      <c r="K45" s="860"/>
      <c r="L45" s="860"/>
    </row>
    <row r="46" spans="1:12" x14ac:dyDescent="0.25">
      <c r="A46" s="860" t="s">
        <v>540</v>
      </c>
      <c r="B46" s="860"/>
      <c r="C46" s="185">
        <v>0</v>
      </c>
      <c r="D46" s="185">
        <v>0</v>
      </c>
      <c r="E46" s="185">
        <v>0</v>
      </c>
      <c r="F46" s="185">
        <v>0</v>
      </c>
      <c r="G46" s="185">
        <v>0</v>
      </c>
      <c r="H46" s="185">
        <v>0</v>
      </c>
      <c r="I46" s="185">
        <v>0</v>
      </c>
      <c r="J46" s="185">
        <v>0</v>
      </c>
      <c r="K46" s="185">
        <v>0</v>
      </c>
      <c r="L46" s="185">
        <v>0</v>
      </c>
    </row>
    <row r="47" spans="1:12" x14ac:dyDescent="0.25">
      <c r="A47" s="860" t="s">
        <v>541</v>
      </c>
      <c r="B47" s="860"/>
      <c r="C47" s="185">
        <v>0</v>
      </c>
      <c r="D47" s="185">
        <v>0</v>
      </c>
      <c r="E47" s="185">
        <v>0</v>
      </c>
      <c r="F47" s="185">
        <v>0</v>
      </c>
      <c r="G47" s="185">
        <v>0</v>
      </c>
      <c r="H47" s="185">
        <v>0</v>
      </c>
      <c r="I47" s="185">
        <v>0</v>
      </c>
      <c r="J47" s="185">
        <v>0</v>
      </c>
      <c r="K47" s="185">
        <v>0</v>
      </c>
      <c r="L47" s="185">
        <v>0</v>
      </c>
    </row>
    <row r="48" spans="1:12" x14ac:dyDescent="0.25">
      <c r="A48" s="860" t="s">
        <v>542</v>
      </c>
      <c r="B48" s="860"/>
      <c r="C48" s="185">
        <v>0</v>
      </c>
      <c r="D48" s="185">
        <v>0</v>
      </c>
      <c r="E48" s="185">
        <v>0</v>
      </c>
      <c r="F48" s="185">
        <v>0</v>
      </c>
      <c r="G48" s="185">
        <v>0</v>
      </c>
      <c r="H48" s="185">
        <v>0</v>
      </c>
      <c r="I48" s="185">
        <v>0</v>
      </c>
      <c r="J48" s="185">
        <v>0</v>
      </c>
      <c r="K48" s="185">
        <v>0</v>
      </c>
      <c r="L48" s="185">
        <v>0</v>
      </c>
    </row>
    <row r="49" spans="1:13" x14ac:dyDescent="0.25">
      <c r="A49" s="860"/>
      <c r="B49" s="860"/>
      <c r="C49" s="860"/>
      <c r="D49" s="860"/>
      <c r="E49" s="860"/>
      <c r="F49" s="860"/>
      <c r="G49" s="860"/>
      <c r="H49" s="860"/>
      <c r="I49" s="860"/>
      <c r="J49" s="860"/>
      <c r="K49" s="860"/>
      <c r="L49" s="860"/>
    </row>
    <row r="50" spans="1:13" x14ac:dyDescent="0.25">
      <c r="A50" s="874" t="s">
        <v>545</v>
      </c>
      <c r="B50" s="860"/>
      <c r="C50" s="860"/>
      <c r="D50" s="860"/>
      <c r="E50" s="860"/>
      <c r="F50" s="860"/>
      <c r="G50" s="860"/>
      <c r="H50" s="860"/>
      <c r="I50" s="860"/>
      <c r="J50" s="860"/>
      <c r="K50" s="860"/>
      <c r="L50" s="860"/>
    </row>
    <row r="51" spans="1:13" x14ac:dyDescent="0.25">
      <c r="A51" s="944" t="s">
        <v>774</v>
      </c>
      <c r="B51" s="860"/>
      <c r="C51" s="860"/>
      <c r="D51" s="860"/>
      <c r="E51" s="860"/>
      <c r="F51" s="860"/>
      <c r="G51" s="860"/>
      <c r="H51" s="860"/>
      <c r="I51" s="860"/>
      <c r="J51" s="860"/>
      <c r="K51" s="860"/>
      <c r="L51" s="860"/>
    </row>
    <row r="52" spans="1:13" x14ac:dyDescent="0.25">
      <c r="A52" s="860" t="s">
        <v>540</v>
      </c>
      <c r="B52" s="860"/>
      <c r="C52" s="185">
        <v>0</v>
      </c>
      <c r="D52" s="185">
        <v>0</v>
      </c>
      <c r="E52" s="185">
        <v>0</v>
      </c>
      <c r="F52" s="185">
        <v>0</v>
      </c>
      <c r="G52" s="185">
        <v>0</v>
      </c>
      <c r="H52" s="185">
        <v>0</v>
      </c>
      <c r="I52" s="185">
        <v>0</v>
      </c>
      <c r="J52" s="185">
        <v>0</v>
      </c>
      <c r="K52" s="185">
        <v>0</v>
      </c>
      <c r="L52" s="185">
        <v>0</v>
      </c>
    </row>
    <row r="53" spans="1:13" x14ac:dyDescent="0.25">
      <c r="A53" s="860" t="s">
        <v>541</v>
      </c>
      <c r="B53" s="860"/>
      <c r="C53" s="185">
        <v>0</v>
      </c>
      <c r="D53" s="185">
        <v>0</v>
      </c>
      <c r="E53" s="185">
        <v>0</v>
      </c>
      <c r="F53" s="185">
        <v>0</v>
      </c>
      <c r="G53" s="185">
        <v>0</v>
      </c>
      <c r="H53" s="185">
        <v>0</v>
      </c>
      <c r="I53" s="185">
        <v>0</v>
      </c>
      <c r="J53" s="185">
        <v>0</v>
      </c>
      <c r="K53" s="185">
        <v>0</v>
      </c>
      <c r="L53" s="185">
        <v>0</v>
      </c>
    </row>
    <row r="54" spans="1:13" x14ac:dyDescent="0.25">
      <c r="A54" s="860" t="s">
        <v>542</v>
      </c>
      <c r="B54" s="860"/>
      <c r="C54" s="185">
        <v>0</v>
      </c>
      <c r="D54" s="185">
        <v>0</v>
      </c>
      <c r="E54" s="185">
        <v>0</v>
      </c>
      <c r="F54" s="185">
        <v>0</v>
      </c>
      <c r="G54" s="185">
        <v>0</v>
      </c>
      <c r="H54" s="185">
        <v>0</v>
      </c>
      <c r="I54" s="185">
        <v>0</v>
      </c>
      <c r="J54" s="185">
        <v>0</v>
      </c>
      <c r="K54" s="185">
        <v>0</v>
      </c>
      <c r="L54" s="185">
        <v>0</v>
      </c>
    </row>
    <row r="55" spans="1:13" x14ac:dyDescent="0.25">
      <c r="A55" s="860"/>
      <c r="B55" s="860"/>
      <c r="C55" s="860"/>
      <c r="D55" s="860"/>
      <c r="E55" s="860"/>
      <c r="F55" s="860"/>
      <c r="G55" s="860"/>
      <c r="H55" s="860"/>
      <c r="I55" s="860"/>
      <c r="J55" s="860"/>
      <c r="K55" s="860"/>
      <c r="L55" s="860"/>
    </row>
    <row r="56" spans="1:13" x14ac:dyDescent="0.25">
      <c r="A56" s="874" t="s">
        <v>546</v>
      </c>
      <c r="B56" s="860"/>
      <c r="C56" s="860"/>
      <c r="D56" s="860"/>
      <c r="E56" s="860"/>
      <c r="F56" s="860"/>
      <c r="G56" s="860"/>
      <c r="H56" s="860"/>
      <c r="I56" s="860"/>
      <c r="J56" s="860"/>
      <c r="K56" s="860"/>
      <c r="L56" s="860"/>
    </row>
    <row r="57" spans="1:13" x14ac:dyDescent="0.25">
      <c r="A57" s="944" t="s">
        <v>774</v>
      </c>
      <c r="B57" s="860"/>
      <c r="C57" s="860"/>
      <c r="D57" s="860"/>
      <c r="E57" s="860"/>
      <c r="F57" s="860"/>
      <c r="G57" s="860"/>
      <c r="H57" s="860"/>
      <c r="I57" s="860"/>
      <c r="J57" s="860"/>
      <c r="K57" s="860"/>
      <c r="L57" s="860"/>
    </row>
    <row r="58" spans="1:13" x14ac:dyDescent="0.25">
      <c r="A58" s="860" t="s">
        <v>540</v>
      </c>
      <c r="B58" s="860"/>
      <c r="C58" s="185">
        <v>0</v>
      </c>
      <c r="D58" s="185">
        <v>0</v>
      </c>
      <c r="E58" s="185">
        <v>0</v>
      </c>
      <c r="F58" s="185">
        <v>0</v>
      </c>
      <c r="G58" s="185">
        <v>0</v>
      </c>
      <c r="H58" s="185">
        <v>0</v>
      </c>
      <c r="I58" s="185">
        <v>0</v>
      </c>
      <c r="J58" s="185">
        <v>0</v>
      </c>
      <c r="K58" s="185">
        <v>0</v>
      </c>
      <c r="L58" s="185">
        <v>0</v>
      </c>
    </row>
    <row r="59" spans="1:13" x14ac:dyDescent="0.25">
      <c r="A59" s="860" t="s">
        <v>541</v>
      </c>
      <c r="B59" s="860"/>
      <c r="C59" s="185">
        <v>0</v>
      </c>
      <c r="D59" s="185">
        <v>0</v>
      </c>
      <c r="E59" s="185">
        <v>0</v>
      </c>
      <c r="F59" s="185">
        <v>0</v>
      </c>
      <c r="G59" s="185">
        <v>0</v>
      </c>
      <c r="H59" s="185">
        <v>0</v>
      </c>
      <c r="I59" s="185">
        <v>0</v>
      </c>
      <c r="J59" s="185">
        <v>0</v>
      </c>
      <c r="K59" s="185">
        <v>0</v>
      </c>
      <c r="L59" s="185">
        <v>0</v>
      </c>
    </row>
    <row r="60" spans="1:13" x14ac:dyDescent="0.25">
      <c r="A60" s="860" t="s">
        <v>542</v>
      </c>
      <c r="B60" s="860"/>
      <c r="C60" s="185">
        <v>0</v>
      </c>
      <c r="D60" s="185">
        <v>0</v>
      </c>
      <c r="E60" s="185">
        <v>0</v>
      </c>
      <c r="F60" s="185">
        <v>0</v>
      </c>
      <c r="G60" s="185">
        <v>0</v>
      </c>
      <c r="H60" s="185">
        <v>0</v>
      </c>
      <c r="I60" s="185">
        <v>0</v>
      </c>
      <c r="J60" s="185">
        <v>0</v>
      </c>
      <c r="K60" s="185">
        <v>0</v>
      </c>
      <c r="L60" s="185">
        <v>0</v>
      </c>
    </row>
    <row r="61" spans="1:13" x14ac:dyDescent="0.25">
      <c r="A61" s="860"/>
      <c r="B61" s="860"/>
      <c r="C61" s="945"/>
      <c r="D61" s="945"/>
      <c r="E61" s="945"/>
      <c r="F61" s="945"/>
      <c r="G61" s="945"/>
      <c r="H61" s="945"/>
      <c r="I61" s="945"/>
      <c r="J61" s="945"/>
      <c r="K61" s="945"/>
      <c r="L61" s="945"/>
      <c r="M61" s="945"/>
    </row>
    <row r="62" spans="1:13" x14ac:dyDescent="0.25">
      <c r="A62" s="874" t="s">
        <v>770</v>
      </c>
      <c r="B62" s="874"/>
      <c r="C62" s="946">
        <f>SUM(C58,C52,C46,C40,C34)</f>
        <v>0</v>
      </c>
      <c r="D62" s="946">
        <f t="shared" ref="D62:G64" si="1">SUM(D58,D52,D46,D40,D34)</f>
        <v>0</v>
      </c>
      <c r="E62" s="946">
        <f t="shared" si="1"/>
        <v>0</v>
      </c>
      <c r="F62" s="946">
        <f t="shared" si="1"/>
        <v>0</v>
      </c>
      <c r="G62" s="946">
        <f t="shared" si="1"/>
        <v>0</v>
      </c>
      <c r="H62" s="946">
        <f>SUM(H58,H52,H46,H40,H34)</f>
        <v>0</v>
      </c>
      <c r="I62" s="946">
        <f t="shared" ref="I62:L64" si="2">SUM(I58,I52,I46,I40,I34)</f>
        <v>0</v>
      </c>
      <c r="J62" s="946">
        <f t="shared" si="2"/>
        <v>0</v>
      </c>
      <c r="K62" s="946">
        <f t="shared" si="2"/>
        <v>0</v>
      </c>
      <c r="L62" s="946">
        <f t="shared" si="2"/>
        <v>0</v>
      </c>
      <c r="M62" s="945"/>
    </row>
    <row r="63" spans="1:13" x14ac:dyDescent="0.25">
      <c r="A63" s="874" t="s">
        <v>771</v>
      </c>
      <c r="B63" s="874"/>
      <c r="C63" s="946">
        <f>SUM(C59,C53,C47,C41,C35)</f>
        <v>0</v>
      </c>
      <c r="D63" s="946">
        <f t="shared" si="1"/>
        <v>0</v>
      </c>
      <c r="E63" s="946">
        <f t="shared" si="1"/>
        <v>0</v>
      </c>
      <c r="F63" s="946">
        <f t="shared" si="1"/>
        <v>0</v>
      </c>
      <c r="G63" s="946">
        <f t="shared" si="1"/>
        <v>0</v>
      </c>
      <c r="H63" s="946">
        <f>SUM(H59,H53,H47,H41,H35)</f>
        <v>0</v>
      </c>
      <c r="I63" s="946">
        <f t="shared" si="2"/>
        <v>0</v>
      </c>
      <c r="J63" s="946">
        <f t="shared" si="2"/>
        <v>0</v>
      </c>
      <c r="K63" s="946">
        <f t="shared" si="2"/>
        <v>0</v>
      </c>
      <c r="L63" s="946">
        <f t="shared" si="2"/>
        <v>0</v>
      </c>
      <c r="M63" s="945"/>
    </row>
    <row r="64" spans="1:13" x14ac:dyDescent="0.25">
      <c r="A64" s="874" t="s">
        <v>772</v>
      </c>
      <c r="B64" s="947"/>
      <c r="C64" s="948">
        <f>SUM(C60,C54,C48,C42,C36)</f>
        <v>0</v>
      </c>
      <c r="D64" s="948">
        <f t="shared" si="1"/>
        <v>0</v>
      </c>
      <c r="E64" s="948">
        <f t="shared" si="1"/>
        <v>0</v>
      </c>
      <c r="F64" s="948">
        <f t="shared" si="1"/>
        <v>0</v>
      </c>
      <c r="G64" s="948">
        <f t="shared" si="1"/>
        <v>0</v>
      </c>
      <c r="H64" s="948">
        <f>SUM(H60,H54,H48,H42,H36)</f>
        <v>0</v>
      </c>
      <c r="I64" s="948">
        <f t="shared" si="2"/>
        <v>0</v>
      </c>
      <c r="J64" s="948">
        <f t="shared" si="2"/>
        <v>0</v>
      </c>
      <c r="K64" s="948">
        <f t="shared" si="2"/>
        <v>0</v>
      </c>
      <c r="L64" s="948">
        <f t="shared" si="2"/>
        <v>0</v>
      </c>
    </row>
    <row r="65" spans="1:12" ht="6" customHeight="1" x14ac:dyDescent="0.25">
      <c r="A65" s="949"/>
      <c r="B65" s="950"/>
      <c r="C65" s="950"/>
      <c r="D65" s="951"/>
      <c r="E65" s="951"/>
      <c r="F65" s="951"/>
      <c r="G65" s="951"/>
      <c r="H65" s="951"/>
      <c r="I65" s="951"/>
      <c r="J65" s="949"/>
      <c r="K65" s="952"/>
      <c r="L65" s="951"/>
    </row>
    <row r="66" spans="1:12" x14ac:dyDescent="0.25">
      <c r="A66" s="953"/>
      <c r="B66" s="954"/>
      <c r="C66" s="954"/>
      <c r="D66" s="955"/>
      <c r="E66" s="955"/>
      <c r="F66" s="955"/>
      <c r="G66" s="955"/>
      <c r="H66" s="955"/>
      <c r="I66" s="955"/>
      <c r="J66" s="953"/>
      <c r="K66" s="954"/>
      <c r="L66" s="955"/>
    </row>
    <row r="67" spans="1:12" ht="18" x14ac:dyDescent="0.25">
      <c r="A67" s="941" t="s">
        <v>547</v>
      </c>
      <c r="B67" s="860"/>
      <c r="C67" s="942" t="str">
        <f t="shared" ref="C67:L67" si="3">IF(C68=TestYear, "Test Year", "")</f>
        <v/>
      </c>
      <c r="D67" s="942" t="str">
        <f t="shared" si="3"/>
        <v/>
      </c>
      <c r="E67" s="942" t="str">
        <f t="shared" si="3"/>
        <v/>
      </c>
      <c r="F67" s="942" t="str">
        <f t="shared" si="3"/>
        <v/>
      </c>
      <c r="G67" s="942" t="str">
        <f t="shared" si="3"/>
        <v/>
      </c>
      <c r="H67" s="942" t="str">
        <f t="shared" si="3"/>
        <v>Test Year</v>
      </c>
      <c r="I67" s="942" t="str">
        <f t="shared" si="3"/>
        <v/>
      </c>
      <c r="J67" s="942" t="str">
        <f t="shared" si="3"/>
        <v/>
      </c>
      <c r="K67" s="942" t="str">
        <f t="shared" si="3"/>
        <v/>
      </c>
      <c r="L67" s="942" t="str">
        <f t="shared" si="3"/>
        <v/>
      </c>
    </row>
    <row r="68" spans="1:12" x14ac:dyDescent="0.25">
      <c r="A68" s="865" t="s">
        <v>548</v>
      </c>
      <c r="B68" s="860"/>
      <c r="C68" s="943">
        <f>D68-1</f>
        <v>2015</v>
      </c>
      <c r="D68" s="943">
        <f>E68-1</f>
        <v>2016</v>
      </c>
      <c r="E68" s="943">
        <f>F68-1</f>
        <v>2017</v>
      </c>
      <c r="F68" s="943">
        <f>G68-1</f>
        <v>2018</v>
      </c>
      <c r="G68" s="943">
        <f>H68-1</f>
        <v>2019</v>
      </c>
      <c r="H68" s="943">
        <f>TestYear</f>
        <v>2020</v>
      </c>
      <c r="I68" s="943">
        <f>H68+1</f>
        <v>2021</v>
      </c>
      <c r="J68" s="943">
        <f>I68+1</f>
        <v>2022</v>
      </c>
      <c r="K68" s="943">
        <f>J68+1</f>
        <v>2023</v>
      </c>
      <c r="L68" s="943">
        <f>K68+1</f>
        <v>2024</v>
      </c>
    </row>
    <row r="69" spans="1:12" x14ac:dyDescent="0.25">
      <c r="A69" s="874" t="s">
        <v>539</v>
      </c>
      <c r="B69" s="860"/>
      <c r="C69" s="860"/>
      <c r="D69" s="860"/>
      <c r="E69" s="860"/>
      <c r="F69" s="860"/>
      <c r="G69" s="860"/>
      <c r="H69" s="860"/>
      <c r="I69" s="860"/>
      <c r="J69" s="860"/>
      <c r="K69" s="860"/>
      <c r="L69" s="860"/>
    </row>
    <row r="70" spans="1:12" x14ac:dyDescent="0.25">
      <c r="A70" s="944" t="s">
        <v>773</v>
      </c>
      <c r="B70" s="860"/>
      <c r="C70" s="860"/>
      <c r="D70" s="860"/>
      <c r="E70" s="860"/>
      <c r="F70" s="860"/>
      <c r="G70" s="860"/>
      <c r="H70" s="860"/>
      <c r="I70" s="860"/>
      <c r="J70" s="860"/>
      <c r="K70" s="860"/>
      <c r="L70" s="860"/>
    </row>
    <row r="71" spans="1:12" x14ac:dyDescent="0.25">
      <c r="A71" s="860" t="s">
        <v>540</v>
      </c>
      <c r="B71" s="860"/>
      <c r="C71" s="185">
        <v>0</v>
      </c>
      <c r="D71" s="185">
        <v>0</v>
      </c>
      <c r="E71" s="185">
        <v>0</v>
      </c>
      <c r="F71" s="185">
        <v>0</v>
      </c>
      <c r="G71" s="185">
        <v>0</v>
      </c>
      <c r="H71" s="185">
        <v>0</v>
      </c>
      <c r="I71" s="185">
        <v>0</v>
      </c>
      <c r="J71" s="185">
        <v>0</v>
      </c>
      <c r="K71" s="185">
        <v>0</v>
      </c>
      <c r="L71" s="185">
        <v>0</v>
      </c>
    </row>
    <row r="72" spans="1:12" x14ac:dyDescent="0.25">
      <c r="A72" s="860" t="s">
        <v>541</v>
      </c>
      <c r="B72" s="860"/>
      <c r="C72" s="185">
        <v>0</v>
      </c>
      <c r="D72" s="185">
        <v>0</v>
      </c>
      <c r="E72" s="185">
        <v>0</v>
      </c>
      <c r="F72" s="185">
        <v>0</v>
      </c>
      <c r="G72" s="185">
        <v>0</v>
      </c>
      <c r="H72" s="185">
        <v>0</v>
      </c>
      <c r="I72" s="185">
        <v>0</v>
      </c>
      <c r="J72" s="185">
        <v>0</v>
      </c>
      <c r="K72" s="185">
        <v>0</v>
      </c>
      <c r="L72" s="185">
        <v>0</v>
      </c>
    </row>
    <row r="73" spans="1:12" x14ac:dyDescent="0.25">
      <c r="A73" s="860" t="s">
        <v>542</v>
      </c>
      <c r="B73" s="860"/>
      <c r="C73" s="185">
        <v>0</v>
      </c>
      <c r="D73" s="185">
        <v>0</v>
      </c>
      <c r="E73" s="185">
        <v>0</v>
      </c>
      <c r="F73" s="185">
        <v>0</v>
      </c>
      <c r="G73" s="185">
        <v>0</v>
      </c>
      <c r="H73" s="185">
        <v>0</v>
      </c>
      <c r="I73" s="185">
        <v>0</v>
      </c>
      <c r="J73" s="185">
        <v>0</v>
      </c>
      <c r="K73" s="185">
        <v>0</v>
      </c>
      <c r="L73" s="185">
        <v>0</v>
      </c>
    </row>
    <row r="74" spans="1:12" x14ac:dyDescent="0.25">
      <c r="A74" s="860"/>
      <c r="B74" s="860"/>
      <c r="C74" s="860"/>
      <c r="D74" s="860"/>
      <c r="E74" s="860"/>
      <c r="F74" s="860"/>
      <c r="G74" s="860"/>
      <c r="H74" s="860"/>
      <c r="I74" s="860"/>
      <c r="J74" s="860"/>
      <c r="K74" s="860"/>
      <c r="L74" s="860"/>
    </row>
    <row r="75" spans="1:12" x14ac:dyDescent="0.25">
      <c r="A75" s="874" t="s">
        <v>543</v>
      </c>
      <c r="B75" s="860"/>
      <c r="C75" s="860"/>
      <c r="D75" s="860"/>
      <c r="E75" s="860"/>
      <c r="F75" s="860"/>
      <c r="G75" s="860"/>
      <c r="H75" s="860"/>
      <c r="I75" s="860"/>
      <c r="J75" s="860"/>
      <c r="K75" s="860"/>
      <c r="L75" s="860"/>
    </row>
    <row r="76" spans="1:12" x14ac:dyDescent="0.25">
      <c r="A76" s="944" t="s">
        <v>773</v>
      </c>
      <c r="B76" s="860"/>
      <c r="C76" s="860"/>
      <c r="D76" s="860"/>
      <c r="E76" s="860"/>
      <c r="F76" s="860"/>
      <c r="G76" s="860"/>
      <c r="H76" s="860"/>
      <c r="I76" s="860"/>
      <c r="J76" s="860"/>
      <c r="K76" s="860"/>
      <c r="L76" s="860"/>
    </row>
    <row r="77" spans="1:12" x14ac:dyDescent="0.25">
      <c r="A77" s="860" t="s">
        <v>540</v>
      </c>
      <c r="B77" s="860"/>
      <c r="C77" s="185">
        <v>0</v>
      </c>
      <c r="D77" s="185">
        <v>0</v>
      </c>
      <c r="E77" s="185">
        <v>0</v>
      </c>
      <c r="F77" s="185">
        <v>0</v>
      </c>
      <c r="G77" s="185">
        <v>0</v>
      </c>
      <c r="H77" s="185">
        <v>0</v>
      </c>
      <c r="I77" s="185">
        <v>0</v>
      </c>
      <c r="J77" s="185">
        <v>0</v>
      </c>
      <c r="K77" s="185">
        <v>0</v>
      </c>
      <c r="L77" s="185">
        <v>0</v>
      </c>
    </row>
    <row r="78" spans="1:12" x14ac:dyDescent="0.25">
      <c r="A78" s="860" t="s">
        <v>541</v>
      </c>
      <c r="B78" s="860"/>
      <c r="C78" s="185">
        <v>0</v>
      </c>
      <c r="D78" s="185">
        <v>0</v>
      </c>
      <c r="E78" s="185">
        <v>0</v>
      </c>
      <c r="F78" s="185">
        <v>0</v>
      </c>
      <c r="G78" s="185">
        <v>0</v>
      </c>
      <c r="H78" s="185">
        <v>0</v>
      </c>
      <c r="I78" s="185">
        <v>0</v>
      </c>
      <c r="J78" s="185">
        <v>0</v>
      </c>
      <c r="K78" s="185">
        <v>0</v>
      </c>
      <c r="L78" s="185">
        <v>0</v>
      </c>
    </row>
    <row r="79" spans="1:12" x14ac:dyDescent="0.25">
      <c r="A79" s="860" t="s">
        <v>542</v>
      </c>
      <c r="B79" s="860"/>
      <c r="C79" s="185">
        <v>0</v>
      </c>
      <c r="D79" s="185">
        <v>0</v>
      </c>
      <c r="E79" s="185">
        <v>0</v>
      </c>
      <c r="F79" s="185">
        <v>0</v>
      </c>
      <c r="G79" s="185">
        <v>0</v>
      </c>
      <c r="H79" s="185">
        <v>0</v>
      </c>
      <c r="I79" s="185">
        <v>0</v>
      </c>
      <c r="J79" s="185">
        <v>0</v>
      </c>
      <c r="K79" s="185">
        <v>0</v>
      </c>
      <c r="L79" s="185">
        <v>0</v>
      </c>
    </row>
    <row r="80" spans="1:12" x14ac:dyDescent="0.25">
      <c r="A80" s="860"/>
      <c r="B80" s="860"/>
      <c r="C80" s="860"/>
      <c r="D80" s="860"/>
      <c r="E80" s="860"/>
      <c r="F80" s="860"/>
      <c r="G80" s="860"/>
      <c r="H80" s="860"/>
      <c r="I80" s="860"/>
      <c r="J80" s="860"/>
      <c r="K80" s="860"/>
      <c r="L80" s="860"/>
    </row>
    <row r="81" spans="1:12" x14ac:dyDescent="0.25">
      <c r="A81" s="874" t="s">
        <v>544</v>
      </c>
      <c r="B81" s="860"/>
      <c r="C81" s="860"/>
      <c r="D81" s="860"/>
      <c r="E81" s="860"/>
      <c r="F81" s="860"/>
      <c r="G81" s="860"/>
      <c r="H81" s="860"/>
      <c r="I81" s="860"/>
      <c r="J81" s="860"/>
      <c r="K81" s="860"/>
      <c r="L81" s="860"/>
    </row>
    <row r="82" spans="1:12" x14ac:dyDescent="0.25">
      <c r="A82" s="944" t="s">
        <v>773</v>
      </c>
      <c r="B82" s="860"/>
      <c r="C82" s="860"/>
      <c r="D82" s="860"/>
      <c r="E82" s="860"/>
      <c r="F82" s="860"/>
      <c r="G82" s="860"/>
      <c r="H82" s="860"/>
      <c r="I82" s="860"/>
      <c r="J82" s="860"/>
      <c r="K82" s="860"/>
      <c r="L82" s="860"/>
    </row>
    <row r="83" spans="1:12" x14ac:dyDescent="0.25">
      <c r="A83" s="860" t="s">
        <v>540</v>
      </c>
      <c r="B83" s="860"/>
      <c r="C83" s="185">
        <v>0</v>
      </c>
      <c r="D83" s="185">
        <v>0</v>
      </c>
      <c r="E83" s="185">
        <v>0</v>
      </c>
      <c r="F83" s="185">
        <v>0</v>
      </c>
      <c r="G83" s="185">
        <v>0</v>
      </c>
      <c r="H83" s="185">
        <v>0</v>
      </c>
      <c r="I83" s="185">
        <v>0</v>
      </c>
      <c r="J83" s="185">
        <v>0</v>
      </c>
      <c r="K83" s="185">
        <v>0</v>
      </c>
      <c r="L83" s="185">
        <v>0</v>
      </c>
    </row>
    <row r="84" spans="1:12" x14ac:dyDescent="0.25">
      <c r="A84" s="860" t="s">
        <v>541</v>
      </c>
      <c r="B84" s="860"/>
      <c r="C84" s="185">
        <v>0</v>
      </c>
      <c r="D84" s="185">
        <v>0</v>
      </c>
      <c r="E84" s="185">
        <v>0</v>
      </c>
      <c r="F84" s="185">
        <v>0</v>
      </c>
      <c r="G84" s="185">
        <v>0</v>
      </c>
      <c r="H84" s="185">
        <v>0</v>
      </c>
      <c r="I84" s="185">
        <v>0</v>
      </c>
      <c r="J84" s="185">
        <v>0</v>
      </c>
      <c r="K84" s="185">
        <v>0</v>
      </c>
      <c r="L84" s="185">
        <v>0</v>
      </c>
    </row>
    <row r="85" spans="1:12" x14ac:dyDescent="0.25">
      <c r="A85" s="860" t="s">
        <v>542</v>
      </c>
      <c r="B85" s="860"/>
      <c r="C85" s="185">
        <v>0</v>
      </c>
      <c r="D85" s="185">
        <v>0</v>
      </c>
      <c r="E85" s="185">
        <v>0</v>
      </c>
      <c r="F85" s="185">
        <v>0</v>
      </c>
      <c r="G85" s="185">
        <v>0</v>
      </c>
      <c r="H85" s="185">
        <v>0</v>
      </c>
      <c r="I85" s="185">
        <v>0</v>
      </c>
      <c r="J85" s="185">
        <v>0</v>
      </c>
      <c r="K85" s="185">
        <v>0</v>
      </c>
      <c r="L85" s="185">
        <v>0</v>
      </c>
    </row>
    <row r="86" spans="1:12" x14ac:dyDescent="0.25">
      <c r="A86" s="956"/>
      <c r="B86" s="957"/>
      <c r="C86" s="958"/>
      <c r="D86" s="958"/>
      <c r="E86" s="958"/>
      <c r="F86" s="958"/>
      <c r="G86" s="958"/>
      <c r="H86" s="958"/>
      <c r="I86" s="959"/>
      <c r="J86" s="959"/>
      <c r="K86" s="958"/>
      <c r="L86" s="958"/>
    </row>
    <row r="87" spans="1:12" x14ac:dyDescent="0.25">
      <c r="A87" s="874" t="s">
        <v>545</v>
      </c>
      <c r="B87" s="860"/>
      <c r="C87" s="860"/>
      <c r="D87" s="860"/>
      <c r="E87" s="860"/>
      <c r="F87" s="860"/>
      <c r="G87" s="860"/>
      <c r="H87" s="860"/>
      <c r="I87" s="860"/>
      <c r="J87" s="860"/>
      <c r="K87" s="860"/>
      <c r="L87" s="860"/>
    </row>
    <row r="88" spans="1:12" x14ac:dyDescent="0.25">
      <c r="A88" s="944" t="s">
        <v>773</v>
      </c>
      <c r="B88" s="860"/>
      <c r="C88" s="860"/>
      <c r="D88" s="860"/>
      <c r="E88" s="860"/>
      <c r="F88" s="860"/>
      <c r="G88" s="860"/>
      <c r="H88" s="860"/>
      <c r="I88" s="860"/>
      <c r="J88" s="860"/>
      <c r="K88" s="860"/>
      <c r="L88" s="860"/>
    </row>
    <row r="89" spans="1:12" x14ac:dyDescent="0.25">
      <c r="A89" s="860" t="s">
        <v>540</v>
      </c>
      <c r="B89" s="860"/>
      <c r="C89" s="185">
        <v>0</v>
      </c>
      <c r="D89" s="185">
        <v>0</v>
      </c>
      <c r="E89" s="185">
        <v>0</v>
      </c>
      <c r="F89" s="185">
        <v>0</v>
      </c>
      <c r="G89" s="185">
        <v>0</v>
      </c>
      <c r="H89" s="185">
        <v>0</v>
      </c>
      <c r="I89" s="185">
        <v>0</v>
      </c>
      <c r="J89" s="185">
        <v>0</v>
      </c>
      <c r="K89" s="185">
        <v>0</v>
      </c>
      <c r="L89" s="185">
        <v>0</v>
      </c>
    </row>
    <row r="90" spans="1:12" x14ac:dyDescent="0.25">
      <c r="A90" s="860" t="s">
        <v>541</v>
      </c>
      <c r="B90" s="860"/>
      <c r="C90" s="185">
        <v>0</v>
      </c>
      <c r="D90" s="185">
        <v>0</v>
      </c>
      <c r="E90" s="185">
        <v>0</v>
      </c>
      <c r="F90" s="185">
        <v>0</v>
      </c>
      <c r="G90" s="185">
        <v>0</v>
      </c>
      <c r="H90" s="185">
        <v>0</v>
      </c>
      <c r="I90" s="185">
        <v>0</v>
      </c>
      <c r="J90" s="185">
        <v>0</v>
      </c>
      <c r="K90" s="185">
        <v>0</v>
      </c>
      <c r="L90" s="185">
        <v>0</v>
      </c>
    </row>
    <row r="91" spans="1:12" x14ac:dyDescent="0.25">
      <c r="A91" s="860" t="s">
        <v>542</v>
      </c>
      <c r="B91" s="860"/>
      <c r="C91" s="185">
        <v>0</v>
      </c>
      <c r="D91" s="185">
        <v>0</v>
      </c>
      <c r="E91" s="185">
        <v>0</v>
      </c>
      <c r="F91" s="185">
        <v>0</v>
      </c>
      <c r="G91" s="185">
        <v>0</v>
      </c>
      <c r="H91" s="185">
        <v>0</v>
      </c>
      <c r="I91" s="185">
        <v>0</v>
      </c>
      <c r="J91" s="185">
        <v>0</v>
      </c>
      <c r="K91" s="185">
        <v>0</v>
      </c>
      <c r="L91" s="185">
        <v>0</v>
      </c>
    </row>
    <row r="92" spans="1:12" x14ac:dyDescent="0.25">
      <c r="A92" s="956"/>
      <c r="B92" s="960"/>
      <c r="C92" s="961"/>
      <c r="D92" s="961"/>
      <c r="E92" s="961"/>
      <c r="F92" s="961"/>
      <c r="G92" s="961"/>
      <c r="H92" s="961"/>
      <c r="I92" s="961"/>
      <c r="J92" s="962"/>
      <c r="K92" s="962"/>
      <c r="L92" s="961"/>
    </row>
    <row r="93" spans="1:12" x14ac:dyDescent="0.25">
      <c r="A93" s="874" t="s">
        <v>546</v>
      </c>
      <c r="B93" s="860"/>
      <c r="C93" s="860"/>
      <c r="D93" s="860"/>
      <c r="E93" s="860"/>
      <c r="F93" s="860"/>
      <c r="G93" s="860"/>
      <c r="H93" s="860"/>
      <c r="I93" s="860"/>
      <c r="J93" s="860"/>
      <c r="K93" s="860"/>
      <c r="L93" s="860"/>
    </row>
    <row r="94" spans="1:12" x14ac:dyDescent="0.25">
      <c r="A94" s="944" t="s">
        <v>773</v>
      </c>
      <c r="B94" s="860"/>
      <c r="C94" s="860"/>
      <c r="D94" s="860"/>
      <c r="E94" s="860"/>
      <c r="F94" s="860"/>
      <c r="G94" s="860"/>
      <c r="H94" s="860"/>
      <c r="I94" s="860"/>
      <c r="J94" s="860"/>
      <c r="K94" s="860"/>
      <c r="L94" s="860"/>
    </row>
    <row r="95" spans="1:12" x14ac:dyDescent="0.25">
      <c r="A95" s="860" t="s">
        <v>540</v>
      </c>
      <c r="B95" s="860"/>
      <c r="C95" s="185">
        <v>0</v>
      </c>
      <c r="D95" s="185">
        <v>0</v>
      </c>
      <c r="E95" s="185">
        <v>0</v>
      </c>
      <c r="F95" s="185">
        <v>0</v>
      </c>
      <c r="G95" s="185">
        <v>0</v>
      </c>
      <c r="H95" s="185">
        <v>0</v>
      </c>
      <c r="I95" s="185">
        <v>0</v>
      </c>
      <c r="J95" s="185">
        <v>0</v>
      </c>
      <c r="K95" s="185">
        <v>0</v>
      </c>
      <c r="L95" s="185">
        <v>0</v>
      </c>
    </row>
    <row r="96" spans="1:12" x14ac:dyDescent="0.25">
      <c r="A96" s="860" t="s">
        <v>541</v>
      </c>
      <c r="B96" s="860"/>
      <c r="C96" s="185">
        <v>0</v>
      </c>
      <c r="D96" s="185">
        <v>0</v>
      </c>
      <c r="E96" s="185">
        <v>0</v>
      </c>
      <c r="F96" s="185">
        <v>0</v>
      </c>
      <c r="G96" s="185">
        <v>0</v>
      </c>
      <c r="H96" s="185">
        <v>0</v>
      </c>
      <c r="I96" s="185">
        <v>0</v>
      </c>
      <c r="J96" s="185">
        <v>0</v>
      </c>
      <c r="K96" s="185">
        <v>0</v>
      </c>
      <c r="L96" s="185">
        <v>0</v>
      </c>
    </row>
    <row r="97" spans="1:13" x14ac:dyDescent="0.25">
      <c r="A97" s="860" t="s">
        <v>542</v>
      </c>
      <c r="B97" s="860"/>
      <c r="C97" s="185">
        <v>0</v>
      </c>
      <c r="D97" s="185">
        <v>0</v>
      </c>
      <c r="E97" s="185">
        <v>0</v>
      </c>
      <c r="F97" s="185">
        <v>0</v>
      </c>
      <c r="G97" s="185">
        <v>0</v>
      </c>
      <c r="H97" s="185">
        <v>0</v>
      </c>
      <c r="I97" s="185">
        <v>0</v>
      </c>
      <c r="J97" s="185">
        <v>0</v>
      </c>
      <c r="K97" s="185">
        <v>0</v>
      </c>
      <c r="L97" s="185">
        <v>0</v>
      </c>
    </row>
    <row r="98" spans="1:13" x14ac:dyDescent="0.25">
      <c r="A98" s="956"/>
      <c r="B98" s="963"/>
      <c r="C98" s="961"/>
      <c r="D98" s="961"/>
      <c r="E98" s="961"/>
      <c r="F98" s="961"/>
      <c r="G98" s="961"/>
      <c r="H98" s="961"/>
      <c r="I98" s="961"/>
      <c r="J98" s="956"/>
      <c r="K98" s="964"/>
      <c r="L98" s="961"/>
    </row>
    <row r="99" spans="1:13" x14ac:dyDescent="0.25">
      <c r="A99" s="874" t="s">
        <v>770</v>
      </c>
      <c r="B99" s="874"/>
      <c r="C99" s="946">
        <f>SUM(C95,C89,C83,C77,C71)</f>
        <v>0</v>
      </c>
      <c r="D99" s="946">
        <f t="shared" ref="D99:G101" si="4">SUM(D95,D89,D83,D77,D71)</f>
        <v>0</v>
      </c>
      <c r="E99" s="946">
        <f t="shared" si="4"/>
        <v>0</v>
      </c>
      <c r="F99" s="946">
        <f t="shared" si="4"/>
        <v>0</v>
      </c>
      <c r="G99" s="946">
        <f t="shared" si="4"/>
        <v>0</v>
      </c>
      <c r="H99" s="946">
        <f>SUM(H95,H89,H83,H77,H71)</f>
        <v>0</v>
      </c>
      <c r="I99" s="946">
        <f t="shared" ref="I99:L101" si="5">SUM(I95,I89,I83,I77,I71)</f>
        <v>0</v>
      </c>
      <c r="J99" s="946">
        <f t="shared" si="5"/>
        <v>0</v>
      </c>
      <c r="K99" s="946">
        <f t="shared" si="5"/>
        <v>0</v>
      </c>
      <c r="L99" s="946">
        <f t="shared" si="5"/>
        <v>0</v>
      </c>
      <c r="M99" s="945"/>
    </row>
    <row r="100" spans="1:13" x14ac:dyDescent="0.25">
      <c r="A100" s="874" t="s">
        <v>771</v>
      </c>
      <c r="B100" s="874"/>
      <c r="C100" s="946">
        <f>SUM(C96,C90,C84,C78,C72)</f>
        <v>0</v>
      </c>
      <c r="D100" s="946">
        <f t="shared" si="4"/>
        <v>0</v>
      </c>
      <c r="E100" s="946">
        <f t="shared" si="4"/>
        <v>0</v>
      </c>
      <c r="F100" s="946">
        <f t="shared" si="4"/>
        <v>0</v>
      </c>
      <c r="G100" s="946">
        <f t="shared" si="4"/>
        <v>0</v>
      </c>
      <c r="H100" s="946">
        <f>SUM(H96,H90,H84,H78,H72)</f>
        <v>0</v>
      </c>
      <c r="I100" s="946">
        <f t="shared" si="5"/>
        <v>0</v>
      </c>
      <c r="J100" s="946">
        <f t="shared" si="5"/>
        <v>0</v>
      </c>
      <c r="K100" s="946">
        <f t="shared" si="5"/>
        <v>0</v>
      </c>
      <c r="L100" s="946">
        <f t="shared" si="5"/>
        <v>0</v>
      </c>
      <c r="M100" s="945"/>
    </row>
    <row r="101" spans="1:13" x14ac:dyDescent="0.25">
      <c r="A101" s="874" t="s">
        <v>772</v>
      </c>
      <c r="B101" s="947"/>
      <c r="C101" s="948">
        <f>SUM(C97,C91,C85,C79,C73)</f>
        <v>0</v>
      </c>
      <c r="D101" s="948">
        <f t="shared" si="4"/>
        <v>0</v>
      </c>
      <c r="E101" s="948">
        <f t="shared" si="4"/>
        <v>0</v>
      </c>
      <c r="F101" s="948">
        <f t="shared" si="4"/>
        <v>0</v>
      </c>
      <c r="G101" s="948">
        <f t="shared" si="4"/>
        <v>0</v>
      </c>
      <c r="H101" s="948">
        <f>SUM(H97,H91,H85,H79,H73)</f>
        <v>0</v>
      </c>
      <c r="I101" s="948">
        <f t="shared" si="5"/>
        <v>0</v>
      </c>
      <c r="J101" s="948">
        <f t="shared" si="5"/>
        <v>0</v>
      </c>
      <c r="K101" s="948">
        <f t="shared" si="5"/>
        <v>0</v>
      </c>
      <c r="L101" s="948">
        <f t="shared" si="5"/>
        <v>0</v>
      </c>
    </row>
    <row r="102" spans="1:13" x14ac:dyDescent="0.25">
      <c r="A102" s="965"/>
      <c r="B102" s="966"/>
      <c r="C102" s="966"/>
      <c r="D102" s="966"/>
      <c r="E102" s="966"/>
      <c r="F102" s="966"/>
      <c r="G102" s="966"/>
      <c r="H102" s="967"/>
      <c r="I102" s="967"/>
      <c r="J102" s="965"/>
      <c r="K102" s="968"/>
      <c r="L102" s="967"/>
    </row>
  </sheetData>
  <sheetProtection algorithmName="SHA-512" hashValue="IDiwlgkVDh0DjodJrbucgmyaCGW0DZxiz6BrN0y0LQIZta485dytq5eFUz9NJKPe/MzfWMGpIrBu+CDAvuxeHw==" saltValue="iTdTbBCTrf8iOO7q3Da7Qw==" spinCount="100000" sheet="1" objects="1" scenarios="1"/>
  <mergeCells count="8">
    <mergeCell ref="A9:L9"/>
    <mergeCell ref="A18:J18"/>
    <mergeCell ref="A17:K17"/>
    <mergeCell ref="A13:H13"/>
    <mergeCell ref="A14:G14"/>
    <mergeCell ref="A15:G15"/>
    <mergeCell ref="A12:H12"/>
    <mergeCell ref="A10:L10"/>
  </mergeCells>
  <dataValidations disablePrompts="1"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00000000-0002-0000-1100-000000000000}"/>
  </dataValidations>
  <pageMargins left="0.70866141732283472" right="0.70866141732283472" top="0.74803149606299213" bottom="0.74803149606299213" header="0.31496062992125984" footer="0.31496062992125984"/>
  <pageSetup scale="44" fitToHeight="2" orientation="portrait" r:id="rId1"/>
  <rowBreaks count="1" manualBreakCount="1">
    <brk id="65"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00B0F0"/>
  </sheetPr>
  <dimension ref="A1:H6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47.42578125" bestFit="1" customWidth="1"/>
  </cols>
  <sheetData>
    <row r="1" spans="1:8" x14ac:dyDescent="0.2">
      <c r="A1" t="s">
        <v>1081</v>
      </c>
      <c r="B1" t="s">
        <v>1082</v>
      </c>
      <c r="C1" t="s">
        <v>277</v>
      </c>
      <c r="D1" t="s">
        <v>276</v>
      </c>
      <c r="E1" t="s">
        <v>275</v>
      </c>
      <c r="F1" t="s">
        <v>1083</v>
      </c>
      <c r="G1" t="s">
        <v>10</v>
      </c>
      <c r="H1" t="s">
        <v>1084</v>
      </c>
    </row>
    <row r="2" spans="1:8" x14ac:dyDescent="0.2">
      <c r="A2" t="str">
        <f>'LDC Info'!$E$14</f>
        <v>Greater Sudbury Hydro Inc.</v>
      </c>
      <c r="B2" t="str">
        <f t="shared" ref="B2:B61" si="0">EBNUMBER</f>
        <v>EB-2019-0037</v>
      </c>
      <c r="C2">
        <f t="shared" ref="C2:C61" si="1">TestYear</f>
        <v>2020</v>
      </c>
      <c r="D2">
        <f t="shared" ref="D2:D61" si="2">BridgeYear</f>
        <v>2019</v>
      </c>
      <c r="E2">
        <f t="shared" ref="E2:E61" si="3">RebaseYear</f>
        <v>2013</v>
      </c>
      <c r="F2" t="s">
        <v>1085</v>
      </c>
      <c r="G2">
        <f>'App.2-FA Proposed REG Invest.'!C31</f>
        <v>2015</v>
      </c>
      <c r="H2">
        <f>'App.2-FA Proposed REG Invest.'!C62</f>
        <v>0</v>
      </c>
    </row>
    <row r="3" spans="1:8" x14ac:dyDescent="0.2">
      <c r="A3" t="str">
        <f>'LDC Info'!$E$14</f>
        <v>Greater Sudbury Hydro Inc.</v>
      </c>
      <c r="B3" t="str">
        <f t="shared" si="0"/>
        <v>EB-2019-0037</v>
      </c>
      <c r="C3">
        <f t="shared" si="1"/>
        <v>2020</v>
      </c>
      <c r="D3">
        <f t="shared" si="2"/>
        <v>2019</v>
      </c>
      <c r="E3">
        <f t="shared" si="3"/>
        <v>2013</v>
      </c>
      <c r="F3" t="s">
        <v>1087</v>
      </c>
      <c r="G3">
        <f>'App.2-FA Proposed REG Invest.'!C31</f>
        <v>2015</v>
      </c>
      <c r="H3">
        <f>'App.2-FA Proposed REG Invest.'!C63</f>
        <v>0</v>
      </c>
    </row>
    <row r="4" spans="1:8" x14ac:dyDescent="0.2">
      <c r="A4" t="str">
        <f>'LDC Info'!$E$14</f>
        <v>Greater Sudbury Hydro Inc.</v>
      </c>
      <c r="B4" t="str">
        <f t="shared" si="0"/>
        <v>EB-2019-0037</v>
      </c>
      <c r="C4">
        <f t="shared" si="1"/>
        <v>2020</v>
      </c>
      <c r="D4">
        <f t="shared" si="2"/>
        <v>2019</v>
      </c>
      <c r="E4">
        <f t="shared" si="3"/>
        <v>2013</v>
      </c>
      <c r="F4" t="s">
        <v>1086</v>
      </c>
      <c r="G4">
        <f>'App.2-FA Proposed REG Invest.'!C31</f>
        <v>2015</v>
      </c>
      <c r="H4">
        <f>'App.2-FA Proposed REG Invest.'!C64</f>
        <v>0</v>
      </c>
    </row>
    <row r="5" spans="1:8" x14ac:dyDescent="0.2">
      <c r="A5" t="str">
        <f>'LDC Info'!$E$14</f>
        <v>Greater Sudbury Hydro Inc.</v>
      </c>
      <c r="B5" t="str">
        <f t="shared" si="0"/>
        <v>EB-2019-0037</v>
      </c>
      <c r="C5">
        <f t="shared" si="1"/>
        <v>2020</v>
      </c>
      <c r="D5">
        <f t="shared" si="2"/>
        <v>2019</v>
      </c>
      <c r="E5">
        <f t="shared" si="3"/>
        <v>2013</v>
      </c>
      <c r="F5" t="s">
        <v>1085</v>
      </c>
      <c r="G5">
        <f>'App.2-FA Proposed REG Invest.'!D31</f>
        <v>2016</v>
      </c>
      <c r="H5">
        <f>'App.2-FA Proposed REG Invest.'!D62</f>
        <v>0</v>
      </c>
    </row>
    <row r="6" spans="1:8" x14ac:dyDescent="0.2">
      <c r="A6" t="str">
        <f>'LDC Info'!$E$14</f>
        <v>Greater Sudbury Hydro Inc.</v>
      </c>
      <c r="B6" t="str">
        <f t="shared" si="0"/>
        <v>EB-2019-0037</v>
      </c>
      <c r="C6">
        <f t="shared" si="1"/>
        <v>2020</v>
      </c>
      <c r="D6">
        <f t="shared" si="2"/>
        <v>2019</v>
      </c>
      <c r="E6">
        <f t="shared" si="3"/>
        <v>2013</v>
      </c>
      <c r="F6" t="s">
        <v>1087</v>
      </c>
      <c r="G6">
        <f>'App.2-FA Proposed REG Invest.'!D31</f>
        <v>2016</v>
      </c>
      <c r="H6">
        <f>'App.2-FA Proposed REG Invest.'!D63</f>
        <v>0</v>
      </c>
    </row>
    <row r="7" spans="1:8" x14ac:dyDescent="0.2">
      <c r="A7" t="str">
        <f>'LDC Info'!$E$14</f>
        <v>Greater Sudbury Hydro Inc.</v>
      </c>
      <c r="B7" t="str">
        <f t="shared" si="0"/>
        <v>EB-2019-0037</v>
      </c>
      <c r="C7">
        <f t="shared" si="1"/>
        <v>2020</v>
      </c>
      <c r="D7">
        <f t="shared" si="2"/>
        <v>2019</v>
      </c>
      <c r="E7">
        <f t="shared" si="3"/>
        <v>2013</v>
      </c>
      <c r="F7" t="s">
        <v>1086</v>
      </c>
      <c r="G7">
        <f>'App.2-FA Proposed REG Invest.'!D31</f>
        <v>2016</v>
      </c>
      <c r="H7">
        <f>'App.2-FA Proposed REG Invest.'!D64</f>
        <v>0</v>
      </c>
    </row>
    <row r="8" spans="1:8" x14ac:dyDescent="0.2">
      <c r="A8" t="str">
        <f>'LDC Info'!$E$14</f>
        <v>Greater Sudbury Hydro Inc.</v>
      </c>
      <c r="B8" t="str">
        <f t="shared" si="0"/>
        <v>EB-2019-0037</v>
      </c>
      <c r="C8">
        <f t="shared" si="1"/>
        <v>2020</v>
      </c>
      <c r="D8">
        <f t="shared" si="2"/>
        <v>2019</v>
      </c>
      <c r="E8">
        <f t="shared" si="3"/>
        <v>2013</v>
      </c>
      <c r="F8" t="s">
        <v>1085</v>
      </c>
      <c r="G8">
        <f>'App.2-FA Proposed REG Invest.'!E31</f>
        <v>2017</v>
      </c>
      <c r="H8">
        <f>'App.2-FA Proposed REG Invest.'!E62</f>
        <v>0</v>
      </c>
    </row>
    <row r="9" spans="1:8" x14ac:dyDescent="0.2">
      <c r="A9" t="str">
        <f>'LDC Info'!$E$14</f>
        <v>Greater Sudbury Hydro Inc.</v>
      </c>
      <c r="B9" t="str">
        <f t="shared" si="0"/>
        <v>EB-2019-0037</v>
      </c>
      <c r="C9">
        <f t="shared" si="1"/>
        <v>2020</v>
      </c>
      <c r="D9">
        <f t="shared" si="2"/>
        <v>2019</v>
      </c>
      <c r="E9">
        <f t="shared" si="3"/>
        <v>2013</v>
      </c>
      <c r="F9" t="s">
        <v>1087</v>
      </c>
      <c r="G9">
        <f>'App.2-FA Proposed REG Invest.'!E31</f>
        <v>2017</v>
      </c>
      <c r="H9">
        <f>'App.2-FA Proposed REG Invest.'!E63</f>
        <v>0</v>
      </c>
    </row>
    <row r="10" spans="1:8" x14ac:dyDescent="0.2">
      <c r="A10" t="str">
        <f>'LDC Info'!$E$14</f>
        <v>Greater Sudbury Hydro Inc.</v>
      </c>
      <c r="B10" t="str">
        <f t="shared" si="0"/>
        <v>EB-2019-0037</v>
      </c>
      <c r="C10">
        <f t="shared" si="1"/>
        <v>2020</v>
      </c>
      <c r="D10">
        <f t="shared" si="2"/>
        <v>2019</v>
      </c>
      <c r="E10">
        <f t="shared" si="3"/>
        <v>2013</v>
      </c>
      <c r="F10" t="s">
        <v>1086</v>
      </c>
      <c r="G10">
        <f>'App.2-FA Proposed REG Invest.'!E31</f>
        <v>2017</v>
      </c>
      <c r="H10">
        <f>'App.2-FA Proposed REG Invest.'!E64</f>
        <v>0</v>
      </c>
    </row>
    <row r="11" spans="1:8" x14ac:dyDescent="0.2">
      <c r="A11" t="str">
        <f>'LDC Info'!$E$14</f>
        <v>Greater Sudbury Hydro Inc.</v>
      </c>
      <c r="B11" t="str">
        <f t="shared" si="0"/>
        <v>EB-2019-0037</v>
      </c>
      <c r="C11">
        <f t="shared" si="1"/>
        <v>2020</v>
      </c>
      <c r="D11">
        <f t="shared" si="2"/>
        <v>2019</v>
      </c>
      <c r="E11">
        <f t="shared" si="3"/>
        <v>2013</v>
      </c>
      <c r="F11" t="s">
        <v>1085</v>
      </c>
      <c r="G11">
        <f>'App.2-FA Proposed REG Invest.'!F31</f>
        <v>2018</v>
      </c>
      <c r="H11">
        <f>'App.2-FA Proposed REG Invest.'!F62</f>
        <v>0</v>
      </c>
    </row>
    <row r="12" spans="1:8" x14ac:dyDescent="0.2">
      <c r="A12" t="str">
        <f>'LDC Info'!$E$14</f>
        <v>Greater Sudbury Hydro Inc.</v>
      </c>
      <c r="B12" t="str">
        <f t="shared" si="0"/>
        <v>EB-2019-0037</v>
      </c>
      <c r="C12">
        <f t="shared" si="1"/>
        <v>2020</v>
      </c>
      <c r="D12">
        <f t="shared" si="2"/>
        <v>2019</v>
      </c>
      <c r="E12">
        <f t="shared" si="3"/>
        <v>2013</v>
      </c>
      <c r="F12" t="s">
        <v>1087</v>
      </c>
      <c r="G12">
        <f>'App.2-FA Proposed REG Invest.'!F31</f>
        <v>2018</v>
      </c>
      <c r="H12">
        <f>'App.2-FA Proposed REG Invest.'!F63</f>
        <v>0</v>
      </c>
    </row>
    <row r="13" spans="1:8" x14ac:dyDescent="0.2">
      <c r="A13" t="str">
        <f>'LDC Info'!$E$14</f>
        <v>Greater Sudbury Hydro Inc.</v>
      </c>
      <c r="B13" t="str">
        <f t="shared" si="0"/>
        <v>EB-2019-0037</v>
      </c>
      <c r="C13">
        <f t="shared" si="1"/>
        <v>2020</v>
      </c>
      <c r="D13">
        <f t="shared" si="2"/>
        <v>2019</v>
      </c>
      <c r="E13">
        <f t="shared" si="3"/>
        <v>2013</v>
      </c>
      <c r="F13" t="s">
        <v>1086</v>
      </c>
      <c r="G13">
        <f>'App.2-FA Proposed REG Invest.'!F31</f>
        <v>2018</v>
      </c>
      <c r="H13">
        <f>'App.2-FA Proposed REG Invest.'!F64</f>
        <v>0</v>
      </c>
    </row>
    <row r="14" spans="1:8" x14ac:dyDescent="0.2">
      <c r="A14" t="str">
        <f>'LDC Info'!$E$14</f>
        <v>Greater Sudbury Hydro Inc.</v>
      </c>
      <c r="B14" t="str">
        <f t="shared" si="0"/>
        <v>EB-2019-0037</v>
      </c>
      <c r="C14">
        <f t="shared" si="1"/>
        <v>2020</v>
      </c>
      <c r="D14">
        <f t="shared" si="2"/>
        <v>2019</v>
      </c>
      <c r="E14">
        <f t="shared" si="3"/>
        <v>2013</v>
      </c>
      <c r="F14" t="s">
        <v>1085</v>
      </c>
      <c r="G14">
        <f>'App.2-FA Proposed REG Invest.'!G31</f>
        <v>2019</v>
      </c>
      <c r="H14">
        <f>'App.2-FA Proposed REG Invest.'!G62</f>
        <v>0</v>
      </c>
    </row>
    <row r="15" spans="1:8" x14ac:dyDescent="0.2">
      <c r="A15" t="str">
        <f>'LDC Info'!$E$14</f>
        <v>Greater Sudbury Hydro Inc.</v>
      </c>
      <c r="B15" t="str">
        <f t="shared" si="0"/>
        <v>EB-2019-0037</v>
      </c>
      <c r="C15">
        <f t="shared" si="1"/>
        <v>2020</v>
      </c>
      <c r="D15">
        <f t="shared" si="2"/>
        <v>2019</v>
      </c>
      <c r="E15">
        <f t="shared" si="3"/>
        <v>2013</v>
      </c>
      <c r="F15" t="s">
        <v>1087</v>
      </c>
      <c r="G15">
        <f>'App.2-FA Proposed REG Invest.'!G31</f>
        <v>2019</v>
      </c>
      <c r="H15">
        <f>'App.2-FA Proposed REG Invest.'!G63</f>
        <v>0</v>
      </c>
    </row>
    <row r="16" spans="1:8" x14ac:dyDescent="0.2">
      <c r="A16" t="str">
        <f>'LDC Info'!$E$14</f>
        <v>Greater Sudbury Hydro Inc.</v>
      </c>
      <c r="B16" t="str">
        <f t="shared" si="0"/>
        <v>EB-2019-0037</v>
      </c>
      <c r="C16">
        <f t="shared" si="1"/>
        <v>2020</v>
      </c>
      <c r="D16">
        <f t="shared" si="2"/>
        <v>2019</v>
      </c>
      <c r="E16">
        <f t="shared" si="3"/>
        <v>2013</v>
      </c>
      <c r="F16" t="s">
        <v>1086</v>
      </c>
      <c r="G16">
        <f>'App.2-FA Proposed REG Invest.'!G31</f>
        <v>2019</v>
      </c>
      <c r="H16">
        <f>'App.2-FA Proposed REG Invest.'!G64</f>
        <v>0</v>
      </c>
    </row>
    <row r="17" spans="1:8" x14ac:dyDescent="0.2">
      <c r="A17" t="str">
        <f>'LDC Info'!$E$14</f>
        <v>Greater Sudbury Hydro Inc.</v>
      </c>
      <c r="B17" t="str">
        <f t="shared" si="0"/>
        <v>EB-2019-0037</v>
      </c>
      <c r="C17">
        <f t="shared" si="1"/>
        <v>2020</v>
      </c>
      <c r="D17">
        <f t="shared" si="2"/>
        <v>2019</v>
      </c>
      <c r="E17">
        <f t="shared" si="3"/>
        <v>2013</v>
      </c>
      <c r="F17" t="s">
        <v>1085</v>
      </c>
      <c r="G17">
        <f>'App.2-FA Proposed REG Invest.'!H31</f>
        <v>2020</v>
      </c>
      <c r="H17">
        <f>'App.2-FA Proposed REG Invest.'!H62</f>
        <v>0</v>
      </c>
    </row>
    <row r="18" spans="1:8" x14ac:dyDescent="0.2">
      <c r="A18" t="str">
        <f>'LDC Info'!$E$14</f>
        <v>Greater Sudbury Hydro Inc.</v>
      </c>
      <c r="B18" t="str">
        <f t="shared" si="0"/>
        <v>EB-2019-0037</v>
      </c>
      <c r="C18">
        <f t="shared" si="1"/>
        <v>2020</v>
      </c>
      <c r="D18">
        <f t="shared" si="2"/>
        <v>2019</v>
      </c>
      <c r="E18">
        <f t="shared" si="3"/>
        <v>2013</v>
      </c>
      <c r="F18" t="s">
        <v>1087</v>
      </c>
      <c r="G18">
        <f>'App.2-FA Proposed REG Invest.'!H31</f>
        <v>2020</v>
      </c>
      <c r="H18">
        <f>'App.2-FA Proposed REG Invest.'!H63</f>
        <v>0</v>
      </c>
    </row>
    <row r="19" spans="1:8" x14ac:dyDescent="0.2">
      <c r="A19" t="str">
        <f>'LDC Info'!$E$14</f>
        <v>Greater Sudbury Hydro Inc.</v>
      </c>
      <c r="B19" t="str">
        <f t="shared" si="0"/>
        <v>EB-2019-0037</v>
      </c>
      <c r="C19">
        <f t="shared" si="1"/>
        <v>2020</v>
      </c>
      <c r="D19">
        <f t="shared" si="2"/>
        <v>2019</v>
      </c>
      <c r="E19">
        <f t="shared" si="3"/>
        <v>2013</v>
      </c>
      <c r="F19" t="s">
        <v>1086</v>
      </c>
      <c r="G19">
        <f>'App.2-FA Proposed REG Invest.'!H31</f>
        <v>2020</v>
      </c>
      <c r="H19">
        <f>'App.2-FA Proposed REG Invest.'!H64</f>
        <v>0</v>
      </c>
    </row>
    <row r="20" spans="1:8" x14ac:dyDescent="0.2">
      <c r="A20" t="str">
        <f>'LDC Info'!$E$14</f>
        <v>Greater Sudbury Hydro Inc.</v>
      </c>
      <c r="B20" t="str">
        <f t="shared" si="0"/>
        <v>EB-2019-0037</v>
      </c>
      <c r="C20">
        <f t="shared" si="1"/>
        <v>2020</v>
      </c>
      <c r="D20">
        <f t="shared" si="2"/>
        <v>2019</v>
      </c>
      <c r="E20">
        <f t="shared" si="3"/>
        <v>2013</v>
      </c>
      <c r="F20" t="s">
        <v>1085</v>
      </c>
      <c r="G20">
        <f>'App.2-FA Proposed REG Invest.'!I31</f>
        <v>2021</v>
      </c>
      <c r="H20">
        <f>'App.2-FA Proposed REG Invest.'!I62</f>
        <v>0</v>
      </c>
    </row>
    <row r="21" spans="1:8" x14ac:dyDescent="0.2">
      <c r="A21" t="str">
        <f>'LDC Info'!$E$14</f>
        <v>Greater Sudbury Hydro Inc.</v>
      </c>
      <c r="B21" t="str">
        <f t="shared" si="0"/>
        <v>EB-2019-0037</v>
      </c>
      <c r="C21">
        <f t="shared" si="1"/>
        <v>2020</v>
      </c>
      <c r="D21">
        <f t="shared" si="2"/>
        <v>2019</v>
      </c>
      <c r="E21">
        <f t="shared" si="3"/>
        <v>2013</v>
      </c>
      <c r="F21" t="s">
        <v>1087</v>
      </c>
      <c r="G21">
        <f>'App.2-FA Proposed REG Invest.'!I31</f>
        <v>2021</v>
      </c>
      <c r="H21">
        <f>'App.2-FA Proposed REG Invest.'!I63</f>
        <v>0</v>
      </c>
    </row>
    <row r="22" spans="1:8" x14ac:dyDescent="0.2">
      <c r="A22" t="str">
        <f>'LDC Info'!$E$14</f>
        <v>Greater Sudbury Hydro Inc.</v>
      </c>
      <c r="B22" t="str">
        <f t="shared" si="0"/>
        <v>EB-2019-0037</v>
      </c>
      <c r="C22">
        <f t="shared" si="1"/>
        <v>2020</v>
      </c>
      <c r="D22">
        <f t="shared" si="2"/>
        <v>2019</v>
      </c>
      <c r="E22">
        <f t="shared" si="3"/>
        <v>2013</v>
      </c>
      <c r="F22" t="s">
        <v>1086</v>
      </c>
      <c r="G22">
        <f>'App.2-FA Proposed REG Invest.'!I31</f>
        <v>2021</v>
      </c>
      <c r="H22">
        <f>'App.2-FA Proposed REG Invest.'!I64</f>
        <v>0</v>
      </c>
    </row>
    <row r="23" spans="1:8" x14ac:dyDescent="0.2">
      <c r="A23" t="str">
        <f>'LDC Info'!$E$14</f>
        <v>Greater Sudbury Hydro Inc.</v>
      </c>
      <c r="B23" t="str">
        <f t="shared" si="0"/>
        <v>EB-2019-0037</v>
      </c>
      <c r="C23">
        <f t="shared" si="1"/>
        <v>2020</v>
      </c>
      <c r="D23">
        <f t="shared" si="2"/>
        <v>2019</v>
      </c>
      <c r="E23">
        <f t="shared" si="3"/>
        <v>2013</v>
      </c>
      <c r="F23" t="s">
        <v>1085</v>
      </c>
      <c r="G23">
        <f>'App.2-FA Proposed REG Invest.'!J31</f>
        <v>2022</v>
      </c>
      <c r="H23">
        <f>'App.2-FA Proposed REG Invest.'!J62</f>
        <v>0</v>
      </c>
    </row>
    <row r="24" spans="1:8" x14ac:dyDescent="0.2">
      <c r="A24" t="str">
        <f>'LDC Info'!$E$14</f>
        <v>Greater Sudbury Hydro Inc.</v>
      </c>
      <c r="B24" t="str">
        <f t="shared" si="0"/>
        <v>EB-2019-0037</v>
      </c>
      <c r="C24">
        <f t="shared" si="1"/>
        <v>2020</v>
      </c>
      <c r="D24">
        <f t="shared" si="2"/>
        <v>2019</v>
      </c>
      <c r="E24">
        <f t="shared" si="3"/>
        <v>2013</v>
      </c>
      <c r="F24" t="s">
        <v>1087</v>
      </c>
      <c r="G24">
        <f>'App.2-FA Proposed REG Invest.'!J31</f>
        <v>2022</v>
      </c>
      <c r="H24">
        <f>'App.2-FA Proposed REG Invest.'!J63</f>
        <v>0</v>
      </c>
    </row>
    <row r="25" spans="1:8" x14ac:dyDescent="0.2">
      <c r="A25" t="str">
        <f>'LDC Info'!$E$14</f>
        <v>Greater Sudbury Hydro Inc.</v>
      </c>
      <c r="B25" t="str">
        <f t="shared" si="0"/>
        <v>EB-2019-0037</v>
      </c>
      <c r="C25">
        <f t="shared" si="1"/>
        <v>2020</v>
      </c>
      <c r="D25">
        <f t="shared" si="2"/>
        <v>2019</v>
      </c>
      <c r="E25">
        <f t="shared" si="3"/>
        <v>2013</v>
      </c>
      <c r="F25" t="s">
        <v>1086</v>
      </c>
      <c r="G25">
        <f>'App.2-FA Proposed REG Invest.'!J31</f>
        <v>2022</v>
      </c>
      <c r="H25">
        <f>'App.2-FA Proposed REG Invest.'!J64</f>
        <v>0</v>
      </c>
    </row>
    <row r="26" spans="1:8" x14ac:dyDescent="0.2">
      <c r="A26" t="str">
        <f>'LDC Info'!$E$14</f>
        <v>Greater Sudbury Hydro Inc.</v>
      </c>
      <c r="B26" t="str">
        <f t="shared" si="0"/>
        <v>EB-2019-0037</v>
      </c>
      <c r="C26">
        <f t="shared" si="1"/>
        <v>2020</v>
      </c>
      <c r="D26">
        <f t="shared" si="2"/>
        <v>2019</v>
      </c>
      <c r="E26">
        <f t="shared" si="3"/>
        <v>2013</v>
      </c>
      <c r="F26" t="s">
        <v>1085</v>
      </c>
      <c r="G26">
        <f>'App.2-FA Proposed REG Invest.'!K31</f>
        <v>2023</v>
      </c>
      <c r="H26">
        <f>'App.2-FA Proposed REG Invest.'!K62</f>
        <v>0</v>
      </c>
    </row>
    <row r="27" spans="1:8" x14ac:dyDescent="0.2">
      <c r="A27" t="str">
        <f>'LDC Info'!$E$14</f>
        <v>Greater Sudbury Hydro Inc.</v>
      </c>
      <c r="B27" t="str">
        <f t="shared" si="0"/>
        <v>EB-2019-0037</v>
      </c>
      <c r="C27">
        <f t="shared" si="1"/>
        <v>2020</v>
      </c>
      <c r="D27">
        <f t="shared" si="2"/>
        <v>2019</v>
      </c>
      <c r="E27">
        <f t="shared" si="3"/>
        <v>2013</v>
      </c>
      <c r="F27" t="s">
        <v>1087</v>
      </c>
      <c r="G27">
        <f>'App.2-FA Proposed REG Invest.'!K31</f>
        <v>2023</v>
      </c>
      <c r="H27">
        <f>'App.2-FA Proposed REG Invest.'!K63</f>
        <v>0</v>
      </c>
    </row>
    <row r="28" spans="1:8" x14ac:dyDescent="0.2">
      <c r="A28" t="str">
        <f>'LDC Info'!$E$14</f>
        <v>Greater Sudbury Hydro Inc.</v>
      </c>
      <c r="B28" t="str">
        <f t="shared" si="0"/>
        <v>EB-2019-0037</v>
      </c>
      <c r="C28">
        <f t="shared" si="1"/>
        <v>2020</v>
      </c>
      <c r="D28">
        <f t="shared" si="2"/>
        <v>2019</v>
      </c>
      <c r="E28">
        <f t="shared" si="3"/>
        <v>2013</v>
      </c>
      <c r="F28" t="s">
        <v>1086</v>
      </c>
      <c r="G28">
        <f>'App.2-FA Proposed REG Invest.'!K31</f>
        <v>2023</v>
      </c>
      <c r="H28">
        <f>'App.2-FA Proposed REG Invest.'!K64</f>
        <v>0</v>
      </c>
    </row>
    <row r="29" spans="1:8" x14ac:dyDescent="0.2">
      <c r="A29" t="str">
        <f>'LDC Info'!$E$14</f>
        <v>Greater Sudbury Hydro Inc.</v>
      </c>
      <c r="B29" t="str">
        <f t="shared" si="0"/>
        <v>EB-2019-0037</v>
      </c>
      <c r="C29">
        <f t="shared" si="1"/>
        <v>2020</v>
      </c>
      <c r="D29">
        <f t="shared" si="2"/>
        <v>2019</v>
      </c>
      <c r="E29">
        <f t="shared" si="3"/>
        <v>2013</v>
      </c>
      <c r="F29" t="s">
        <v>1085</v>
      </c>
      <c r="G29">
        <f>'App.2-FA Proposed REG Invest.'!L31</f>
        <v>2024</v>
      </c>
      <c r="H29">
        <f>'App.2-FA Proposed REG Invest.'!L62</f>
        <v>0</v>
      </c>
    </row>
    <row r="30" spans="1:8" x14ac:dyDescent="0.2">
      <c r="A30" t="str">
        <f>'LDC Info'!$E$14</f>
        <v>Greater Sudbury Hydro Inc.</v>
      </c>
      <c r="B30" t="str">
        <f t="shared" si="0"/>
        <v>EB-2019-0037</v>
      </c>
      <c r="C30">
        <f t="shared" si="1"/>
        <v>2020</v>
      </c>
      <c r="D30">
        <f t="shared" si="2"/>
        <v>2019</v>
      </c>
      <c r="E30">
        <f t="shared" si="3"/>
        <v>2013</v>
      </c>
      <c r="F30" t="s">
        <v>1087</v>
      </c>
      <c r="G30">
        <f>'App.2-FA Proposed REG Invest.'!L31</f>
        <v>2024</v>
      </c>
      <c r="H30">
        <f>'App.2-FA Proposed REG Invest.'!L63</f>
        <v>0</v>
      </c>
    </row>
    <row r="31" spans="1:8" x14ac:dyDescent="0.2">
      <c r="A31" t="str">
        <f>'LDC Info'!$E$14</f>
        <v>Greater Sudbury Hydro Inc.</v>
      </c>
      <c r="B31" t="str">
        <f t="shared" si="0"/>
        <v>EB-2019-0037</v>
      </c>
      <c r="C31">
        <f t="shared" si="1"/>
        <v>2020</v>
      </c>
      <c r="D31">
        <f t="shared" si="2"/>
        <v>2019</v>
      </c>
      <c r="E31">
        <f t="shared" si="3"/>
        <v>2013</v>
      </c>
      <c r="F31" t="s">
        <v>1086</v>
      </c>
      <c r="G31">
        <f>'App.2-FA Proposed REG Invest.'!L31</f>
        <v>2024</v>
      </c>
      <c r="H31">
        <f>'App.2-FA Proposed REG Invest.'!L64</f>
        <v>0</v>
      </c>
    </row>
    <row r="32" spans="1:8" x14ac:dyDescent="0.2">
      <c r="A32" t="str">
        <f>'LDC Info'!$E$14</f>
        <v>Greater Sudbury Hydro Inc.</v>
      </c>
      <c r="B32" t="str">
        <f t="shared" si="0"/>
        <v>EB-2019-0037</v>
      </c>
      <c r="C32">
        <f t="shared" si="1"/>
        <v>2020</v>
      </c>
      <c r="D32">
        <f t="shared" si="2"/>
        <v>2019</v>
      </c>
      <c r="E32">
        <f t="shared" si="3"/>
        <v>2013</v>
      </c>
      <c r="F32" t="s">
        <v>1088</v>
      </c>
      <c r="G32">
        <f>'App.2-FA Proposed REG Invest.'!C31</f>
        <v>2015</v>
      </c>
      <c r="H32">
        <f>'App.2-FA Proposed REG Invest.'!C99</f>
        <v>0</v>
      </c>
    </row>
    <row r="33" spans="1:8" x14ac:dyDescent="0.2">
      <c r="A33" t="str">
        <f>'LDC Info'!$E$14</f>
        <v>Greater Sudbury Hydro Inc.</v>
      </c>
      <c r="B33" t="str">
        <f t="shared" si="0"/>
        <v>EB-2019-0037</v>
      </c>
      <c r="C33">
        <f t="shared" si="1"/>
        <v>2020</v>
      </c>
      <c r="D33">
        <f t="shared" si="2"/>
        <v>2019</v>
      </c>
      <c r="E33">
        <f t="shared" si="3"/>
        <v>2013</v>
      </c>
      <c r="F33" t="s">
        <v>1089</v>
      </c>
      <c r="G33">
        <f>'App.2-FA Proposed REG Invest.'!C31</f>
        <v>2015</v>
      </c>
      <c r="H33">
        <f>'App.2-FA Proposed REG Invest.'!C100</f>
        <v>0</v>
      </c>
    </row>
    <row r="34" spans="1:8" x14ac:dyDescent="0.2">
      <c r="A34" t="str">
        <f>'LDC Info'!$E$14</f>
        <v>Greater Sudbury Hydro Inc.</v>
      </c>
      <c r="B34" t="str">
        <f t="shared" si="0"/>
        <v>EB-2019-0037</v>
      </c>
      <c r="C34">
        <f t="shared" si="1"/>
        <v>2020</v>
      </c>
      <c r="D34">
        <f t="shared" si="2"/>
        <v>2019</v>
      </c>
      <c r="E34">
        <f t="shared" si="3"/>
        <v>2013</v>
      </c>
      <c r="F34" t="s">
        <v>1090</v>
      </c>
      <c r="G34">
        <f>'App.2-FA Proposed REG Invest.'!C31</f>
        <v>2015</v>
      </c>
      <c r="H34">
        <f>'App.2-FA Proposed REG Invest.'!C101</f>
        <v>0</v>
      </c>
    </row>
    <row r="35" spans="1:8" x14ac:dyDescent="0.2">
      <c r="A35" t="str">
        <f>'LDC Info'!$E$14</f>
        <v>Greater Sudbury Hydro Inc.</v>
      </c>
      <c r="B35" t="str">
        <f t="shared" si="0"/>
        <v>EB-2019-0037</v>
      </c>
      <c r="C35">
        <f t="shared" si="1"/>
        <v>2020</v>
      </c>
      <c r="D35">
        <f t="shared" si="2"/>
        <v>2019</v>
      </c>
      <c r="E35">
        <f t="shared" si="3"/>
        <v>2013</v>
      </c>
      <c r="F35" t="s">
        <v>1088</v>
      </c>
      <c r="G35">
        <f>'App.2-FA Proposed REG Invest.'!D31</f>
        <v>2016</v>
      </c>
      <c r="H35">
        <f>'App.2-FA Proposed REG Invest.'!D99</f>
        <v>0</v>
      </c>
    </row>
    <row r="36" spans="1:8" x14ac:dyDescent="0.2">
      <c r="A36" t="str">
        <f>'LDC Info'!$E$14</f>
        <v>Greater Sudbury Hydro Inc.</v>
      </c>
      <c r="B36" t="str">
        <f t="shared" si="0"/>
        <v>EB-2019-0037</v>
      </c>
      <c r="C36">
        <f t="shared" si="1"/>
        <v>2020</v>
      </c>
      <c r="D36">
        <f t="shared" si="2"/>
        <v>2019</v>
      </c>
      <c r="E36">
        <f t="shared" si="3"/>
        <v>2013</v>
      </c>
      <c r="F36" t="s">
        <v>1089</v>
      </c>
      <c r="G36">
        <f>'App.2-FA Proposed REG Invest.'!D31</f>
        <v>2016</v>
      </c>
      <c r="H36">
        <f>'App.2-FA Proposed REG Invest.'!D100</f>
        <v>0</v>
      </c>
    </row>
    <row r="37" spans="1:8" x14ac:dyDescent="0.2">
      <c r="A37" t="str">
        <f>'LDC Info'!$E$14</f>
        <v>Greater Sudbury Hydro Inc.</v>
      </c>
      <c r="B37" t="str">
        <f t="shared" si="0"/>
        <v>EB-2019-0037</v>
      </c>
      <c r="C37">
        <f t="shared" si="1"/>
        <v>2020</v>
      </c>
      <c r="D37">
        <f t="shared" si="2"/>
        <v>2019</v>
      </c>
      <c r="E37">
        <f t="shared" si="3"/>
        <v>2013</v>
      </c>
      <c r="F37" t="s">
        <v>1090</v>
      </c>
      <c r="G37">
        <f>'App.2-FA Proposed REG Invest.'!D31</f>
        <v>2016</v>
      </c>
      <c r="H37">
        <f>'App.2-FA Proposed REG Invest.'!D101</f>
        <v>0</v>
      </c>
    </row>
    <row r="38" spans="1:8" x14ac:dyDescent="0.2">
      <c r="A38" t="str">
        <f>'LDC Info'!$E$14</f>
        <v>Greater Sudbury Hydro Inc.</v>
      </c>
      <c r="B38" t="str">
        <f t="shared" si="0"/>
        <v>EB-2019-0037</v>
      </c>
      <c r="C38">
        <f t="shared" si="1"/>
        <v>2020</v>
      </c>
      <c r="D38">
        <f t="shared" si="2"/>
        <v>2019</v>
      </c>
      <c r="E38">
        <f t="shared" si="3"/>
        <v>2013</v>
      </c>
      <c r="F38" t="s">
        <v>1088</v>
      </c>
      <c r="G38">
        <f>'App.2-FA Proposed REG Invest.'!E31</f>
        <v>2017</v>
      </c>
      <c r="H38">
        <f>'App.2-FA Proposed REG Invest.'!E99</f>
        <v>0</v>
      </c>
    </row>
    <row r="39" spans="1:8" x14ac:dyDescent="0.2">
      <c r="A39" t="str">
        <f>'LDC Info'!$E$14</f>
        <v>Greater Sudbury Hydro Inc.</v>
      </c>
      <c r="B39" t="str">
        <f t="shared" si="0"/>
        <v>EB-2019-0037</v>
      </c>
      <c r="C39">
        <f t="shared" si="1"/>
        <v>2020</v>
      </c>
      <c r="D39">
        <f t="shared" si="2"/>
        <v>2019</v>
      </c>
      <c r="E39">
        <f t="shared" si="3"/>
        <v>2013</v>
      </c>
      <c r="F39" t="s">
        <v>1089</v>
      </c>
      <c r="G39">
        <f>'App.2-FA Proposed REG Invest.'!E31</f>
        <v>2017</v>
      </c>
      <c r="H39">
        <f>'App.2-FA Proposed REG Invest.'!E100</f>
        <v>0</v>
      </c>
    </row>
    <row r="40" spans="1:8" x14ac:dyDescent="0.2">
      <c r="A40" t="str">
        <f>'LDC Info'!$E$14</f>
        <v>Greater Sudbury Hydro Inc.</v>
      </c>
      <c r="B40" t="str">
        <f t="shared" si="0"/>
        <v>EB-2019-0037</v>
      </c>
      <c r="C40">
        <f t="shared" si="1"/>
        <v>2020</v>
      </c>
      <c r="D40">
        <f t="shared" si="2"/>
        <v>2019</v>
      </c>
      <c r="E40">
        <f t="shared" si="3"/>
        <v>2013</v>
      </c>
      <c r="F40" t="s">
        <v>1090</v>
      </c>
      <c r="G40">
        <f>'App.2-FA Proposed REG Invest.'!E31</f>
        <v>2017</v>
      </c>
      <c r="H40">
        <f>'App.2-FA Proposed REG Invest.'!E101</f>
        <v>0</v>
      </c>
    </row>
    <row r="41" spans="1:8" x14ac:dyDescent="0.2">
      <c r="A41" t="str">
        <f>'LDC Info'!$E$14</f>
        <v>Greater Sudbury Hydro Inc.</v>
      </c>
      <c r="B41" t="str">
        <f t="shared" si="0"/>
        <v>EB-2019-0037</v>
      </c>
      <c r="C41">
        <f t="shared" si="1"/>
        <v>2020</v>
      </c>
      <c r="D41">
        <f t="shared" si="2"/>
        <v>2019</v>
      </c>
      <c r="E41">
        <f t="shared" si="3"/>
        <v>2013</v>
      </c>
      <c r="F41" t="s">
        <v>1088</v>
      </c>
      <c r="G41">
        <f>'App.2-FA Proposed REG Invest.'!F31</f>
        <v>2018</v>
      </c>
      <c r="H41">
        <f>'App.2-FA Proposed REG Invest.'!F99</f>
        <v>0</v>
      </c>
    </row>
    <row r="42" spans="1:8" x14ac:dyDescent="0.2">
      <c r="A42" t="str">
        <f>'LDC Info'!$E$14</f>
        <v>Greater Sudbury Hydro Inc.</v>
      </c>
      <c r="B42" t="str">
        <f t="shared" si="0"/>
        <v>EB-2019-0037</v>
      </c>
      <c r="C42">
        <f t="shared" si="1"/>
        <v>2020</v>
      </c>
      <c r="D42">
        <f t="shared" si="2"/>
        <v>2019</v>
      </c>
      <c r="E42">
        <f t="shared" si="3"/>
        <v>2013</v>
      </c>
      <c r="F42" t="s">
        <v>1089</v>
      </c>
      <c r="G42">
        <f>'App.2-FA Proposed REG Invest.'!F31</f>
        <v>2018</v>
      </c>
      <c r="H42">
        <f>'App.2-FA Proposed REG Invest.'!F100</f>
        <v>0</v>
      </c>
    </row>
    <row r="43" spans="1:8" x14ac:dyDescent="0.2">
      <c r="A43" t="str">
        <f>'LDC Info'!$E$14</f>
        <v>Greater Sudbury Hydro Inc.</v>
      </c>
      <c r="B43" t="str">
        <f t="shared" si="0"/>
        <v>EB-2019-0037</v>
      </c>
      <c r="C43">
        <f t="shared" si="1"/>
        <v>2020</v>
      </c>
      <c r="D43">
        <f t="shared" si="2"/>
        <v>2019</v>
      </c>
      <c r="E43">
        <f t="shared" si="3"/>
        <v>2013</v>
      </c>
      <c r="F43" t="s">
        <v>1090</v>
      </c>
      <c r="G43">
        <f>'App.2-FA Proposed REG Invest.'!F31</f>
        <v>2018</v>
      </c>
      <c r="H43">
        <f>'App.2-FA Proposed REG Invest.'!F101</f>
        <v>0</v>
      </c>
    </row>
    <row r="44" spans="1:8" x14ac:dyDescent="0.2">
      <c r="A44" t="str">
        <f>'LDC Info'!$E$14</f>
        <v>Greater Sudbury Hydro Inc.</v>
      </c>
      <c r="B44" t="str">
        <f t="shared" si="0"/>
        <v>EB-2019-0037</v>
      </c>
      <c r="C44">
        <f t="shared" si="1"/>
        <v>2020</v>
      </c>
      <c r="D44">
        <f t="shared" si="2"/>
        <v>2019</v>
      </c>
      <c r="E44">
        <f t="shared" si="3"/>
        <v>2013</v>
      </c>
      <c r="F44" t="s">
        <v>1088</v>
      </c>
      <c r="G44">
        <f>'App.2-FA Proposed REG Invest.'!G31</f>
        <v>2019</v>
      </c>
      <c r="H44">
        <f>'App.2-FA Proposed REG Invest.'!G99</f>
        <v>0</v>
      </c>
    </row>
    <row r="45" spans="1:8" x14ac:dyDescent="0.2">
      <c r="A45" t="str">
        <f>'LDC Info'!$E$14</f>
        <v>Greater Sudbury Hydro Inc.</v>
      </c>
      <c r="B45" t="str">
        <f t="shared" si="0"/>
        <v>EB-2019-0037</v>
      </c>
      <c r="C45">
        <f t="shared" si="1"/>
        <v>2020</v>
      </c>
      <c r="D45">
        <f t="shared" si="2"/>
        <v>2019</v>
      </c>
      <c r="E45">
        <f t="shared" si="3"/>
        <v>2013</v>
      </c>
      <c r="F45" t="s">
        <v>1089</v>
      </c>
      <c r="G45">
        <f>'App.2-FA Proposed REG Invest.'!G31</f>
        <v>2019</v>
      </c>
      <c r="H45">
        <f>'App.2-FA Proposed REG Invest.'!G100</f>
        <v>0</v>
      </c>
    </row>
    <row r="46" spans="1:8" x14ac:dyDescent="0.2">
      <c r="A46" t="str">
        <f>'LDC Info'!$E$14</f>
        <v>Greater Sudbury Hydro Inc.</v>
      </c>
      <c r="B46" t="str">
        <f t="shared" si="0"/>
        <v>EB-2019-0037</v>
      </c>
      <c r="C46">
        <f t="shared" si="1"/>
        <v>2020</v>
      </c>
      <c r="D46">
        <f t="shared" si="2"/>
        <v>2019</v>
      </c>
      <c r="E46">
        <f t="shared" si="3"/>
        <v>2013</v>
      </c>
      <c r="F46" t="s">
        <v>1090</v>
      </c>
      <c r="G46">
        <f>'App.2-FA Proposed REG Invest.'!G31</f>
        <v>2019</v>
      </c>
      <c r="H46">
        <f>'App.2-FA Proposed REG Invest.'!G101</f>
        <v>0</v>
      </c>
    </row>
    <row r="47" spans="1:8" x14ac:dyDescent="0.2">
      <c r="A47" t="str">
        <f>'LDC Info'!$E$14</f>
        <v>Greater Sudbury Hydro Inc.</v>
      </c>
      <c r="B47" t="str">
        <f t="shared" si="0"/>
        <v>EB-2019-0037</v>
      </c>
      <c r="C47">
        <f t="shared" si="1"/>
        <v>2020</v>
      </c>
      <c r="D47">
        <f t="shared" si="2"/>
        <v>2019</v>
      </c>
      <c r="E47">
        <f t="shared" si="3"/>
        <v>2013</v>
      </c>
      <c r="F47" t="s">
        <v>1088</v>
      </c>
      <c r="G47">
        <f>'App.2-FA Proposed REG Invest.'!H31</f>
        <v>2020</v>
      </c>
      <c r="H47">
        <f>'App.2-FA Proposed REG Invest.'!H99</f>
        <v>0</v>
      </c>
    </row>
    <row r="48" spans="1:8" x14ac:dyDescent="0.2">
      <c r="A48" t="str">
        <f>'LDC Info'!$E$14</f>
        <v>Greater Sudbury Hydro Inc.</v>
      </c>
      <c r="B48" t="str">
        <f t="shared" si="0"/>
        <v>EB-2019-0037</v>
      </c>
      <c r="C48">
        <f t="shared" si="1"/>
        <v>2020</v>
      </c>
      <c r="D48">
        <f t="shared" si="2"/>
        <v>2019</v>
      </c>
      <c r="E48">
        <f t="shared" si="3"/>
        <v>2013</v>
      </c>
      <c r="F48" t="s">
        <v>1089</v>
      </c>
      <c r="G48">
        <f>'App.2-FA Proposed REG Invest.'!H31</f>
        <v>2020</v>
      </c>
      <c r="H48">
        <f>'App.2-FA Proposed REG Invest.'!H100</f>
        <v>0</v>
      </c>
    </row>
    <row r="49" spans="1:8" x14ac:dyDescent="0.2">
      <c r="A49" t="str">
        <f>'LDC Info'!$E$14</f>
        <v>Greater Sudbury Hydro Inc.</v>
      </c>
      <c r="B49" t="str">
        <f t="shared" si="0"/>
        <v>EB-2019-0037</v>
      </c>
      <c r="C49">
        <f t="shared" si="1"/>
        <v>2020</v>
      </c>
      <c r="D49">
        <f t="shared" si="2"/>
        <v>2019</v>
      </c>
      <c r="E49">
        <f t="shared" si="3"/>
        <v>2013</v>
      </c>
      <c r="F49" t="s">
        <v>1090</v>
      </c>
      <c r="G49">
        <f>'App.2-FA Proposed REG Invest.'!H31</f>
        <v>2020</v>
      </c>
      <c r="H49">
        <f>'App.2-FA Proposed REG Invest.'!H101</f>
        <v>0</v>
      </c>
    </row>
    <row r="50" spans="1:8" x14ac:dyDescent="0.2">
      <c r="A50" t="str">
        <f>'LDC Info'!$E$14</f>
        <v>Greater Sudbury Hydro Inc.</v>
      </c>
      <c r="B50" t="str">
        <f t="shared" si="0"/>
        <v>EB-2019-0037</v>
      </c>
      <c r="C50">
        <f t="shared" si="1"/>
        <v>2020</v>
      </c>
      <c r="D50">
        <f t="shared" si="2"/>
        <v>2019</v>
      </c>
      <c r="E50">
        <f t="shared" si="3"/>
        <v>2013</v>
      </c>
      <c r="F50" t="s">
        <v>1088</v>
      </c>
      <c r="G50">
        <f>'App.2-FA Proposed REG Invest.'!I31</f>
        <v>2021</v>
      </c>
      <c r="H50">
        <f>'App.2-FA Proposed REG Invest.'!I99</f>
        <v>0</v>
      </c>
    </row>
    <row r="51" spans="1:8" x14ac:dyDescent="0.2">
      <c r="A51" t="str">
        <f>'LDC Info'!$E$14</f>
        <v>Greater Sudbury Hydro Inc.</v>
      </c>
      <c r="B51" t="str">
        <f t="shared" si="0"/>
        <v>EB-2019-0037</v>
      </c>
      <c r="C51">
        <f t="shared" si="1"/>
        <v>2020</v>
      </c>
      <c r="D51">
        <f t="shared" si="2"/>
        <v>2019</v>
      </c>
      <c r="E51">
        <f t="shared" si="3"/>
        <v>2013</v>
      </c>
      <c r="F51" t="s">
        <v>1089</v>
      </c>
      <c r="G51">
        <f>'App.2-FA Proposed REG Invest.'!I31</f>
        <v>2021</v>
      </c>
      <c r="H51">
        <f>'App.2-FA Proposed REG Invest.'!I100</f>
        <v>0</v>
      </c>
    </row>
    <row r="52" spans="1:8" x14ac:dyDescent="0.2">
      <c r="A52" t="str">
        <f>'LDC Info'!$E$14</f>
        <v>Greater Sudbury Hydro Inc.</v>
      </c>
      <c r="B52" t="str">
        <f t="shared" si="0"/>
        <v>EB-2019-0037</v>
      </c>
      <c r="C52">
        <f t="shared" si="1"/>
        <v>2020</v>
      </c>
      <c r="D52">
        <f t="shared" si="2"/>
        <v>2019</v>
      </c>
      <c r="E52">
        <f t="shared" si="3"/>
        <v>2013</v>
      </c>
      <c r="F52" t="s">
        <v>1090</v>
      </c>
      <c r="G52">
        <f>'App.2-FA Proposed REG Invest.'!I31</f>
        <v>2021</v>
      </c>
      <c r="H52">
        <f>'App.2-FA Proposed REG Invest.'!I101</f>
        <v>0</v>
      </c>
    </row>
    <row r="53" spans="1:8" x14ac:dyDescent="0.2">
      <c r="A53" t="str">
        <f>'LDC Info'!$E$14</f>
        <v>Greater Sudbury Hydro Inc.</v>
      </c>
      <c r="B53" t="str">
        <f t="shared" si="0"/>
        <v>EB-2019-0037</v>
      </c>
      <c r="C53">
        <f t="shared" si="1"/>
        <v>2020</v>
      </c>
      <c r="D53">
        <f t="shared" si="2"/>
        <v>2019</v>
      </c>
      <c r="E53">
        <f t="shared" si="3"/>
        <v>2013</v>
      </c>
      <c r="F53" t="s">
        <v>1088</v>
      </c>
      <c r="G53">
        <f>'App.2-FA Proposed REG Invest.'!J31</f>
        <v>2022</v>
      </c>
      <c r="H53">
        <f>'App.2-FA Proposed REG Invest.'!J99</f>
        <v>0</v>
      </c>
    </row>
    <row r="54" spans="1:8" x14ac:dyDescent="0.2">
      <c r="A54" t="str">
        <f>'LDC Info'!$E$14</f>
        <v>Greater Sudbury Hydro Inc.</v>
      </c>
      <c r="B54" t="str">
        <f t="shared" si="0"/>
        <v>EB-2019-0037</v>
      </c>
      <c r="C54">
        <f t="shared" si="1"/>
        <v>2020</v>
      </c>
      <c r="D54">
        <f t="shared" si="2"/>
        <v>2019</v>
      </c>
      <c r="E54">
        <f t="shared" si="3"/>
        <v>2013</v>
      </c>
      <c r="F54" t="s">
        <v>1089</v>
      </c>
      <c r="G54">
        <f>'App.2-FA Proposed REG Invest.'!J31</f>
        <v>2022</v>
      </c>
      <c r="H54">
        <f>'App.2-FA Proposed REG Invest.'!J100</f>
        <v>0</v>
      </c>
    </row>
    <row r="55" spans="1:8" x14ac:dyDescent="0.2">
      <c r="A55" t="str">
        <f>'LDC Info'!$E$14</f>
        <v>Greater Sudbury Hydro Inc.</v>
      </c>
      <c r="B55" t="str">
        <f t="shared" si="0"/>
        <v>EB-2019-0037</v>
      </c>
      <c r="C55">
        <f t="shared" si="1"/>
        <v>2020</v>
      </c>
      <c r="D55">
        <f t="shared" si="2"/>
        <v>2019</v>
      </c>
      <c r="E55">
        <f t="shared" si="3"/>
        <v>2013</v>
      </c>
      <c r="F55" t="s">
        <v>1090</v>
      </c>
      <c r="G55">
        <f>'App.2-FA Proposed REG Invest.'!J31</f>
        <v>2022</v>
      </c>
      <c r="H55">
        <f>'App.2-FA Proposed REG Invest.'!J101</f>
        <v>0</v>
      </c>
    </row>
    <row r="56" spans="1:8" x14ac:dyDescent="0.2">
      <c r="A56" t="str">
        <f>'LDC Info'!$E$14</f>
        <v>Greater Sudbury Hydro Inc.</v>
      </c>
      <c r="B56" t="str">
        <f t="shared" si="0"/>
        <v>EB-2019-0037</v>
      </c>
      <c r="C56">
        <f t="shared" si="1"/>
        <v>2020</v>
      </c>
      <c r="D56">
        <f t="shared" si="2"/>
        <v>2019</v>
      </c>
      <c r="E56">
        <f t="shared" si="3"/>
        <v>2013</v>
      </c>
      <c r="F56" t="s">
        <v>1088</v>
      </c>
      <c r="G56">
        <f>'App.2-FA Proposed REG Invest.'!K31</f>
        <v>2023</v>
      </c>
      <c r="H56">
        <f>'App.2-FA Proposed REG Invest.'!K99</f>
        <v>0</v>
      </c>
    </row>
    <row r="57" spans="1:8" x14ac:dyDescent="0.2">
      <c r="A57" t="str">
        <f>'LDC Info'!$E$14</f>
        <v>Greater Sudbury Hydro Inc.</v>
      </c>
      <c r="B57" t="str">
        <f t="shared" si="0"/>
        <v>EB-2019-0037</v>
      </c>
      <c r="C57">
        <f t="shared" si="1"/>
        <v>2020</v>
      </c>
      <c r="D57">
        <f t="shared" si="2"/>
        <v>2019</v>
      </c>
      <c r="E57">
        <f t="shared" si="3"/>
        <v>2013</v>
      </c>
      <c r="F57" t="s">
        <v>1089</v>
      </c>
      <c r="G57">
        <f>'App.2-FA Proposed REG Invest.'!K31</f>
        <v>2023</v>
      </c>
      <c r="H57">
        <f>'App.2-FA Proposed REG Invest.'!K100</f>
        <v>0</v>
      </c>
    </row>
    <row r="58" spans="1:8" x14ac:dyDescent="0.2">
      <c r="A58" t="str">
        <f>'LDC Info'!$E$14</f>
        <v>Greater Sudbury Hydro Inc.</v>
      </c>
      <c r="B58" t="str">
        <f t="shared" si="0"/>
        <v>EB-2019-0037</v>
      </c>
      <c r="C58">
        <f t="shared" si="1"/>
        <v>2020</v>
      </c>
      <c r="D58">
        <f t="shared" si="2"/>
        <v>2019</v>
      </c>
      <c r="E58">
        <f t="shared" si="3"/>
        <v>2013</v>
      </c>
      <c r="F58" t="s">
        <v>1090</v>
      </c>
      <c r="G58">
        <f>'App.2-FA Proposed REG Invest.'!K31</f>
        <v>2023</v>
      </c>
      <c r="H58">
        <f>'App.2-FA Proposed REG Invest.'!K101</f>
        <v>0</v>
      </c>
    </row>
    <row r="59" spans="1:8" x14ac:dyDescent="0.2">
      <c r="A59" t="str">
        <f>'LDC Info'!$E$14</f>
        <v>Greater Sudbury Hydro Inc.</v>
      </c>
      <c r="B59" t="str">
        <f t="shared" si="0"/>
        <v>EB-2019-0037</v>
      </c>
      <c r="C59">
        <f t="shared" si="1"/>
        <v>2020</v>
      </c>
      <c r="D59">
        <f t="shared" si="2"/>
        <v>2019</v>
      </c>
      <c r="E59">
        <f t="shared" si="3"/>
        <v>2013</v>
      </c>
      <c r="F59" t="s">
        <v>1088</v>
      </c>
      <c r="G59">
        <f>'App.2-FA Proposed REG Invest.'!L31</f>
        <v>2024</v>
      </c>
      <c r="H59">
        <f>'App.2-FA Proposed REG Invest.'!L99</f>
        <v>0</v>
      </c>
    </row>
    <row r="60" spans="1:8" x14ac:dyDescent="0.2">
      <c r="A60" t="str">
        <f>'LDC Info'!$E$14</f>
        <v>Greater Sudbury Hydro Inc.</v>
      </c>
      <c r="B60" t="str">
        <f t="shared" si="0"/>
        <v>EB-2019-0037</v>
      </c>
      <c r="C60">
        <f t="shared" si="1"/>
        <v>2020</v>
      </c>
      <c r="D60">
        <f t="shared" si="2"/>
        <v>2019</v>
      </c>
      <c r="E60">
        <f t="shared" si="3"/>
        <v>2013</v>
      </c>
      <c r="F60" t="s">
        <v>1089</v>
      </c>
      <c r="G60">
        <f>'App.2-FA Proposed REG Invest.'!L31</f>
        <v>2024</v>
      </c>
      <c r="H60">
        <f>'App.2-FA Proposed REG Invest.'!L100</f>
        <v>0</v>
      </c>
    </row>
    <row r="61" spans="1:8" x14ac:dyDescent="0.2">
      <c r="A61" t="str">
        <f>'LDC Info'!$E$14</f>
        <v>Greater Sudbury Hydro Inc.</v>
      </c>
      <c r="B61" t="str">
        <f t="shared" si="0"/>
        <v>EB-2019-0037</v>
      </c>
      <c r="C61">
        <f t="shared" si="1"/>
        <v>2020</v>
      </c>
      <c r="D61">
        <f t="shared" si="2"/>
        <v>2019</v>
      </c>
      <c r="E61">
        <f t="shared" si="3"/>
        <v>2013</v>
      </c>
      <c r="F61" t="s">
        <v>1090</v>
      </c>
      <c r="G61">
        <f>'App.2-FA Proposed REG Invest.'!L31</f>
        <v>2024</v>
      </c>
      <c r="H61">
        <f>'App.2-FA Proposed REG Invest.'!L101</f>
        <v>0</v>
      </c>
    </row>
  </sheetData>
  <sheetProtection algorithmName="SHA-512" hashValue="3MrXsIO1jEdsrVxq/VyxX4CLmM2ST6FlLsU6LSCIZatyfGkyCnvhusj8hu6JPOb/vdjIbQlwX5BVU1lvlRnmnw==" saltValue="lD1Qp9XUE0FI3bzszuad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U56"/>
  <sheetViews>
    <sheetView showGridLines="0" topLeftCell="A4" zoomScaleNormal="100" workbookViewId="0">
      <selection activeCell="C27" sqref="C27"/>
    </sheetView>
  </sheetViews>
  <sheetFormatPr defaultRowHeight="12.75" x14ac:dyDescent="0.2"/>
  <cols>
    <col min="2" max="2" width="97.28515625" customWidth="1"/>
    <col min="3" max="3" width="65.140625" customWidth="1"/>
    <col min="4" max="5" width="3" customWidth="1"/>
    <col min="6" max="6" width="53" customWidth="1"/>
    <col min="13" max="13" width="33.42578125" bestFit="1" customWidth="1"/>
    <col min="15" max="15" width="121.42578125" bestFit="1" customWidth="1"/>
  </cols>
  <sheetData>
    <row r="1" spans="1:21" x14ac:dyDescent="0.2">
      <c r="M1" s="20"/>
      <c r="O1" s="36"/>
      <c r="U1" s="20"/>
    </row>
    <row r="2" spans="1:21" x14ac:dyDescent="0.2">
      <c r="M2" s="36"/>
      <c r="O2" s="36"/>
    </row>
    <row r="3" spans="1:21" x14ac:dyDescent="0.2">
      <c r="M3" s="20"/>
      <c r="O3" s="36"/>
    </row>
    <row r="4" spans="1:21" x14ac:dyDescent="0.2">
      <c r="M4" s="20"/>
      <c r="O4" s="36"/>
    </row>
    <row r="5" spans="1:21" x14ac:dyDescent="0.2">
      <c r="M5" s="20"/>
      <c r="O5" s="36"/>
    </row>
    <row r="6" spans="1:21" x14ac:dyDescent="0.2">
      <c r="M6" s="20"/>
      <c r="O6" s="36"/>
    </row>
    <row r="7" spans="1:21" ht="18" x14ac:dyDescent="0.25">
      <c r="C7" s="11"/>
      <c r="M7" s="20"/>
      <c r="O7" s="36"/>
    </row>
    <row r="8" spans="1:21" x14ac:dyDescent="0.2">
      <c r="C8" s="7"/>
      <c r="M8" s="20"/>
      <c r="O8" s="36"/>
    </row>
    <row r="9" spans="1:21" x14ac:dyDescent="0.2">
      <c r="C9" s="8"/>
      <c r="M9" s="20"/>
      <c r="O9" s="36"/>
    </row>
    <row r="10" spans="1:21" x14ac:dyDescent="0.2">
      <c r="C10" s="8"/>
      <c r="M10" s="20"/>
      <c r="O10" s="36"/>
    </row>
    <row r="11" spans="1:21" x14ac:dyDescent="0.2">
      <c r="C11" s="8"/>
      <c r="M11" s="20"/>
      <c r="O11" s="37"/>
    </row>
    <row r="12" spans="1:21" x14ac:dyDescent="0.2">
      <c r="C12" s="8"/>
      <c r="M12" s="20"/>
      <c r="O12" s="37"/>
    </row>
    <row r="13" spans="1:21" ht="15" customHeight="1" x14ac:dyDescent="0.2">
      <c r="A13" s="16"/>
      <c r="C13" s="8"/>
      <c r="M13" s="20"/>
      <c r="O13" s="37"/>
    </row>
    <row r="14" spans="1:21" x14ac:dyDescent="0.2">
      <c r="C14" s="3"/>
      <c r="M14" s="20"/>
      <c r="O14" s="37"/>
    </row>
    <row r="15" spans="1:21" x14ac:dyDescent="0.2">
      <c r="A15" s="19">
        <v>1</v>
      </c>
      <c r="B15" s="36" t="s">
        <v>362</v>
      </c>
      <c r="C15" s="31"/>
      <c r="D15" s="32"/>
      <c r="E15" s="3">
        <v>20</v>
      </c>
      <c r="F15" s="20" t="s">
        <v>850</v>
      </c>
      <c r="G15" s="31"/>
      <c r="M15" s="20"/>
      <c r="O15" s="37"/>
    </row>
    <row r="16" spans="1:21" x14ac:dyDescent="0.2">
      <c r="A16" s="3">
        <v>2</v>
      </c>
      <c r="B16" s="36" t="s">
        <v>361</v>
      </c>
      <c r="C16" s="9"/>
      <c r="E16" s="3">
        <v>21</v>
      </c>
      <c r="F16" s="20" t="s">
        <v>1139</v>
      </c>
      <c r="G16" s="9"/>
      <c r="M16" s="20"/>
      <c r="O16" s="37"/>
    </row>
    <row r="17" spans="1:15" x14ac:dyDescent="0.2">
      <c r="A17" s="3">
        <v>3</v>
      </c>
      <c r="B17" s="36" t="s">
        <v>532</v>
      </c>
      <c r="C17" s="9"/>
      <c r="E17" s="3">
        <v>22</v>
      </c>
      <c r="F17" s="20" t="s">
        <v>851</v>
      </c>
      <c r="G17" s="9"/>
      <c r="M17" s="20"/>
      <c r="O17" s="37"/>
    </row>
    <row r="18" spans="1:15" x14ac:dyDescent="0.2">
      <c r="A18" s="3">
        <v>4</v>
      </c>
      <c r="B18" s="36" t="s">
        <v>522</v>
      </c>
      <c r="C18" s="9"/>
      <c r="E18" s="3">
        <v>23</v>
      </c>
      <c r="F18" s="20" t="s">
        <v>953</v>
      </c>
      <c r="G18" s="9"/>
      <c r="M18" s="20"/>
      <c r="O18" s="37"/>
    </row>
    <row r="19" spans="1:15" x14ac:dyDescent="0.2">
      <c r="A19" s="3">
        <v>5</v>
      </c>
      <c r="B19" s="36" t="s">
        <v>976</v>
      </c>
      <c r="C19" s="9"/>
      <c r="E19" s="3">
        <v>24</v>
      </c>
      <c r="F19" s="20" t="s">
        <v>954</v>
      </c>
      <c r="G19" s="9"/>
      <c r="M19" s="20"/>
      <c r="O19" s="37"/>
    </row>
    <row r="20" spans="1:15" x14ac:dyDescent="0.2">
      <c r="A20" s="3">
        <v>6</v>
      </c>
      <c r="B20" s="36" t="s">
        <v>845</v>
      </c>
      <c r="C20" s="9"/>
      <c r="E20" s="3">
        <v>25</v>
      </c>
      <c r="F20" s="20" t="s">
        <v>1138</v>
      </c>
      <c r="G20" s="9"/>
      <c r="M20" s="20"/>
      <c r="O20" s="37"/>
    </row>
    <row r="21" spans="1:15" x14ac:dyDescent="0.2">
      <c r="A21" s="3">
        <v>7</v>
      </c>
      <c r="B21" s="36" t="s">
        <v>1211</v>
      </c>
      <c r="C21" s="9"/>
      <c r="E21" s="3">
        <v>26</v>
      </c>
      <c r="F21" s="20" t="s">
        <v>852</v>
      </c>
      <c r="G21" s="9"/>
      <c r="M21" s="20"/>
      <c r="O21" s="37"/>
    </row>
    <row r="22" spans="1:15" x14ac:dyDescent="0.2">
      <c r="A22" s="3">
        <v>8</v>
      </c>
      <c r="B22" s="36" t="s">
        <v>846</v>
      </c>
      <c r="C22" s="9"/>
      <c r="E22" s="3">
        <v>27</v>
      </c>
      <c r="F22" s="20" t="s">
        <v>887</v>
      </c>
      <c r="G22" s="9"/>
      <c r="M22" s="20"/>
      <c r="O22" s="37"/>
    </row>
    <row r="23" spans="1:15" x14ac:dyDescent="0.2">
      <c r="A23" s="3">
        <v>9</v>
      </c>
      <c r="B23" s="36" t="s">
        <v>847</v>
      </c>
      <c r="C23" s="9"/>
      <c r="E23" s="3">
        <v>28</v>
      </c>
      <c r="F23" s="20" t="s">
        <v>1137</v>
      </c>
      <c r="G23" s="9"/>
      <c r="L23" s="28"/>
      <c r="M23" s="20"/>
      <c r="O23" s="37"/>
    </row>
    <row r="24" spans="1:15" x14ac:dyDescent="0.2">
      <c r="A24" s="3">
        <v>10</v>
      </c>
      <c r="B24" s="36" t="s">
        <v>848</v>
      </c>
      <c r="C24" s="9"/>
      <c r="E24" s="3">
        <v>29</v>
      </c>
      <c r="F24" s="20" t="s">
        <v>853</v>
      </c>
      <c r="G24" s="9"/>
      <c r="L24" s="28"/>
      <c r="M24" s="20"/>
      <c r="O24" s="36"/>
    </row>
    <row r="25" spans="1:15" x14ac:dyDescent="0.2">
      <c r="A25" s="3">
        <v>11</v>
      </c>
      <c r="B25" s="36" t="s">
        <v>533</v>
      </c>
      <c r="C25" s="9"/>
      <c r="E25" s="3">
        <v>30</v>
      </c>
      <c r="F25" s="20" t="s">
        <v>1136</v>
      </c>
      <c r="G25" s="9"/>
      <c r="L25" s="28"/>
      <c r="M25" s="20"/>
      <c r="O25" s="36"/>
    </row>
    <row r="26" spans="1:15" x14ac:dyDescent="0.2">
      <c r="A26" s="3">
        <v>12</v>
      </c>
      <c r="B26" s="37" t="s">
        <v>1071</v>
      </c>
      <c r="C26" s="9"/>
      <c r="E26" s="3">
        <v>31</v>
      </c>
      <c r="F26" s="20" t="s">
        <v>971</v>
      </c>
      <c r="G26" s="9"/>
      <c r="L26" s="28"/>
      <c r="M26" s="20"/>
      <c r="O26" s="36"/>
    </row>
    <row r="27" spans="1:15" x14ac:dyDescent="0.2">
      <c r="A27" s="3">
        <v>13</v>
      </c>
      <c r="B27" s="37" t="s">
        <v>849</v>
      </c>
      <c r="C27" s="9"/>
      <c r="E27" s="3">
        <v>32</v>
      </c>
      <c r="F27" s="20" t="s">
        <v>844</v>
      </c>
      <c r="G27" s="9"/>
      <c r="L27" s="28"/>
      <c r="M27" s="20"/>
      <c r="O27" s="36"/>
    </row>
    <row r="28" spans="1:15" x14ac:dyDescent="0.2">
      <c r="A28" s="3">
        <v>14</v>
      </c>
      <c r="B28" s="37" t="s">
        <v>1210</v>
      </c>
      <c r="C28" s="9"/>
      <c r="E28" s="3">
        <v>33</v>
      </c>
      <c r="F28" s="20" t="s">
        <v>843</v>
      </c>
      <c r="G28" s="17"/>
      <c r="L28" s="28"/>
      <c r="M28" s="20"/>
      <c r="O28" s="36"/>
    </row>
    <row r="29" spans="1:15" x14ac:dyDescent="0.2">
      <c r="A29" s="3">
        <v>15</v>
      </c>
      <c r="B29" s="36" t="s">
        <v>1212</v>
      </c>
      <c r="C29" s="9"/>
      <c r="E29" s="3">
        <v>34</v>
      </c>
      <c r="F29" s="20" t="s">
        <v>842</v>
      </c>
      <c r="G29" s="17"/>
      <c r="L29" s="28"/>
      <c r="M29" s="20"/>
      <c r="O29" s="20"/>
    </row>
    <row r="30" spans="1:15" x14ac:dyDescent="0.2">
      <c r="A30" s="3">
        <v>16</v>
      </c>
      <c r="B30" s="36" t="s">
        <v>1213</v>
      </c>
      <c r="C30" s="9"/>
      <c r="E30" s="3">
        <v>35</v>
      </c>
      <c r="F30" s="20" t="s">
        <v>841</v>
      </c>
      <c r="G30" s="17"/>
      <c r="L30" s="28"/>
      <c r="M30" s="20"/>
      <c r="O30" s="20"/>
    </row>
    <row r="31" spans="1:15" x14ac:dyDescent="0.2">
      <c r="A31" s="3">
        <v>17</v>
      </c>
      <c r="B31" s="36" t="s">
        <v>1142</v>
      </c>
      <c r="C31" s="9"/>
      <c r="E31" s="3">
        <v>36</v>
      </c>
      <c r="F31" s="20" t="s">
        <v>840</v>
      </c>
      <c r="G31" s="9"/>
      <c r="L31" s="28"/>
      <c r="M31" s="20"/>
      <c r="O31" s="20"/>
    </row>
    <row r="32" spans="1:15" x14ac:dyDescent="0.2">
      <c r="A32" s="3">
        <v>18</v>
      </c>
      <c r="B32" s="36" t="s">
        <v>1141</v>
      </c>
      <c r="C32" s="9"/>
      <c r="E32" s="3">
        <v>37</v>
      </c>
      <c r="F32" s="20" t="s">
        <v>1214</v>
      </c>
      <c r="G32" s="9"/>
      <c r="L32" s="28"/>
      <c r="M32" s="20"/>
      <c r="O32" s="20"/>
    </row>
    <row r="33" spans="1:15" x14ac:dyDescent="0.2">
      <c r="A33" s="3">
        <v>19</v>
      </c>
      <c r="B33" s="36" t="s">
        <v>1140</v>
      </c>
      <c r="C33" s="18"/>
      <c r="E33" s="3">
        <v>38</v>
      </c>
      <c r="F33" s="20" t="s">
        <v>1215</v>
      </c>
      <c r="G33" s="9"/>
      <c r="M33" s="20"/>
      <c r="O33" s="20"/>
    </row>
    <row r="34" spans="1:15" x14ac:dyDescent="0.2">
      <c r="A34" s="3"/>
      <c r="C34" s="2"/>
      <c r="E34" s="3">
        <v>39</v>
      </c>
      <c r="F34" s="20" t="s">
        <v>1209</v>
      </c>
      <c r="I34" s="2"/>
      <c r="M34" s="20"/>
      <c r="O34" s="20"/>
    </row>
    <row r="35" spans="1:15" x14ac:dyDescent="0.2">
      <c r="A35" s="3"/>
      <c r="C35" s="2"/>
      <c r="I35" s="2"/>
      <c r="M35" s="20"/>
      <c r="O35" s="20"/>
    </row>
    <row r="36" spans="1:15" x14ac:dyDescent="0.2">
      <c r="A36" s="3"/>
      <c r="C36" s="2"/>
      <c r="E36" s="3"/>
      <c r="F36" s="20"/>
      <c r="M36" s="20"/>
      <c r="O36" s="20"/>
    </row>
    <row r="37" spans="1:15" x14ac:dyDescent="0.2">
      <c r="A37" s="3"/>
      <c r="C37" s="12"/>
      <c r="E37" s="3"/>
      <c r="F37" s="3"/>
      <c r="I37" s="2"/>
      <c r="M37" s="20"/>
      <c r="O37" s="20"/>
    </row>
    <row r="38" spans="1:15" ht="12.75" customHeight="1" x14ac:dyDescent="0.2">
      <c r="A38" s="3"/>
      <c r="C38" s="2"/>
      <c r="E38" s="3"/>
      <c r="F38" s="3"/>
      <c r="I38" s="2"/>
      <c r="M38" s="20"/>
      <c r="O38" s="20"/>
    </row>
    <row r="39" spans="1:15" x14ac:dyDescent="0.2">
      <c r="A39" s="3"/>
      <c r="C39" s="3"/>
      <c r="D39" s="20"/>
      <c r="E39" s="3"/>
      <c r="F39" s="20"/>
      <c r="I39" s="2"/>
      <c r="M39" s="20"/>
      <c r="O39" s="20"/>
    </row>
    <row r="40" spans="1:15" x14ac:dyDescent="0.2">
      <c r="A40" s="3"/>
      <c r="C40" s="3"/>
      <c r="D40" s="20"/>
      <c r="E40" s="3"/>
      <c r="F40" s="21"/>
      <c r="I40" s="12"/>
      <c r="M40" s="20"/>
      <c r="O40" s="20"/>
    </row>
    <row r="41" spans="1:15" ht="12.75" customHeight="1" x14ac:dyDescent="0.2">
      <c r="A41" s="3"/>
      <c r="C41" s="3"/>
      <c r="D41" s="20"/>
      <c r="E41" s="3"/>
      <c r="G41" s="3"/>
      <c r="H41" s="3"/>
      <c r="M41" s="20"/>
      <c r="O41" s="20"/>
    </row>
    <row r="42" spans="1:15" ht="27.75" customHeight="1" x14ac:dyDescent="0.2">
      <c r="A42" s="593" t="s">
        <v>101</v>
      </c>
      <c r="B42" s="1853" t="s">
        <v>986</v>
      </c>
      <c r="C42" s="1853"/>
      <c r="D42" s="1853"/>
      <c r="E42" s="1853"/>
      <c r="F42" s="1853"/>
      <c r="G42" s="3"/>
      <c r="H42" s="3"/>
      <c r="M42" s="20"/>
      <c r="O42" s="20"/>
    </row>
    <row r="43" spans="1:15" x14ac:dyDescent="0.2">
      <c r="A43" s="6"/>
      <c r="C43" s="3"/>
      <c r="D43" s="3"/>
      <c r="E43" s="3"/>
      <c r="G43" s="3"/>
      <c r="H43" s="3"/>
      <c r="M43" s="20"/>
      <c r="O43" s="20"/>
    </row>
    <row r="44" spans="1:15" x14ac:dyDescent="0.2">
      <c r="A44" s="3"/>
      <c r="C44" s="3"/>
      <c r="D44" s="3"/>
      <c r="E44" s="3"/>
      <c r="G44" s="3"/>
      <c r="H44" s="3"/>
      <c r="M44" s="20"/>
      <c r="O44" s="20"/>
    </row>
    <row r="45" spans="1:15" x14ac:dyDescent="0.2">
      <c r="A45" s="3"/>
      <c r="D45" s="3"/>
      <c r="G45" s="3"/>
      <c r="H45" s="3"/>
      <c r="M45" s="20"/>
      <c r="O45" s="20"/>
    </row>
    <row r="46" spans="1:15" x14ac:dyDescent="0.2">
      <c r="A46" s="3"/>
      <c r="D46" s="3"/>
      <c r="G46" s="3"/>
      <c r="H46" s="3"/>
      <c r="M46" s="20"/>
      <c r="O46" s="20"/>
    </row>
    <row r="47" spans="1:15" x14ac:dyDescent="0.2">
      <c r="A47" s="3"/>
      <c r="D47" s="3"/>
      <c r="M47" s="20"/>
      <c r="O47" s="20"/>
    </row>
    <row r="48" spans="1:15" x14ac:dyDescent="0.2">
      <c r="A48" s="3"/>
      <c r="D48" s="20"/>
      <c r="M48" s="20"/>
      <c r="O48" s="20"/>
    </row>
    <row r="49" spans="1:15" x14ac:dyDescent="0.2">
      <c r="A49" s="3"/>
      <c r="D49" s="20"/>
      <c r="M49" s="20"/>
      <c r="O49" s="20"/>
    </row>
    <row r="50" spans="1:15" x14ac:dyDescent="0.2">
      <c r="D50" s="20"/>
      <c r="M50" s="20"/>
      <c r="O50" s="20"/>
    </row>
    <row r="51" spans="1:15" x14ac:dyDescent="0.2">
      <c r="D51" s="20"/>
      <c r="G51" s="9"/>
      <c r="M51" s="20"/>
      <c r="O51" s="20"/>
    </row>
    <row r="52" spans="1:15" x14ac:dyDescent="0.2">
      <c r="D52" s="20"/>
      <c r="F52" s="9"/>
      <c r="M52" s="20"/>
      <c r="O52" s="20"/>
    </row>
    <row r="53" spans="1:15" x14ac:dyDescent="0.2">
      <c r="D53" s="20"/>
      <c r="F53" s="9"/>
      <c r="M53" s="20"/>
      <c r="O53" s="3"/>
    </row>
    <row r="54" spans="1:15" x14ac:dyDescent="0.2">
      <c r="F54" s="9"/>
      <c r="M54" s="20"/>
    </row>
    <row r="55" spans="1:15" x14ac:dyDescent="0.2">
      <c r="M55" s="20"/>
    </row>
    <row r="56" spans="1:15" x14ac:dyDescent="0.2">
      <c r="M56" s="20"/>
    </row>
  </sheetData>
  <sheetProtection algorithmName="SHA-512" hashValue="FtX3cg4nyrXQ4KV9XXwBadfUuvvTV0QDFoZrKTPUvaUNCiHmRePmKTp04aU5pCixssXVK9OyVup7WKabEWkT+Q==" saltValue="CBs2NIHfFBb5Hh5A2zrgUQ==" spinCount="100000" sheet="1" objects="1" scenarios="1"/>
  <mergeCells count="1">
    <mergeCell ref="B42:F42"/>
  </mergeCells>
  <phoneticPr fontId="13" type="noConversion"/>
  <hyperlinks>
    <hyperlink ref="B15" location="'LDC Info'!A1" display="LDC Information Sheet" xr:uid="{00000000-0004-0000-0100-000000000000}"/>
    <hyperlink ref="B32:B33" display="App.2-FB: Calculation of Renewable Generation Connection Direct Benefits/Provincial Amount: Renewable Enabling Improvement Investments" xr:uid="{00000000-0004-0000-0100-000001000000}"/>
    <hyperlink ref="B16" location="Index!A1" display="Index" xr:uid="{00000000-0004-0000-0100-000002000000}"/>
    <hyperlink ref="B17" location="'COS Flowchart'!A1" display="Cost of Service Application Flowchart" xr:uid="{00000000-0004-0000-0100-000003000000}"/>
    <hyperlink ref="B18" location="'List of Key References'!A1" display="List of Key References" xr:uid="{00000000-0004-0000-0100-000004000000}"/>
    <hyperlink ref="B20" location="'App.2-AA_Capital Projects'!A1" display="App.2-AA: Capital Projects Table" xr:uid="{00000000-0004-0000-0100-000005000000}"/>
    <hyperlink ref="B21" location="'App.2-AB_Capital Expenditures'!A1" display="App.2-AB: Capital Expenditures" xr:uid="{00000000-0004-0000-0100-000006000000}"/>
    <hyperlink ref="B22" location="'App.2-AC_Customer Engagement'!A1" display="App. 2-AC: Customer Engagement Worksheet" xr:uid="{00000000-0004-0000-0100-000007000000}"/>
    <hyperlink ref="B23" location="'App.2-B_Acctg Instructions'!A1" display="App.2-B: General Accounting Instructions" xr:uid="{00000000-0004-0000-0100-000008000000}"/>
    <hyperlink ref="B24" location="'App.2-BA_Fixed Asset Cont'!A1" display="App.2-BA: Fixed Asset Continuity Schedule" xr:uid="{00000000-0004-0000-0100-000009000000}"/>
    <hyperlink ref="B25" location="'Appendix 2-BB Service Life  '!A1" display="Appendix 2-BB: Service Life Comparison" xr:uid="{00000000-0004-0000-0100-00000A000000}"/>
    <hyperlink ref="B26" location="'App.2-C_DepExp'!A1" display="App.2-C_DepExp: Depreciation and Amortization Expense" xr:uid="{00000000-0004-0000-0100-00000B000000}"/>
    <hyperlink ref="B27" location="'App.2-D_Overhead'!A1" display="App.2-D: Overhead Expenses" xr:uid="{00000000-0004-0000-0100-00000C000000}"/>
    <hyperlink ref="B28" location="'App.2-EA_Account 1575 (2015)'!A1" display="App.2-EA: Account 1575 PP&amp;E Deferral Account (2015 IFRS Adopters)" xr:uid="{00000000-0004-0000-0100-00000D000000}"/>
    <hyperlink ref="B29" location="'App.2-EB_Account 1576 (2012)'!A1" display="App.2-EB: Account 1576 - Accounting Changes Under CGAAP (2012 Changes)" xr:uid="{00000000-0004-0000-0100-00000E000000}"/>
    <hyperlink ref="B30" location="'App.2-EC_Account 1576 (2013)'!A1" display="App.2-EC: Account 1576 - Accounting Changes Under CGAAP (2013 Changes)" xr:uid="{00000000-0004-0000-0100-00000F000000}"/>
    <hyperlink ref="B31" location="'App.2-FA Proposed REG Invest.'!A1" display="App.2-FA: Renewable Generation Connection Investment Summary" xr:uid="{00000000-0004-0000-0100-000010000000}"/>
    <hyperlink ref="B32" location="'App.2-FB Calc of REG Improvemnt'!A1" display="App.2-FB: Calculation of Renewable Generation Connection Direct Benefits/Provincial Amount: Renewable Enabling Improvement Investments" xr:uid="{00000000-0004-0000-0100-000011000000}"/>
    <hyperlink ref="B33" location="'App.2-FC Calc of REG Expansion'!A1" display="App.2-FC: Calculation of Renewable Generation Connection Direct Benefits/Provincial Amount: Renewable Expansion Investments" xr:uid="{00000000-0004-0000-0100-000012000000}"/>
    <hyperlink ref="F15" location="'App.2-G SQI'!A1" display="App.2-G: Service Reliability Indicators" xr:uid="{00000000-0004-0000-0100-000013000000}"/>
    <hyperlink ref="F16" location="'App.2-H_Other_Oper_Rev'!A1" display="App.2-H: Other Operating Revenue" xr:uid="{00000000-0004-0000-0100-000014000000}"/>
    <hyperlink ref="F17" location="'App_2-I LF_CDM'!A1" display="App.2-I: Load Forecast CDM Adjustment Workform" xr:uid="{00000000-0004-0000-0100-000015000000}"/>
    <hyperlink ref="F19" location="'App.2-IB_Load_Forecast_Analysis'!A1" display="App.2-IB:  Actual and Forecast Load and Customer Data" xr:uid="{00000000-0004-0000-0100-000016000000}"/>
    <hyperlink ref="F20" location="'App.2-JA_OM&amp;A_Summary_Analys'!A1" display="App.2-JA: OM&amp;A Summary Analysis" xr:uid="{00000000-0004-0000-0100-000017000000}"/>
    <hyperlink ref="F21" location="'App.2-JB_OM&amp;A_Cost _Drivers'!A1" display="App.2-JB: Recoverable OM&amp;A Cost Driver Table" xr:uid="{00000000-0004-0000-0100-000018000000}"/>
    <hyperlink ref="F22" location="'App.2-JC_OMA Programs'!A1" display="App.2-JC: OM&amp;A Programs Table" xr:uid="{00000000-0004-0000-0100-000019000000}"/>
    <hyperlink ref="F23" location="'App.2-K_Employee Costs'!A1" display="App.2-K: Employee Costs" xr:uid="{00000000-0004-0000-0100-00001A000000}"/>
    <hyperlink ref="F24" location="'App.2-L_OM&amp;A_per_Cust_FTE'!A1" display="App.2-L: Recoverable OM&amp;A Cost per Customer and per FTE" xr:uid="{00000000-0004-0000-0100-00001B000000}"/>
    <hyperlink ref="F25" location="'App.2-M_Regulatory_Costs'!A1" display="App.2-M: Regulatory Costs Schedule" xr:uid="{00000000-0004-0000-0100-00001C000000}"/>
    <hyperlink ref="F26" location="'App.2-N_Corp_Cost_Allocation'!A1" display="App.2-N: Shared Servcies and Corporate Cost Allocation" xr:uid="{00000000-0004-0000-0100-00001D000000}"/>
    <hyperlink ref="F27" location="'App.2-OA Capital Structure'!A1" display="App.2-OA: Capital Structure and Cost of Capital" xr:uid="{00000000-0004-0000-0100-00001E000000}"/>
    <hyperlink ref="F28" location="'App.2-OB_Debt Instruments'!A1" display="App.2-OB: Debt Instruments" xr:uid="{00000000-0004-0000-0100-00001F000000}"/>
    <hyperlink ref="F29" location="'App.2-Q_Cost of Serv. Emb. Dx'!A1" display="App.2-Q: Cost of Serving Embedded Distributor(s)" xr:uid="{00000000-0004-0000-0100-000020000000}"/>
    <hyperlink ref="F30" location="'App.2-R_Loss Factors'!A1" display="App.2-R: Loss Factors" xr:uid="{00000000-0004-0000-0100-000021000000}"/>
    <hyperlink ref="F31" location="'App.2-S_Stranded Meters'!A1" display="App.2-S: Stranded Meter Treatment" xr:uid="{00000000-0004-0000-0100-000022000000}"/>
    <hyperlink ref="F32" location="'App.2-Y_MIFRS Summary Impacts'!A1" display="App.2-Y: Transition to MIFRS Summary Impact" xr:uid="{00000000-0004-0000-0100-000023000000}"/>
    <hyperlink ref="F18" location="'App.2-IA_Load_Forecast_Instrct'!A1" display="App.2-IA: Load Forecast Data Instructions" xr:uid="{00000000-0004-0000-0100-000024000000}"/>
    <hyperlink ref="F33" location="'App.2-YA_IFRS Transition Costs'!A1" display="App.2-YA: One-Time Incremental IFRS Transition Costs" xr:uid="{00000000-0004-0000-0100-000025000000}"/>
    <hyperlink ref="B19" location="'App.2-A_Requested_Approvals'!A1" display="App.2-A: List of Requested Approvals" xr:uid="{00000000-0004-0000-0100-000026000000}"/>
    <hyperlink ref="F34" location="'App.2-Z_Commodity Expense'!A1" display="App.2-Z: Commodity Expense" xr:uid="{00000000-0004-0000-0100-000027000000}"/>
  </hyperlinks>
  <pageMargins left="0.75" right="0.75" top="1" bottom="1" header="0.5" footer="0.5"/>
  <pageSetup scale="4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8">
    <tabColor rgb="FF00B0F0"/>
  </sheetPr>
  <dimension ref="A1:AG95"/>
  <sheetViews>
    <sheetView showGridLines="0" topLeftCell="A10" zoomScaleNormal="100" zoomScaleSheetLayoutView="25" workbookViewId="0">
      <selection activeCell="G11" sqref="G11"/>
    </sheetView>
  </sheetViews>
  <sheetFormatPr defaultColWidth="8.7109375" defaultRowHeight="15" x14ac:dyDescent="0.25"/>
  <cols>
    <col min="1" max="1" width="34.7109375" style="934" customWidth="1"/>
    <col min="2" max="2" width="18" style="934" customWidth="1"/>
    <col min="3" max="16" width="14.7109375" style="934" customWidth="1"/>
    <col min="17" max="17" width="12.7109375" style="934" customWidth="1"/>
    <col min="18" max="32" width="14.7109375" style="934" customWidth="1"/>
    <col min="33" max="16384" width="8.7109375" style="934"/>
  </cols>
  <sheetData>
    <row r="1" spans="1:27" s="929" customFormat="1" x14ac:dyDescent="0.25">
      <c r="A1" s="893"/>
      <c r="B1" s="893"/>
      <c r="C1" s="893"/>
      <c r="D1" s="893"/>
      <c r="E1" s="893"/>
      <c r="F1" s="893"/>
      <c r="G1" s="893"/>
      <c r="H1" s="893"/>
      <c r="I1" s="893"/>
      <c r="J1" s="893"/>
      <c r="K1" s="893"/>
      <c r="L1" s="893"/>
      <c r="M1" s="893"/>
      <c r="N1" s="893"/>
      <c r="O1" s="893"/>
      <c r="P1" s="893"/>
      <c r="Q1" s="874" t="s">
        <v>264</v>
      </c>
      <c r="R1" s="930" t="str">
        <f>EBNUMBER</f>
        <v>EB-2019-0037</v>
      </c>
    </row>
    <row r="2" spans="1:27" s="929" customFormat="1" x14ac:dyDescent="0.25">
      <c r="A2" s="893"/>
      <c r="B2" s="893"/>
      <c r="C2" s="893"/>
      <c r="D2" s="893"/>
      <c r="E2" s="893"/>
      <c r="F2" s="893"/>
      <c r="G2" s="893"/>
      <c r="H2" s="893"/>
      <c r="I2" s="893"/>
      <c r="J2" s="893"/>
      <c r="K2" s="893"/>
      <c r="L2" s="893"/>
      <c r="M2" s="893"/>
      <c r="N2" s="893"/>
      <c r="O2" s="893"/>
      <c r="P2" s="893"/>
      <c r="Q2" s="874" t="s">
        <v>265</v>
      </c>
      <c r="R2" s="41"/>
    </row>
    <row r="3" spans="1:27" s="929" customFormat="1" x14ac:dyDescent="0.25">
      <c r="A3" s="893"/>
      <c r="B3" s="893"/>
      <c r="C3" s="893"/>
      <c r="D3" s="893"/>
      <c r="E3" s="893"/>
      <c r="F3" s="893"/>
      <c r="G3" s="893"/>
      <c r="H3" s="893"/>
      <c r="I3" s="893"/>
      <c r="J3" s="893"/>
      <c r="K3" s="893"/>
      <c r="L3" s="893"/>
      <c r="M3" s="893"/>
      <c r="N3" s="893"/>
      <c r="O3" s="893"/>
      <c r="P3" s="893"/>
      <c r="Q3" s="874" t="s">
        <v>266</v>
      </c>
      <c r="R3" s="41"/>
    </row>
    <row r="4" spans="1:27" s="929" customFormat="1" ht="15.75" x14ac:dyDescent="0.25">
      <c r="A4" s="969" t="s">
        <v>1144</v>
      </c>
      <c r="B4" s="893"/>
      <c r="C4" s="893"/>
      <c r="D4" s="893"/>
      <c r="E4" s="893"/>
      <c r="F4" s="893"/>
      <c r="G4" s="893"/>
      <c r="H4" s="893"/>
      <c r="I4" s="893"/>
      <c r="J4" s="893"/>
      <c r="K4" s="893"/>
      <c r="L4" s="893"/>
      <c r="M4" s="893"/>
      <c r="N4" s="893"/>
      <c r="O4" s="893"/>
      <c r="P4" s="893"/>
      <c r="Q4" s="874" t="s">
        <v>267</v>
      </c>
      <c r="R4" s="41"/>
    </row>
    <row r="5" spans="1:27" s="929" customFormat="1" x14ac:dyDescent="0.25">
      <c r="A5" s="893"/>
      <c r="B5" s="893"/>
      <c r="C5" s="893"/>
      <c r="D5" s="893"/>
      <c r="E5" s="893"/>
      <c r="F5" s="893"/>
      <c r="G5" s="893"/>
      <c r="H5" s="893"/>
      <c r="I5" s="893"/>
      <c r="J5" s="893"/>
      <c r="K5" s="893"/>
      <c r="L5" s="893"/>
      <c r="M5" s="893"/>
      <c r="N5" s="893"/>
      <c r="O5" s="893"/>
      <c r="P5" s="893"/>
      <c r="Q5" s="874" t="s">
        <v>268</v>
      </c>
      <c r="R5" s="42"/>
    </row>
    <row r="6" spans="1:27" s="929" customFormat="1" x14ac:dyDescent="0.25">
      <c r="A6" s="893"/>
      <c r="B6" s="893"/>
      <c r="C6" s="893"/>
      <c r="D6" s="893"/>
      <c r="E6" s="893"/>
      <c r="F6" s="893"/>
      <c r="G6" s="893"/>
      <c r="H6" s="893"/>
      <c r="I6" s="893"/>
      <c r="J6" s="893"/>
      <c r="K6" s="893"/>
      <c r="L6" s="893"/>
      <c r="M6" s="893"/>
      <c r="N6" s="893"/>
      <c r="O6" s="893"/>
      <c r="P6" s="893"/>
      <c r="Q6" s="874"/>
      <c r="R6" s="875"/>
    </row>
    <row r="7" spans="1:27" s="929" customFormat="1" x14ac:dyDescent="0.25">
      <c r="A7" s="893"/>
      <c r="B7" s="893"/>
      <c r="C7" s="893"/>
      <c r="D7" s="893"/>
      <c r="E7" s="893"/>
      <c r="F7" s="893"/>
      <c r="G7" s="893"/>
      <c r="H7" s="893"/>
      <c r="I7" s="893"/>
      <c r="J7" s="893"/>
      <c r="K7" s="893"/>
      <c r="L7" s="893"/>
      <c r="M7" s="893"/>
      <c r="N7" s="893"/>
      <c r="O7" s="893"/>
      <c r="P7" s="893"/>
      <c r="Q7" s="874" t="s">
        <v>269</v>
      </c>
      <c r="R7" s="42"/>
    </row>
    <row r="8" spans="1:27" s="929" customFormat="1" x14ac:dyDescent="0.25">
      <c r="A8" s="894"/>
      <c r="B8" s="894"/>
      <c r="C8" s="894"/>
      <c r="D8" s="894"/>
      <c r="E8" s="894"/>
      <c r="F8" s="894"/>
      <c r="G8" s="894"/>
      <c r="H8" s="894"/>
      <c r="I8" s="894"/>
      <c r="J8" s="894"/>
      <c r="K8" s="894"/>
      <c r="L8" s="894"/>
      <c r="M8" s="894"/>
      <c r="N8" s="894"/>
      <c r="O8" s="894"/>
      <c r="P8" s="894"/>
      <c r="Q8" s="894"/>
      <c r="R8" s="894"/>
      <c r="S8" s="894"/>
      <c r="T8" s="894"/>
      <c r="U8" s="894"/>
      <c r="V8" s="894"/>
      <c r="W8" s="894"/>
      <c r="X8" s="932"/>
      <c r="Y8" s="932"/>
      <c r="Z8" s="932"/>
      <c r="AA8" s="932"/>
    </row>
    <row r="9" spans="1:27" s="929" customFormat="1" ht="18" x14ac:dyDescent="0.25">
      <c r="A9" s="1916" t="s">
        <v>551</v>
      </c>
      <c r="B9" s="1916"/>
      <c r="C9" s="1916"/>
      <c r="D9" s="1916"/>
      <c r="E9" s="1916"/>
      <c r="F9" s="1916"/>
      <c r="G9" s="1916"/>
      <c r="H9" s="1916"/>
      <c r="I9" s="1916"/>
      <c r="J9" s="1916"/>
      <c r="K9" s="1916"/>
      <c r="L9" s="1916"/>
      <c r="M9" s="1916"/>
      <c r="N9" s="1916"/>
      <c r="O9" s="1916"/>
      <c r="P9" s="1916"/>
      <c r="Q9" s="1916"/>
      <c r="R9" s="1916"/>
      <c r="S9" s="1916"/>
      <c r="T9" s="1916"/>
      <c r="U9" s="1916"/>
      <c r="V9" s="933"/>
      <c r="W9" s="933"/>
      <c r="X9" s="933"/>
      <c r="Y9" s="932"/>
      <c r="Z9" s="932"/>
      <c r="AA9" s="932"/>
    </row>
    <row r="10" spans="1:27" s="929" customFormat="1" ht="39.75" customHeight="1" x14ac:dyDescent="0.25">
      <c r="A10" s="2060" t="s">
        <v>552</v>
      </c>
      <c r="B10" s="2060"/>
      <c r="C10" s="2060"/>
      <c r="D10" s="2060"/>
      <c r="E10" s="2060"/>
      <c r="F10" s="2060"/>
      <c r="G10" s="2060"/>
      <c r="H10" s="2060"/>
      <c r="I10" s="2060"/>
      <c r="J10" s="2060"/>
      <c r="K10" s="2060"/>
      <c r="L10" s="2060"/>
      <c r="M10" s="2060"/>
      <c r="N10" s="2060"/>
      <c r="O10" s="2060"/>
      <c r="P10" s="2060"/>
      <c r="Q10" s="2060"/>
      <c r="R10" s="2060"/>
      <c r="S10" s="2060"/>
      <c r="T10" s="2060"/>
      <c r="U10" s="2060"/>
      <c r="V10" s="933"/>
      <c r="W10" s="933"/>
      <c r="X10" s="933"/>
      <c r="Y10" s="932"/>
      <c r="Z10" s="932"/>
      <c r="AA10" s="932"/>
    </row>
    <row r="11" spans="1:27" s="929" customFormat="1" ht="18" x14ac:dyDescent="0.25">
      <c r="A11" s="933"/>
      <c r="B11" s="933"/>
      <c r="C11" s="933"/>
      <c r="D11" s="933"/>
      <c r="E11" s="933"/>
      <c r="F11" s="933"/>
      <c r="G11" s="933"/>
      <c r="H11" s="933"/>
      <c r="I11" s="933"/>
      <c r="J11" s="933"/>
      <c r="K11" s="933"/>
      <c r="L11" s="933"/>
      <c r="M11" s="933"/>
      <c r="N11" s="933"/>
      <c r="O11" s="933"/>
      <c r="P11" s="933"/>
      <c r="Q11" s="933"/>
      <c r="R11" s="933"/>
      <c r="S11" s="933"/>
      <c r="T11" s="933"/>
      <c r="U11" s="933"/>
      <c r="V11" s="933"/>
      <c r="W11" s="933"/>
      <c r="X11" s="933"/>
      <c r="Y11" s="932"/>
      <c r="Z11" s="932"/>
      <c r="AA11" s="932"/>
    </row>
    <row r="12" spans="1:27" x14ac:dyDescent="0.25">
      <c r="A12" s="2061" t="s">
        <v>553</v>
      </c>
      <c r="B12" s="2061"/>
      <c r="C12" s="2061"/>
      <c r="D12" s="2061"/>
      <c r="E12" s="2061"/>
      <c r="F12" s="2061"/>
      <c r="G12" s="2061"/>
      <c r="H12" s="2061"/>
      <c r="I12" s="2061"/>
      <c r="J12" s="2061"/>
      <c r="K12" s="2061"/>
      <c r="L12" s="2061"/>
      <c r="M12" s="2061"/>
      <c r="N12" s="2061"/>
      <c r="O12" s="2061"/>
      <c r="P12" s="2061"/>
      <c r="Q12" s="2061"/>
      <c r="R12" s="2061"/>
      <c r="S12" s="2061"/>
      <c r="T12" s="2061"/>
      <c r="U12" s="2061"/>
    </row>
    <row r="13" spans="1:27" x14ac:dyDescent="0.25">
      <c r="A13" s="2061" t="s">
        <v>554</v>
      </c>
      <c r="B13" s="2061"/>
      <c r="C13" s="2061"/>
      <c r="D13" s="2061"/>
      <c r="E13" s="2061"/>
      <c r="F13" s="2061"/>
      <c r="G13" s="2061"/>
      <c r="H13" s="2061"/>
      <c r="I13" s="2061"/>
      <c r="J13" s="2061"/>
      <c r="K13" s="2061"/>
      <c r="L13" s="2061"/>
      <c r="M13" s="2061"/>
      <c r="N13" s="2061"/>
      <c r="O13" s="2061"/>
      <c r="P13" s="2061"/>
      <c r="Q13" s="2061"/>
      <c r="R13" s="2061"/>
      <c r="S13" s="2061"/>
      <c r="T13" s="2061"/>
      <c r="U13" s="2061"/>
    </row>
    <row r="14" spans="1:27" x14ac:dyDescent="0.25">
      <c r="A14" s="970" t="str">
        <f>"For historical investments, enter these variables that were approved in your last cost of service test year.  For " &amp; TestYear &amp; " and beyond, enter variables as in the application."</f>
        <v>For historical investments, enter these variables that were approved in your last cost of service test year.  For 2020 and beyond, enter variables as in the application.</v>
      </c>
    </row>
    <row r="15" spans="1:27" x14ac:dyDescent="0.25">
      <c r="A15" s="2061" t="s">
        <v>926</v>
      </c>
      <c r="B15" s="2061"/>
      <c r="C15" s="2061"/>
      <c r="D15" s="2061"/>
      <c r="E15" s="2061"/>
      <c r="F15" s="2061"/>
      <c r="G15" s="2061"/>
      <c r="H15" s="2061"/>
      <c r="I15" s="2061"/>
      <c r="J15" s="2061"/>
      <c r="K15" s="2061"/>
      <c r="L15" s="2061"/>
      <c r="M15" s="2061"/>
      <c r="N15" s="2061"/>
      <c r="O15" s="2061"/>
      <c r="P15" s="2061"/>
      <c r="Q15" s="2061"/>
      <c r="R15" s="2061"/>
      <c r="S15" s="2061"/>
      <c r="T15" s="2061"/>
      <c r="U15" s="2061"/>
    </row>
    <row r="16" spans="1:27" ht="15.75" thickBot="1" x14ac:dyDescent="0.3"/>
    <row r="17" spans="1:33" s="973" customFormat="1" ht="15.75" thickBot="1" x14ac:dyDescent="0.3">
      <c r="A17" s="971"/>
      <c r="B17" s="971"/>
      <c r="C17" s="2054">
        <f>F17-1</f>
        <v>2015</v>
      </c>
      <c r="D17" s="2062"/>
      <c r="E17" s="2055"/>
      <c r="F17" s="2057">
        <f>I17-1</f>
        <v>2016</v>
      </c>
      <c r="G17" s="2058"/>
      <c r="H17" s="2059"/>
      <c r="I17" s="2057">
        <f>L17-1</f>
        <v>2017</v>
      </c>
      <c r="J17" s="2058"/>
      <c r="K17" s="2059"/>
      <c r="L17" s="2057">
        <f>O17-1</f>
        <v>2018</v>
      </c>
      <c r="M17" s="2058"/>
      <c r="N17" s="2059"/>
      <c r="O17" s="2057">
        <f>BridgeYear</f>
        <v>2019</v>
      </c>
      <c r="P17" s="2058"/>
      <c r="Q17" s="2059"/>
      <c r="R17" s="2057" t="str">
        <f>CONCATENATE(TestYear," Test Year")</f>
        <v>2020 Test Year</v>
      </c>
      <c r="S17" s="2058"/>
      <c r="T17" s="2059"/>
      <c r="U17" s="2057">
        <f>TestYear+1</f>
        <v>2021</v>
      </c>
      <c r="V17" s="2058"/>
      <c r="W17" s="2059"/>
      <c r="X17" s="2057">
        <f>U17+1</f>
        <v>2022</v>
      </c>
      <c r="Y17" s="2058">
        <v>2016</v>
      </c>
      <c r="Z17" s="2059"/>
      <c r="AA17" s="2057">
        <f>X17+1</f>
        <v>2023</v>
      </c>
      <c r="AB17" s="2058"/>
      <c r="AC17" s="2059"/>
      <c r="AD17" s="2057">
        <f>AA17+1</f>
        <v>2024</v>
      </c>
      <c r="AE17" s="2058"/>
      <c r="AF17" s="2059"/>
      <c r="AG17" s="972"/>
    </row>
    <row r="18" spans="1:33" x14ac:dyDescent="0.25">
      <c r="A18" s="860"/>
      <c r="B18" s="860"/>
      <c r="C18" s="860"/>
      <c r="D18" s="874" t="s">
        <v>555</v>
      </c>
      <c r="E18" s="942" t="s">
        <v>556</v>
      </c>
      <c r="F18" s="860"/>
      <c r="G18" s="874" t="s">
        <v>555</v>
      </c>
      <c r="H18" s="942" t="s">
        <v>556</v>
      </c>
      <c r="I18" s="860"/>
      <c r="J18" s="874" t="s">
        <v>555</v>
      </c>
      <c r="K18" s="942" t="s">
        <v>556</v>
      </c>
      <c r="L18" s="860"/>
      <c r="M18" s="874" t="s">
        <v>555</v>
      </c>
      <c r="N18" s="942" t="s">
        <v>556</v>
      </c>
      <c r="O18" s="860"/>
      <c r="P18" s="874" t="s">
        <v>555</v>
      </c>
      <c r="Q18" s="942" t="s">
        <v>556</v>
      </c>
      <c r="R18" s="860"/>
      <c r="S18" s="874" t="s">
        <v>555</v>
      </c>
      <c r="T18" s="942" t="s">
        <v>556</v>
      </c>
      <c r="U18" s="860"/>
      <c r="V18" s="874" t="s">
        <v>555</v>
      </c>
      <c r="W18" s="942" t="s">
        <v>556</v>
      </c>
      <c r="X18" s="860"/>
      <c r="Y18" s="874" t="s">
        <v>555</v>
      </c>
      <c r="Z18" s="942" t="s">
        <v>556</v>
      </c>
      <c r="AA18" s="860"/>
      <c r="AB18" s="874" t="s">
        <v>555</v>
      </c>
      <c r="AC18" s="942" t="s">
        <v>556</v>
      </c>
      <c r="AD18" s="860"/>
      <c r="AE18" s="874" t="s">
        <v>555</v>
      </c>
      <c r="AF18" s="942" t="s">
        <v>556</v>
      </c>
      <c r="AG18" s="860"/>
    </row>
    <row r="19" spans="1:33" x14ac:dyDescent="0.25">
      <c r="A19" s="974"/>
      <c r="B19" s="975"/>
      <c r="C19" s="975" t="s">
        <v>259</v>
      </c>
      <c r="D19" s="976">
        <v>0.06</v>
      </c>
      <c r="E19" s="976">
        <v>0.94</v>
      </c>
      <c r="F19" s="975" t="s">
        <v>259</v>
      </c>
      <c r="G19" s="976">
        <v>0.06</v>
      </c>
      <c r="H19" s="976">
        <v>0.94</v>
      </c>
      <c r="I19" s="975" t="s">
        <v>259</v>
      </c>
      <c r="J19" s="976">
        <v>0.06</v>
      </c>
      <c r="K19" s="976">
        <v>0.94</v>
      </c>
      <c r="L19" s="975" t="s">
        <v>259</v>
      </c>
      <c r="M19" s="976">
        <v>0.06</v>
      </c>
      <c r="N19" s="976">
        <v>0.94</v>
      </c>
      <c r="O19" s="975" t="s">
        <v>259</v>
      </c>
      <c r="P19" s="976">
        <v>0.06</v>
      </c>
      <c r="Q19" s="976">
        <v>0.94</v>
      </c>
      <c r="R19" s="975" t="s">
        <v>259</v>
      </c>
      <c r="S19" s="976">
        <v>0.06</v>
      </c>
      <c r="T19" s="976">
        <v>0.94</v>
      </c>
      <c r="U19" s="975" t="s">
        <v>259</v>
      </c>
      <c r="V19" s="976">
        <v>0.06</v>
      </c>
      <c r="W19" s="976">
        <v>0.94</v>
      </c>
      <c r="X19" s="975" t="s">
        <v>259</v>
      </c>
      <c r="Y19" s="976">
        <v>0.06</v>
      </c>
      <c r="Z19" s="976">
        <v>0.94</v>
      </c>
      <c r="AA19" s="975" t="s">
        <v>259</v>
      </c>
      <c r="AB19" s="976">
        <v>0.06</v>
      </c>
      <c r="AC19" s="976">
        <v>0.94</v>
      </c>
      <c r="AD19" s="975" t="s">
        <v>259</v>
      </c>
      <c r="AE19" s="976">
        <v>0.06</v>
      </c>
      <c r="AF19" s="976">
        <v>0.94</v>
      </c>
      <c r="AG19" s="860"/>
    </row>
    <row r="20" spans="1:33" x14ac:dyDescent="0.25">
      <c r="A20" s="874" t="s">
        <v>557</v>
      </c>
      <c r="B20" s="977"/>
      <c r="C20" s="978" t="e">
        <f>F82</f>
        <v>#DIV/0!</v>
      </c>
      <c r="D20" s="945" t="e">
        <f>C20*D19</f>
        <v>#DIV/0!</v>
      </c>
      <c r="E20" s="979" t="e">
        <f>C20*E19</f>
        <v>#DIV/0!</v>
      </c>
      <c r="F20" s="978" t="e">
        <f>G82</f>
        <v>#DIV/0!</v>
      </c>
      <c r="G20" s="945" t="e">
        <f>F20*G19</f>
        <v>#DIV/0!</v>
      </c>
      <c r="H20" s="979" t="e">
        <f>F20*H19</f>
        <v>#DIV/0!</v>
      </c>
      <c r="I20" s="978" t="e">
        <f>H82</f>
        <v>#DIV/0!</v>
      </c>
      <c r="J20" s="945" t="e">
        <f>I20*J19</f>
        <v>#DIV/0!</v>
      </c>
      <c r="K20" s="979" t="e">
        <f>I20*K19</f>
        <v>#DIV/0!</v>
      </c>
      <c r="L20" s="978" t="e">
        <f>I82</f>
        <v>#DIV/0!</v>
      </c>
      <c r="M20" s="945" t="e">
        <f>L20*M19</f>
        <v>#DIV/0!</v>
      </c>
      <c r="N20" s="979" t="e">
        <f>L20*N19</f>
        <v>#DIV/0!</v>
      </c>
      <c r="O20" s="978" t="e">
        <f>J82</f>
        <v>#DIV/0!</v>
      </c>
      <c r="P20" s="945" t="e">
        <f>O20*P19</f>
        <v>#DIV/0!</v>
      </c>
      <c r="Q20" s="979" t="e">
        <f>O20*Q19</f>
        <v>#DIV/0!</v>
      </c>
      <c r="R20" s="978" t="e">
        <f>K82</f>
        <v>#DIV/0!</v>
      </c>
      <c r="S20" s="945" t="e">
        <f>R20*S19</f>
        <v>#DIV/0!</v>
      </c>
      <c r="T20" s="979" t="e">
        <f>R20*T19</f>
        <v>#DIV/0!</v>
      </c>
      <c r="U20" s="978" t="e">
        <f>L82</f>
        <v>#DIV/0!</v>
      </c>
      <c r="V20" s="945" t="e">
        <f>U20*V19</f>
        <v>#DIV/0!</v>
      </c>
      <c r="W20" s="979" t="e">
        <f>U20*W19</f>
        <v>#DIV/0!</v>
      </c>
      <c r="X20" s="980" t="e">
        <f>M82</f>
        <v>#DIV/0!</v>
      </c>
      <c r="Y20" s="945" t="e">
        <f>X20*Y19</f>
        <v>#DIV/0!</v>
      </c>
      <c r="Z20" s="979" t="e">
        <f>X20*Z19</f>
        <v>#DIV/0!</v>
      </c>
      <c r="AA20" s="980" t="e">
        <f>N82</f>
        <v>#DIV/0!</v>
      </c>
      <c r="AB20" s="945" t="e">
        <f>AA20*AB19</f>
        <v>#DIV/0!</v>
      </c>
      <c r="AC20" s="979" t="e">
        <f>AA20*AC19</f>
        <v>#DIV/0!</v>
      </c>
      <c r="AD20" s="980" t="e">
        <f>O82</f>
        <v>#DIV/0!</v>
      </c>
      <c r="AE20" s="945" t="e">
        <f>AD20*AE19</f>
        <v>#DIV/0!</v>
      </c>
      <c r="AF20" s="979" t="e">
        <f>AD20*AF19</f>
        <v>#DIV/0!</v>
      </c>
      <c r="AG20" s="860"/>
    </row>
    <row r="21" spans="1:33" x14ac:dyDescent="0.25">
      <c r="A21" s="860" t="s">
        <v>603</v>
      </c>
      <c r="B21" s="981"/>
      <c r="C21" s="982">
        <f>'App.2-FA Proposed REG Invest.'!C64</f>
        <v>0</v>
      </c>
      <c r="D21" s="983">
        <f>C21</f>
        <v>0</v>
      </c>
      <c r="E21" s="984"/>
      <c r="F21" s="982">
        <f>'App.2-FA Proposed REG Invest.'!D64</f>
        <v>0</v>
      </c>
      <c r="G21" s="983">
        <f>F21</f>
        <v>0</v>
      </c>
      <c r="H21" s="984"/>
      <c r="I21" s="982">
        <f>'App.2-FA Proposed REG Invest.'!E64</f>
        <v>0</v>
      </c>
      <c r="J21" s="983">
        <f>I21</f>
        <v>0</v>
      </c>
      <c r="K21" s="984"/>
      <c r="L21" s="982">
        <f>'App.2-FA Proposed REG Invest.'!F64</f>
        <v>0</v>
      </c>
      <c r="M21" s="983">
        <f>L21</f>
        <v>0</v>
      </c>
      <c r="N21" s="984"/>
      <c r="O21" s="982">
        <f>'App.2-FA Proposed REG Invest.'!G64</f>
        <v>0</v>
      </c>
      <c r="P21" s="983">
        <f>O21</f>
        <v>0</v>
      </c>
      <c r="Q21" s="984"/>
      <c r="R21" s="982">
        <f>'App.2-FA Proposed REG Invest.'!H64</f>
        <v>0</v>
      </c>
      <c r="S21" s="983">
        <f>R21</f>
        <v>0</v>
      </c>
      <c r="T21" s="984"/>
      <c r="U21" s="982">
        <f>'App.2-FA Proposed REG Invest.'!I64</f>
        <v>0</v>
      </c>
      <c r="V21" s="983">
        <f>U21</f>
        <v>0</v>
      </c>
      <c r="W21" s="984"/>
      <c r="X21" s="982">
        <f>'App.2-FA Proposed REG Invest.'!J64</f>
        <v>0</v>
      </c>
      <c r="Y21" s="983">
        <f>X21</f>
        <v>0</v>
      </c>
      <c r="Z21" s="984"/>
      <c r="AA21" s="982">
        <f>'App.2-FA Proposed REG Invest.'!K64</f>
        <v>0</v>
      </c>
      <c r="AB21" s="983">
        <f>AA21</f>
        <v>0</v>
      </c>
      <c r="AC21" s="984"/>
      <c r="AD21" s="982">
        <f>'App.2-FA Proposed REG Invest.'!L64</f>
        <v>0</v>
      </c>
      <c r="AE21" s="983">
        <f>AD21</f>
        <v>0</v>
      </c>
      <c r="AF21" s="984"/>
      <c r="AG21" s="860"/>
    </row>
    <row r="22" spans="1:33" x14ac:dyDescent="0.25">
      <c r="A22" s="860" t="s">
        <v>558</v>
      </c>
      <c r="B22" s="981"/>
      <c r="C22" s="982">
        <f>'App.2-FA Proposed REG Invest.'!C63</f>
        <v>0</v>
      </c>
      <c r="D22" s="983">
        <f>C22*D19</f>
        <v>0</v>
      </c>
      <c r="E22" s="983">
        <f>C22*E19</f>
        <v>0</v>
      </c>
      <c r="F22" s="982">
        <f>'App.2-FA Proposed REG Invest.'!D63</f>
        <v>0</v>
      </c>
      <c r="G22" s="983">
        <f>F22*G19</f>
        <v>0</v>
      </c>
      <c r="H22" s="983">
        <f>F22*H19</f>
        <v>0</v>
      </c>
      <c r="I22" s="982">
        <f>'App.2-FA Proposed REG Invest.'!E63</f>
        <v>0</v>
      </c>
      <c r="J22" s="983">
        <f>I22*J19</f>
        <v>0</v>
      </c>
      <c r="K22" s="983">
        <f>I22*K19</f>
        <v>0</v>
      </c>
      <c r="L22" s="982">
        <f>'App.2-FA Proposed REG Invest.'!F63</f>
        <v>0</v>
      </c>
      <c r="M22" s="983">
        <f>L22*M19</f>
        <v>0</v>
      </c>
      <c r="N22" s="983">
        <f>L22*N19</f>
        <v>0</v>
      </c>
      <c r="O22" s="982">
        <f>'App.2-FA Proposed REG Invest.'!G63</f>
        <v>0</v>
      </c>
      <c r="P22" s="983">
        <f>O22*P19</f>
        <v>0</v>
      </c>
      <c r="Q22" s="983">
        <f>O22*Q19</f>
        <v>0</v>
      </c>
      <c r="R22" s="982">
        <f>'App.2-FA Proposed REG Invest.'!H63</f>
        <v>0</v>
      </c>
      <c r="S22" s="983">
        <f>R22*S19</f>
        <v>0</v>
      </c>
      <c r="T22" s="983">
        <f>R22*T19</f>
        <v>0</v>
      </c>
      <c r="U22" s="982">
        <f>'App.2-FA Proposed REG Invest.'!I63</f>
        <v>0</v>
      </c>
      <c r="V22" s="983">
        <f>U22*V19</f>
        <v>0</v>
      </c>
      <c r="W22" s="983">
        <f>U22*W19</f>
        <v>0</v>
      </c>
      <c r="X22" s="982">
        <f>'App.2-FA Proposed REG Invest.'!J63</f>
        <v>0</v>
      </c>
      <c r="Y22" s="983">
        <f>X22*Y19</f>
        <v>0</v>
      </c>
      <c r="Z22" s="983">
        <f>X22*Z19</f>
        <v>0</v>
      </c>
      <c r="AA22" s="982">
        <f>'App.2-FA Proposed REG Invest.'!K63</f>
        <v>0</v>
      </c>
      <c r="AB22" s="983">
        <f>AA22*AB19</f>
        <v>0</v>
      </c>
      <c r="AC22" s="983">
        <f>AA22*AC19</f>
        <v>0</v>
      </c>
      <c r="AD22" s="982">
        <f>'App.2-FA Proposed REG Invest.'!L63</f>
        <v>0</v>
      </c>
      <c r="AE22" s="983">
        <f>AD22*AE19</f>
        <v>0</v>
      </c>
      <c r="AF22" s="983">
        <f>AD22*AF19</f>
        <v>0</v>
      </c>
      <c r="AG22" s="860"/>
    </row>
    <row r="23" spans="1:33" x14ac:dyDescent="0.25">
      <c r="A23" s="860" t="s">
        <v>559</v>
      </c>
      <c r="B23" s="197"/>
      <c r="C23" s="985"/>
      <c r="D23" s="986">
        <f>(D21+D22)*$B$23</f>
        <v>0</v>
      </c>
      <c r="E23" s="987">
        <f>E22*$B$23</f>
        <v>0</v>
      </c>
      <c r="F23" s="985"/>
      <c r="G23" s="986">
        <f>(G21+G22)*$B$23</f>
        <v>0</v>
      </c>
      <c r="H23" s="987">
        <f>H22*$B$23</f>
        <v>0</v>
      </c>
      <c r="I23" s="985"/>
      <c r="J23" s="986">
        <f>(J21+J22)*$B$23</f>
        <v>0</v>
      </c>
      <c r="K23" s="987">
        <f>K22*$B$23</f>
        <v>0</v>
      </c>
      <c r="L23" s="985"/>
      <c r="M23" s="986">
        <f>(M21+M22)*$B$23</f>
        <v>0</v>
      </c>
      <c r="N23" s="987">
        <f>N22*$B$23</f>
        <v>0</v>
      </c>
      <c r="O23" s="985"/>
      <c r="P23" s="986">
        <f>(P21+P22)*$B$23</f>
        <v>0</v>
      </c>
      <c r="Q23" s="987">
        <f>Q22*$B$23</f>
        <v>0</v>
      </c>
      <c r="R23" s="985"/>
      <c r="S23" s="986">
        <f>(S21+S22)*$B$23</f>
        <v>0</v>
      </c>
      <c r="T23" s="987">
        <f>T22*$B$23</f>
        <v>0</v>
      </c>
      <c r="U23" s="985"/>
      <c r="V23" s="986">
        <f>(V21+V22)*$B$23</f>
        <v>0</v>
      </c>
      <c r="W23" s="987">
        <f>W22*$B$23</f>
        <v>0</v>
      </c>
      <c r="X23" s="985"/>
      <c r="Y23" s="986">
        <f>(Y21+Y22)*$B$23</f>
        <v>0</v>
      </c>
      <c r="Z23" s="987">
        <f>Z22*$B$23</f>
        <v>0</v>
      </c>
      <c r="AA23" s="985"/>
      <c r="AB23" s="986">
        <f>(AB21+AB22)*$B$23</f>
        <v>0</v>
      </c>
      <c r="AC23" s="987">
        <f>AC22*$B$23</f>
        <v>0</v>
      </c>
      <c r="AD23" s="985"/>
      <c r="AE23" s="986">
        <f>(AE21+AE22)*$B$23</f>
        <v>0</v>
      </c>
      <c r="AF23" s="987">
        <f>AF22*$B$23</f>
        <v>0</v>
      </c>
      <c r="AG23" s="860"/>
    </row>
    <row r="24" spans="1:33" x14ac:dyDescent="0.25">
      <c r="A24" s="874" t="s">
        <v>437</v>
      </c>
      <c r="B24" s="879"/>
      <c r="C24" s="860"/>
      <c r="D24" s="988" t="e">
        <f>SUM(D20+D23)</f>
        <v>#DIV/0!</v>
      </c>
      <c r="E24" s="988" t="e">
        <f>SUM(E20+E23)</f>
        <v>#DIV/0!</v>
      </c>
      <c r="F24" s="860"/>
      <c r="G24" s="988" t="e">
        <f>SUM(G20+G23)</f>
        <v>#DIV/0!</v>
      </c>
      <c r="H24" s="988" t="e">
        <f>SUM(H20+H23)</f>
        <v>#DIV/0!</v>
      </c>
      <c r="I24" s="860"/>
      <c r="J24" s="988" t="e">
        <f>SUM(J20+J23)</f>
        <v>#DIV/0!</v>
      </c>
      <c r="K24" s="988" t="e">
        <f>SUM(K20+K23)</f>
        <v>#DIV/0!</v>
      </c>
      <c r="L24" s="860"/>
      <c r="M24" s="988" t="e">
        <f>SUM(M20+M23)</f>
        <v>#DIV/0!</v>
      </c>
      <c r="N24" s="988" t="e">
        <f>SUM(N20+N23)</f>
        <v>#DIV/0!</v>
      </c>
      <c r="O24" s="860"/>
      <c r="P24" s="988" t="e">
        <f>SUM(P20+P23)</f>
        <v>#DIV/0!</v>
      </c>
      <c r="Q24" s="988" t="e">
        <f>SUM(Q20+Q23)</f>
        <v>#DIV/0!</v>
      </c>
      <c r="R24" s="860"/>
      <c r="S24" s="988" t="e">
        <f>SUM(S20+S23)</f>
        <v>#DIV/0!</v>
      </c>
      <c r="T24" s="988" t="e">
        <f>SUM(T20+T23)</f>
        <v>#DIV/0!</v>
      </c>
      <c r="U24" s="860"/>
      <c r="V24" s="988" t="e">
        <f>SUM(V20+V23)</f>
        <v>#DIV/0!</v>
      </c>
      <c r="W24" s="988" t="e">
        <f>SUM(W20+W23)</f>
        <v>#DIV/0!</v>
      </c>
      <c r="X24" s="860"/>
      <c r="Y24" s="988" t="e">
        <f>SUM(Y20+Y23)</f>
        <v>#DIV/0!</v>
      </c>
      <c r="Z24" s="988" t="e">
        <f>SUM(Z20+Z23)</f>
        <v>#DIV/0!</v>
      </c>
      <c r="AA24" s="860"/>
      <c r="AB24" s="988" t="e">
        <f>SUM(AB20+AB23)</f>
        <v>#DIV/0!</v>
      </c>
      <c r="AC24" s="988" t="e">
        <f>SUM(AC20+AC23)</f>
        <v>#DIV/0!</v>
      </c>
      <c r="AD24" s="860"/>
      <c r="AE24" s="988" t="e">
        <f>SUM(AE20+AE23)</f>
        <v>#DIV/0!</v>
      </c>
      <c r="AF24" s="988" t="e">
        <f>SUM(AF20+AF23)</f>
        <v>#DIV/0!</v>
      </c>
      <c r="AG24" s="860"/>
    </row>
    <row r="25" spans="1:33" x14ac:dyDescent="0.25">
      <c r="A25" s="860"/>
      <c r="B25" s="860"/>
      <c r="C25" s="860"/>
      <c r="D25" s="860"/>
      <c r="E25" s="860"/>
      <c r="F25" s="860"/>
      <c r="G25" s="860"/>
      <c r="H25" s="860"/>
      <c r="I25" s="860"/>
      <c r="J25" s="860"/>
      <c r="K25" s="860"/>
      <c r="L25" s="860"/>
      <c r="M25" s="860"/>
      <c r="N25" s="860"/>
      <c r="O25" s="860"/>
      <c r="P25" s="860"/>
      <c r="Q25" s="860"/>
      <c r="R25" s="860"/>
      <c r="S25" s="860"/>
      <c r="T25" s="860"/>
      <c r="U25" s="860"/>
      <c r="V25" s="860"/>
      <c r="W25" s="860"/>
      <c r="X25" s="860"/>
      <c r="Y25" s="860"/>
      <c r="Z25" s="860"/>
      <c r="AA25" s="860"/>
      <c r="AB25" s="860"/>
      <c r="AC25" s="860"/>
      <c r="AD25" s="860"/>
      <c r="AE25" s="860"/>
      <c r="AF25" s="860"/>
      <c r="AG25" s="860"/>
    </row>
    <row r="26" spans="1:33" x14ac:dyDescent="0.25">
      <c r="A26" s="860"/>
      <c r="B26" s="860"/>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0"/>
      <c r="AE26" s="860"/>
      <c r="AF26" s="860"/>
      <c r="AG26" s="860"/>
    </row>
    <row r="27" spans="1:33" x14ac:dyDescent="0.25">
      <c r="A27" s="860" t="s">
        <v>560</v>
      </c>
      <c r="B27" s="197"/>
      <c r="C27" s="977"/>
      <c r="D27" s="988" t="e">
        <f>D24*$B$27</f>
        <v>#DIV/0!</v>
      </c>
      <c r="E27" s="988" t="e">
        <f>E24*$B$27</f>
        <v>#DIV/0!</v>
      </c>
      <c r="F27" s="977"/>
      <c r="G27" s="988" t="e">
        <f>G24*$B$27</f>
        <v>#DIV/0!</v>
      </c>
      <c r="H27" s="988" t="e">
        <f>H24*$B$27</f>
        <v>#DIV/0!</v>
      </c>
      <c r="I27" s="977"/>
      <c r="J27" s="988" t="e">
        <f>J24*$B$27</f>
        <v>#DIV/0!</v>
      </c>
      <c r="K27" s="988" t="e">
        <f>K24*$B$27</f>
        <v>#DIV/0!</v>
      </c>
      <c r="L27" s="977"/>
      <c r="M27" s="988" t="e">
        <f>M24*$B$27</f>
        <v>#DIV/0!</v>
      </c>
      <c r="N27" s="988" t="e">
        <f>N24*$B$27</f>
        <v>#DIV/0!</v>
      </c>
      <c r="O27" s="977"/>
      <c r="P27" s="988" t="e">
        <f>P24*$B$27</f>
        <v>#DIV/0!</v>
      </c>
      <c r="Q27" s="988" t="e">
        <f>Q24*$B$27</f>
        <v>#DIV/0!</v>
      </c>
      <c r="R27" s="977"/>
      <c r="S27" s="988" t="e">
        <f>S24*$B$27</f>
        <v>#DIV/0!</v>
      </c>
      <c r="T27" s="988" t="e">
        <f>T24*$B$27</f>
        <v>#DIV/0!</v>
      </c>
      <c r="U27" s="977"/>
      <c r="V27" s="988" t="e">
        <f>V24*$B$27</f>
        <v>#DIV/0!</v>
      </c>
      <c r="W27" s="988" t="e">
        <f>W24*$B$27</f>
        <v>#DIV/0!</v>
      </c>
      <c r="X27" s="977"/>
      <c r="Y27" s="988" t="e">
        <f>Y24*$B$27</f>
        <v>#DIV/0!</v>
      </c>
      <c r="Z27" s="988" t="e">
        <f>Z24*$B$27</f>
        <v>#DIV/0!</v>
      </c>
      <c r="AA27" s="977"/>
      <c r="AB27" s="988" t="e">
        <f>AB24*$B$27</f>
        <v>#DIV/0!</v>
      </c>
      <c r="AC27" s="988" t="e">
        <f>AC24*$B$27</f>
        <v>#DIV/0!</v>
      </c>
      <c r="AD27" s="977"/>
      <c r="AE27" s="988" t="e">
        <f>AE24*$B$27</f>
        <v>#DIV/0!</v>
      </c>
      <c r="AF27" s="988" t="e">
        <f>AF24*$B$27</f>
        <v>#DIV/0!</v>
      </c>
      <c r="AG27" s="860"/>
    </row>
    <row r="28" spans="1:33" x14ac:dyDescent="0.25">
      <c r="A28" s="860" t="s">
        <v>561</v>
      </c>
      <c r="B28" s="197"/>
      <c r="C28" s="989"/>
      <c r="D28" s="988" t="e">
        <f>D24*$B$28</f>
        <v>#DIV/0!</v>
      </c>
      <c r="E28" s="988" t="e">
        <f>E24*$B$28</f>
        <v>#DIV/0!</v>
      </c>
      <c r="F28" s="989"/>
      <c r="G28" s="988" t="e">
        <f>G24*$B$28</f>
        <v>#DIV/0!</v>
      </c>
      <c r="H28" s="988" t="e">
        <f>H24*$B$28</f>
        <v>#DIV/0!</v>
      </c>
      <c r="I28" s="989"/>
      <c r="J28" s="988" t="e">
        <f>J24*$B$28</f>
        <v>#DIV/0!</v>
      </c>
      <c r="K28" s="988" t="e">
        <f>K24*$B$28</f>
        <v>#DIV/0!</v>
      </c>
      <c r="L28" s="989"/>
      <c r="M28" s="988" t="e">
        <f>M24*$B$28</f>
        <v>#DIV/0!</v>
      </c>
      <c r="N28" s="988" t="e">
        <f>N24*$B$28</f>
        <v>#DIV/0!</v>
      </c>
      <c r="O28" s="989"/>
      <c r="P28" s="988" t="e">
        <f>P24*$B$28</f>
        <v>#DIV/0!</v>
      </c>
      <c r="Q28" s="988" t="e">
        <f>Q24*$B$28</f>
        <v>#DIV/0!</v>
      </c>
      <c r="R28" s="989"/>
      <c r="S28" s="988" t="e">
        <f>S24*$B$28</f>
        <v>#DIV/0!</v>
      </c>
      <c r="T28" s="988" t="e">
        <f>T24*$B$28</f>
        <v>#DIV/0!</v>
      </c>
      <c r="U28" s="989"/>
      <c r="V28" s="988" t="e">
        <f>V24*$B$28</f>
        <v>#DIV/0!</v>
      </c>
      <c r="W28" s="988" t="e">
        <f>W24*$B$28</f>
        <v>#DIV/0!</v>
      </c>
      <c r="X28" s="989"/>
      <c r="Y28" s="988" t="e">
        <f>Y24*$B$28</f>
        <v>#DIV/0!</v>
      </c>
      <c r="Z28" s="988" t="e">
        <f>Z24*$B$28</f>
        <v>#DIV/0!</v>
      </c>
      <c r="AA28" s="989"/>
      <c r="AB28" s="988" t="e">
        <f>AB24*$B$28</f>
        <v>#DIV/0!</v>
      </c>
      <c r="AC28" s="988" t="e">
        <f>AC24*$B$28</f>
        <v>#DIV/0!</v>
      </c>
      <c r="AD28" s="989"/>
      <c r="AE28" s="988" t="e">
        <f>AE24*$B$28</f>
        <v>#DIV/0!</v>
      </c>
      <c r="AF28" s="988" t="e">
        <f>AF24*$B$28</f>
        <v>#DIV/0!</v>
      </c>
      <c r="AG28" s="860"/>
    </row>
    <row r="29" spans="1:33" x14ac:dyDescent="0.25">
      <c r="A29" s="860" t="s">
        <v>562</v>
      </c>
      <c r="B29" s="197"/>
      <c r="C29" s="990"/>
      <c r="D29" s="988" t="e">
        <f>D24*$B$29</f>
        <v>#DIV/0!</v>
      </c>
      <c r="E29" s="988" t="e">
        <f>E24*$B$29</f>
        <v>#DIV/0!</v>
      </c>
      <c r="F29" s="990"/>
      <c r="G29" s="988" t="e">
        <f>G24*$B$29</f>
        <v>#DIV/0!</v>
      </c>
      <c r="H29" s="988" t="e">
        <f>H24*$B$29</f>
        <v>#DIV/0!</v>
      </c>
      <c r="I29" s="990"/>
      <c r="J29" s="988" t="e">
        <f>J24*$B$29</f>
        <v>#DIV/0!</v>
      </c>
      <c r="K29" s="988" t="e">
        <f>K24*$B$29</f>
        <v>#DIV/0!</v>
      </c>
      <c r="L29" s="990"/>
      <c r="M29" s="988" t="e">
        <f>M24*$B$29</f>
        <v>#DIV/0!</v>
      </c>
      <c r="N29" s="988" t="e">
        <f>N24*$B$29</f>
        <v>#DIV/0!</v>
      </c>
      <c r="O29" s="990"/>
      <c r="P29" s="988" t="e">
        <f>P24*$B$29</f>
        <v>#DIV/0!</v>
      </c>
      <c r="Q29" s="988" t="e">
        <f>Q24*$B$29</f>
        <v>#DIV/0!</v>
      </c>
      <c r="R29" s="990"/>
      <c r="S29" s="988" t="e">
        <f>S24*$B$29</f>
        <v>#DIV/0!</v>
      </c>
      <c r="T29" s="988" t="e">
        <f>T24*$B$29</f>
        <v>#DIV/0!</v>
      </c>
      <c r="U29" s="990"/>
      <c r="V29" s="988" t="e">
        <f>V24*$B$29</f>
        <v>#DIV/0!</v>
      </c>
      <c r="W29" s="988" t="e">
        <f>W24*$B$29</f>
        <v>#DIV/0!</v>
      </c>
      <c r="X29" s="990"/>
      <c r="Y29" s="988" t="e">
        <f>Y24*$B$29</f>
        <v>#DIV/0!</v>
      </c>
      <c r="Z29" s="988" t="e">
        <f>Z24*$B$29</f>
        <v>#DIV/0!</v>
      </c>
      <c r="AA29" s="990"/>
      <c r="AB29" s="988" t="e">
        <f>AB24*$B$29</f>
        <v>#DIV/0!</v>
      </c>
      <c r="AC29" s="988" t="e">
        <f>AC24*$B$29</f>
        <v>#DIV/0!</v>
      </c>
      <c r="AD29" s="990"/>
      <c r="AE29" s="988" t="e">
        <f>AE24*$B$29</f>
        <v>#DIV/0!</v>
      </c>
      <c r="AF29" s="988" t="e">
        <f>AF24*$B$29</f>
        <v>#DIV/0!</v>
      </c>
      <c r="AG29" s="860"/>
    </row>
    <row r="30" spans="1:33" x14ac:dyDescent="0.25">
      <c r="A30" s="860"/>
      <c r="B30" s="860"/>
      <c r="C30" s="860"/>
      <c r="D30" s="991"/>
      <c r="E30" s="860"/>
      <c r="F30" s="860"/>
      <c r="G30" s="991"/>
      <c r="H30" s="860"/>
      <c r="I30" s="860"/>
      <c r="J30" s="991"/>
      <c r="K30" s="860"/>
      <c r="L30" s="860"/>
      <c r="M30" s="991"/>
      <c r="N30" s="860"/>
      <c r="O30" s="860"/>
      <c r="P30" s="991"/>
      <c r="Q30" s="860"/>
      <c r="R30" s="860"/>
      <c r="S30" s="991"/>
      <c r="T30" s="860"/>
      <c r="U30" s="860"/>
      <c r="V30" s="991"/>
      <c r="W30" s="860"/>
      <c r="X30" s="860"/>
      <c r="Y30" s="991"/>
      <c r="Z30" s="860"/>
      <c r="AA30" s="860"/>
      <c r="AB30" s="991"/>
      <c r="AC30" s="860"/>
      <c r="AD30" s="860"/>
      <c r="AE30" s="991"/>
      <c r="AF30" s="860"/>
      <c r="AG30" s="860"/>
    </row>
    <row r="31" spans="1:33" x14ac:dyDescent="0.25">
      <c r="A31" s="860" t="s">
        <v>563</v>
      </c>
      <c r="B31" s="197"/>
      <c r="C31" s="992"/>
      <c r="D31" s="988" t="e">
        <f t="shared" ref="D31:E33" si="0">D27*$B31</f>
        <v>#DIV/0!</v>
      </c>
      <c r="E31" s="988" t="e">
        <f t="shared" si="0"/>
        <v>#DIV/0!</v>
      </c>
      <c r="F31" s="992"/>
      <c r="G31" s="988" t="e">
        <f t="shared" ref="G31:H33" si="1">G27*$B31</f>
        <v>#DIV/0!</v>
      </c>
      <c r="H31" s="988" t="e">
        <f t="shared" si="1"/>
        <v>#DIV/0!</v>
      </c>
      <c r="I31" s="992"/>
      <c r="J31" s="988" t="e">
        <f t="shared" ref="J31:K33" si="2">J27*$B31</f>
        <v>#DIV/0!</v>
      </c>
      <c r="K31" s="988" t="e">
        <f t="shared" si="2"/>
        <v>#DIV/0!</v>
      </c>
      <c r="L31" s="992"/>
      <c r="M31" s="988" t="e">
        <f t="shared" ref="M31:N33" si="3">M27*$B31</f>
        <v>#DIV/0!</v>
      </c>
      <c r="N31" s="988" t="e">
        <f t="shared" si="3"/>
        <v>#DIV/0!</v>
      </c>
      <c r="O31" s="992"/>
      <c r="P31" s="988" t="e">
        <f t="shared" ref="P31:Q33" si="4">P27*$B31</f>
        <v>#DIV/0!</v>
      </c>
      <c r="Q31" s="988" t="e">
        <f t="shared" si="4"/>
        <v>#DIV/0!</v>
      </c>
      <c r="R31" s="992"/>
      <c r="S31" s="988" t="e">
        <f t="shared" ref="S31:T33" si="5">S27*$B31</f>
        <v>#DIV/0!</v>
      </c>
      <c r="T31" s="988" t="e">
        <f t="shared" si="5"/>
        <v>#DIV/0!</v>
      </c>
      <c r="U31" s="992"/>
      <c r="V31" s="988" t="e">
        <f t="shared" ref="V31:W33" si="6">V27*$B31</f>
        <v>#DIV/0!</v>
      </c>
      <c r="W31" s="988" t="e">
        <f t="shared" si="6"/>
        <v>#DIV/0!</v>
      </c>
      <c r="X31" s="992"/>
      <c r="Y31" s="988" t="e">
        <f t="shared" ref="Y31:Z33" si="7">Y27*$B31</f>
        <v>#DIV/0!</v>
      </c>
      <c r="Z31" s="988" t="e">
        <f t="shared" si="7"/>
        <v>#DIV/0!</v>
      </c>
      <c r="AA31" s="992"/>
      <c r="AB31" s="988" t="e">
        <f t="shared" ref="AB31:AC33" si="8">AB27*$B31</f>
        <v>#DIV/0!</v>
      </c>
      <c r="AC31" s="988" t="e">
        <f t="shared" si="8"/>
        <v>#DIV/0!</v>
      </c>
      <c r="AD31" s="992"/>
      <c r="AE31" s="988" t="e">
        <f t="shared" ref="AE31:AF33" si="9">AE27*$B31</f>
        <v>#DIV/0!</v>
      </c>
      <c r="AF31" s="988" t="e">
        <f t="shared" si="9"/>
        <v>#DIV/0!</v>
      </c>
      <c r="AG31" s="860"/>
    </row>
    <row r="32" spans="1:33" x14ac:dyDescent="0.25">
      <c r="A32" s="860" t="s">
        <v>564</v>
      </c>
      <c r="B32" s="197"/>
      <c r="C32" s="992"/>
      <c r="D32" s="988" t="e">
        <f t="shared" si="0"/>
        <v>#DIV/0!</v>
      </c>
      <c r="E32" s="988" t="e">
        <f t="shared" si="0"/>
        <v>#DIV/0!</v>
      </c>
      <c r="F32" s="992"/>
      <c r="G32" s="988" t="e">
        <f t="shared" si="1"/>
        <v>#DIV/0!</v>
      </c>
      <c r="H32" s="988" t="e">
        <f t="shared" si="1"/>
        <v>#DIV/0!</v>
      </c>
      <c r="I32" s="992"/>
      <c r="J32" s="988" t="e">
        <f t="shared" si="2"/>
        <v>#DIV/0!</v>
      </c>
      <c r="K32" s="988" t="e">
        <f t="shared" si="2"/>
        <v>#DIV/0!</v>
      </c>
      <c r="L32" s="992"/>
      <c r="M32" s="988" t="e">
        <f t="shared" si="3"/>
        <v>#DIV/0!</v>
      </c>
      <c r="N32" s="988" t="e">
        <f t="shared" si="3"/>
        <v>#DIV/0!</v>
      </c>
      <c r="O32" s="992"/>
      <c r="P32" s="988" t="e">
        <f t="shared" si="4"/>
        <v>#DIV/0!</v>
      </c>
      <c r="Q32" s="988" t="e">
        <f t="shared" si="4"/>
        <v>#DIV/0!</v>
      </c>
      <c r="R32" s="992"/>
      <c r="S32" s="988" t="e">
        <f t="shared" si="5"/>
        <v>#DIV/0!</v>
      </c>
      <c r="T32" s="988" t="e">
        <f t="shared" si="5"/>
        <v>#DIV/0!</v>
      </c>
      <c r="U32" s="992"/>
      <c r="V32" s="988" t="e">
        <f t="shared" si="6"/>
        <v>#DIV/0!</v>
      </c>
      <c r="W32" s="988" t="e">
        <f t="shared" si="6"/>
        <v>#DIV/0!</v>
      </c>
      <c r="X32" s="992"/>
      <c r="Y32" s="988" t="e">
        <f t="shared" si="7"/>
        <v>#DIV/0!</v>
      </c>
      <c r="Z32" s="988" t="e">
        <f t="shared" si="7"/>
        <v>#DIV/0!</v>
      </c>
      <c r="AA32" s="992"/>
      <c r="AB32" s="988" t="e">
        <f t="shared" si="8"/>
        <v>#DIV/0!</v>
      </c>
      <c r="AC32" s="988" t="e">
        <f t="shared" si="8"/>
        <v>#DIV/0!</v>
      </c>
      <c r="AD32" s="992"/>
      <c r="AE32" s="988" t="e">
        <f t="shared" si="9"/>
        <v>#DIV/0!</v>
      </c>
      <c r="AF32" s="988" t="e">
        <f t="shared" si="9"/>
        <v>#DIV/0!</v>
      </c>
      <c r="AG32" s="860"/>
    </row>
    <row r="33" spans="1:33" x14ac:dyDescent="0.25">
      <c r="A33" s="860" t="s">
        <v>565</v>
      </c>
      <c r="B33" s="197"/>
      <c r="C33" s="992"/>
      <c r="D33" s="988" t="e">
        <f t="shared" si="0"/>
        <v>#DIV/0!</v>
      </c>
      <c r="E33" s="988" t="e">
        <f t="shared" si="0"/>
        <v>#DIV/0!</v>
      </c>
      <c r="F33" s="992"/>
      <c r="G33" s="988" t="e">
        <f t="shared" si="1"/>
        <v>#DIV/0!</v>
      </c>
      <c r="H33" s="988" t="e">
        <f t="shared" si="1"/>
        <v>#DIV/0!</v>
      </c>
      <c r="I33" s="992"/>
      <c r="J33" s="988" t="e">
        <f t="shared" si="2"/>
        <v>#DIV/0!</v>
      </c>
      <c r="K33" s="988" t="e">
        <f t="shared" si="2"/>
        <v>#DIV/0!</v>
      </c>
      <c r="L33" s="992"/>
      <c r="M33" s="988" t="e">
        <f t="shared" si="3"/>
        <v>#DIV/0!</v>
      </c>
      <c r="N33" s="988" t="e">
        <f t="shared" si="3"/>
        <v>#DIV/0!</v>
      </c>
      <c r="O33" s="992"/>
      <c r="P33" s="988" t="e">
        <f t="shared" si="4"/>
        <v>#DIV/0!</v>
      </c>
      <c r="Q33" s="988" t="e">
        <f t="shared" si="4"/>
        <v>#DIV/0!</v>
      </c>
      <c r="R33" s="992"/>
      <c r="S33" s="988" t="e">
        <f t="shared" si="5"/>
        <v>#DIV/0!</v>
      </c>
      <c r="T33" s="988" t="e">
        <f t="shared" si="5"/>
        <v>#DIV/0!</v>
      </c>
      <c r="U33" s="992"/>
      <c r="V33" s="988" t="e">
        <f t="shared" si="6"/>
        <v>#DIV/0!</v>
      </c>
      <c r="W33" s="988" t="e">
        <f t="shared" si="6"/>
        <v>#DIV/0!</v>
      </c>
      <c r="X33" s="992"/>
      <c r="Y33" s="988" t="e">
        <f t="shared" si="7"/>
        <v>#DIV/0!</v>
      </c>
      <c r="Z33" s="988" t="e">
        <f t="shared" si="7"/>
        <v>#DIV/0!</v>
      </c>
      <c r="AA33" s="992"/>
      <c r="AB33" s="988" t="e">
        <f t="shared" si="8"/>
        <v>#DIV/0!</v>
      </c>
      <c r="AC33" s="988" t="e">
        <f t="shared" si="8"/>
        <v>#DIV/0!</v>
      </c>
      <c r="AD33" s="992"/>
      <c r="AE33" s="988" t="e">
        <f t="shared" si="9"/>
        <v>#DIV/0!</v>
      </c>
      <c r="AF33" s="988" t="e">
        <f t="shared" si="9"/>
        <v>#DIV/0!</v>
      </c>
      <c r="AG33" s="860"/>
    </row>
    <row r="34" spans="1:33" x14ac:dyDescent="0.25">
      <c r="A34" s="993" t="s">
        <v>566</v>
      </c>
      <c r="B34" s="860"/>
      <c r="C34" s="860"/>
      <c r="D34" s="994" t="e">
        <f>SUM(D31:D33)</f>
        <v>#DIV/0!</v>
      </c>
      <c r="E34" s="994" t="e">
        <f>SUM(E31:E33)</f>
        <v>#DIV/0!</v>
      </c>
      <c r="F34" s="860"/>
      <c r="G34" s="994" t="e">
        <f>SUM(G31:G33)</f>
        <v>#DIV/0!</v>
      </c>
      <c r="H34" s="994" t="e">
        <f>SUM(H31:H33)</f>
        <v>#DIV/0!</v>
      </c>
      <c r="I34" s="860"/>
      <c r="J34" s="994" t="e">
        <f>SUM(J31:J33)</f>
        <v>#DIV/0!</v>
      </c>
      <c r="K34" s="994" t="e">
        <f>SUM(K31:K33)</f>
        <v>#DIV/0!</v>
      </c>
      <c r="L34" s="860"/>
      <c r="M34" s="994" t="e">
        <f>SUM(M31:M33)</f>
        <v>#DIV/0!</v>
      </c>
      <c r="N34" s="994" t="e">
        <f>SUM(N31:N33)</f>
        <v>#DIV/0!</v>
      </c>
      <c r="O34" s="860"/>
      <c r="P34" s="994" t="e">
        <f>SUM(P31:P33)</f>
        <v>#DIV/0!</v>
      </c>
      <c r="Q34" s="994" t="e">
        <f>SUM(Q31:Q33)</f>
        <v>#DIV/0!</v>
      </c>
      <c r="R34" s="860"/>
      <c r="S34" s="994" t="e">
        <f>SUM(S31:S33)</f>
        <v>#DIV/0!</v>
      </c>
      <c r="T34" s="994" t="e">
        <f>SUM(T31:T33)</f>
        <v>#DIV/0!</v>
      </c>
      <c r="U34" s="860"/>
      <c r="V34" s="994" t="e">
        <f>SUM(V31:V33)</f>
        <v>#DIV/0!</v>
      </c>
      <c r="W34" s="994" t="e">
        <f>SUM(W31:W33)</f>
        <v>#DIV/0!</v>
      </c>
      <c r="X34" s="860"/>
      <c r="Y34" s="994" t="e">
        <f>SUM(Y31:Y33)</f>
        <v>#DIV/0!</v>
      </c>
      <c r="Z34" s="994" t="e">
        <f>SUM(Z31:Z33)</f>
        <v>#DIV/0!</v>
      </c>
      <c r="AA34" s="860"/>
      <c r="AB34" s="994" t="e">
        <f>SUM(AB31:AB33)</f>
        <v>#DIV/0!</v>
      </c>
      <c r="AC34" s="994" t="e">
        <f>SUM(AC31:AC33)</f>
        <v>#DIV/0!</v>
      </c>
      <c r="AD34" s="860"/>
      <c r="AE34" s="994" t="e">
        <f>SUM(AE31:AE33)</f>
        <v>#DIV/0!</v>
      </c>
      <c r="AF34" s="994" t="e">
        <f>SUM(AF31:AF33)</f>
        <v>#DIV/0!</v>
      </c>
      <c r="AG34" s="860"/>
    </row>
    <row r="35" spans="1:33" x14ac:dyDescent="0.25">
      <c r="A35" s="860"/>
      <c r="B35" s="860"/>
      <c r="C35" s="860"/>
      <c r="D35" s="860"/>
      <c r="E35" s="860"/>
      <c r="F35" s="860"/>
      <c r="G35" s="860"/>
      <c r="H35" s="860"/>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row>
    <row r="36" spans="1:33" x14ac:dyDescent="0.25">
      <c r="A36" s="860" t="s">
        <v>103</v>
      </c>
      <c r="B36" s="860"/>
      <c r="C36" s="860"/>
      <c r="D36" s="995">
        <f>D21+D22</f>
        <v>0</v>
      </c>
      <c r="E36" s="988">
        <f>E22</f>
        <v>0</v>
      </c>
      <c r="F36" s="860"/>
      <c r="G36" s="995">
        <f>G21+G22</f>
        <v>0</v>
      </c>
      <c r="H36" s="988">
        <f>H22</f>
        <v>0</v>
      </c>
      <c r="I36" s="860"/>
      <c r="J36" s="995">
        <f>J21+J22</f>
        <v>0</v>
      </c>
      <c r="K36" s="988">
        <f>K22</f>
        <v>0</v>
      </c>
      <c r="L36" s="860"/>
      <c r="M36" s="995">
        <f>M21+M22</f>
        <v>0</v>
      </c>
      <c r="N36" s="988">
        <f>N22</f>
        <v>0</v>
      </c>
      <c r="O36" s="860"/>
      <c r="P36" s="995">
        <f>P21+P22</f>
        <v>0</v>
      </c>
      <c r="Q36" s="988">
        <f>Q22</f>
        <v>0</v>
      </c>
      <c r="R36" s="860"/>
      <c r="S36" s="995">
        <f>S21+S22</f>
        <v>0</v>
      </c>
      <c r="T36" s="988">
        <f>T22</f>
        <v>0</v>
      </c>
      <c r="U36" s="860"/>
      <c r="V36" s="995">
        <f>V21+V22</f>
        <v>0</v>
      </c>
      <c r="W36" s="988">
        <f>W22</f>
        <v>0</v>
      </c>
      <c r="X36" s="860"/>
      <c r="Y36" s="995">
        <f>Y21+Y22</f>
        <v>0</v>
      </c>
      <c r="Z36" s="988">
        <f>Z22</f>
        <v>0</v>
      </c>
      <c r="AA36" s="879"/>
      <c r="AB36" s="995">
        <f>AB21+AB22</f>
        <v>0</v>
      </c>
      <c r="AC36" s="988">
        <f>AC22</f>
        <v>0</v>
      </c>
      <c r="AD36" s="860"/>
      <c r="AE36" s="995">
        <f>AE21+AE22</f>
        <v>0</v>
      </c>
      <c r="AF36" s="988">
        <f>AF22</f>
        <v>0</v>
      </c>
      <c r="AG36" s="860"/>
    </row>
    <row r="37" spans="1:33" x14ac:dyDescent="0.25">
      <c r="A37" s="860" t="s">
        <v>567</v>
      </c>
      <c r="B37" s="996"/>
      <c r="C37" s="945">
        <f>D77</f>
        <v>0</v>
      </c>
      <c r="D37" s="988">
        <f>C37*D$19</f>
        <v>0</v>
      </c>
      <c r="E37" s="988">
        <f>C37*E$19</f>
        <v>0</v>
      </c>
      <c r="F37" s="945" t="e">
        <f>G77</f>
        <v>#DIV/0!</v>
      </c>
      <c r="G37" s="988" t="e">
        <f>F37*G$19</f>
        <v>#DIV/0!</v>
      </c>
      <c r="H37" s="988" t="e">
        <f>F37*H$19</f>
        <v>#DIV/0!</v>
      </c>
      <c r="I37" s="945" t="e">
        <f>H77</f>
        <v>#DIV/0!</v>
      </c>
      <c r="J37" s="988" t="e">
        <f>I37*J$19</f>
        <v>#DIV/0!</v>
      </c>
      <c r="K37" s="988" t="e">
        <f>I37*K$19</f>
        <v>#DIV/0!</v>
      </c>
      <c r="L37" s="945" t="e">
        <f>I77</f>
        <v>#DIV/0!</v>
      </c>
      <c r="M37" s="988" t="e">
        <f>L37*M$19</f>
        <v>#DIV/0!</v>
      </c>
      <c r="N37" s="988" t="e">
        <f>L37*N$19</f>
        <v>#DIV/0!</v>
      </c>
      <c r="O37" s="945" t="e">
        <f>J77</f>
        <v>#DIV/0!</v>
      </c>
      <c r="P37" s="988" t="e">
        <f>O37*P$19</f>
        <v>#DIV/0!</v>
      </c>
      <c r="Q37" s="988" t="e">
        <f>O37*Q$19</f>
        <v>#DIV/0!</v>
      </c>
      <c r="R37" s="945" t="e">
        <f>K77</f>
        <v>#DIV/0!</v>
      </c>
      <c r="S37" s="988" t="e">
        <f>R37*S$19</f>
        <v>#DIV/0!</v>
      </c>
      <c r="T37" s="988" t="e">
        <f>R37*T$19</f>
        <v>#DIV/0!</v>
      </c>
      <c r="U37" s="997" t="e">
        <f>L76+L77</f>
        <v>#DIV/0!</v>
      </c>
      <c r="V37" s="988" t="e">
        <f>U37*V$19</f>
        <v>#DIV/0!</v>
      </c>
      <c r="W37" s="988" t="e">
        <f>U37*W$19</f>
        <v>#DIV/0!</v>
      </c>
      <c r="X37" s="997" t="e">
        <f>M76+M77</f>
        <v>#DIV/0!</v>
      </c>
      <c r="Y37" s="988" t="e">
        <f>X37*Y$19</f>
        <v>#DIV/0!</v>
      </c>
      <c r="Z37" s="988" t="e">
        <f>X37*Z$19</f>
        <v>#DIV/0!</v>
      </c>
      <c r="AA37" s="997" t="e">
        <f>N76+N77</f>
        <v>#DIV/0!</v>
      </c>
      <c r="AB37" s="988" t="e">
        <f>AA37*AB$19</f>
        <v>#DIV/0!</v>
      </c>
      <c r="AC37" s="988" t="e">
        <f>AA37*AC$19</f>
        <v>#DIV/0!</v>
      </c>
      <c r="AD37" s="997" t="e">
        <f>O76+O77</f>
        <v>#DIV/0!</v>
      </c>
      <c r="AE37" s="988" t="e">
        <f>AD37*AE$19</f>
        <v>#DIV/0!</v>
      </c>
      <c r="AF37" s="988" t="e">
        <f>AD37*AF$19</f>
        <v>#DIV/0!</v>
      </c>
      <c r="AG37" s="860"/>
    </row>
    <row r="38" spans="1:33" x14ac:dyDescent="0.25">
      <c r="A38" s="860" t="s">
        <v>568</v>
      </c>
      <c r="B38" s="996"/>
      <c r="C38" s="860"/>
      <c r="D38" s="945" t="e">
        <f>D65</f>
        <v>#DIV/0!</v>
      </c>
      <c r="E38" s="945" t="e">
        <f>E65</f>
        <v>#DIV/0!</v>
      </c>
      <c r="F38" s="860"/>
      <c r="G38" s="945" t="e">
        <f>G65</f>
        <v>#DIV/0!</v>
      </c>
      <c r="H38" s="945" t="e">
        <f>H65</f>
        <v>#DIV/0!</v>
      </c>
      <c r="I38" s="860"/>
      <c r="J38" s="945" t="e">
        <f>J65</f>
        <v>#DIV/0!</v>
      </c>
      <c r="K38" s="945" t="e">
        <f>K65</f>
        <v>#DIV/0!</v>
      </c>
      <c r="L38" s="860"/>
      <c r="M38" s="945" t="e">
        <f>M65</f>
        <v>#DIV/0!</v>
      </c>
      <c r="N38" s="945" t="e">
        <f>N65</f>
        <v>#DIV/0!</v>
      </c>
      <c r="O38" s="860"/>
      <c r="P38" s="945" t="e">
        <f>P65</f>
        <v>#DIV/0!</v>
      </c>
      <c r="Q38" s="945" t="e">
        <f>Q65</f>
        <v>#DIV/0!</v>
      </c>
      <c r="R38" s="860"/>
      <c r="S38" s="945" t="e">
        <f>S65</f>
        <v>#DIV/0!</v>
      </c>
      <c r="T38" s="945" t="e">
        <f>T65</f>
        <v>#DIV/0!</v>
      </c>
      <c r="U38" s="996"/>
      <c r="V38" s="945" t="e">
        <f>V65</f>
        <v>#DIV/0!</v>
      </c>
      <c r="W38" s="945" t="e">
        <f>W65</f>
        <v>#DIV/0!</v>
      </c>
      <c r="X38" s="996"/>
      <c r="Y38" s="945" t="e">
        <f>Y65</f>
        <v>#DIV/0!</v>
      </c>
      <c r="Z38" s="945" t="e">
        <f>Z65</f>
        <v>#DIV/0!</v>
      </c>
      <c r="AA38" s="996"/>
      <c r="AB38" s="945" t="e">
        <f>AB65</f>
        <v>#DIV/0!</v>
      </c>
      <c r="AC38" s="945" t="e">
        <f>AC65</f>
        <v>#DIV/0!</v>
      </c>
      <c r="AD38" s="996"/>
      <c r="AE38" s="945" t="e">
        <f>AE65</f>
        <v>#DIV/0!</v>
      </c>
      <c r="AF38" s="945" t="e">
        <f>AF65</f>
        <v>#DIV/0!</v>
      </c>
      <c r="AG38" s="860"/>
    </row>
    <row r="39" spans="1:33" x14ac:dyDescent="0.25">
      <c r="A39" s="860"/>
      <c r="B39" s="860"/>
      <c r="C39" s="860"/>
      <c r="D39" s="860"/>
      <c r="E39" s="860"/>
      <c r="F39" s="860"/>
      <c r="G39" s="860"/>
      <c r="H39" s="860"/>
      <c r="I39" s="860"/>
      <c r="J39" s="860"/>
      <c r="K39" s="860"/>
      <c r="L39" s="860"/>
      <c r="M39" s="860"/>
      <c r="N39" s="860"/>
      <c r="O39" s="860"/>
      <c r="P39" s="860"/>
      <c r="Q39" s="860"/>
      <c r="R39" s="860"/>
      <c r="S39" s="860"/>
      <c r="T39" s="860"/>
      <c r="U39" s="860"/>
      <c r="V39" s="860"/>
      <c r="W39" s="860"/>
      <c r="X39" s="860"/>
      <c r="Y39" s="860"/>
      <c r="Z39" s="860"/>
      <c r="AA39" s="860"/>
      <c r="AB39" s="860"/>
      <c r="AC39" s="860"/>
      <c r="AD39" s="860"/>
      <c r="AE39" s="860"/>
      <c r="AF39" s="860"/>
      <c r="AG39" s="860"/>
    </row>
    <row r="40" spans="1:33" ht="15.75" thickBot="1" x14ac:dyDescent="0.3">
      <c r="A40" s="874" t="s">
        <v>569</v>
      </c>
      <c r="B40" s="860"/>
      <c r="C40" s="860"/>
      <c r="D40" s="998" t="e">
        <f>SUM(D34:D38)</f>
        <v>#DIV/0!</v>
      </c>
      <c r="E40" s="998" t="e">
        <f>SUM(E34:E38)</f>
        <v>#DIV/0!</v>
      </c>
      <c r="F40" s="860"/>
      <c r="G40" s="998" t="e">
        <f>SUM(G34:G38)</f>
        <v>#DIV/0!</v>
      </c>
      <c r="H40" s="998" t="e">
        <f>SUM(H34:H38)</f>
        <v>#DIV/0!</v>
      </c>
      <c r="I40" s="860"/>
      <c r="J40" s="998" t="e">
        <f>SUM(J34:J38)</f>
        <v>#DIV/0!</v>
      </c>
      <c r="K40" s="998" t="e">
        <f>SUM(K34:K38)</f>
        <v>#DIV/0!</v>
      </c>
      <c r="L40" s="860"/>
      <c r="M40" s="998" t="e">
        <f>SUM(M34:M38)</f>
        <v>#DIV/0!</v>
      </c>
      <c r="N40" s="998" t="e">
        <f>SUM(N34:N38)</f>
        <v>#DIV/0!</v>
      </c>
      <c r="O40" s="860"/>
      <c r="P40" s="998" t="e">
        <f>SUM(P34:P38)</f>
        <v>#DIV/0!</v>
      </c>
      <c r="Q40" s="998" t="e">
        <f>SUM(Q34:Q38)</f>
        <v>#DIV/0!</v>
      </c>
      <c r="R40" s="860"/>
      <c r="S40" s="998" t="e">
        <f>SUM(S34:S38)</f>
        <v>#DIV/0!</v>
      </c>
      <c r="T40" s="998" t="e">
        <f>SUM(T34:T38)</f>
        <v>#DIV/0!</v>
      </c>
      <c r="U40" s="860"/>
      <c r="V40" s="998" t="e">
        <f>SUM(V34:V38)</f>
        <v>#DIV/0!</v>
      </c>
      <c r="W40" s="998" t="e">
        <f>SUM(W34:W38)</f>
        <v>#DIV/0!</v>
      </c>
      <c r="X40" s="860"/>
      <c r="Y40" s="998" t="e">
        <f>SUM(Y34:Y38)</f>
        <v>#DIV/0!</v>
      </c>
      <c r="Z40" s="998" t="e">
        <f>SUM(Z34:Z38)</f>
        <v>#DIV/0!</v>
      </c>
      <c r="AA40" s="860"/>
      <c r="AB40" s="998" t="e">
        <f>SUM(AB34:AB38)</f>
        <v>#DIV/0!</v>
      </c>
      <c r="AC40" s="998" t="e">
        <f>SUM(AC34:AC38)</f>
        <v>#DIV/0!</v>
      </c>
      <c r="AD40" s="860"/>
      <c r="AE40" s="998" t="e">
        <f>SUM(AE34:AE38)</f>
        <v>#DIV/0!</v>
      </c>
      <c r="AF40" s="998" t="e">
        <f>SUM(AF34:AF38)</f>
        <v>#DIV/0!</v>
      </c>
      <c r="AG40" s="860"/>
    </row>
    <row r="41" spans="1:33" x14ac:dyDescent="0.25">
      <c r="A41" s="860"/>
      <c r="B41" s="999"/>
      <c r="C41" s="860"/>
      <c r="D41" s="1000"/>
      <c r="E41" s="1000"/>
      <c r="F41" s="860"/>
      <c r="G41" s="1000"/>
      <c r="H41" s="1000"/>
      <c r="I41" s="860"/>
      <c r="J41" s="1000"/>
      <c r="K41" s="1000"/>
      <c r="L41" s="860"/>
      <c r="M41" s="1000"/>
      <c r="N41" s="1000"/>
      <c r="O41" s="860"/>
      <c r="P41" s="1000"/>
      <c r="Q41" s="1000"/>
      <c r="R41" s="860"/>
      <c r="S41" s="1000"/>
      <c r="T41" s="1000"/>
      <c r="U41" s="860"/>
      <c r="V41" s="1000"/>
      <c r="W41" s="1000"/>
      <c r="X41" s="860"/>
      <c r="Y41" s="1000"/>
      <c r="Z41" s="1000"/>
      <c r="AA41" s="860"/>
      <c r="AB41" s="1000"/>
      <c r="AC41" s="1000"/>
      <c r="AD41" s="860"/>
      <c r="AE41" s="1000"/>
      <c r="AF41" s="1000"/>
      <c r="AG41" s="860"/>
    </row>
    <row r="42" spans="1:33" x14ac:dyDescent="0.25">
      <c r="A42" s="860"/>
      <c r="B42" s="1001"/>
      <c r="C42" s="860"/>
      <c r="D42" s="988"/>
      <c r="E42" s="956"/>
      <c r="F42" s="860"/>
      <c r="G42" s="988"/>
      <c r="H42" s="956"/>
      <c r="I42" s="860"/>
      <c r="J42" s="988"/>
      <c r="K42" s="956"/>
      <c r="L42" s="860"/>
      <c r="M42" s="988"/>
      <c r="N42" s="956"/>
      <c r="O42" s="860"/>
      <c r="P42" s="988"/>
      <c r="Q42" s="956"/>
      <c r="R42" s="860"/>
      <c r="S42" s="988"/>
      <c r="T42" s="956"/>
      <c r="U42" s="988"/>
      <c r="V42" s="860"/>
      <c r="W42" s="988"/>
      <c r="X42" s="988"/>
      <c r="Y42" s="860"/>
      <c r="Z42" s="988"/>
      <c r="AA42" s="988"/>
      <c r="AB42" s="860"/>
      <c r="AC42" s="988"/>
      <c r="AD42" s="988"/>
      <c r="AE42" s="860"/>
      <c r="AF42" s="988"/>
      <c r="AG42" s="860"/>
    </row>
    <row r="43" spans="1:33" x14ac:dyDescent="0.25">
      <c r="A43" s="860" t="s">
        <v>570</v>
      </c>
      <c r="B43" s="1001"/>
      <c r="C43" s="860"/>
      <c r="D43" s="988"/>
      <c r="E43" s="1002" t="e">
        <f>E40</f>
        <v>#DIV/0!</v>
      </c>
      <c r="F43" s="860"/>
      <c r="G43" s="988"/>
      <c r="H43" s="1002" t="e">
        <f>H40</f>
        <v>#DIV/0!</v>
      </c>
      <c r="I43" s="860"/>
      <c r="J43" s="988"/>
      <c r="K43" s="1002" t="e">
        <f>K40</f>
        <v>#DIV/0!</v>
      </c>
      <c r="L43" s="860"/>
      <c r="M43" s="988"/>
      <c r="N43" s="1002" t="e">
        <f>N40</f>
        <v>#DIV/0!</v>
      </c>
      <c r="O43" s="860"/>
      <c r="P43" s="988"/>
      <c r="Q43" s="1002" t="e">
        <f>Q40</f>
        <v>#DIV/0!</v>
      </c>
      <c r="R43" s="860"/>
      <c r="S43" s="988"/>
      <c r="T43" s="1002" t="e">
        <f>T40</f>
        <v>#DIV/0!</v>
      </c>
      <c r="U43" s="988"/>
      <c r="V43" s="860"/>
      <c r="W43" s="1002" t="e">
        <f>W40</f>
        <v>#DIV/0!</v>
      </c>
      <c r="X43" s="988"/>
      <c r="Y43" s="860"/>
      <c r="Z43" s="1002" t="e">
        <f>Z40</f>
        <v>#DIV/0!</v>
      </c>
      <c r="AA43" s="988"/>
      <c r="AB43" s="860"/>
      <c r="AC43" s="1002" t="e">
        <f>AC40</f>
        <v>#DIV/0!</v>
      </c>
      <c r="AD43" s="988"/>
      <c r="AE43" s="860"/>
      <c r="AF43" s="1002" t="e">
        <f>AF40</f>
        <v>#DIV/0!</v>
      </c>
      <c r="AG43" s="860"/>
    </row>
    <row r="44" spans="1:33" x14ac:dyDescent="0.25">
      <c r="A44" s="860"/>
      <c r="B44" s="1003"/>
      <c r="C44" s="860"/>
      <c r="D44" s="1004"/>
      <c r="E44" s="956"/>
      <c r="F44" s="860"/>
      <c r="G44" s="1004"/>
      <c r="H44" s="956"/>
      <c r="I44" s="860"/>
      <c r="J44" s="1004"/>
      <c r="K44" s="956"/>
      <c r="L44" s="860"/>
      <c r="M44" s="1004"/>
      <c r="N44" s="956"/>
      <c r="O44" s="860"/>
      <c r="P44" s="1004"/>
      <c r="Q44" s="956"/>
      <c r="R44" s="860"/>
      <c r="S44" s="1004"/>
      <c r="T44" s="956"/>
      <c r="U44" s="860"/>
      <c r="V44" s="1005"/>
      <c r="W44" s="956"/>
      <c r="X44" s="860"/>
      <c r="Y44" s="1005"/>
      <c r="Z44" s="956"/>
      <c r="AA44" s="860"/>
      <c r="AB44" s="1005"/>
      <c r="AC44" s="956"/>
      <c r="AD44" s="860"/>
      <c r="AE44" s="1005"/>
      <c r="AF44" s="956"/>
      <c r="AG44" s="860"/>
    </row>
    <row r="45" spans="1:33" x14ac:dyDescent="0.25">
      <c r="A45" s="879" t="s">
        <v>767</v>
      </c>
      <c r="B45" s="860"/>
      <c r="C45" s="945"/>
      <c r="D45" s="945"/>
      <c r="E45" s="1002" t="e">
        <f>E43/12</f>
        <v>#DIV/0!</v>
      </c>
      <c r="F45" s="945"/>
      <c r="G45" s="945"/>
      <c r="H45" s="1002" t="e">
        <f>H43/12</f>
        <v>#DIV/0!</v>
      </c>
      <c r="I45" s="945"/>
      <c r="J45" s="945"/>
      <c r="K45" s="1002" t="e">
        <f>K43/12</f>
        <v>#DIV/0!</v>
      </c>
      <c r="L45" s="945"/>
      <c r="M45" s="945"/>
      <c r="N45" s="1002" t="e">
        <f>N43/12</f>
        <v>#DIV/0!</v>
      </c>
      <c r="O45" s="945"/>
      <c r="P45" s="945"/>
      <c r="Q45" s="1002" t="e">
        <f>Q43/12</f>
        <v>#DIV/0!</v>
      </c>
      <c r="R45" s="945"/>
      <c r="S45" s="945"/>
      <c r="T45" s="1002" t="e">
        <f>T43/12</f>
        <v>#DIV/0!</v>
      </c>
      <c r="U45" s="945"/>
      <c r="V45" s="860"/>
      <c r="W45" s="1002" t="e">
        <f>W43/12</f>
        <v>#DIV/0!</v>
      </c>
      <c r="X45" s="945"/>
      <c r="Y45" s="860"/>
      <c r="Z45" s="1002" t="e">
        <f>Z43/12</f>
        <v>#DIV/0!</v>
      </c>
      <c r="AA45" s="945"/>
      <c r="AB45" s="860"/>
      <c r="AC45" s="1002" t="e">
        <f>AC43/12</f>
        <v>#DIV/0!</v>
      </c>
      <c r="AD45" s="945"/>
      <c r="AE45" s="860"/>
      <c r="AF45" s="1002" t="e">
        <f>AF43/12</f>
        <v>#DIV/0!</v>
      </c>
      <c r="AG45" s="860"/>
    </row>
    <row r="46" spans="1:33" x14ac:dyDescent="0.25">
      <c r="A46" s="1405"/>
      <c r="B46" s="860"/>
      <c r="C46" s="860"/>
      <c r="D46" s="860"/>
      <c r="E46" s="860"/>
      <c r="F46" s="860"/>
      <c r="G46" s="860"/>
      <c r="H46" s="860"/>
      <c r="I46" s="860"/>
      <c r="J46" s="860"/>
      <c r="K46" s="860"/>
      <c r="L46" s="860"/>
      <c r="M46" s="860"/>
      <c r="N46" s="860"/>
      <c r="O46" s="860"/>
      <c r="P46" s="860"/>
      <c r="Q46" s="945"/>
      <c r="R46" s="945"/>
      <c r="S46" s="945"/>
      <c r="T46" s="1006"/>
      <c r="U46" s="945"/>
      <c r="V46" s="860"/>
      <c r="W46" s="945"/>
      <c r="X46" s="945"/>
      <c r="Y46" s="860"/>
      <c r="Z46" s="860"/>
      <c r="AA46" s="945"/>
      <c r="AB46" s="860"/>
      <c r="AC46" s="945"/>
      <c r="AD46" s="945"/>
      <c r="AE46" s="860"/>
      <c r="AF46" s="860"/>
      <c r="AG46" s="860"/>
    </row>
    <row r="47" spans="1:33" ht="12.75" customHeight="1" x14ac:dyDescent="0.25">
      <c r="A47" s="2053" t="s">
        <v>1342</v>
      </c>
      <c r="B47" s="2053"/>
      <c r="C47" s="2053"/>
      <c r="D47" s="2053"/>
      <c r="E47" s="2053"/>
      <c r="F47" s="2053"/>
      <c r="G47" s="2053"/>
      <c r="H47" s="2053"/>
      <c r="I47" s="2053"/>
      <c r="J47" s="2053"/>
      <c r="K47" s="2053"/>
      <c r="L47" s="2053"/>
      <c r="M47" s="2053"/>
      <c r="N47" s="2053"/>
      <c r="O47" s="2053"/>
      <c r="P47" s="1456"/>
      <c r="Q47" s="1456"/>
      <c r="R47" s="1456"/>
      <c r="S47" s="1456"/>
      <c r="T47" s="1456"/>
      <c r="U47" s="1456"/>
      <c r="V47" s="1456"/>
      <c r="W47" s="1456"/>
      <c r="X47" s="1456"/>
      <c r="Y47" s="1456"/>
      <c r="Z47" s="1456"/>
      <c r="AA47" s="860"/>
      <c r="AB47" s="860"/>
      <c r="AC47" s="860"/>
      <c r="AD47" s="860"/>
      <c r="AE47" s="860"/>
      <c r="AF47" s="860"/>
      <c r="AG47" s="860"/>
    </row>
    <row r="48" spans="1:33" ht="52.5" customHeight="1" x14ac:dyDescent="0.25">
      <c r="A48" s="2053"/>
      <c r="B48" s="2053"/>
      <c r="C48" s="2053"/>
      <c r="D48" s="2053"/>
      <c r="E48" s="2053"/>
      <c r="F48" s="2053"/>
      <c r="G48" s="2053"/>
      <c r="H48" s="2053"/>
      <c r="I48" s="2053"/>
      <c r="J48" s="2053"/>
      <c r="K48" s="2053"/>
      <c r="L48" s="2053"/>
      <c r="M48" s="2053"/>
      <c r="N48" s="2053"/>
      <c r="O48" s="2053"/>
      <c r="P48" s="1456"/>
      <c r="Q48" s="1456"/>
      <c r="R48" s="1456"/>
      <c r="S48" s="1456"/>
      <c r="T48" s="1456"/>
      <c r="U48" s="1456"/>
      <c r="V48" s="1456"/>
      <c r="W48" s="1456"/>
      <c r="X48" s="1456"/>
      <c r="Y48" s="1456"/>
      <c r="Z48" s="1456"/>
      <c r="AA48" s="860"/>
      <c r="AB48" s="860"/>
      <c r="AC48" s="860"/>
      <c r="AD48" s="860"/>
      <c r="AE48" s="860"/>
      <c r="AF48" s="860"/>
      <c r="AG48" s="860"/>
    </row>
    <row r="49" spans="1:33" ht="14.45" customHeight="1" x14ac:dyDescent="0.25">
      <c r="A49" s="1007" t="s">
        <v>1303</v>
      </c>
      <c r="B49" s="1358"/>
      <c r="C49" s="1358"/>
      <c r="D49" s="1358"/>
      <c r="E49" s="1358"/>
      <c r="F49" s="1358"/>
      <c r="G49" s="1358"/>
      <c r="H49" s="1358"/>
      <c r="I49" s="1358"/>
      <c r="J49" s="1358"/>
      <c r="K49" s="1358"/>
      <c r="L49" s="1358"/>
      <c r="M49" s="1358"/>
      <c r="N49" s="1358"/>
      <c r="O49" s="1358"/>
      <c r="P49" s="1358"/>
      <c r="Q49" s="1358"/>
      <c r="R49" s="1358"/>
      <c r="S49" s="1358"/>
      <c r="T49" s="1358"/>
      <c r="U49" s="1358"/>
      <c r="V49" s="1358"/>
      <c r="W49" s="1358"/>
      <c r="X49" s="1358"/>
      <c r="Y49" s="1358"/>
      <c r="Z49" s="1358"/>
      <c r="AA49" s="860"/>
      <c r="AB49" s="860"/>
      <c r="AC49" s="860"/>
      <c r="AD49" s="860"/>
      <c r="AE49" s="860"/>
      <c r="AF49" s="860"/>
      <c r="AG49" s="860"/>
    </row>
    <row r="50" spans="1:33" x14ac:dyDescent="0.25">
      <c r="A50" s="2056"/>
      <c r="B50" s="2056"/>
      <c r="C50" s="1041"/>
      <c r="D50" s="1008"/>
      <c r="E50" s="1008"/>
      <c r="F50" s="1008"/>
      <c r="G50" s="1008"/>
      <c r="H50" s="1008"/>
      <c r="I50" s="1008"/>
      <c r="J50" s="1008"/>
      <c r="K50" s="1008"/>
      <c r="L50" s="1008"/>
      <c r="M50" s="1008"/>
      <c r="N50" s="1008"/>
      <c r="O50" s="1008"/>
      <c r="P50" s="1008"/>
      <c r="Q50" s="1009"/>
      <c r="R50" s="1009"/>
      <c r="S50" s="1009"/>
      <c r="T50" s="1009"/>
      <c r="U50" s="956"/>
      <c r="V50" s="860"/>
      <c r="W50" s="860"/>
      <c r="X50" s="860"/>
      <c r="Y50" s="860"/>
      <c r="Z50" s="860"/>
      <c r="AA50" s="860"/>
      <c r="AB50" s="860"/>
      <c r="AC50" s="860"/>
      <c r="AD50" s="860"/>
      <c r="AE50" s="860"/>
      <c r="AF50" s="860"/>
      <c r="AG50" s="860"/>
    </row>
    <row r="51" spans="1:33" ht="16.5" thickBot="1" x14ac:dyDescent="0.3">
      <c r="A51" s="1010" t="s">
        <v>571</v>
      </c>
      <c r="B51" s="1008"/>
      <c r="C51" s="1008"/>
      <c r="D51" s="1008"/>
      <c r="E51" s="1008"/>
      <c r="F51" s="1008"/>
      <c r="G51" s="1008"/>
      <c r="H51" s="1008"/>
      <c r="I51" s="1008"/>
      <c r="J51" s="1008"/>
      <c r="K51" s="1008"/>
      <c r="L51" s="1008"/>
      <c r="M51" s="1008"/>
      <c r="N51" s="1008"/>
      <c r="O51" s="1008"/>
      <c r="P51" s="1008"/>
      <c r="Q51" s="1009"/>
      <c r="R51" s="1009"/>
      <c r="S51" s="1009"/>
      <c r="T51" s="1009"/>
      <c r="U51" s="956"/>
      <c r="V51" s="860"/>
      <c r="W51" s="860"/>
      <c r="X51" s="860"/>
      <c r="Y51" s="860"/>
      <c r="Z51" s="860"/>
      <c r="AA51" s="860"/>
      <c r="AB51" s="860"/>
      <c r="AC51" s="860"/>
      <c r="AD51" s="860"/>
      <c r="AE51" s="860"/>
      <c r="AF51" s="860"/>
      <c r="AG51" s="860"/>
    </row>
    <row r="52" spans="1:33" s="973" customFormat="1" ht="15.75" thickBot="1" x14ac:dyDescent="0.3">
      <c r="A52" s="1011"/>
      <c r="B52" s="1008"/>
      <c r="C52" s="1008"/>
      <c r="D52" s="2054">
        <f>F17-1</f>
        <v>2015</v>
      </c>
      <c r="E52" s="2055"/>
      <c r="F52" s="1008"/>
      <c r="G52" s="2054">
        <f>F17</f>
        <v>2016</v>
      </c>
      <c r="H52" s="2055"/>
      <c r="I52" s="972"/>
      <c r="J52" s="2054">
        <f>I17</f>
        <v>2017</v>
      </c>
      <c r="K52" s="2055"/>
      <c r="L52" s="972"/>
      <c r="M52" s="2054">
        <f>L17</f>
        <v>2018</v>
      </c>
      <c r="N52" s="2055"/>
      <c r="O52" s="972"/>
      <c r="P52" s="2054">
        <f>O17</f>
        <v>2019</v>
      </c>
      <c r="Q52" s="2055"/>
      <c r="R52" s="972"/>
      <c r="S52" s="2054" t="str">
        <f>R17</f>
        <v>2020 Test Year</v>
      </c>
      <c r="T52" s="2055"/>
      <c r="U52" s="972"/>
      <c r="V52" s="2054">
        <f>U17</f>
        <v>2021</v>
      </c>
      <c r="W52" s="2055"/>
      <c r="X52" s="972"/>
      <c r="Y52" s="2054">
        <f>X17</f>
        <v>2022</v>
      </c>
      <c r="Z52" s="2055"/>
      <c r="AA52" s="972"/>
      <c r="AB52" s="2054">
        <f>AA17</f>
        <v>2023</v>
      </c>
      <c r="AC52" s="2055"/>
      <c r="AD52" s="972"/>
      <c r="AE52" s="2054">
        <f>AD17</f>
        <v>2024</v>
      </c>
      <c r="AF52" s="2055"/>
      <c r="AG52" s="972"/>
    </row>
    <row r="53" spans="1:33" x14ac:dyDescent="0.25">
      <c r="A53" s="1012" t="s">
        <v>572</v>
      </c>
      <c r="B53" s="1008"/>
      <c r="C53" s="1008"/>
      <c r="D53" s="874" t="s">
        <v>555</v>
      </c>
      <c r="E53" s="942" t="s">
        <v>556</v>
      </c>
      <c r="F53" s="1008"/>
      <c r="G53" s="874" t="s">
        <v>555</v>
      </c>
      <c r="H53" s="942" t="s">
        <v>556</v>
      </c>
      <c r="I53" s="860"/>
      <c r="J53" s="874" t="s">
        <v>555</v>
      </c>
      <c r="K53" s="942" t="s">
        <v>556</v>
      </c>
      <c r="L53" s="860"/>
      <c r="M53" s="874" t="s">
        <v>555</v>
      </c>
      <c r="N53" s="942" t="s">
        <v>556</v>
      </c>
      <c r="O53" s="860"/>
      <c r="P53" s="874" t="s">
        <v>555</v>
      </c>
      <c r="Q53" s="942" t="s">
        <v>556</v>
      </c>
      <c r="R53" s="860"/>
      <c r="S53" s="874" t="s">
        <v>555</v>
      </c>
      <c r="T53" s="942" t="s">
        <v>556</v>
      </c>
      <c r="U53" s="860"/>
      <c r="V53" s="874" t="s">
        <v>555</v>
      </c>
      <c r="W53" s="942" t="s">
        <v>556</v>
      </c>
      <c r="X53" s="860"/>
      <c r="Y53" s="874" t="s">
        <v>555</v>
      </c>
      <c r="Z53" s="942" t="s">
        <v>556</v>
      </c>
      <c r="AA53" s="860"/>
      <c r="AB53" s="874" t="s">
        <v>555</v>
      </c>
      <c r="AC53" s="942" t="s">
        <v>556</v>
      </c>
      <c r="AD53" s="860"/>
      <c r="AE53" s="874" t="s">
        <v>555</v>
      </c>
      <c r="AF53" s="942" t="s">
        <v>556</v>
      </c>
      <c r="AG53" s="860"/>
    </row>
    <row r="54" spans="1:33" x14ac:dyDescent="0.25">
      <c r="A54" s="1013"/>
      <c r="B54" s="1008"/>
      <c r="C54" s="1008"/>
      <c r="D54" s="874"/>
      <c r="E54" s="942"/>
      <c r="F54" s="1008"/>
      <c r="G54" s="874"/>
      <c r="H54" s="942"/>
      <c r="I54" s="975"/>
      <c r="J54" s="874"/>
      <c r="K54" s="942"/>
      <c r="L54" s="975"/>
      <c r="M54" s="874"/>
      <c r="N54" s="942"/>
      <c r="O54" s="975"/>
      <c r="P54" s="874"/>
      <c r="Q54" s="942"/>
      <c r="R54" s="975"/>
      <c r="S54" s="874"/>
      <c r="T54" s="942"/>
      <c r="U54" s="975"/>
      <c r="V54" s="874"/>
      <c r="W54" s="942"/>
      <c r="X54" s="975"/>
      <c r="Y54" s="874"/>
      <c r="Z54" s="942"/>
      <c r="AA54" s="975" t="s">
        <v>259</v>
      </c>
      <c r="AB54" s="874"/>
      <c r="AC54" s="942"/>
      <c r="AD54" s="975" t="s">
        <v>259</v>
      </c>
      <c r="AE54" s="874"/>
      <c r="AF54" s="942"/>
      <c r="AG54" s="860"/>
    </row>
    <row r="55" spans="1:33" x14ac:dyDescent="0.25">
      <c r="A55" s="1014" t="s">
        <v>573</v>
      </c>
      <c r="B55" s="1008"/>
      <c r="C55" s="1008"/>
      <c r="D55" s="959" t="e">
        <f>D33</f>
        <v>#DIV/0!</v>
      </c>
      <c r="E55" s="1015" t="e">
        <f>E33</f>
        <v>#DIV/0!</v>
      </c>
      <c r="F55" s="1008"/>
      <c r="G55" s="959" t="e">
        <f>G33</f>
        <v>#DIV/0!</v>
      </c>
      <c r="H55" s="1015" t="e">
        <f>H33</f>
        <v>#DIV/0!</v>
      </c>
      <c r="I55" s="959"/>
      <c r="J55" s="959" t="e">
        <f>J33</f>
        <v>#DIV/0!</v>
      </c>
      <c r="K55" s="1015" t="e">
        <f>K33</f>
        <v>#DIV/0!</v>
      </c>
      <c r="L55" s="959"/>
      <c r="M55" s="959" t="e">
        <f>M33</f>
        <v>#DIV/0!</v>
      </c>
      <c r="N55" s="1015" t="e">
        <f>N33</f>
        <v>#DIV/0!</v>
      </c>
      <c r="O55" s="959"/>
      <c r="P55" s="959" t="e">
        <f>P33</f>
        <v>#DIV/0!</v>
      </c>
      <c r="Q55" s="1015" t="e">
        <f>Q33</f>
        <v>#DIV/0!</v>
      </c>
      <c r="R55" s="959"/>
      <c r="S55" s="959" t="e">
        <f>S33</f>
        <v>#DIV/0!</v>
      </c>
      <c r="T55" s="1015" t="e">
        <f>T33</f>
        <v>#DIV/0!</v>
      </c>
      <c r="U55" s="959"/>
      <c r="V55" s="959" t="e">
        <f>V33</f>
        <v>#DIV/0!</v>
      </c>
      <c r="W55" s="1015" t="e">
        <f>W33</f>
        <v>#DIV/0!</v>
      </c>
      <c r="X55" s="959"/>
      <c r="Y55" s="959" t="e">
        <f>Y33</f>
        <v>#DIV/0!</v>
      </c>
      <c r="Z55" s="1015" t="e">
        <f>Z33</f>
        <v>#DIV/0!</v>
      </c>
      <c r="AA55" s="959"/>
      <c r="AB55" s="959" t="e">
        <f>AB33</f>
        <v>#DIV/0!</v>
      </c>
      <c r="AC55" s="1015" t="e">
        <f>AC33</f>
        <v>#DIV/0!</v>
      </c>
      <c r="AD55" s="959"/>
      <c r="AE55" s="959" t="e">
        <f>AE33</f>
        <v>#DIV/0!</v>
      </c>
      <c r="AF55" s="1015" t="e">
        <f>AF33</f>
        <v>#DIV/0!</v>
      </c>
      <c r="AG55" s="860"/>
    </row>
    <row r="56" spans="1:33" x14ac:dyDescent="0.25">
      <c r="A56" s="1014" t="s">
        <v>574</v>
      </c>
      <c r="B56" s="1008"/>
      <c r="C56" s="1008"/>
      <c r="D56" s="980">
        <f>D37</f>
        <v>0</v>
      </c>
      <c r="E56" s="980">
        <f>E37</f>
        <v>0</v>
      </c>
      <c r="F56" s="1008"/>
      <c r="G56" s="980" t="e">
        <f>G37</f>
        <v>#DIV/0!</v>
      </c>
      <c r="H56" s="980" t="e">
        <f>H37</f>
        <v>#DIV/0!</v>
      </c>
      <c r="I56" s="958"/>
      <c r="J56" s="980" t="e">
        <f>J37</f>
        <v>#DIV/0!</v>
      </c>
      <c r="K56" s="980" t="e">
        <f>K37</f>
        <v>#DIV/0!</v>
      </c>
      <c r="L56" s="958"/>
      <c r="M56" s="980" t="e">
        <f>M37</f>
        <v>#DIV/0!</v>
      </c>
      <c r="N56" s="980" t="e">
        <f>N37</f>
        <v>#DIV/0!</v>
      </c>
      <c r="O56" s="958"/>
      <c r="P56" s="980" t="e">
        <f>P37</f>
        <v>#DIV/0!</v>
      </c>
      <c r="Q56" s="980" t="e">
        <f>Q37</f>
        <v>#DIV/0!</v>
      </c>
      <c r="R56" s="958"/>
      <c r="S56" s="980" t="e">
        <f>S37</f>
        <v>#DIV/0!</v>
      </c>
      <c r="T56" s="980" t="e">
        <f>T37</f>
        <v>#DIV/0!</v>
      </c>
      <c r="U56" s="958"/>
      <c r="V56" s="980" t="e">
        <f>V37</f>
        <v>#DIV/0!</v>
      </c>
      <c r="W56" s="980" t="e">
        <f>W37</f>
        <v>#DIV/0!</v>
      </c>
      <c r="X56" s="958"/>
      <c r="Y56" s="980" t="e">
        <f>Y37</f>
        <v>#DIV/0!</v>
      </c>
      <c r="Z56" s="980" t="e">
        <f>Z37</f>
        <v>#DIV/0!</v>
      </c>
      <c r="AA56" s="958"/>
      <c r="AB56" s="980" t="e">
        <f>AB37</f>
        <v>#DIV/0!</v>
      </c>
      <c r="AC56" s="980" t="e">
        <f>AC37</f>
        <v>#DIV/0!</v>
      </c>
      <c r="AD56" s="958"/>
      <c r="AE56" s="980" t="e">
        <f>AE37</f>
        <v>#DIV/0!</v>
      </c>
      <c r="AF56" s="980" t="e">
        <f>AF37</f>
        <v>#DIV/0!</v>
      </c>
      <c r="AG56" s="860"/>
    </row>
    <row r="57" spans="1:33" x14ac:dyDescent="0.25">
      <c r="A57" s="1014" t="s">
        <v>575</v>
      </c>
      <c r="B57" s="1008"/>
      <c r="C57" s="1008"/>
      <c r="D57" s="958">
        <f>-D94*D$19</f>
        <v>0</v>
      </c>
      <c r="E57" s="958">
        <f>-D94*E$19</f>
        <v>0</v>
      </c>
      <c r="F57" s="1008"/>
      <c r="G57" s="958">
        <f>-G94*G$19</f>
        <v>0</v>
      </c>
      <c r="H57" s="958">
        <f>-G94*H$19</f>
        <v>0</v>
      </c>
      <c r="I57" s="958"/>
      <c r="J57" s="958">
        <f>-H94*J19</f>
        <v>0</v>
      </c>
      <c r="K57" s="958">
        <f>-H94*K$19</f>
        <v>0</v>
      </c>
      <c r="L57" s="958"/>
      <c r="M57" s="958">
        <f>-I94*M$19</f>
        <v>0</v>
      </c>
      <c r="N57" s="958">
        <f>-I94*N$19</f>
        <v>0</v>
      </c>
      <c r="O57" s="958"/>
      <c r="P57" s="958">
        <f>-J94*P$19</f>
        <v>0</v>
      </c>
      <c r="Q57" s="958">
        <f>-J94*Q$19</f>
        <v>0</v>
      </c>
      <c r="R57" s="958"/>
      <c r="S57" s="958">
        <f>-K94*S$19</f>
        <v>0</v>
      </c>
      <c r="T57" s="958">
        <f>-K94*T$19</f>
        <v>0</v>
      </c>
      <c r="U57" s="958"/>
      <c r="V57" s="958">
        <f>-L94*V$19</f>
        <v>0</v>
      </c>
      <c r="W57" s="958">
        <f>-L94*W$19</f>
        <v>0</v>
      </c>
      <c r="X57" s="958"/>
      <c r="Y57" s="958">
        <f>-M94*Y$19</f>
        <v>0</v>
      </c>
      <c r="Z57" s="958">
        <f>-M94*Z$19</f>
        <v>0</v>
      </c>
      <c r="AA57" s="1016"/>
      <c r="AB57" s="958">
        <f>-N94*AB$19</f>
        <v>0</v>
      </c>
      <c r="AC57" s="958">
        <f>-N94*AC$19</f>
        <v>0</v>
      </c>
      <c r="AD57" s="958"/>
      <c r="AE57" s="958">
        <f>-O94*AE$19</f>
        <v>0</v>
      </c>
      <c r="AF57" s="958">
        <f>-O94*AF$19</f>
        <v>0</v>
      </c>
      <c r="AG57" s="860"/>
    </row>
    <row r="58" spans="1:33" x14ac:dyDescent="0.25">
      <c r="A58" s="1013" t="s">
        <v>576</v>
      </c>
      <c r="B58" s="1008"/>
      <c r="C58" s="1008"/>
      <c r="D58" s="1017" t="e">
        <f>SUM(D55:D57)</f>
        <v>#DIV/0!</v>
      </c>
      <c r="E58" s="1017" t="e">
        <f>SUM(E55:E57)</f>
        <v>#DIV/0!</v>
      </c>
      <c r="F58" s="1008"/>
      <c r="G58" s="1017" t="e">
        <f>SUM(G55:G57)</f>
        <v>#DIV/0!</v>
      </c>
      <c r="H58" s="1017" t="e">
        <f>SUM(H55:H57)</f>
        <v>#DIV/0!</v>
      </c>
      <c r="I58" s="958"/>
      <c r="J58" s="1017" t="e">
        <f>SUM(J55:J57)</f>
        <v>#DIV/0!</v>
      </c>
      <c r="K58" s="1017" t="e">
        <f>SUM(K55:K57)</f>
        <v>#DIV/0!</v>
      </c>
      <c r="L58" s="958"/>
      <c r="M58" s="1017" t="e">
        <f>SUM(M55:M57)</f>
        <v>#DIV/0!</v>
      </c>
      <c r="N58" s="1017" t="e">
        <f>SUM(N55:N57)</f>
        <v>#DIV/0!</v>
      </c>
      <c r="O58" s="958"/>
      <c r="P58" s="1017" t="e">
        <f>SUM(P55:P57)</f>
        <v>#DIV/0!</v>
      </c>
      <c r="Q58" s="1017" t="e">
        <f>SUM(Q55:Q57)</f>
        <v>#DIV/0!</v>
      </c>
      <c r="R58" s="958"/>
      <c r="S58" s="1017" t="e">
        <f>SUM(S55:S57)</f>
        <v>#DIV/0!</v>
      </c>
      <c r="T58" s="1017" t="e">
        <f>SUM(T55:T57)</f>
        <v>#DIV/0!</v>
      </c>
      <c r="U58" s="958"/>
      <c r="V58" s="1017" t="e">
        <f>SUM(V55:V57)</f>
        <v>#DIV/0!</v>
      </c>
      <c r="W58" s="1017" t="e">
        <f>SUM(W55:W57)</f>
        <v>#DIV/0!</v>
      </c>
      <c r="X58" s="958"/>
      <c r="Y58" s="1017" t="e">
        <f>SUM(Y55:Y57)</f>
        <v>#DIV/0!</v>
      </c>
      <c r="Z58" s="1017" t="e">
        <f>SUM(Z55:Z57)</f>
        <v>#DIV/0!</v>
      </c>
      <c r="AA58" s="1016"/>
      <c r="AB58" s="1017" t="e">
        <f>SUM(AB55:AB57)</f>
        <v>#DIV/0!</v>
      </c>
      <c r="AC58" s="1017" t="e">
        <f>SUM(AC55:AC57)</f>
        <v>#DIV/0!</v>
      </c>
      <c r="AD58" s="958"/>
      <c r="AE58" s="1017" t="e">
        <f>SUM(AE55:AE57)</f>
        <v>#DIV/0!</v>
      </c>
      <c r="AF58" s="1017" t="e">
        <f>SUM(AF55:AF57)</f>
        <v>#DIV/0!</v>
      </c>
      <c r="AG58" s="860"/>
    </row>
    <row r="59" spans="1:33" x14ac:dyDescent="0.25">
      <c r="A59" s="1014"/>
      <c r="B59" s="1008"/>
      <c r="C59" s="1008"/>
      <c r="D59" s="958"/>
      <c r="E59" s="958"/>
      <c r="F59" s="1008"/>
      <c r="G59" s="958"/>
      <c r="H59" s="958"/>
      <c r="I59" s="958"/>
      <c r="J59" s="958"/>
      <c r="K59" s="958"/>
      <c r="L59" s="958"/>
      <c r="M59" s="958"/>
      <c r="N59" s="958"/>
      <c r="O59" s="958"/>
      <c r="P59" s="958"/>
      <c r="Q59" s="958"/>
      <c r="R59" s="958"/>
      <c r="S59" s="958"/>
      <c r="T59" s="958"/>
      <c r="U59" s="958"/>
      <c r="V59" s="958"/>
      <c r="W59" s="958"/>
      <c r="X59" s="958"/>
      <c r="Y59" s="958"/>
      <c r="Z59" s="958"/>
      <c r="AA59" s="1016"/>
      <c r="AB59" s="958"/>
      <c r="AC59" s="958"/>
      <c r="AD59" s="958"/>
      <c r="AE59" s="958"/>
      <c r="AF59" s="958"/>
      <c r="AG59" s="860"/>
    </row>
    <row r="60" spans="1:33" x14ac:dyDescent="0.25">
      <c r="A60" s="1014" t="s">
        <v>577</v>
      </c>
      <c r="B60" s="1009"/>
      <c r="C60" s="1009"/>
      <c r="D60" s="191"/>
      <c r="E60" s="191"/>
      <c r="F60" s="1009"/>
      <c r="G60" s="191"/>
      <c r="H60" s="191"/>
      <c r="I60" s="1016"/>
      <c r="J60" s="191"/>
      <c r="K60" s="191"/>
      <c r="L60" s="1016"/>
      <c r="M60" s="191"/>
      <c r="N60" s="191"/>
      <c r="O60" s="1016"/>
      <c r="P60" s="191"/>
      <c r="Q60" s="191"/>
      <c r="R60" s="1016"/>
      <c r="S60" s="191"/>
      <c r="T60" s="191"/>
      <c r="U60" s="1016"/>
      <c r="V60" s="191"/>
      <c r="W60" s="191"/>
      <c r="X60" s="1016"/>
      <c r="Y60" s="191"/>
      <c r="Z60" s="191"/>
      <c r="AA60" s="1016"/>
      <c r="AB60" s="191"/>
      <c r="AC60" s="191"/>
      <c r="AD60" s="958"/>
      <c r="AE60" s="191"/>
      <c r="AF60" s="191"/>
      <c r="AG60" s="860"/>
    </row>
    <row r="61" spans="1:33" x14ac:dyDescent="0.25">
      <c r="A61" s="860"/>
      <c r="B61" s="860"/>
      <c r="C61" s="860"/>
      <c r="D61" s="860"/>
      <c r="E61" s="860"/>
      <c r="F61" s="860"/>
      <c r="G61" s="860"/>
      <c r="H61" s="860"/>
      <c r="I61" s="860"/>
      <c r="J61" s="860"/>
      <c r="K61" s="860"/>
      <c r="L61" s="860"/>
      <c r="M61" s="860"/>
      <c r="N61" s="860"/>
      <c r="O61" s="860"/>
      <c r="P61" s="860"/>
      <c r="Q61" s="860"/>
      <c r="R61" s="860"/>
      <c r="S61" s="860"/>
      <c r="T61" s="860"/>
      <c r="U61" s="860"/>
      <c r="V61" s="860"/>
      <c r="W61" s="860"/>
      <c r="X61" s="860"/>
      <c r="Y61" s="860"/>
      <c r="Z61" s="860"/>
      <c r="AA61" s="860"/>
      <c r="AB61" s="860"/>
      <c r="AC61" s="860"/>
      <c r="AD61" s="860"/>
      <c r="AE61" s="860"/>
      <c r="AF61" s="860"/>
      <c r="AG61" s="860"/>
    </row>
    <row r="62" spans="1:33" x14ac:dyDescent="0.25">
      <c r="A62" s="1014" t="s">
        <v>578</v>
      </c>
      <c r="B62" s="1008"/>
      <c r="C62" s="1008"/>
      <c r="D62" s="1018" t="e">
        <f>D58*D60</f>
        <v>#DIV/0!</v>
      </c>
      <c r="E62" s="1018" t="e">
        <f>E58*E60</f>
        <v>#DIV/0!</v>
      </c>
      <c r="F62" s="1008"/>
      <c r="G62" s="1018" t="e">
        <f>G58*G60</f>
        <v>#DIV/0!</v>
      </c>
      <c r="H62" s="1018" t="e">
        <f>H58*H60</f>
        <v>#DIV/0!</v>
      </c>
      <c r="I62" s="958"/>
      <c r="J62" s="1018" t="e">
        <f>J58*J60</f>
        <v>#DIV/0!</v>
      </c>
      <c r="K62" s="1018" t="e">
        <f>K58*K60</f>
        <v>#DIV/0!</v>
      </c>
      <c r="L62" s="958"/>
      <c r="M62" s="1018" t="e">
        <f>M58*M60</f>
        <v>#DIV/0!</v>
      </c>
      <c r="N62" s="1018" t="e">
        <f>N58*N60</f>
        <v>#DIV/0!</v>
      </c>
      <c r="O62" s="958"/>
      <c r="P62" s="1018" t="e">
        <f>P58*P60</f>
        <v>#DIV/0!</v>
      </c>
      <c r="Q62" s="1018" t="e">
        <f>Q58*Q60</f>
        <v>#DIV/0!</v>
      </c>
      <c r="R62" s="958"/>
      <c r="S62" s="1018" t="e">
        <f>S58*S60</f>
        <v>#DIV/0!</v>
      </c>
      <c r="T62" s="1018" t="e">
        <f>T58*T60</f>
        <v>#DIV/0!</v>
      </c>
      <c r="U62" s="958"/>
      <c r="V62" s="1018" t="e">
        <f>V58*V60</f>
        <v>#DIV/0!</v>
      </c>
      <c r="W62" s="1018" t="e">
        <f>W58*W60</f>
        <v>#DIV/0!</v>
      </c>
      <c r="X62" s="958"/>
      <c r="Y62" s="1018" t="e">
        <f>Y58*Y60</f>
        <v>#DIV/0!</v>
      </c>
      <c r="Z62" s="1018" t="e">
        <f>Z58*Z60</f>
        <v>#DIV/0!</v>
      </c>
      <c r="AA62" s="958"/>
      <c r="AB62" s="1018" t="e">
        <f>AB58*AB60</f>
        <v>#DIV/0!</v>
      </c>
      <c r="AC62" s="1018" t="e">
        <f>AC58*AC60</f>
        <v>#DIV/0!</v>
      </c>
      <c r="AD62" s="958"/>
      <c r="AE62" s="1018" t="e">
        <f>AE58*AE60</f>
        <v>#DIV/0!</v>
      </c>
      <c r="AF62" s="1018" t="e">
        <f>AF58*AF60</f>
        <v>#DIV/0!</v>
      </c>
      <c r="AG62" s="860"/>
    </row>
    <row r="63" spans="1:33" x14ac:dyDescent="0.25">
      <c r="A63" s="1019" t="s">
        <v>579</v>
      </c>
      <c r="B63" s="1008"/>
      <c r="C63" s="1008"/>
      <c r="D63" s="1014"/>
      <c r="E63" s="1014"/>
      <c r="F63" s="1008"/>
      <c r="G63" s="1014"/>
      <c r="H63" s="1014"/>
      <c r="I63" s="1011"/>
      <c r="J63" s="1014"/>
      <c r="K63" s="1014"/>
      <c r="L63" s="1011"/>
      <c r="M63" s="1014"/>
      <c r="N63" s="1014"/>
      <c r="O63" s="1011"/>
      <c r="P63" s="1014"/>
      <c r="Q63" s="1014"/>
      <c r="R63" s="1011"/>
      <c r="S63" s="1014"/>
      <c r="T63" s="1014"/>
      <c r="U63" s="1011"/>
      <c r="V63" s="1014"/>
      <c r="W63" s="1014"/>
      <c r="X63" s="1011"/>
      <c r="Y63" s="1014"/>
      <c r="Z63" s="1014"/>
      <c r="AA63" s="1011"/>
      <c r="AB63" s="1014"/>
      <c r="AC63" s="1014"/>
      <c r="AD63" s="1011"/>
      <c r="AE63" s="1014"/>
      <c r="AF63" s="1014"/>
      <c r="AG63" s="860"/>
    </row>
    <row r="64" spans="1:33" x14ac:dyDescent="0.25">
      <c r="A64" s="1014" t="s">
        <v>578</v>
      </c>
      <c r="B64" s="1008"/>
      <c r="C64" s="1008"/>
      <c r="D64" s="1020" t="e">
        <f>D62/(1-D60)</f>
        <v>#DIV/0!</v>
      </c>
      <c r="E64" s="1020" t="e">
        <f>E62/(1-E60)</f>
        <v>#DIV/0!</v>
      </c>
      <c r="F64" s="1008"/>
      <c r="G64" s="1020" t="e">
        <f>G62/(1-G60)</f>
        <v>#DIV/0!</v>
      </c>
      <c r="H64" s="1020" t="e">
        <f>H62/(1-H60)</f>
        <v>#DIV/0!</v>
      </c>
      <c r="I64" s="1021"/>
      <c r="J64" s="1020" t="e">
        <f>J62/(1-J60)</f>
        <v>#DIV/0!</v>
      </c>
      <c r="K64" s="1020" t="e">
        <f>K62/(1-K60)</f>
        <v>#DIV/0!</v>
      </c>
      <c r="L64" s="1021"/>
      <c r="M64" s="1020" t="e">
        <f>M62/(1-M60)</f>
        <v>#DIV/0!</v>
      </c>
      <c r="N64" s="1020" t="e">
        <f>N62/(1-N60)</f>
        <v>#DIV/0!</v>
      </c>
      <c r="O64" s="1021"/>
      <c r="P64" s="1020" t="e">
        <f>P62/(1-P60)</f>
        <v>#DIV/0!</v>
      </c>
      <c r="Q64" s="1020" t="e">
        <f>Q62/(1-Q60)</f>
        <v>#DIV/0!</v>
      </c>
      <c r="R64" s="1021"/>
      <c r="S64" s="1020" t="e">
        <f>S62/(1-S60)</f>
        <v>#DIV/0!</v>
      </c>
      <c r="T64" s="1020" t="e">
        <f>T62/(1-T60)</f>
        <v>#DIV/0!</v>
      </c>
      <c r="U64" s="1021"/>
      <c r="V64" s="1020" t="e">
        <f>V62/(1-V60)</f>
        <v>#DIV/0!</v>
      </c>
      <c r="W64" s="1020" t="e">
        <f>W62/(1-W60)</f>
        <v>#DIV/0!</v>
      </c>
      <c r="X64" s="1021"/>
      <c r="Y64" s="1020" t="e">
        <f>Y62/(1-Y60)</f>
        <v>#DIV/0!</v>
      </c>
      <c r="Z64" s="1020" t="e">
        <f>Z62/(1-Z60)</f>
        <v>#DIV/0!</v>
      </c>
      <c r="AA64" s="1021"/>
      <c r="AB64" s="1020" t="e">
        <f>AB62/(1-AB60)</f>
        <v>#DIV/0!</v>
      </c>
      <c r="AC64" s="1020" t="e">
        <f>AC62/(1-AC60)</f>
        <v>#DIV/0!</v>
      </c>
      <c r="AD64" s="1021"/>
      <c r="AE64" s="1020" t="e">
        <f>AE62/(1-AE60)</f>
        <v>#DIV/0!</v>
      </c>
      <c r="AF64" s="1020" t="e">
        <f>AF62/(1-AF60)</f>
        <v>#DIV/0!</v>
      </c>
      <c r="AG64" s="860"/>
    </row>
    <row r="65" spans="1:33" x14ac:dyDescent="0.25">
      <c r="A65" s="1013" t="s">
        <v>580</v>
      </c>
      <c r="B65" s="1008"/>
      <c r="C65" s="1008"/>
      <c r="D65" s="1022" t="e">
        <f>SUM(D64:D64)</f>
        <v>#DIV/0!</v>
      </c>
      <c r="E65" s="1022" t="e">
        <f>SUM(E64:E64)</f>
        <v>#DIV/0!</v>
      </c>
      <c r="F65" s="1008"/>
      <c r="G65" s="1022" t="e">
        <f>SUM(G64:G64)</f>
        <v>#DIV/0!</v>
      </c>
      <c r="H65" s="1022" t="e">
        <f>SUM(H64:H64)</f>
        <v>#DIV/0!</v>
      </c>
      <c r="I65" s="1023"/>
      <c r="J65" s="1022" t="e">
        <f>SUM(J64:J64)</f>
        <v>#DIV/0!</v>
      </c>
      <c r="K65" s="1022" t="e">
        <f>SUM(K64:K64)</f>
        <v>#DIV/0!</v>
      </c>
      <c r="L65" s="1023"/>
      <c r="M65" s="1022" t="e">
        <f>SUM(M64:M64)</f>
        <v>#DIV/0!</v>
      </c>
      <c r="N65" s="1022" t="e">
        <f>SUM(N64:N64)</f>
        <v>#DIV/0!</v>
      </c>
      <c r="O65" s="1023"/>
      <c r="P65" s="1022" t="e">
        <f>SUM(P64:P64)</f>
        <v>#DIV/0!</v>
      </c>
      <c r="Q65" s="1022" t="e">
        <f>SUM(Q64:Q64)</f>
        <v>#DIV/0!</v>
      </c>
      <c r="R65" s="1023"/>
      <c r="S65" s="1022" t="e">
        <f>SUM(S64:S64)</f>
        <v>#DIV/0!</v>
      </c>
      <c r="T65" s="1022" t="e">
        <f>SUM(T64:T64)</f>
        <v>#DIV/0!</v>
      </c>
      <c r="U65" s="1023"/>
      <c r="V65" s="1022" t="e">
        <f>SUM(V64:V64)</f>
        <v>#DIV/0!</v>
      </c>
      <c r="W65" s="1022" t="e">
        <f>SUM(W64:W64)</f>
        <v>#DIV/0!</v>
      </c>
      <c r="X65" s="1023"/>
      <c r="Y65" s="1022" t="e">
        <f>SUM(Y64:Y64)</f>
        <v>#DIV/0!</v>
      </c>
      <c r="Z65" s="1022" t="e">
        <f>SUM(Z64:Z64)</f>
        <v>#DIV/0!</v>
      </c>
      <c r="AA65" s="1023"/>
      <c r="AB65" s="1022" t="e">
        <f>SUM(AB64:AB64)</f>
        <v>#DIV/0!</v>
      </c>
      <c r="AC65" s="1022" t="e">
        <f>SUM(AC64:AC64)</f>
        <v>#DIV/0!</v>
      </c>
      <c r="AD65" s="1023"/>
      <c r="AE65" s="1022" t="e">
        <f>SUM(AE64:AE64)</f>
        <v>#DIV/0!</v>
      </c>
      <c r="AF65" s="1022" t="e">
        <f>SUM(AF64:AF64)</f>
        <v>#DIV/0!</v>
      </c>
      <c r="AG65" s="860"/>
    </row>
    <row r="66" spans="1:33" x14ac:dyDescent="0.25">
      <c r="A66" s="860"/>
      <c r="B66" s="1007"/>
      <c r="C66" s="1007"/>
      <c r="D66" s="1007"/>
      <c r="E66" s="1007"/>
      <c r="F66" s="1007"/>
      <c r="G66" s="1007"/>
      <c r="H66" s="1007"/>
      <c r="I66" s="1007"/>
      <c r="J66" s="1007"/>
      <c r="K66" s="1007"/>
      <c r="L66" s="1007"/>
      <c r="M66" s="1007"/>
      <c r="N66" s="1007"/>
      <c r="O66" s="1007"/>
      <c r="P66" s="1007"/>
      <c r="Q66" s="1024"/>
      <c r="R66" s="1024"/>
      <c r="S66" s="1024"/>
      <c r="T66" s="1024"/>
      <c r="U66" s="860"/>
      <c r="V66" s="860"/>
      <c r="W66" s="860"/>
      <c r="X66" s="860"/>
      <c r="Y66" s="860"/>
      <c r="Z66" s="860"/>
      <c r="AA66" s="860"/>
      <c r="AB66" s="860"/>
      <c r="AC66" s="860"/>
      <c r="AD66" s="860"/>
      <c r="AE66" s="860"/>
      <c r="AF66" s="860"/>
      <c r="AG66" s="860"/>
    </row>
    <row r="67" spans="1:33" ht="15.75" thickBot="1" x14ac:dyDescent="0.3">
      <c r="A67" s="860"/>
      <c r="B67" s="1007"/>
      <c r="C67" s="1007"/>
      <c r="D67" s="1007"/>
      <c r="E67" s="1007"/>
      <c r="F67" s="1007"/>
      <c r="G67" s="1007"/>
      <c r="H67" s="1007"/>
      <c r="I67" s="1007"/>
      <c r="J67" s="1007"/>
      <c r="K67" s="1007"/>
      <c r="L67" s="1007"/>
      <c r="M67" s="1007"/>
      <c r="N67" s="1007"/>
      <c r="O67" s="1007"/>
      <c r="P67" s="1007"/>
      <c r="Q67" s="1024"/>
      <c r="R67" s="1024"/>
      <c r="S67" s="1024"/>
      <c r="T67" s="1024"/>
      <c r="U67" s="860"/>
      <c r="V67" s="860"/>
      <c r="W67" s="860"/>
      <c r="X67" s="1"/>
      <c r="Y67" s="1"/>
      <c r="Z67" s="1"/>
      <c r="AA67" s="1"/>
      <c r="AB67" s="1"/>
      <c r="AC67" s="1"/>
      <c r="AD67" s="1"/>
      <c r="AE67" s="1"/>
      <c r="AF67" s="1"/>
      <c r="AG67" s="1"/>
    </row>
    <row r="68" spans="1:33" ht="16.5" thickBot="1" x14ac:dyDescent="0.3">
      <c r="A68" s="1025"/>
      <c r="B68" s="1025"/>
      <c r="C68" s="1025"/>
      <c r="D68" s="1025"/>
      <c r="E68" s="1025"/>
      <c r="F68" s="1026">
        <f>G68-1</f>
        <v>2015</v>
      </c>
      <c r="G68" s="1026">
        <f>H68-1</f>
        <v>2016</v>
      </c>
      <c r="H68" s="1026">
        <f>I68-1</f>
        <v>2017</v>
      </c>
      <c r="I68" s="1026">
        <f>J68-1</f>
        <v>2018</v>
      </c>
      <c r="J68" s="1026">
        <f>K68-1</f>
        <v>2019</v>
      </c>
      <c r="K68" s="1026">
        <f>TestYear</f>
        <v>2020</v>
      </c>
      <c r="L68" s="1027">
        <f>K68+1</f>
        <v>2021</v>
      </c>
      <c r="M68" s="1027">
        <f>L68+1</f>
        <v>2022</v>
      </c>
      <c r="N68" s="1027">
        <f>M68+1</f>
        <v>2023</v>
      </c>
      <c r="O68" s="1027">
        <f>N68+1</f>
        <v>2024</v>
      </c>
      <c r="P68" s="860"/>
      <c r="Q68" s="1028"/>
      <c r="R68" s="1029"/>
      <c r="S68" s="1029"/>
      <c r="T68" s="1029"/>
      <c r="U68" s="1029"/>
      <c r="V68" s="1029"/>
      <c r="W68" s="1"/>
      <c r="X68" s="1"/>
      <c r="Y68" s="1"/>
      <c r="Z68" s="1"/>
    </row>
    <row r="69" spans="1:33" x14ac:dyDescent="0.25">
      <c r="A69" s="1030" t="s">
        <v>581</v>
      </c>
      <c r="B69" s="1031"/>
      <c r="C69" s="1031"/>
      <c r="D69" s="1031"/>
      <c r="E69" s="1031"/>
      <c r="F69" s="1031"/>
      <c r="G69" s="1031"/>
      <c r="H69" s="1031"/>
      <c r="I69" s="1031"/>
      <c r="J69" s="1032"/>
      <c r="K69" s="1032"/>
      <c r="L69" s="1032"/>
      <c r="M69" s="879"/>
      <c r="N69" s="1032"/>
      <c r="O69" s="879"/>
      <c r="P69" s="860"/>
      <c r="Q69" s="1033"/>
      <c r="R69" s="1034"/>
      <c r="S69" s="879"/>
      <c r="T69" s="879"/>
      <c r="U69" s="1029"/>
      <c r="V69" s="1029"/>
      <c r="W69" s="1029"/>
      <c r="X69" s="1"/>
      <c r="Y69" s="1"/>
      <c r="Z69" s="1"/>
    </row>
    <row r="70" spans="1:33" x14ac:dyDescent="0.25">
      <c r="A70" s="1025"/>
      <c r="B70" s="1035" t="s">
        <v>582</v>
      </c>
      <c r="C70" s="194"/>
      <c r="D70" s="1035"/>
      <c r="E70" s="1035"/>
      <c r="G70" s="1035"/>
      <c r="H70" s="1035"/>
      <c r="I70" s="1035"/>
      <c r="K70" s="980"/>
      <c r="L70" s="980"/>
      <c r="M70" s="879"/>
      <c r="N70" s="980"/>
      <c r="O70" s="879"/>
      <c r="P70" s="860"/>
      <c r="Q70" s="879"/>
      <c r="R70" s="879"/>
      <c r="S70" s="879"/>
      <c r="T70" s="879"/>
      <c r="U70" s="1029"/>
      <c r="V70" s="1029"/>
      <c r="W70" s="1029"/>
      <c r="X70" s="1"/>
      <c r="Y70" s="1"/>
      <c r="Z70" s="1"/>
    </row>
    <row r="71" spans="1:33" x14ac:dyDescent="0.25">
      <c r="A71" s="1025" t="s">
        <v>583</v>
      </c>
      <c r="B71" s="1025"/>
      <c r="C71" s="1025"/>
      <c r="D71" s="1025"/>
      <c r="E71" s="1025"/>
      <c r="F71" s="1017"/>
      <c r="G71" s="1017">
        <f>F73</f>
        <v>0</v>
      </c>
      <c r="H71" s="1017">
        <f t="shared" ref="H71:O71" si="10">G73</f>
        <v>0</v>
      </c>
      <c r="I71" s="1017">
        <f t="shared" si="10"/>
        <v>0</v>
      </c>
      <c r="J71" s="1017">
        <f t="shared" si="10"/>
        <v>0</v>
      </c>
      <c r="K71" s="1017">
        <f t="shared" si="10"/>
        <v>0</v>
      </c>
      <c r="L71" s="1017">
        <f t="shared" si="10"/>
        <v>0</v>
      </c>
      <c r="M71" s="1017">
        <f t="shared" si="10"/>
        <v>0</v>
      </c>
      <c r="N71" s="1017">
        <f t="shared" si="10"/>
        <v>0</v>
      </c>
      <c r="O71" s="1017">
        <f t="shared" si="10"/>
        <v>0</v>
      </c>
      <c r="P71" s="860"/>
      <c r="Q71" s="879"/>
      <c r="R71" s="879"/>
      <c r="S71" s="879"/>
      <c r="T71" s="879"/>
      <c r="U71" s="1029"/>
      <c r="V71" s="1029"/>
      <c r="W71" s="1029"/>
      <c r="X71" s="1"/>
      <c r="Y71" s="1"/>
      <c r="Z71" s="1"/>
    </row>
    <row r="72" spans="1:33" x14ac:dyDescent="0.25">
      <c r="A72" s="1025" t="s">
        <v>584</v>
      </c>
      <c r="B72" s="1025"/>
      <c r="C72" s="1025"/>
      <c r="D72" s="1025"/>
      <c r="E72" s="1025"/>
      <c r="F72" s="1032">
        <f>'App.2-FA Proposed REG Invest.'!C62</f>
        <v>0</v>
      </c>
      <c r="G72" s="1032">
        <f>'App.2-FA Proposed REG Invest.'!D62</f>
        <v>0</v>
      </c>
      <c r="H72" s="1032">
        <f>'App.2-FA Proposed REG Invest.'!E62</f>
        <v>0</v>
      </c>
      <c r="I72" s="1032">
        <f>'App.2-FA Proposed REG Invest.'!F62</f>
        <v>0</v>
      </c>
      <c r="J72" s="1032">
        <f>'App.2-FA Proposed REG Invest.'!G62</f>
        <v>0</v>
      </c>
      <c r="K72" s="1032">
        <f>'App.2-FA Proposed REG Invest.'!H62</f>
        <v>0</v>
      </c>
      <c r="L72" s="1032">
        <f>'App.2-FA Proposed REG Invest.'!I62</f>
        <v>0</v>
      </c>
      <c r="M72" s="1032">
        <f>'App.2-FA Proposed REG Invest.'!J62</f>
        <v>0</v>
      </c>
      <c r="N72" s="1032">
        <f>'App.2-FA Proposed REG Invest.'!K62</f>
        <v>0</v>
      </c>
      <c r="O72" s="1032">
        <f>'App.2-FA Proposed REG Invest.'!L62</f>
        <v>0</v>
      </c>
      <c r="P72" s="860"/>
      <c r="Q72" s="879"/>
      <c r="R72" s="879"/>
      <c r="S72" s="879"/>
      <c r="T72" s="1036"/>
      <c r="U72" s="1029"/>
      <c r="V72" s="1029"/>
      <c r="W72" s="1029"/>
      <c r="X72" s="1"/>
      <c r="Y72" s="1"/>
      <c r="Z72" s="1"/>
    </row>
    <row r="73" spans="1:33" x14ac:dyDescent="0.25">
      <c r="A73" s="1025" t="s">
        <v>585</v>
      </c>
      <c r="B73" s="1025"/>
      <c r="C73" s="1025"/>
      <c r="D73" s="1025"/>
      <c r="E73" s="1025"/>
      <c r="F73" s="1017">
        <f>SUM(F71:F72)</f>
        <v>0</v>
      </c>
      <c r="G73" s="1017">
        <f t="shared" ref="G73:O73" si="11">SUM(G71:G72)</f>
        <v>0</v>
      </c>
      <c r="H73" s="1017">
        <f t="shared" si="11"/>
        <v>0</v>
      </c>
      <c r="I73" s="1017">
        <f t="shared" si="11"/>
        <v>0</v>
      </c>
      <c r="J73" s="1017">
        <f t="shared" si="11"/>
        <v>0</v>
      </c>
      <c r="K73" s="1017">
        <f t="shared" si="11"/>
        <v>0</v>
      </c>
      <c r="L73" s="1017">
        <f t="shared" si="11"/>
        <v>0</v>
      </c>
      <c r="M73" s="1017">
        <f t="shared" si="11"/>
        <v>0</v>
      </c>
      <c r="N73" s="1017">
        <f t="shared" si="11"/>
        <v>0</v>
      </c>
      <c r="O73" s="1017">
        <f t="shared" si="11"/>
        <v>0</v>
      </c>
      <c r="P73" s="860"/>
      <c r="Q73" s="1029"/>
      <c r="R73" s="1029"/>
      <c r="S73" s="1029"/>
      <c r="T73" s="1029"/>
      <c r="U73" s="1029"/>
      <c r="V73" s="1029"/>
      <c r="W73" s="1029"/>
      <c r="X73" s="1"/>
      <c r="Y73" s="1"/>
      <c r="Z73" s="1"/>
    </row>
    <row r="74" spans="1:33" x14ac:dyDescent="0.25">
      <c r="A74" s="1025"/>
      <c r="B74" s="1025"/>
      <c r="C74" s="1025"/>
      <c r="D74" s="1025"/>
      <c r="E74" s="1025"/>
      <c r="F74" s="958"/>
      <c r="G74" s="958"/>
      <c r="H74" s="958"/>
      <c r="I74" s="958"/>
      <c r="J74" s="958"/>
      <c r="K74" s="958"/>
      <c r="L74" s="980"/>
      <c r="M74" s="879"/>
      <c r="N74" s="980"/>
      <c r="O74" s="879"/>
      <c r="P74" s="860"/>
      <c r="Q74" s="879"/>
      <c r="R74" s="1029"/>
      <c r="S74" s="1029"/>
      <c r="T74" s="1029"/>
      <c r="U74" s="1029"/>
      <c r="V74" s="1029"/>
      <c r="W74" s="1029"/>
      <c r="X74" s="1"/>
      <c r="Y74" s="1"/>
      <c r="Z74" s="1"/>
    </row>
    <row r="75" spans="1:33" x14ac:dyDescent="0.25">
      <c r="A75" s="1025" t="s">
        <v>586</v>
      </c>
      <c r="B75" s="1025"/>
      <c r="C75" s="1025"/>
      <c r="D75" s="1025"/>
      <c r="E75" s="1025"/>
      <c r="F75" s="1017"/>
      <c r="G75" s="1017"/>
      <c r="H75" s="1017" t="e">
        <f>+G78</f>
        <v>#DIV/0!</v>
      </c>
      <c r="I75" s="1017" t="e">
        <f t="shared" ref="I75:O75" si="12">H78</f>
        <v>#DIV/0!</v>
      </c>
      <c r="J75" s="1017" t="e">
        <f t="shared" si="12"/>
        <v>#DIV/0!</v>
      </c>
      <c r="K75" s="1017" t="e">
        <f t="shared" si="12"/>
        <v>#DIV/0!</v>
      </c>
      <c r="L75" s="1017" t="e">
        <f t="shared" si="12"/>
        <v>#DIV/0!</v>
      </c>
      <c r="M75" s="1017" t="e">
        <f t="shared" si="12"/>
        <v>#DIV/0!</v>
      </c>
      <c r="N75" s="1017" t="e">
        <f t="shared" si="12"/>
        <v>#DIV/0!</v>
      </c>
      <c r="O75" s="1017" t="e">
        <f t="shared" si="12"/>
        <v>#DIV/0!</v>
      </c>
      <c r="P75" s="860"/>
      <c r="Q75" s="879"/>
      <c r="R75" s="1029"/>
      <c r="S75" s="1029"/>
      <c r="T75" s="1029"/>
      <c r="U75" s="1029"/>
      <c r="V75" s="1029"/>
      <c r="W75" s="1029"/>
      <c r="X75" s="1"/>
      <c r="Y75" s="1"/>
      <c r="Z75" s="1"/>
    </row>
    <row r="76" spans="1:33" x14ac:dyDescent="0.25">
      <c r="A76" s="1025" t="s">
        <v>587</v>
      </c>
      <c r="B76" s="1025"/>
      <c r="C76" s="1025"/>
      <c r="D76" s="1025"/>
      <c r="E76" s="1025"/>
      <c r="F76" s="958">
        <f t="shared" ref="F76:O76" si="13">IF(ISERROR(F71/$C$70), 0, F71/$C$70)</f>
        <v>0</v>
      </c>
      <c r="G76" s="958">
        <f t="shared" si="13"/>
        <v>0</v>
      </c>
      <c r="H76" s="958">
        <f t="shared" si="13"/>
        <v>0</v>
      </c>
      <c r="I76" s="958">
        <f t="shared" si="13"/>
        <v>0</v>
      </c>
      <c r="J76" s="958">
        <f t="shared" si="13"/>
        <v>0</v>
      </c>
      <c r="K76" s="958">
        <f t="shared" si="13"/>
        <v>0</v>
      </c>
      <c r="L76" s="958">
        <f t="shared" si="13"/>
        <v>0</v>
      </c>
      <c r="M76" s="958">
        <f t="shared" si="13"/>
        <v>0</v>
      </c>
      <c r="N76" s="958">
        <f t="shared" si="13"/>
        <v>0</v>
      </c>
      <c r="O76" s="958">
        <f t="shared" si="13"/>
        <v>0</v>
      </c>
      <c r="P76" s="860"/>
      <c r="Q76" s="879"/>
      <c r="R76" s="1029"/>
      <c r="S76" s="1029"/>
      <c r="T76" s="1029"/>
      <c r="U76" s="1029"/>
      <c r="V76" s="1029"/>
      <c r="W76" s="1029"/>
      <c r="X76" s="1"/>
      <c r="Y76" s="1"/>
      <c r="Z76" s="1"/>
    </row>
    <row r="77" spans="1:33" x14ac:dyDescent="0.25">
      <c r="A77" s="1025" t="s">
        <v>588</v>
      </c>
      <c r="B77" s="860"/>
      <c r="C77" s="860"/>
      <c r="D77" s="860"/>
      <c r="E77" s="860"/>
      <c r="F77" s="980" t="e">
        <f t="shared" ref="F77:K77" si="14">F72/$C$70/2</f>
        <v>#DIV/0!</v>
      </c>
      <c r="G77" s="980" t="e">
        <f t="shared" si="14"/>
        <v>#DIV/0!</v>
      </c>
      <c r="H77" s="980" t="e">
        <f t="shared" si="14"/>
        <v>#DIV/0!</v>
      </c>
      <c r="I77" s="980" t="e">
        <f t="shared" si="14"/>
        <v>#DIV/0!</v>
      </c>
      <c r="J77" s="980" t="e">
        <f t="shared" si="14"/>
        <v>#DIV/0!</v>
      </c>
      <c r="K77" s="980" t="e">
        <f t="shared" si="14"/>
        <v>#DIV/0!</v>
      </c>
      <c r="L77" s="980" t="e">
        <f>L72/C70/2</f>
        <v>#DIV/0!</v>
      </c>
      <c r="M77" s="980" t="e">
        <f>M72/C70/2</f>
        <v>#DIV/0!</v>
      </c>
      <c r="N77" s="980" t="e">
        <f>N72/C70/2</f>
        <v>#DIV/0!</v>
      </c>
      <c r="O77" s="980" t="e">
        <f>O72/C70/2</f>
        <v>#DIV/0!</v>
      </c>
      <c r="P77" s="860"/>
      <c r="Q77" s="879"/>
      <c r="R77" s="1029"/>
      <c r="S77" s="1029"/>
      <c r="T77" s="1029"/>
      <c r="U77" s="1029"/>
      <c r="V77" s="1029"/>
      <c r="W77" s="1029"/>
      <c r="X77" s="1"/>
      <c r="Y77" s="1"/>
      <c r="Z77" s="1"/>
    </row>
    <row r="78" spans="1:33" x14ac:dyDescent="0.25">
      <c r="A78" s="1025" t="s">
        <v>589</v>
      </c>
      <c r="B78" s="1025"/>
      <c r="C78" s="1025"/>
      <c r="D78" s="1025"/>
      <c r="E78" s="1025"/>
      <c r="F78" s="1017" t="e">
        <f t="shared" ref="F78:K78" si="15">SUM(F75+F76+F77)</f>
        <v>#DIV/0!</v>
      </c>
      <c r="G78" s="1017" t="e">
        <f t="shared" si="15"/>
        <v>#DIV/0!</v>
      </c>
      <c r="H78" s="1017" t="e">
        <f t="shared" si="15"/>
        <v>#DIV/0!</v>
      </c>
      <c r="I78" s="1017" t="e">
        <f t="shared" si="15"/>
        <v>#DIV/0!</v>
      </c>
      <c r="J78" s="1017" t="e">
        <f t="shared" si="15"/>
        <v>#DIV/0!</v>
      </c>
      <c r="K78" s="1017" t="e">
        <f t="shared" si="15"/>
        <v>#DIV/0!</v>
      </c>
      <c r="L78" s="1017" t="e">
        <f>SUM(L75:L77)</f>
        <v>#DIV/0!</v>
      </c>
      <c r="M78" s="1017" t="e">
        <f>SUM(M75:M77)</f>
        <v>#DIV/0!</v>
      </c>
      <c r="N78" s="1017" t="e">
        <f>SUM(N75:N77)</f>
        <v>#DIV/0!</v>
      </c>
      <c r="O78" s="1017" t="e">
        <f>SUM(O75:O77)</f>
        <v>#DIV/0!</v>
      </c>
      <c r="P78" s="860"/>
      <c r="Q78" s="879"/>
      <c r="R78" s="1029"/>
      <c r="S78" s="1029"/>
      <c r="T78" s="1029"/>
      <c r="U78" s="1029"/>
      <c r="V78" s="1029"/>
      <c r="W78" s="1029"/>
      <c r="X78" s="1"/>
      <c r="Y78" s="1"/>
      <c r="Z78" s="1"/>
    </row>
    <row r="79" spans="1:33" x14ac:dyDescent="0.25">
      <c r="A79" s="1025"/>
      <c r="B79" s="1025"/>
      <c r="C79" s="1025"/>
      <c r="D79" s="1025"/>
      <c r="E79" s="1025"/>
      <c r="F79" s="980"/>
      <c r="G79" s="980"/>
      <c r="H79" s="980"/>
      <c r="I79" s="980"/>
      <c r="J79" s="980"/>
      <c r="K79" s="980"/>
      <c r="L79" s="980"/>
      <c r="M79" s="980"/>
      <c r="N79" s="980"/>
      <c r="O79" s="980"/>
      <c r="P79" s="860"/>
      <c r="Q79" s="879"/>
      <c r="R79" s="1029"/>
      <c r="S79" s="1036"/>
      <c r="T79" s="879"/>
      <c r="U79" s="1029"/>
      <c r="V79" s="1029"/>
      <c r="W79" s="1029"/>
      <c r="X79" s="1"/>
      <c r="Y79" s="1"/>
      <c r="Z79" s="1"/>
    </row>
    <row r="80" spans="1:33" x14ac:dyDescent="0.25">
      <c r="A80" s="1025" t="s">
        <v>590</v>
      </c>
      <c r="B80" s="1025"/>
      <c r="C80" s="1025"/>
      <c r="D80" s="1025"/>
      <c r="E80" s="1025"/>
      <c r="F80" s="980">
        <f t="shared" ref="F80:K80" si="16">F71-F75</f>
        <v>0</v>
      </c>
      <c r="G80" s="980">
        <f t="shared" si="16"/>
        <v>0</v>
      </c>
      <c r="H80" s="980" t="e">
        <f t="shared" si="16"/>
        <v>#DIV/0!</v>
      </c>
      <c r="I80" s="980" t="e">
        <f t="shared" si="16"/>
        <v>#DIV/0!</v>
      </c>
      <c r="J80" s="980" t="e">
        <f t="shared" si="16"/>
        <v>#DIV/0!</v>
      </c>
      <c r="K80" s="980" t="e">
        <f t="shared" si="16"/>
        <v>#DIV/0!</v>
      </c>
      <c r="L80" s="980" t="e">
        <f>K81</f>
        <v>#DIV/0!</v>
      </c>
      <c r="M80" s="980" t="e">
        <f>L81</f>
        <v>#DIV/0!</v>
      </c>
      <c r="N80" s="980" t="e">
        <f>M81</f>
        <v>#DIV/0!</v>
      </c>
      <c r="O80" s="980" t="e">
        <f>N81</f>
        <v>#DIV/0!</v>
      </c>
      <c r="P80" s="860"/>
      <c r="Q80" s="879"/>
      <c r="R80" s="1029"/>
      <c r="S80" s="879"/>
      <c r="T80" s="1029"/>
      <c r="U80" s="1029"/>
      <c r="V80" s="1029"/>
      <c r="W80" s="1029"/>
      <c r="X80" s="1"/>
      <c r="Y80" s="1"/>
      <c r="Z80" s="1"/>
    </row>
    <row r="81" spans="1:26" x14ac:dyDescent="0.25">
      <c r="A81" s="1025" t="s">
        <v>591</v>
      </c>
      <c r="B81" s="1025"/>
      <c r="C81" s="1025"/>
      <c r="D81" s="1025"/>
      <c r="E81" s="1025"/>
      <c r="F81" s="1017" t="e">
        <f>F73-F78</f>
        <v>#DIV/0!</v>
      </c>
      <c r="G81" s="1017" t="e">
        <f t="shared" ref="G81:O81" si="17">G73-G78</f>
        <v>#DIV/0!</v>
      </c>
      <c r="H81" s="1017" t="e">
        <f t="shared" si="17"/>
        <v>#DIV/0!</v>
      </c>
      <c r="I81" s="1017" t="e">
        <f t="shared" si="17"/>
        <v>#DIV/0!</v>
      </c>
      <c r="J81" s="1017" t="e">
        <f t="shared" si="17"/>
        <v>#DIV/0!</v>
      </c>
      <c r="K81" s="1017" t="e">
        <f t="shared" si="17"/>
        <v>#DIV/0!</v>
      </c>
      <c r="L81" s="1017" t="e">
        <f t="shared" si="17"/>
        <v>#DIV/0!</v>
      </c>
      <c r="M81" s="1017" t="e">
        <f t="shared" si="17"/>
        <v>#DIV/0!</v>
      </c>
      <c r="N81" s="1017" t="e">
        <f t="shared" si="17"/>
        <v>#DIV/0!</v>
      </c>
      <c r="O81" s="1017" t="e">
        <f t="shared" si="17"/>
        <v>#DIV/0!</v>
      </c>
      <c r="P81" s="860"/>
      <c r="Q81" s="879"/>
      <c r="R81" s="1029"/>
      <c r="S81" s="1029"/>
      <c r="T81" s="1029"/>
      <c r="U81" s="1029"/>
      <c r="V81" s="1029"/>
      <c r="W81" s="1029"/>
      <c r="X81" s="1"/>
      <c r="Y81" s="1"/>
      <c r="Z81" s="1"/>
    </row>
    <row r="82" spans="1:26" ht="15.75" thickBot="1" x14ac:dyDescent="0.3">
      <c r="A82" s="1031" t="s">
        <v>592</v>
      </c>
      <c r="B82" s="1025"/>
      <c r="C82" s="1025"/>
      <c r="D82" s="1025"/>
      <c r="E82" s="1025"/>
      <c r="F82" s="1037" t="e">
        <f>SUM(F80:F81)/2</f>
        <v>#DIV/0!</v>
      </c>
      <c r="G82" s="1037" t="e">
        <f t="shared" ref="G82:O82" si="18">SUM(G80:G81)/2</f>
        <v>#DIV/0!</v>
      </c>
      <c r="H82" s="1037" t="e">
        <f t="shared" si="18"/>
        <v>#DIV/0!</v>
      </c>
      <c r="I82" s="1037" t="e">
        <f t="shared" si="18"/>
        <v>#DIV/0!</v>
      </c>
      <c r="J82" s="1037" t="e">
        <f t="shared" si="18"/>
        <v>#DIV/0!</v>
      </c>
      <c r="K82" s="1037" t="e">
        <f t="shared" si="18"/>
        <v>#DIV/0!</v>
      </c>
      <c r="L82" s="1037" t="e">
        <f t="shared" si="18"/>
        <v>#DIV/0!</v>
      </c>
      <c r="M82" s="1037" t="e">
        <f t="shared" si="18"/>
        <v>#DIV/0!</v>
      </c>
      <c r="N82" s="1037" t="e">
        <f t="shared" si="18"/>
        <v>#DIV/0!</v>
      </c>
      <c r="O82" s="1037" t="e">
        <f t="shared" si="18"/>
        <v>#DIV/0!</v>
      </c>
      <c r="P82" s="860"/>
      <c r="Q82" s="879"/>
      <c r="R82" s="1029"/>
      <c r="S82" s="1029"/>
      <c r="T82" s="1029"/>
      <c r="U82" s="1029"/>
      <c r="V82" s="1029"/>
      <c r="W82" s="1029"/>
      <c r="X82" s="1"/>
      <c r="Y82" s="1"/>
      <c r="Z82" s="1"/>
    </row>
    <row r="83" spans="1:26" x14ac:dyDescent="0.25">
      <c r="A83" s="1025"/>
      <c r="B83" s="1025"/>
      <c r="C83" s="1025"/>
      <c r="D83" s="1025"/>
      <c r="E83" s="1025"/>
      <c r="F83" s="1025"/>
      <c r="G83" s="980"/>
      <c r="H83" s="980"/>
      <c r="I83" s="980"/>
      <c r="J83" s="980"/>
      <c r="K83" s="980"/>
      <c r="L83" s="980"/>
      <c r="M83" s="879"/>
      <c r="N83" s="980"/>
      <c r="O83" s="879"/>
      <c r="P83" s="860"/>
      <c r="Q83" s="879"/>
      <c r="R83" s="1029"/>
      <c r="S83" s="1029"/>
      <c r="T83" s="1029"/>
      <c r="U83" s="1029"/>
      <c r="V83" s="1029"/>
      <c r="W83" s="1029"/>
      <c r="X83" s="1"/>
      <c r="Y83" s="1"/>
      <c r="Z83" s="1"/>
    </row>
    <row r="84" spans="1:26" ht="15.75" thickBot="1" x14ac:dyDescent="0.3">
      <c r="A84" s="1030" t="s">
        <v>593</v>
      </c>
      <c r="B84" s="1031"/>
      <c r="C84" s="1031"/>
      <c r="D84" s="1031"/>
      <c r="E84" s="1031"/>
      <c r="F84" s="1031"/>
      <c r="G84" s="980"/>
      <c r="H84" s="980"/>
      <c r="I84" s="980"/>
      <c r="J84" s="980"/>
      <c r="K84" s="980"/>
      <c r="L84" s="980"/>
      <c r="M84" s="879"/>
      <c r="N84" s="980"/>
      <c r="O84" s="879"/>
      <c r="P84" s="860"/>
      <c r="Q84" s="879"/>
      <c r="R84" s="1029"/>
      <c r="S84" s="1029"/>
      <c r="T84" s="1029"/>
      <c r="U84" s="1029"/>
      <c r="V84" s="1029"/>
      <c r="W84" s="1029"/>
      <c r="X84" s="1"/>
      <c r="Y84" s="1"/>
      <c r="Z84" s="1"/>
    </row>
    <row r="85" spans="1:26" ht="15.75" thickBot="1" x14ac:dyDescent="0.3">
      <c r="A85" s="1031"/>
      <c r="B85" s="879"/>
      <c r="C85" s="879"/>
      <c r="D85" s="879"/>
      <c r="E85" s="879"/>
      <c r="F85" s="1026">
        <f>F68</f>
        <v>2015</v>
      </c>
      <c r="G85" s="1026">
        <f>G68</f>
        <v>2016</v>
      </c>
      <c r="H85" s="1026">
        <f t="shared" ref="H85:O85" si="19">H68</f>
        <v>2017</v>
      </c>
      <c r="I85" s="1026">
        <f t="shared" si="19"/>
        <v>2018</v>
      </c>
      <c r="J85" s="1026">
        <f t="shared" si="19"/>
        <v>2019</v>
      </c>
      <c r="K85" s="1026">
        <f t="shared" si="19"/>
        <v>2020</v>
      </c>
      <c r="L85" s="1026">
        <f t="shared" si="19"/>
        <v>2021</v>
      </c>
      <c r="M85" s="1026">
        <f t="shared" si="19"/>
        <v>2022</v>
      </c>
      <c r="N85" s="1026">
        <f t="shared" si="19"/>
        <v>2023</v>
      </c>
      <c r="O85" s="1026">
        <f t="shared" si="19"/>
        <v>2024</v>
      </c>
      <c r="P85" s="860"/>
      <c r="Q85" s="879"/>
      <c r="R85" s="1029"/>
      <c r="S85" s="1029"/>
      <c r="T85" s="1029"/>
      <c r="U85" s="1029"/>
      <c r="V85" s="1029"/>
      <c r="W85" s="1029"/>
      <c r="X85" s="1"/>
      <c r="Y85" s="1"/>
      <c r="Z85" s="1"/>
    </row>
    <row r="86" spans="1:26" x14ac:dyDescent="0.25">
      <c r="A86" s="1025"/>
      <c r="B86" s="879"/>
      <c r="C86" s="879"/>
      <c r="D86" s="879"/>
      <c r="E86" s="879"/>
      <c r="F86" s="980"/>
      <c r="G86" s="980"/>
      <c r="H86" s="980"/>
      <c r="I86" s="980"/>
      <c r="J86" s="980"/>
      <c r="K86" s="980"/>
      <c r="L86" s="980"/>
      <c r="M86" s="980"/>
      <c r="N86" s="980"/>
      <c r="O86" s="980"/>
      <c r="P86" s="860"/>
      <c r="Q86" s="879"/>
      <c r="R86" s="1029"/>
      <c r="S86" s="1029"/>
      <c r="T86" s="1029"/>
      <c r="U86" s="1029"/>
      <c r="V86" s="1029"/>
      <c r="W86" s="1029"/>
      <c r="X86" s="1"/>
      <c r="Y86" s="1"/>
      <c r="Z86" s="1"/>
    </row>
    <row r="87" spans="1:26" x14ac:dyDescent="0.25">
      <c r="A87" s="1025" t="s">
        <v>594</v>
      </c>
      <c r="B87" s="879"/>
      <c r="C87" s="879"/>
      <c r="D87" s="879"/>
      <c r="E87" s="879"/>
      <c r="F87" s="1017"/>
      <c r="G87" s="1017">
        <f>F95</f>
        <v>0</v>
      </c>
      <c r="H87" s="1017">
        <f t="shared" ref="H87:O87" si="20">G95</f>
        <v>0</v>
      </c>
      <c r="I87" s="1017">
        <f t="shared" si="20"/>
        <v>0</v>
      </c>
      <c r="J87" s="1017">
        <f t="shared" si="20"/>
        <v>0</v>
      </c>
      <c r="K87" s="1017">
        <f t="shared" si="20"/>
        <v>0</v>
      </c>
      <c r="L87" s="1017">
        <f t="shared" si="20"/>
        <v>0</v>
      </c>
      <c r="M87" s="1017">
        <f t="shared" si="20"/>
        <v>0</v>
      </c>
      <c r="N87" s="1017">
        <f t="shared" si="20"/>
        <v>0</v>
      </c>
      <c r="O87" s="1017">
        <f t="shared" si="20"/>
        <v>0</v>
      </c>
      <c r="P87" s="860"/>
      <c r="Q87" s="879"/>
      <c r="R87" s="1029"/>
      <c r="S87" s="1029"/>
      <c r="T87" s="1029"/>
      <c r="U87" s="1029"/>
      <c r="V87" s="1029"/>
      <c r="W87" s="1029"/>
      <c r="X87" s="1"/>
      <c r="Y87" s="1"/>
      <c r="Z87" s="1"/>
    </row>
    <row r="88" spans="1:26" x14ac:dyDescent="0.25">
      <c r="A88" s="1025" t="s">
        <v>595</v>
      </c>
      <c r="B88" s="879"/>
      <c r="C88" s="879"/>
      <c r="D88" s="879"/>
      <c r="E88" s="879"/>
      <c r="F88" s="980">
        <f>F72</f>
        <v>0</v>
      </c>
      <c r="G88" s="980">
        <f t="shared" ref="G88:O88" si="21">G72</f>
        <v>0</v>
      </c>
      <c r="H88" s="980">
        <f t="shared" si="21"/>
        <v>0</v>
      </c>
      <c r="I88" s="980">
        <f t="shared" si="21"/>
        <v>0</v>
      </c>
      <c r="J88" s="980">
        <f t="shared" si="21"/>
        <v>0</v>
      </c>
      <c r="K88" s="980">
        <f t="shared" si="21"/>
        <v>0</v>
      </c>
      <c r="L88" s="980">
        <f t="shared" si="21"/>
        <v>0</v>
      </c>
      <c r="M88" s="980">
        <f t="shared" si="21"/>
        <v>0</v>
      </c>
      <c r="N88" s="980">
        <f t="shared" si="21"/>
        <v>0</v>
      </c>
      <c r="O88" s="980">
        <f t="shared" si="21"/>
        <v>0</v>
      </c>
      <c r="P88" s="860"/>
      <c r="Q88" s="879"/>
      <c r="R88" s="1029"/>
      <c r="S88" s="1036"/>
      <c r="T88" s="879"/>
      <c r="U88" s="1029"/>
      <c r="V88" s="1029"/>
      <c r="W88" s="1029"/>
      <c r="X88" s="1"/>
      <c r="Y88" s="1"/>
      <c r="Z88" s="1"/>
    </row>
    <row r="89" spans="1:26" x14ac:dyDescent="0.25">
      <c r="A89" s="1025" t="s">
        <v>596</v>
      </c>
      <c r="B89" s="879"/>
      <c r="C89" s="879"/>
      <c r="D89" s="879"/>
      <c r="E89" s="879"/>
      <c r="F89" s="1017">
        <f>SUM(F87:F88)</f>
        <v>0</v>
      </c>
      <c r="G89" s="1017">
        <f t="shared" ref="G89:O89" si="22">SUM(G87:G88)</f>
        <v>0</v>
      </c>
      <c r="H89" s="1017">
        <f t="shared" si="22"/>
        <v>0</v>
      </c>
      <c r="I89" s="1017">
        <f t="shared" si="22"/>
        <v>0</v>
      </c>
      <c r="J89" s="1017">
        <f t="shared" si="22"/>
        <v>0</v>
      </c>
      <c r="K89" s="1017">
        <f t="shared" si="22"/>
        <v>0</v>
      </c>
      <c r="L89" s="1017">
        <f t="shared" si="22"/>
        <v>0</v>
      </c>
      <c r="M89" s="1017">
        <f t="shared" si="22"/>
        <v>0</v>
      </c>
      <c r="N89" s="1017">
        <f t="shared" si="22"/>
        <v>0</v>
      </c>
      <c r="O89" s="1017">
        <f t="shared" si="22"/>
        <v>0</v>
      </c>
      <c r="P89" s="860"/>
      <c r="Q89" s="879"/>
      <c r="R89" s="1029"/>
      <c r="S89" s="879"/>
      <c r="T89" s="1029"/>
      <c r="U89" s="1029"/>
      <c r="V89" s="1029"/>
      <c r="W89" s="1029"/>
      <c r="X89" s="1"/>
      <c r="Y89" s="1"/>
      <c r="Z89" s="1"/>
    </row>
    <row r="90" spans="1:26" x14ac:dyDescent="0.25">
      <c r="A90" s="1025" t="s">
        <v>597</v>
      </c>
      <c r="B90" s="879"/>
      <c r="C90" s="879"/>
      <c r="D90" s="879"/>
      <c r="E90" s="879"/>
      <c r="F90" s="980">
        <f>F88/2</f>
        <v>0</v>
      </c>
      <c r="G90" s="980">
        <f t="shared" ref="G90:O90" si="23">G88/2</f>
        <v>0</v>
      </c>
      <c r="H90" s="980">
        <f t="shared" si="23"/>
        <v>0</v>
      </c>
      <c r="I90" s="980">
        <f t="shared" si="23"/>
        <v>0</v>
      </c>
      <c r="J90" s="980">
        <f t="shared" si="23"/>
        <v>0</v>
      </c>
      <c r="K90" s="980">
        <f t="shared" si="23"/>
        <v>0</v>
      </c>
      <c r="L90" s="980">
        <f t="shared" si="23"/>
        <v>0</v>
      </c>
      <c r="M90" s="980">
        <f t="shared" si="23"/>
        <v>0</v>
      </c>
      <c r="N90" s="980">
        <f t="shared" si="23"/>
        <v>0</v>
      </c>
      <c r="O90" s="980">
        <f t="shared" si="23"/>
        <v>0</v>
      </c>
      <c r="P90" s="860"/>
      <c r="Q90" s="879"/>
      <c r="R90" s="1029"/>
      <c r="S90" s="1029"/>
      <c r="T90" s="1029"/>
      <c r="U90" s="1029"/>
      <c r="V90" s="1029"/>
      <c r="W90" s="1029"/>
      <c r="X90" s="1"/>
      <c r="Y90" s="1"/>
      <c r="Z90" s="1"/>
    </row>
    <row r="91" spans="1:26" x14ac:dyDescent="0.25">
      <c r="A91" s="1025" t="s">
        <v>598</v>
      </c>
      <c r="B91" s="879"/>
      <c r="C91" s="879"/>
      <c r="D91" s="879"/>
      <c r="E91" s="879"/>
      <c r="F91" s="1017">
        <f>F89-F90</f>
        <v>0</v>
      </c>
      <c r="G91" s="1017">
        <f t="shared" ref="G91:O91" si="24">G89-G90</f>
        <v>0</v>
      </c>
      <c r="H91" s="1017">
        <f t="shared" si="24"/>
        <v>0</v>
      </c>
      <c r="I91" s="1017">
        <f t="shared" si="24"/>
        <v>0</v>
      </c>
      <c r="J91" s="1017">
        <f t="shared" si="24"/>
        <v>0</v>
      </c>
      <c r="K91" s="1017">
        <f t="shared" si="24"/>
        <v>0</v>
      </c>
      <c r="L91" s="1017">
        <f t="shared" si="24"/>
        <v>0</v>
      </c>
      <c r="M91" s="1017">
        <f t="shared" si="24"/>
        <v>0</v>
      </c>
      <c r="N91" s="1017">
        <f t="shared" si="24"/>
        <v>0</v>
      </c>
      <c r="O91" s="1017">
        <f t="shared" si="24"/>
        <v>0</v>
      </c>
      <c r="P91" s="860"/>
      <c r="Q91" s="1029"/>
      <c r="R91" s="1029"/>
      <c r="S91" s="1029"/>
      <c r="T91" s="1029"/>
      <c r="U91" s="1029"/>
      <c r="V91" s="1029"/>
      <c r="W91" s="1029"/>
      <c r="X91" s="1"/>
      <c r="Y91" s="1"/>
      <c r="Z91" s="1"/>
    </row>
    <row r="92" spans="1:26" x14ac:dyDescent="0.25">
      <c r="A92" s="1025" t="s">
        <v>599</v>
      </c>
      <c r="B92" s="879"/>
      <c r="C92" s="195"/>
      <c r="D92" s="879"/>
      <c r="E92" s="879"/>
      <c r="F92" s="1361">
        <f>C92</f>
        <v>0</v>
      </c>
      <c r="G92" s="1361">
        <f>C92</f>
        <v>0</v>
      </c>
      <c r="H92" s="1361">
        <f t="shared" ref="H92:O93" si="25">G92</f>
        <v>0</v>
      </c>
      <c r="I92" s="1361">
        <f t="shared" si="25"/>
        <v>0</v>
      </c>
      <c r="J92" s="1361">
        <f t="shared" si="25"/>
        <v>0</v>
      </c>
      <c r="K92" s="1361">
        <f t="shared" si="25"/>
        <v>0</v>
      </c>
      <c r="L92" s="1361">
        <f t="shared" si="25"/>
        <v>0</v>
      </c>
      <c r="M92" s="1361">
        <f t="shared" si="25"/>
        <v>0</v>
      </c>
      <c r="N92" s="1361">
        <f t="shared" si="25"/>
        <v>0</v>
      </c>
      <c r="O92" s="1361">
        <f t="shared" si="25"/>
        <v>0</v>
      </c>
      <c r="P92" s="860"/>
      <c r="Q92" s="1029"/>
      <c r="R92" s="1029"/>
      <c r="S92" s="1029"/>
      <c r="T92" s="1029"/>
      <c r="U92" s="1029"/>
      <c r="V92" s="1029"/>
      <c r="W92" s="1029"/>
      <c r="X92" s="1"/>
      <c r="Y92" s="1"/>
      <c r="Z92" s="1"/>
    </row>
    <row r="93" spans="1:26" x14ac:dyDescent="0.25">
      <c r="A93" s="1025" t="s">
        <v>600</v>
      </c>
      <c r="B93" s="879"/>
      <c r="C93" s="196"/>
      <c r="D93" s="879"/>
      <c r="E93" s="879"/>
      <c r="F93" s="1362">
        <f>C93</f>
        <v>0</v>
      </c>
      <c r="G93" s="1362">
        <f>C93</f>
        <v>0</v>
      </c>
      <c r="H93" s="1362">
        <f t="shared" si="25"/>
        <v>0</v>
      </c>
      <c r="I93" s="1362">
        <f t="shared" si="25"/>
        <v>0</v>
      </c>
      <c r="J93" s="1362">
        <f t="shared" si="25"/>
        <v>0</v>
      </c>
      <c r="K93" s="1362">
        <f t="shared" si="25"/>
        <v>0</v>
      </c>
      <c r="L93" s="1362">
        <f t="shared" si="25"/>
        <v>0</v>
      </c>
      <c r="M93" s="1362">
        <f t="shared" si="25"/>
        <v>0</v>
      </c>
      <c r="N93" s="1362">
        <f t="shared" si="25"/>
        <v>0</v>
      </c>
      <c r="O93" s="1362">
        <f t="shared" si="25"/>
        <v>0</v>
      </c>
      <c r="P93" s="860"/>
      <c r="Q93" s="879"/>
      <c r="R93" s="1029"/>
      <c r="S93" s="1029"/>
      <c r="T93" s="1029"/>
      <c r="U93" s="1029"/>
      <c r="V93" s="1029"/>
      <c r="W93" s="1029"/>
      <c r="X93" s="1"/>
      <c r="Y93" s="1"/>
      <c r="Z93" s="1"/>
    </row>
    <row r="94" spans="1:26" x14ac:dyDescent="0.25">
      <c r="A94" s="1025" t="s">
        <v>601</v>
      </c>
      <c r="B94" s="879"/>
      <c r="C94" s="879"/>
      <c r="D94" s="879"/>
      <c r="E94" s="879"/>
      <c r="F94" s="1017">
        <f>F91*F93</f>
        <v>0</v>
      </c>
      <c r="G94" s="1017">
        <f t="shared" ref="G94:O94" si="26">G91*G93</f>
        <v>0</v>
      </c>
      <c r="H94" s="1017">
        <f t="shared" si="26"/>
        <v>0</v>
      </c>
      <c r="I94" s="1017">
        <f t="shared" si="26"/>
        <v>0</v>
      </c>
      <c r="J94" s="1017">
        <f t="shared" si="26"/>
        <v>0</v>
      </c>
      <c r="K94" s="1017">
        <f t="shared" si="26"/>
        <v>0</v>
      </c>
      <c r="L94" s="1017">
        <f t="shared" si="26"/>
        <v>0</v>
      </c>
      <c r="M94" s="1017">
        <f t="shared" si="26"/>
        <v>0</v>
      </c>
      <c r="N94" s="1017">
        <f t="shared" si="26"/>
        <v>0</v>
      </c>
      <c r="O94" s="1017">
        <f t="shared" si="26"/>
        <v>0</v>
      </c>
      <c r="P94" s="860"/>
      <c r="Q94" s="879"/>
      <c r="R94" s="1029"/>
      <c r="S94" s="1029"/>
      <c r="T94" s="1029"/>
      <c r="U94" s="1029"/>
      <c r="V94" s="1029"/>
      <c r="W94" s="1029"/>
      <c r="X94" s="1"/>
      <c r="Y94" s="1"/>
      <c r="Z94" s="1"/>
    </row>
    <row r="95" spans="1:26" ht="15.75" thickBot="1" x14ac:dyDescent="0.3">
      <c r="A95" s="1031" t="s">
        <v>602</v>
      </c>
      <c r="B95" s="879"/>
      <c r="C95" s="879"/>
      <c r="D95" s="879"/>
      <c r="E95" s="879"/>
      <c r="F95" s="1037">
        <f>F89-F94</f>
        <v>0</v>
      </c>
      <c r="G95" s="1037">
        <f t="shared" ref="G95:O95" si="27">G89-G94</f>
        <v>0</v>
      </c>
      <c r="H95" s="1037">
        <f t="shared" si="27"/>
        <v>0</v>
      </c>
      <c r="I95" s="1037">
        <f t="shared" si="27"/>
        <v>0</v>
      </c>
      <c r="J95" s="1037">
        <f t="shared" si="27"/>
        <v>0</v>
      </c>
      <c r="K95" s="1037">
        <f t="shared" si="27"/>
        <v>0</v>
      </c>
      <c r="L95" s="1037">
        <f t="shared" si="27"/>
        <v>0</v>
      </c>
      <c r="M95" s="1037">
        <f t="shared" si="27"/>
        <v>0</v>
      </c>
      <c r="N95" s="1037">
        <f t="shared" si="27"/>
        <v>0</v>
      </c>
      <c r="O95" s="1037">
        <f t="shared" si="27"/>
        <v>0</v>
      </c>
      <c r="P95" s="860"/>
      <c r="Q95" s="879"/>
      <c r="R95" s="1029"/>
      <c r="S95" s="1029"/>
      <c r="T95" s="1029"/>
      <c r="U95" s="1029"/>
      <c r="V95" s="1029"/>
      <c r="W95" s="1029"/>
      <c r="X95" s="1"/>
      <c r="Y95" s="1"/>
      <c r="Z95" s="1"/>
    </row>
  </sheetData>
  <sheetProtection algorithmName="SHA-512" hashValue="S5DkOpa6l3SVM0PEMgjX6SFyiTaWiQQlqCXSOYgc2r9mJMQY9OwLTIQ3yyx5WA136DQ5D47LEsY7GNFYNL+Itg==" saltValue="oG4ZGoIIsJGnZHA8vcUx9g==" spinCount="100000" sheet="1" objects="1" scenarios="1"/>
  <mergeCells count="27">
    <mergeCell ref="AD17:AF17"/>
    <mergeCell ref="A9:U9"/>
    <mergeCell ref="A10:U10"/>
    <mergeCell ref="A12:U12"/>
    <mergeCell ref="A13:U13"/>
    <mergeCell ref="A15:U15"/>
    <mergeCell ref="R17:T17"/>
    <mergeCell ref="U17:W17"/>
    <mergeCell ref="X17:Z17"/>
    <mergeCell ref="AA17:AC17"/>
    <mergeCell ref="O17:Q17"/>
    <mergeCell ref="L17:N17"/>
    <mergeCell ref="I17:K17"/>
    <mergeCell ref="F17:H17"/>
    <mergeCell ref="C17:E17"/>
    <mergeCell ref="A47:O48"/>
    <mergeCell ref="AB52:AC52"/>
    <mergeCell ref="AE52:AF52"/>
    <mergeCell ref="A50:B50"/>
    <mergeCell ref="S52:T52"/>
    <mergeCell ref="V52:W52"/>
    <mergeCell ref="Y52:Z52"/>
    <mergeCell ref="P52:Q52"/>
    <mergeCell ref="M52:N52"/>
    <mergeCell ref="J52:K52"/>
    <mergeCell ref="G52:H52"/>
    <mergeCell ref="D52:E52"/>
  </mergeCells>
  <dataValidations disablePrompts="1" count="1">
    <dataValidation allowBlank="1" showInputMessage="1" showErrorMessage="1" promptTitle="Date Format" prompt="E.g:  &quot;August 1, 2011&quot;" sqref="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xr:uid="{00000000-0002-0000-1300-000000000000}"/>
  </dataValidations>
  <pageMargins left="0.7" right="0.7" top="0.75" bottom="0.75" header="0.3" footer="0.3"/>
  <pageSetup scale="36" fitToWidth="2" orientation="landscape" r:id="rId1"/>
  <colBreaks count="1" manualBreakCount="1">
    <brk id="18" max="9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F0"/>
  </sheetPr>
  <dimension ref="A1:H1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96.7109375" bestFit="1" customWidth="1"/>
  </cols>
  <sheetData>
    <row r="1" spans="1:8" x14ac:dyDescent="0.2">
      <c r="A1" t="s">
        <v>1081</v>
      </c>
      <c r="B1" t="s">
        <v>1082</v>
      </c>
      <c r="C1" t="s">
        <v>277</v>
      </c>
      <c r="D1" t="s">
        <v>276</v>
      </c>
      <c r="E1" t="s">
        <v>275</v>
      </c>
      <c r="F1" t="s">
        <v>1091</v>
      </c>
      <c r="G1" t="s">
        <v>10</v>
      </c>
      <c r="H1" t="s">
        <v>1084</v>
      </c>
    </row>
    <row r="2" spans="1:8" x14ac:dyDescent="0.2">
      <c r="A2" t="str">
        <f>'LDC Info'!$E$14</f>
        <v>Greater Sudbury Hydro Inc.</v>
      </c>
      <c r="B2" t="str">
        <f t="shared" ref="B2:B11" si="0">EBNUMBER</f>
        <v>EB-2019-0037</v>
      </c>
      <c r="C2">
        <f t="shared" ref="C2:C11" si="1">TestYear</f>
        <v>2020</v>
      </c>
      <c r="D2">
        <f t="shared" ref="D2:D11" si="2">BridgeYear</f>
        <v>2019</v>
      </c>
      <c r="E2">
        <f t="shared" ref="E2:E11" si="3">RebaseYear</f>
        <v>2013</v>
      </c>
      <c r="F2" t="s">
        <v>570</v>
      </c>
      <c r="G2" s="1370">
        <f>'App.2-FB Calc of REG Improvemnt'!C17</f>
        <v>2015</v>
      </c>
      <c r="H2" t="e">
        <f>'App.2-FB Calc of REG Improvemnt'!E43</f>
        <v>#DIV/0!</v>
      </c>
    </row>
    <row r="3" spans="1:8" x14ac:dyDescent="0.2">
      <c r="A3" t="str">
        <f>'LDC Info'!$E$14</f>
        <v>Greater Sudbury Hydro Inc.</v>
      </c>
      <c r="B3" t="str">
        <f t="shared" si="0"/>
        <v>EB-2019-0037</v>
      </c>
      <c r="C3">
        <f t="shared" si="1"/>
        <v>2020</v>
      </c>
      <c r="D3">
        <f t="shared" si="2"/>
        <v>2019</v>
      </c>
      <c r="E3">
        <f t="shared" si="3"/>
        <v>2013</v>
      </c>
      <c r="F3" t="s">
        <v>570</v>
      </c>
      <c r="G3" s="1370">
        <f>'App.2-FB Calc of REG Improvemnt'!F17</f>
        <v>2016</v>
      </c>
      <c r="H3" t="e">
        <f>'App.2-FB Calc of REG Improvemnt'!H43</f>
        <v>#DIV/0!</v>
      </c>
    </row>
    <row r="4" spans="1:8" x14ac:dyDescent="0.2">
      <c r="A4" t="str">
        <f>'LDC Info'!$E$14</f>
        <v>Greater Sudbury Hydro Inc.</v>
      </c>
      <c r="B4" t="str">
        <f t="shared" si="0"/>
        <v>EB-2019-0037</v>
      </c>
      <c r="C4">
        <f t="shared" si="1"/>
        <v>2020</v>
      </c>
      <c r="D4">
        <f t="shared" si="2"/>
        <v>2019</v>
      </c>
      <c r="E4">
        <f t="shared" si="3"/>
        <v>2013</v>
      </c>
      <c r="F4" t="s">
        <v>570</v>
      </c>
      <c r="G4" s="1370">
        <f>'App.2-FB Calc of REG Improvemnt'!I17</f>
        <v>2017</v>
      </c>
      <c r="H4" t="e">
        <f>'App.2-FB Calc of REG Improvemnt'!K43</f>
        <v>#DIV/0!</v>
      </c>
    </row>
    <row r="5" spans="1:8" x14ac:dyDescent="0.2">
      <c r="A5" t="str">
        <f>'LDC Info'!$E$14</f>
        <v>Greater Sudbury Hydro Inc.</v>
      </c>
      <c r="B5" t="str">
        <f t="shared" si="0"/>
        <v>EB-2019-0037</v>
      </c>
      <c r="C5">
        <f t="shared" si="1"/>
        <v>2020</v>
      </c>
      <c r="D5">
        <f t="shared" si="2"/>
        <v>2019</v>
      </c>
      <c r="E5">
        <f t="shared" si="3"/>
        <v>2013</v>
      </c>
      <c r="F5" t="s">
        <v>570</v>
      </c>
      <c r="G5" s="1370">
        <f>'App.2-FB Calc of REG Improvemnt'!L17</f>
        <v>2018</v>
      </c>
      <c r="H5" t="e">
        <f>'App.2-FB Calc of REG Improvemnt'!N43</f>
        <v>#DIV/0!</v>
      </c>
    </row>
    <row r="6" spans="1:8" x14ac:dyDescent="0.2">
      <c r="A6" t="str">
        <f>'LDC Info'!$E$14</f>
        <v>Greater Sudbury Hydro Inc.</v>
      </c>
      <c r="B6" t="str">
        <f t="shared" si="0"/>
        <v>EB-2019-0037</v>
      </c>
      <c r="C6">
        <f t="shared" si="1"/>
        <v>2020</v>
      </c>
      <c r="D6">
        <f t="shared" si="2"/>
        <v>2019</v>
      </c>
      <c r="E6">
        <f t="shared" si="3"/>
        <v>2013</v>
      </c>
      <c r="F6" t="s">
        <v>570</v>
      </c>
      <c r="G6" s="1370">
        <f>'App.2-FB Calc of REG Improvemnt'!O17</f>
        <v>2019</v>
      </c>
      <c r="H6" t="e">
        <f>'App.2-FB Calc of REG Improvemnt'!Q43</f>
        <v>#DIV/0!</v>
      </c>
    </row>
    <row r="7" spans="1:8" x14ac:dyDescent="0.2">
      <c r="A7" t="str">
        <f>'LDC Info'!$E$14</f>
        <v>Greater Sudbury Hydro Inc.</v>
      </c>
      <c r="B7" t="str">
        <f t="shared" si="0"/>
        <v>EB-2019-0037</v>
      </c>
      <c r="C7">
        <f t="shared" si="1"/>
        <v>2020</v>
      </c>
      <c r="D7">
        <f t="shared" si="2"/>
        <v>2019</v>
      </c>
      <c r="E7">
        <f t="shared" si="3"/>
        <v>2013</v>
      </c>
      <c r="F7" t="s">
        <v>570</v>
      </c>
      <c r="G7" s="1370" t="str">
        <f>LEFT('App.2-FB Calc of REG Improvemnt'!R17,4)</f>
        <v>2020</v>
      </c>
      <c r="H7" t="e">
        <f>'App.2-FB Calc of REG Improvemnt'!T43</f>
        <v>#DIV/0!</v>
      </c>
    </row>
    <row r="8" spans="1:8" x14ac:dyDescent="0.2">
      <c r="A8" t="str">
        <f>'LDC Info'!$E$14</f>
        <v>Greater Sudbury Hydro Inc.</v>
      </c>
      <c r="B8" t="str">
        <f t="shared" si="0"/>
        <v>EB-2019-0037</v>
      </c>
      <c r="C8">
        <f t="shared" si="1"/>
        <v>2020</v>
      </c>
      <c r="D8">
        <f t="shared" si="2"/>
        <v>2019</v>
      </c>
      <c r="E8">
        <f t="shared" si="3"/>
        <v>2013</v>
      </c>
      <c r="F8" t="s">
        <v>570</v>
      </c>
      <c r="G8" s="1370">
        <f>'App.2-FB Calc of REG Improvemnt'!U17</f>
        <v>2021</v>
      </c>
      <c r="H8" t="e">
        <f>'App.2-FB Calc of REG Improvemnt'!W43</f>
        <v>#DIV/0!</v>
      </c>
    </row>
    <row r="9" spans="1:8" x14ac:dyDescent="0.2">
      <c r="A9" t="str">
        <f>'LDC Info'!$E$14</f>
        <v>Greater Sudbury Hydro Inc.</v>
      </c>
      <c r="B9" t="str">
        <f t="shared" si="0"/>
        <v>EB-2019-0037</v>
      </c>
      <c r="C9">
        <f t="shared" si="1"/>
        <v>2020</v>
      </c>
      <c r="D9">
        <f t="shared" si="2"/>
        <v>2019</v>
      </c>
      <c r="E9">
        <f t="shared" si="3"/>
        <v>2013</v>
      </c>
      <c r="F9" t="s">
        <v>570</v>
      </c>
      <c r="G9" s="1370">
        <f>'App.2-FB Calc of REG Improvemnt'!X17</f>
        <v>2022</v>
      </c>
      <c r="H9" t="e">
        <f>'App.2-FB Calc of REG Improvemnt'!Z43</f>
        <v>#DIV/0!</v>
      </c>
    </row>
    <row r="10" spans="1:8" x14ac:dyDescent="0.2">
      <c r="A10" t="str">
        <f>'LDC Info'!$E$14</f>
        <v>Greater Sudbury Hydro Inc.</v>
      </c>
      <c r="B10" t="str">
        <f t="shared" si="0"/>
        <v>EB-2019-0037</v>
      </c>
      <c r="C10">
        <f t="shared" si="1"/>
        <v>2020</v>
      </c>
      <c r="D10">
        <f t="shared" si="2"/>
        <v>2019</v>
      </c>
      <c r="E10">
        <f t="shared" si="3"/>
        <v>2013</v>
      </c>
      <c r="F10" t="s">
        <v>570</v>
      </c>
      <c r="G10" s="1370">
        <f>'App.2-FB Calc of REG Improvemnt'!AA17</f>
        <v>2023</v>
      </c>
      <c r="H10" t="e">
        <f>'App.2-FB Calc of REG Improvemnt'!AC43</f>
        <v>#DIV/0!</v>
      </c>
    </row>
    <row r="11" spans="1:8" x14ac:dyDescent="0.2">
      <c r="A11" t="str">
        <f>'LDC Info'!$E$14</f>
        <v>Greater Sudbury Hydro Inc.</v>
      </c>
      <c r="B11" t="str">
        <f t="shared" si="0"/>
        <v>EB-2019-0037</v>
      </c>
      <c r="C11">
        <f t="shared" si="1"/>
        <v>2020</v>
      </c>
      <c r="D11">
        <f t="shared" si="2"/>
        <v>2019</v>
      </c>
      <c r="E11">
        <f t="shared" si="3"/>
        <v>2013</v>
      </c>
      <c r="F11" t="s">
        <v>570</v>
      </c>
      <c r="G11" s="1370">
        <f>'App.2-FB Calc of REG Improvemnt'!AD17</f>
        <v>2024</v>
      </c>
      <c r="H11" t="e">
        <f>'App.2-FB Calc of REG Improvemnt'!AF43</f>
        <v>#DIV/0!</v>
      </c>
    </row>
  </sheetData>
  <sheetProtection algorithmName="SHA-512" hashValue="6So5fAILO2q/MxB31giIH7uost8i8oei8vbslsHW+yPGR9IzZqwVPYS2qneRz5KUDkkNn+tU5yXTWuLL/7i6lQ==" saltValue="u5zjxFRr58PiMMpjXQzOIA=="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3">
    <tabColor rgb="FF00B0F0"/>
  </sheetPr>
  <dimension ref="A1:AG114"/>
  <sheetViews>
    <sheetView showGridLines="0" zoomScaleNormal="100" zoomScaleSheetLayoutView="25" workbookViewId="0">
      <selection activeCell="B22" sqref="B22"/>
    </sheetView>
  </sheetViews>
  <sheetFormatPr defaultColWidth="9.28515625" defaultRowHeight="12.75" x14ac:dyDescent="0.2"/>
  <cols>
    <col min="1" max="1" width="54.28515625" style="1" customWidth="1"/>
    <col min="2" max="33" width="13.85546875" style="1" customWidth="1"/>
    <col min="34" max="16384" width="9.28515625" style="1"/>
  </cols>
  <sheetData>
    <row r="1" spans="1:22" s="929" customFormat="1" ht="15" x14ac:dyDescent="0.25">
      <c r="A1" s="893"/>
      <c r="B1" s="893"/>
      <c r="C1" s="893"/>
      <c r="D1" s="893"/>
      <c r="E1" s="893"/>
      <c r="F1" s="893"/>
      <c r="G1" s="893"/>
      <c r="H1" s="893"/>
      <c r="I1" s="893"/>
      <c r="J1" s="893"/>
      <c r="K1" s="893"/>
      <c r="L1" s="893"/>
      <c r="M1" s="893"/>
      <c r="N1" s="893"/>
      <c r="O1" s="893"/>
      <c r="Q1" s="874" t="s">
        <v>264</v>
      </c>
      <c r="R1" s="930" t="str">
        <f>EBNUMBER</f>
        <v>EB-2019-0037</v>
      </c>
    </row>
    <row r="2" spans="1:22" s="929" customFormat="1" ht="15" x14ac:dyDescent="0.25">
      <c r="A2" s="893"/>
      <c r="B2" s="893"/>
      <c r="C2" s="893"/>
      <c r="D2" s="893"/>
      <c r="E2" s="893"/>
      <c r="F2" s="893"/>
      <c r="G2" s="893"/>
      <c r="H2" s="893"/>
      <c r="I2" s="893"/>
      <c r="J2" s="893"/>
      <c r="K2" s="893"/>
      <c r="L2" s="893"/>
      <c r="M2" s="893"/>
      <c r="N2" s="893"/>
      <c r="O2" s="893"/>
      <c r="Q2" s="874" t="s">
        <v>265</v>
      </c>
      <c r="R2" s="41"/>
    </row>
    <row r="3" spans="1:22" s="929" customFormat="1" ht="15" x14ac:dyDescent="0.25">
      <c r="A3" s="893"/>
      <c r="B3" s="893"/>
      <c r="C3" s="893"/>
      <c r="D3" s="893"/>
      <c r="E3" s="893"/>
      <c r="F3" s="893"/>
      <c r="G3" s="893"/>
      <c r="H3" s="893"/>
      <c r="I3" s="893"/>
      <c r="J3" s="893"/>
      <c r="K3" s="893"/>
      <c r="L3" s="893"/>
      <c r="M3" s="893"/>
      <c r="N3" s="893"/>
      <c r="O3" s="893"/>
      <c r="Q3" s="874" t="s">
        <v>266</v>
      </c>
      <c r="R3" s="41"/>
    </row>
    <row r="4" spans="1:22" s="929" customFormat="1" ht="15" x14ac:dyDescent="0.25">
      <c r="A4" s="1038" t="s">
        <v>1143</v>
      </c>
      <c r="B4" s="893"/>
      <c r="C4" s="893"/>
      <c r="D4" s="893"/>
      <c r="E4" s="893"/>
      <c r="F4" s="893"/>
      <c r="G4" s="893"/>
      <c r="H4" s="893"/>
      <c r="I4" s="893"/>
      <c r="J4" s="893"/>
      <c r="K4" s="893"/>
      <c r="L4" s="893"/>
      <c r="M4" s="893"/>
      <c r="N4" s="893"/>
      <c r="O4" s="893"/>
      <c r="Q4" s="874" t="s">
        <v>267</v>
      </c>
      <c r="R4" s="41"/>
    </row>
    <row r="5" spans="1:22" s="929" customFormat="1" ht="15" x14ac:dyDescent="0.25">
      <c r="A5" s="893"/>
      <c r="B5" s="893"/>
      <c r="C5" s="893"/>
      <c r="D5" s="893"/>
      <c r="E5" s="893"/>
      <c r="F5" s="893"/>
      <c r="G5" s="893"/>
      <c r="H5" s="893"/>
      <c r="I5" s="893"/>
      <c r="J5" s="893"/>
      <c r="K5" s="893"/>
      <c r="L5" s="893"/>
      <c r="M5" s="893"/>
      <c r="N5" s="893"/>
      <c r="O5" s="893"/>
      <c r="Q5" s="874" t="s">
        <v>268</v>
      </c>
      <c r="R5" s="42"/>
    </row>
    <row r="6" spans="1:22" s="929" customFormat="1" ht="15" x14ac:dyDescent="0.25">
      <c r="A6" s="893"/>
      <c r="B6" s="893"/>
      <c r="C6" s="893"/>
      <c r="D6" s="893"/>
      <c r="E6" s="893"/>
      <c r="F6" s="893"/>
      <c r="G6" s="893"/>
      <c r="H6" s="893"/>
      <c r="I6" s="893"/>
      <c r="J6" s="893"/>
      <c r="K6" s="893"/>
      <c r="L6" s="893"/>
      <c r="M6" s="893"/>
      <c r="N6" s="893"/>
      <c r="O6" s="893"/>
      <c r="Q6" s="874"/>
      <c r="R6" s="875"/>
    </row>
    <row r="7" spans="1:22" s="929" customFormat="1" ht="15" x14ac:dyDescent="0.25">
      <c r="A7" s="893"/>
      <c r="B7" s="893"/>
      <c r="C7" s="893"/>
      <c r="D7" s="893"/>
      <c r="E7" s="893"/>
      <c r="F7" s="893"/>
      <c r="G7" s="893"/>
      <c r="H7" s="893"/>
      <c r="I7" s="893"/>
      <c r="J7" s="893"/>
      <c r="K7" s="893"/>
      <c r="L7" s="893"/>
      <c r="M7" s="893"/>
      <c r="N7" s="893"/>
      <c r="O7" s="893"/>
      <c r="Q7" s="874" t="s">
        <v>269</v>
      </c>
      <c r="R7" s="42"/>
    </row>
    <row r="8" spans="1:22" s="929" customFormat="1" ht="15" x14ac:dyDescent="0.25">
      <c r="A8" s="894"/>
      <c r="B8" s="894"/>
      <c r="C8" s="894"/>
      <c r="D8" s="894"/>
      <c r="E8" s="894"/>
      <c r="F8" s="894"/>
      <c r="G8" s="894"/>
      <c r="H8" s="894"/>
      <c r="I8" s="894"/>
      <c r="J8" s="894"/>
      <c r="K8" s="894"/>
      <c r="L8" s="894"/>
      <c r="M8" s="894"/>
      <c r="N8" s="894"/>
      <c r="O8" s="894"/>
      <c r="P8" s="894"/>
      <c r="Q8" s="894"/>
      <c r="R8" s="894"/>
      <c r="S8" s="894"/>
      <c r="T8" s="932"/>
      <c r="U8" s="932"/>
      <c r="V8" s="932"/>
    </row>
    <row r="9" spans="1:22" s="929" customFormat="1" ht="18" x14ac:dyDescent="0.25">
      <c r="A9" s="1916" t="s">
        <v>604</v>
      </c>
      <c r="B9" s="1916"/>
      <c r="C9" s="1916"/>
      <c r="D9" s="1916"/>
      <c r="E9" s="1916"/>
      <c r="F9" s="1916"/>
      <c r="G9" s="1916"/>
      <c r="H9" s="1916"/>
      <c r="I9" s="1916"/>
      <c r="J9" s="1916"/>
      <c r="K9" s="1916"/>
      <c r="L9" s="1916"/>
      <c r="M9" s="1916"/>
      <c r="N9" s="1916"/>
      <c r="O9" s="1916"/>
      <c r="P9" s="1916"/>
      <c r="Q9" s="1916"/>
      <c r="R9" s="1916"/>
      <c r="S9" s="933"/>
      <c r="T9" s="933"/>
      <c r="U9" s="932"/>
      <c r="V9" s="932"/>
    </row>
    <row r="10" spans="1:22" s="929" customFormat="1" ht="39.75" customHeight="1" x14ac:dyDescent="0.25">
      <c r="A10" s="2060" t="s">
        <v>605</v>
      </c>
      <c r="B10" s="2060"/>
      <c r="C10" s="2060"/>
      <c r="D10" s="2060"/>
      <c r="E10" s="2060"/>
      <c r="F10" s="2060"/>
      <c r="G10" s="2060"/>
      <c r="H10" s="2060"/>
      <c r="I10" s="2060"/>
      <c r="J10" s="2060"/>
      <c r="K10" s="2060"/>
      <c r="L10" s="2060"/>
      <c r="M10" s="2060"/>
      <c r="N10" s="2060"/>
      <c r="O10" s="2060"/>
      <c r="P10" s="2060"/>
      <c r="Q10" s="2060"/>
      <c r="R10" s="2060"/>
      <c r="S10" s="933"/>
      <c r="T10" s="933"/>
      <c r="U10" s="932"/>
      <c r="V10" s="932"/>
    </row>
    <row r="11" spans="1:22" s="929" customFormat="1" ht="12.75" customHeight="1" x14ac:dyDescent="0.25">
      <c r="A11" s="933"/>
      <c r="B11" s="933"/>
      <c r="C11" s="933"/>
      <c r="D11" s="933"/>
      <c r="E11" s="933"/>
      <c r="F11" s="933"/>
      <c r="G11" s="933"/>
      <c r="H11" s="933"/>
      <c r="I11" s="933"/>
      <c r="J11" s="933"/>
      <c r="K11" s="933"/>
      <c r="L11" s="933"/>
      <c r="M11" s="933"/>
      <c r="N11" s="933"/>
      <c r="O11" s="933"/>
      <c r="P11" s="933"/>
      <c r="Q11" s="933"/>
      <c r="R11" s="933"/>
      <c r="S11" s="933"/>
      <c r="T11" s="933"/>
      <c r="U11" s="932"/>
      <c r="V11" s="932"/>
    </row>
    <row r="12" spans="1:22" ht="14.25" x14ac:dyDescent="0.2">
      <c r="A12" s="2065" t="s">
        <v>606</v>
      </c>
      <c r="B12" s="2065"/>
      <c r="C12" s="2065"/>
      <c r="D12" s="2065"/>
      <c r="E12" s="2065"/>
      <c r="F12" s="2065"/>
      <c r="G12" s="2065"/>
      <c r="H12" s="2065"/>
      <c r="I12" s="2065"/>
      <c r="J12" s="2065"/>
      <c r="K12" s="2065"/>
      <c r="L12" s="2065"/>
      <c r="M12" s="2065"/>
      <c r="N12" s="2065"/>
      <c r="O12" s="2065"/>
      <c r="P12" s="2065"/>
      <c r="Q12" s="2065"/>
      <c r="R12" s="2065"/>
    </row>
    <row r="13" spans="1:22" ht="12.75" customHeight="1" x14ac:dyDescent="0.2">
      <c r="A13" s="2066" t="s">
        <v>554</v>
      </c>
      <c r="B13" s="2066"/>
      <c r="C13" s="2066"/>
      <c r="D13" s="2066"/>
      <c r="E13" s="2066"/>
      <c r="F13" s="2066"/>
      <c r="G13" s="2066"/>
      <c r="H13" s="2066"/>
      <c r="I13" s="2066"/>
      <c r="J13" s="2066"/>
      <c r="K13" s="2066"/>
      <c r="L13" s="2066"/>
      <c r="M13" s="2066"/>
      <c r="N13" s="2066"/>
      <c r="O13" s="2066"/>
      <c r="P13" s="2066"/>
      <c r="Q13" s="2066"/>
      <c r="R13" s="2066"/>
    </row>
    <row r="14" spans="1:22" ht="12.75" customHeight="1" x14ac:dyDescent="0.2">
      <c r="A14" s="970" t="str">
        <f>"For historical investments, enter these variables that were approved your last cost of service test year.  For " &amp; TestYear &amp; " and beyond, enter variables as in the application."</f>
        <v>For historical investments, enter these variables that were approved your last cost of service test year.  For 2020 and beyond, enter variables as in the application.</v>
      </c>
      <c r="B14" s="1039"/>
      <c r="C14" s="1039"/>
      <c r="D14" s="1039"/>
      <c r="E14" s="1039"/>
      <c r="F14" s="1039"/>
      <c r="G14" s="1039"/>
      <c r="H14" s="1039"/>
      <c r="I14" s="1039"/>
      <c r="J14" s="1039"/>
      <c r="K14" s="1039"/>
      <c r="L14" s="1039"/>
      <c r="M14" s="1039"/>
      <c r="N14" s="1039"/>
      <c r="O14" s="1039"/>
      <c r="P14" s="1039"/>
      <c r="Q14" s="1039"/>
      <c r="R14" s="1039"/>
    </row>
    <row r="15" spans="1:22" ht="14.25" x14ac:dyDescent="0.2">
      <c r="A15" s="2065" t="s">
        <v>925</v>
      </c>
      <c r="B15" s="2065"/>
      <c r="C15" s="2065"/>
      <c r="D15" s="2065"/>
      <c r="E15" s="2065"/>
      <c r="F15" s="2065"/>
      <c r="G15" s="2065"/>
      <c r="H15" s="2065"/>
      <c r="I15" s="2065"/>
      <c r="J15" s="2065"/>
      <c r="K15" s="2065"/>
      <c r="L15" s="2065"/>
      <c r="M15" s="2065"/>
      <c r="N15" s="2065"/>
      <c r="O15" s="2065"/>
      <c r="P15" s="2065"/>
      <c r="Q15" s="2065"/>
      <c r="R15" s="2065"/>
    </row>
    <row r="16" spans="1:22" ht="15" x14ac:dyDescent="0.2">
      <c r="B16" s="1040"/>
    </row>
    <row r="17" spans="1:33" ht="13.5" thickBot="1" x14ac:dyDescent="0.25">
      <c r="A17" s="971"/>
      <c r="B17" s="1041"/>
      <c r="C17" s="1041"/>
      <c r="D17" s="1041"/>
      <c r="E17" s="1041"/>
      <c r="F17" s="1041"/>
      <c r="G17" s="1041"/>
      <c r="H17" s="1041"/>
      <c r="I17" s="1041"/>
      <c r="J17" s="1041"/>
      <c r="K17" s="1041"/>
      <c r="L17" s="1041"/>
      <c r="M17" s="1041"/>
      <c r="N17" s="1041"/>
      <c r="O17" s="1041"/>
      <c r="P17" s="879"/>
      <c r="Q17" s="879"/>
      <c r="R17" s="879"/>
      <c r="S17" s="879"/>
      <c r="T17" s="1042"/>
      <c r="U17" s="879"/>
      <c r="V17" s="879"/>
      <c r="W17" s="1042"/>
      <c r="X17" s="879"/>
      <c r="Y17" s="879"/>
      <c r="Z17" s="879"/>
      <c r="AA17" s="879"/>
      <c r="AB17" s="879"/>
      <c r="AC17" s="1042"/>
      <c r="AD17" s="879"/>
    </row>
    <row r="18" spans="1:33" ht="13.5" thickBot="1" x14ac:dyDescent="0.25">
      <c r="A18" s="971"/>
      <c r="B18" s="971"/>
      <c r="C18" s="971"/>
      <c r="D18" s="2057">
        <f>G18-1</f>
        <v>2015</v>
      </c>
      <c r="E18" s="2058"/>
      <c r="F18" s="2059"/>
      <c r="G18" s="2057">
        <f>J18-1</f>
        <v>2016</v>
      </c>
      <c r="H18" s="2058"/>
      <c r="I18" s="2059"/>
      <c r="J18" s="2057">
        <f>M18-1</f>
        <v>2017</v>
      </c>
      <c r="K18" s="2058"/>
      <c r="L18" s="2059"/>
      <c r="M18" s="2057">
        <f>P18-1</f>
        <v>2018</v>
      </c>
      <c r="N18" s="2058"/>
      <c r="O18" s="2059"/>
      <c r="P18" s="2057">
        <f>BridgeYear</f>
        <v>2019</v>
      </c>
      <c r="Q18" s="2058"/>
      <c r="R18" s="2059"/>
      <c r="S18" s="2057" t="str">
        <f>CONCATENATE(TestYear," Test Year")</f>
        <v>2020 Test Year</v>
      </c>
      <c r="T18" s="2058"/>
      <c r="U18" s="2059"/>
      <c r="V18" s="2057">
        <f>TestYear+1</f>
        <v>2021</v>
      </c>
      <c r="W18" s="2058">
        <v>2016</v>
      </c>
      <c r="X18" s="2059"/>
      <c r="Y18" s="2057">
        <f>V18+1</f>
        <v>2022</v>
      </c>
      <c r="Z18" s="2058"/>
      <c r="AA18" s="2059"/>
      <c r="AB18" s="2057">
        <f>Y18+1</f>
        <v>2023</v>
      </c>
      <c r="AC18" s="2058"/>
      <c r="AD18" s="2059"/>
      <c r="AE18" s="2057">
        <f>AB18+1</f>
        <v>2024</v>
      </c>
      <c r="AF18" s="2058"/>
      <c r="AG18" s="2059"/>
    </row>
    <row r="19" spans="1:33" x14ac:dyDescent="0.2">
      <c r="A19" s="860"/>
      <c r="B19" s="860"/>
      <c r="C19" s="860"/>
      <c r="D19" s="860"/>
      <c r="E19" s="874" t="s">
        <v>555</v>
      </c>
      <c r="F19" s="942" t="s">
        <v>556</v>
      </c>
      <c r="G19" s="860"/>
      <c r="H19" s="874" t="s">
        <v>555</v>
      </c>
      <c r="I19" s="942" t="s">
        <v>556</v>
      </c>
      <c r="J19" s="860"/>
      <c r="K19" s="874" t="s">
        <v>555</v>
      </c>
      <c r="L19" s="942" t="s">
        <v>556</v>
      </c>
      <c r="M19" s="860"/>
      <c r="N19" s="874" t="s">
        <v>555</v>
      </c>
      <c r="O19" s="942" t="s">
        <v>556</v>
      </c>
      <c r="P19" s="860"/>
      <c r="Q19" s="874" t="s">
        <v>555</v>
      </c>
      <c r="R19" s="942" t="s">
        <v>556</v>
      </c>
      <c r="S19" s="860"/>
      <c r="T19" s="874" t="s">
        <v>555</v>
      </c>
      <c r="U19" s="942" t="s">
        <v>556</v>
      </c>
      <c r="V19" s="860"/>
      <c r="W19" s="874" t="s">
        <v>555</v>
      </c>
      <c r="X19" s="942" t="s">
        <v>556</v>
      </c>
      <c r="Y19" s="860"/>
      <c r="Z19" s="874" t="s">
        <v>555</v>
      </c>
      <c r="AA19" s="942" t="s">
        <v>556</v>
      </c>
      <c r="AB19" s="860"/>
      <c r="AC19" s="874" t="s">
        <v>555</v>
      </c>
      <c r="AD19" s="942" t="s">
        <v>556</v>
      </c>
      <c r="AE19" s="860"/>
      <c r="AF19" s="874" t="s">
        <v>555</v>
      </c>
      <c r="AG19" s="942" t="s">
        <v>556</v>
      </c>
    </row>
    <row r="20" spans="1:33" s="1029" customFormat="1" x14ac:dyDescent="0.2">
      <c r="A20" s="1043"/>
      <c r="B20" s="975"/>
      <c r="C20" s="975"/>
      <c r="D20" s="975" t="s">
        <v>259</v>
      </c>
      <c r="E20" s="976">
        <v>0.17</v>
      </c>
      <c r="F20" s="976">
        <v>0.83</v>
      </c>
      <c r="G20" s="975" t="s">
        <v>259</v>
      </c>
      <c r="H20" s="976">
        <v>0.17</v>
      </c>
      <c r="I20" s="976">
        <v>0.83</v>
      </c>
      <c r="J20" s="975" t="s">
        <v>259</v>
      </c>
      <c r="K20" s="976">
        <v>0.17</v>
      </c>
      <c r="L20" s="976">
        <v>0.83</v>
      </c>
      <c r="M20" s="975" t="s">
        <v>259</v>
      </c>
      <c r="N20" s="976">
        <v>0.17</v>
      </c>
      <c r="O20" s="976">
        <v>0.83</v>
      </c>
      <c r="P20" s="975" t="s">
        <v>259</v>
      </c>
      <c r="Q20" s="976">
        <v>0.17</v>
      </c>
      <c r="R20" s="976">
        <v>0.83</v>
      </c>
      <c r="S20" s="975" t="s">
        <v>259</v>
      </c>
      <c r="T20" s="976">
        <v>0.17</v>
      </c>
      <c r="U20" s="976">
        <v>0.83</v>
      </c>
      <c r="V20" s="975" t="s">
        <v>259</v>
      </c>
      <c r="W20" s="976">
        <v>0.17</v>
      </c>
      <c r="X20" s="976">
        <v>0.83</v>
      </c>
      <c r="Y20" s="975" t="s">
        <v>259</v>
      </c>
      <c r="Z20" s="976">
        <v>0.17</v>
      </c>
      <c r="AA20" s="976">
        <v>0.83</v>
      </c>
      <c r="AB20" s="975" t="s">
        <v>259</v>
      </c>
      <c r="AC20" s="976">
        <v>0.17</v>
      </c>
      <c r="AD20" s="976">
        <v>0.83</v>
      </c>
      <c r="AE20" s="975" t="s">
        <v>259</v>
      </c>
      <c r="AF20" s="976">
        <v>0.17</v>
      </c>
      <c r="AG20" s="976">
        <v>0.83</v>
      </c>
    </row>
    <row r="21" spans="1:33" x14ac:dyDescent="0.2">
      <c r="A21" s="874" t="s">
        <v>557</v>
      </c>
      <c r="B21" s="977"/>
      <c r="C21" s="860"/>
      <c r="D21" s="978" t="e">
        <f>J82</f>
        <v>#DIV/0!</v>
      </c>
      <c r="E21" s="945" t="e">
        <f>D21*E20</f>
        <v>#DIV/0!</v>
      </c>
      <c r="F21" s="979" t="e">
        <f>D21*F20</f>
        <v>#DIV/0!</v>
      </c>
      <c r="G21" s="978" t="e">
        <f>G82</f>
        <v>#DIV/0!</v>
      </c>
      <c r="H21" s="945" t="e">
        <f>G21*H20</f>
        <v>#DIV/0!</v>
      </c>
      <c r="I21" s="979" t="e">
        <f>G21*I20</f>
        <v>#DIV/0!</v>
      </c>
      <c r="J21" s="978" t="e">
        <f>H82</f>
        <v>#DIV/0!</v>
      </c>
      <c r="K21" s="945" t="e">
        <f>J21*K20</f>
        <v>#DIV/0!</v>
      </c>
      <c r="L21" s="979" t="e">
        <f>J21*L20</f>
        <v>#DIV/0!</v>
      </c>
      <c r="M21" s="978" t="e">
        <f>I82</f>
        <v>#DIV/0!</v>
      </c>
      <c r="N21" s="945" t="e">
        <f>M21*N20</f>
        <v>#DIV/0!</v>
      </c>
      <c r="O21" s="979" t="e">
        <f>M21*O20</f>
        <v>#DIV/0!</v>
      </c>
      <c r="P21" s="978" t="e">
        <f>J82</f>
        <v>#DIV/0!</v>
      </c>
      <c r="Q21" s="945" t="e">
        <f>P21*Q20</f>
        <v>#DIV/0!</v>
      </c>
      <c r="R21" s="979" t="e">
        <f>P21*R20</f>
        <v>#DIV/0!</v>
      </c>
      <c r="S21" s="978" t="e">
        <f>K82</f>
        <v>#DIV/0!</v>
      </c>
      <c r="T21" s="945" t="e">
        <f>S21*T20</f>
        <v>#DIV/0!</v>
      </c>
      <c r="U21" s="979" t="e">
        <f>S21*U20</f>
        <v>#DIV/0!</v>
      </c>
      <c r="V21" s="980" t="e">
        <f>L82</f>
        <v>#DIV/0!</v>
      </c>
      <c r="W21" s="945" t="e">
        <f>V21*W20</f>
        <v>#DIV/0!</v>
      </c>
      <c r="X21" s="979" t="e">
        <f>V21*X20</f>
        <v>#DIV/0!</v>
      </c>
      <c r="Y21" s="980" t="e">
        <f>M82</f>
        <v>#DIV/0!</v>
      </c>
      <c r="Z21" s="945" t="e">
        <f>Y21*Z20</f>
        <v>#DIV/0!</v>
      </c>
      <c r="AA21" s="979" t="e">
        <f>Y21*AA20</f>
        <v>#DIV/0!</v>
      </c>
      <c r="AB21" s="980" t="e">
        <f>N82</f>
        <v>#DIV/0!</v>
      </c>
      <c r="AC21" s="945" t="e">
        <f>AB21*AC20</f>
        <v>#DIV/0!</v>
      </c>
      <c r="AD21" s="979" t="e">
        <f>AB21*AD20</f>
        <v>#DIV/0!</v>
      </c>
      <c r="AE21" s="980" t="e">
        <f>O82</f>
        <v>#DIV/0!</v>
      </c>
      <c r="AF21" s="945" t="e">
        <f>AE21*AF20</f>
        <v>#DIV/0!</v>
      </c>
      <c r="AG21" s="979" t="e">
        <f>AE21*AG20</f>
        <v>#DIV/0!</v>
      </c>
    </row>
    <row r="22" spans="1:33" x14ac:dyDescent="0.2">
      <c r="A22" s="860" t="s">
        <v>603</v>
      </c>
      <c r="B22" s="981"/>
      <c r="C22" s="860"/>
      <c r="D22" s="982">
        <f>'App.2-FA Proposed REG Invest.'!C$101</f>
        <v>0</v>
      </c>
      <c r="E22" s="983">
        <f>D22</f>
        <v>0</v>
      </c>
      <c r="F22" s="984"/>
      <c r="G22" s="982">
        <f>'App.2-FA Proposed REG Invest.'!D$101</f>
        <v>0</v>
      </c>
      <c r="H22" s="983">
        <f>G22</f>
        <v>0</v>
      </c>
      <c r="I22" s="984"/>
      <c r="J22" s="982">
        <f>'App.2-FA Proposed REG Invest.'!E$101</f>
        <v>0</v>
      </c>
      <c r="K22" s="983">
        <f>J22</f>
        <v>0</v>
      </c>
      <c r="L22" s="984"/>
      <c r="M22" s="982">
        <f>'App.2-FA Proposed REG Invest.'!F$101</f>
        <v>0</v>
      </c>
      <c r="N22" s="983">
        <f>M22</f>
        <v>0</v>
      </c>
      <c r="O22" s="984"/>
      <c r="P22" s="982">
        <f>'App.2-FA Proposed REG Invest.'!G$101</f>
        <v>0</v>
      </c>
      <c r="Q22" s="983">
        <f>P22</f>
        <v>0</v>
      </c>
      <c r="R22" s="984"/>
      <c r="S22" s="982">
        <f>'App.2-FA Proposed REG Invest.'!H$101</f>
        <v>0</v>
      </c>
      <c r="T22" s="983">
        <f>S22</f>
        <v>0</v>
      </c>
      <c r="U22" s="984"/>
      <c r="V22" s="982">
        <f>'App.2-FA Proposed REG Invest.'!I$101</f>
        <v>0</v>
      </c>
      <c r="W22" s="983">
        <f>V22</f>
        <v>0</v>
      </c>
      <c r="X22" s="984"/>
      <c r="Y22" s="982">
        <f>'App.2-FA Proposed REG Invest.'!J$101</f>
        <v>0</v>
      </c>
      <c r="Z22" s="983">
        <f>Y22</f>
        <v>0</v>
      </c>
      <c r="AA22" s="984"/>
      <c r="AB22" s="982">
        <f>'App.2-FA Proposed REG Invest.'!K$101</f>
        <v>0</v>
      </c>
      <c r="AC22" s="983">
        <f>AB22</f>
        <v>0</v>
      </c>
      <c r="AD22" s="984"/>
      <c r="AE22" s="982">
        <f>'App.2-FA Proposed REG Invest.'!L$101</f>
        <v>0</v>
      </c>
      <c r="AF22" s="983">
        <f>AE22</f>
        <v>0</v>
      </c>
      <c r="AG22" s="984"/>
    </row>
    <row r="23" spans="1:33" x14ac:dyDescent="0.2">
      <c r="A23" s="860" t="s">
        <v>558</v>
      </c>
      <c r="B23" s="981"/>
      <c r="C23" s="860"/>
      <c r="D23" s="982">
        <f>'App.2-FA Proposed REG Invest.'!C$100</f>
        <v>0</v>
      </c>
      <c r="E23" s="983">
        <f>D23*E20</f>
        <v>0</v>
      </c>
      <c r="F23" s="983">
        <f>D23*F20</f>
        <v>0</v>
      </c>
      <c r="G23" s="982">
        <f>'App.2-FA Proposed REG Invest.'!D$100</f>
        <v>0</v>
      </c>
      <c r="H23" s="983">
        <f>G23*H20</f>
        <v>0</v>
      </c>
      <c r="I23" s="983">
        <f>G23*I20</f>
        <v>0</v>
      </c>
      <c r="J23" s="982">
        <f>'App.2-FA Proposed REG Invest.'!E$100</f>
        <v>0</v>
      </c>
      <c r="K23" s="983">
        <f>J23*K20</f>
        <v>0</v>
      </c>
      <c r="L23" s="983">
        <f>J23*L20</f>
        <v>0</v>
      </c>
      <c r="M23" s="982">
        <f>'App.2-FA Proposed REG Invest.'!F$100</f>
        <v>0</v>
      </c>
      <c r="N23" s="983">
        <f>M23*N20</f>
        <v>0</v>
      </c>
      <c r="O23" s="983">
        <f>M23*O20</f>
        <v>0</v>
      </c>
      <c r="P23" s="982">
        <f>'App.2-FA Proposed REG Invest.'!G$100</f>
        <v>0</v>
      </c>
      <c r="Q23" s="983">
        <f>P23*Q20</f>
        <v>0</v>
      </c>
      <c r="R23" s="983">
        <f>P23*R20</f>
        <v>0</v>
      </c>
      <c r="S23" s="982">
        <f>'App.2-FA Proposed REG Invest.'!H$100</f>
        <v>0</v>
      </c>
      <c r="T23" s="983">
        <f>S23*T20</f>
        <v>0</v>
      </c>
      <c r="U23" s="983">
        <f>S23*U20</f>
        <v>0</v>
      </c>
      <c r="V23" s="982">
        <f>'App.2-FA Proposed REG Invest.'!I$100</f>
        <v>0</v>
      </c>
      <c r="W23" s="983">
        <f>V23*W20</f>
        <v>0</v>
      </c>
      <c r="X23" s="983">
        <f>V23*X20</f>
        <v>0</v>
      </c>
      <c r="Y23" s="982">
        <f>'App.2-FA Proposed REG Invest.'!J$100</f>
        <v>0</v>
      </c>
      <c r="Z23" s="983">
        <f>Y23*Z20</f>
        <v>0</v>
      </c>
      <c r="AA23" s="983">
        <f>Y23*AA20</f>
        <v>0</v>
      </c>
      <c r="AB23" s="982">
        <f>'App.2-FA Proposed REG Invest.'!K$100</f>
        <v>0</v>
      </c>
      <c r="AC23" s="983">
        <f>AB23*AC20</f>
        <v>0</v>
      </c>
      <c r="AD23" s="983">
        <f>AB23*AD20</f>
        <v>0</v>
      </c>
      <c r="AE23" s="982">
        <f>'App.2-FA Proposed REG Invest.'!L$100</f>
        <v>0</v>
      </c>
      <c r="AF23" s="983">
        <f>AE23*AF20</f>
        <v>0</v>
      </c>
      <c r="AG23" s="983">
        <f>AE23*AG20</f>
        <v>0</v>
      </c>
    </row>
    <row r="24" spans="1:33" x14ac:dyDescent="0.2">
      <c r="A24" s="860" t="s">
        <v>559</v>
      </c>
      <c r="B24" s="197"/>
      <c r="C24" s="1000"/>
      <c r="D24" s="985"/>
      <c r="E24" s="986">
        <f>(E22+E23)*$B$24</f>
        <v>0</v>
      </c>
      <c r="F24" s="987">
        <f>F23*$B$24</f>
        <v>0</v>
      </c>
      <c r="G24" s="985"/>
      <c r="H24" s="986">
        <f>(H22+H23)*$B$24</f>
        <v>0</v>
      </c>
      <c r="I24" s="987">
        <f>I23*$B$24</f>
        <v>0</v>
      </c>
      <c r="J24" s="985"/>
      <c r="K24" s="986">
        <f>(K22+K23)*$B$24</f>
        <v>0</v>
      </c>
      <c r="L24" s="987">
        <f>L23*$B$24</f>
        <v>0</v>
      </c>
      <c r="M24" s="985"/>
      <c r="N24" s="986">
        <f>(N22+N23)*$B$24</f>
        <v>0</v>
      </c>
      <c r="O24" s="987">
        <f>O23*$B$24</f>
        <v>0</v>
      </c>
      <c r="P24" s="985"/>
      <c r="Q24" s="986">
        <f>(Q22+Q23)*$B$24</f>
        <v>0</v>
      </c>
      <c r="R24" s="987">
        <f>R23*$B$24</f>
        <v>0</v>
      </c>
      <c r="S24" s="985"/>
      <c r="T24" s="986">
        <f>(T22+T23)*$B$24</f>
        <v>0</v>
      </c>
      <c r="U24" s="987">
        <f>U23*$B$24</f>
        <v>0</v>
      </c>
      <c r="V24" s="985"/>
      <c r="W24" s="986">
        <f>(W22+W23)*$B$24</f>
        <v>0</v>
      </c>
      <c r="X24" s="987">
        <f>X23*$B$24</f>
        <v>0</v>
      </c>
      <c r="Y24" s="985"/>
      <c r="Z24" s="986">
        <f>(Z22+Z23)*$B$24</f>
        <v>0</v>
      </c>
      <c r="AA24" s="987">
        <f>AA23*$B$24</f>
        <v>0</v>
      </c>
      <c r="AB24" s="985"/>
      <c r="AC24" s="986">
        <f>(AC22+AC23)*$B$24</f>
        <v>0</v>
      </c>
      <c r="AD24" s="987">
        <f>AD23*$B$24</f>
        <v>0</v>
      </c>
      <c r="AE24" s="985"/>
      <c r="AF24" s="986">
        <f>(AF22+AF23)*$B$24</f>
        <v>0</v>
      </c>
      <c r="AG24" s="987">
        <f>AG23*$B$24</f>
        <v>0</v>
      </c>
    </row>
    <row r="25" spans="1:33" x14ac:dyDescent="0.2">
      <c r="A25" s="874" t="s">
        <v>437</v>
      </c>
      <c r="B25" s="860"/>
      <c r="C25" s="1000"/>
      <c r="D25" s="860"/>
      <c r="E25" s="988" t="e">
        <f>SUM(E21+E24)</f>
        <v>#DIV/0!</v>
      </c>
      <c r="F25" s="988" t="e">
        <f>SUM(F21+F24)</f>
        <v>#DIV/0!</v>
      </c>
      <c r="G25" s="860"/>
      <c r="H25" s="988" t="e">
        <f>SUM(H21+H24)</f>
        <v>#DIV/0!</v>
      </c>
      <c r="I25" s="988" t="e">
        <f>SUM(I21+I24)</f>
        <v>#DIV/0!</v>
      </c>
      <c r="J25" s="860"/>
      <c r="K25" s="988" t="e">
        <f>SUM(K21+K24)</f>
        <v>#DIV/0!</v>
      </c>
      <c r="L25" s="988" t="e">
        <f>SUM(L21+L24)</f>
        <v>#DIV/0!</v>
      </c>
      <c r="M25" s="860"/>
      <c r="N25" s="988" t="e">
        <f>SUM(N21+N24)</f>
        <v>#DIV/0!</v>
      </c>
      <c r="O25" s="988" t="e">
        <f>SUM(O21+O24)</f>
        <v>#DIV/0!</v>
      </c>
      <c r="P25" s="860"/>
      <c r="Q25" s="988" t="e">
        <f>SUM(Q21+Q24)</f>
        <v>#DIV/0!</v>
      </c>
      <c r="R25" s="988" t="e">
        <f>SUM(R21+R24)</f>
        <v>#DIV/0!</v>
      </c>
      <c r="S25" s="860"/>
      <c r="T25" s="988" t="e">
        <f>SUM(T21+T24)</f>
        <v>#DIV/0!</v>
      </c>
      <c r="U25" s="988" t="e">
        <f>SUM(U21+U24)</f>
        <v>#DIV/0!</v>
      </c>
      <c r="V25" s="860"/>
      <c r="W25" s="988" t="e">
        <f>SUM(W21+W24)</f>
        <v>#DIV/0!</v>
      </c>
      <c r="X25" s="988" t="e">
        <f>SUM(X21+X24)</f>
        <v>#DIV/0!</v>
      </c>
      <c r="Y25" s="860"/>
      <c r="Z25" s="988" t="e">
        <f>SUM(Z21+Z24)</f>
        <v>#DIV/0!</v>
      </c>
      <c r="AA25" s="988" t="e">
        <f>SUM(AA21+AA24)</f>
        <v>#DIV/0!</v>
      </c>
      <c r="AB25" s="860"/>
      <c r="AC25" s="988" t="e">
        <f>SUM(AC21+AC24)</f>
        <v>#DIV/0!</v>
      </c>
      <c r="AD25" s="988" t="e">
        <f>SUM(AD21+AD24)</f>
        <v>#DIV/0!</v>
      </c>
      <c r="AE25" s="860"/>
      <c r="AF25" s="988" t="e">
        <f>SUM(AF21+AF24)</f>
        <v>#DIV/0!</v>
      </c>
      <c r="AG25" s="988" t="e">
        <f>SUM(AG21+AG24)</f>
        <v>#DIV/0!</v>
      </c>
    </row>
    <row r="26" spans="1:33" x14ac:dyDescent="0.2">
      <c r="A26" s="860"/>
      <c r="B26" s="860"/>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0"/>
      <c r="AE26" s="860"/>
      <c r="AF26" s="860"/>
      <c r="AG26" s="860"/>
    </row>
    <row r="27" spans="1:33" x14ac:dyDescent="0.2">
      <c r="A27" s="860"/>
      <c r="B27" s="860"/>
      <c r="C27" s="860"/>
      <c r="D27" s="860"/>
      <c r="E27" s="860"/>
      <c r="F27" s="860"/>
      <c r="G27" s="860"/>
      <c r="H27" s="860"/>
      <c r="I27" s="860"/>
      <c r="J27" s="860"/>
      <c r="K27" s="860"/>
      <c r="L27" s="860"/>
      <c r="M27" s="860"/>
      <c r="N27" s="860"/>
      <c r="O27" s="860"/>
      <c r="P27" s="860"/>
      <c r="Q27" s="860"/>
      <c r="R27" s="860"/>
      <c r="S27" s="860"/>
      <c r="T27" s="860"/>
      <c r="U27" s="860"/>
      <c r="V27" s="860"/>
      <c r="W27" s="860"/>
      <c r="X27" s="860"/>
      <c r="Y27" s="860"/>
      <c r="Z27" s="860"/>
      <c r="AA27" s="860"/>
      <c r="AB27" s="860"/>
      <c r="AC27" s="860"/>
      <c r="AD27" s="860"/>
      <c r="AE27" s="860"/>
      <c r="AF27" s="860"/>
      <c r="AG27" s="860"/>
    </row>
    <row r="28" spans="1:33" x14ac:dyDescent="0.2">
      <c r="A28" s="860" t="s">
        <v>560</v>
      </c>
      <c r="B28" s="197"/>
      <c r="C28" s="1000"/>
      <c r="D28" s="977"/>
      <c r="E28" s="988" t="e">
        <f>E25*$B$28</f>
        <v>#DIV/0!</v>
      </c>
      <c r="F28" s="988" t="e">
        <f>F25*$B$28</f>
        <v>#DIV/0!</v>
      </c>
      <c r="G28" s="977"/>
      <c r="H28" s="988" t="e">
        <f>H25*$B$28</f>
        <v>#DIV/0!</v>
      </c>
      <c r="I28" s="988" t="e">
        <f>I25*$B$28</f>
        <v>#DIV/0!</v>
      </c>
      <c r="J28" s="977"/>
      <c r="K28" s="988" t="e">
        <f>K25*$B$28</f>
        <v>#DIV/0!</v>
      </c>
      <c r="L28" s="988" t="e">
        <f>L25*$B$28</f>
        <v>#DIV/0!</v>
      </c>
      <c r="M28" s="977"/>
      <c r="N28" s="988" t="e">
        <f>N25*$B$28</f>
        <v>#DIV/0!</v>
      </c>
      <c r="O28" s="988" t="e">
        <f>O25*$B$28</f>
        <v>#DIV/0!</v>
      </c>
      <c r="P28" s="977"/>
      <c r="Q28" s="988" t="e">
        <f>Q25*$B$28</f>
        <v>#DIV/0!</v>
      </c>
      <c r="R28" s="988" t="e">
        <f>R25*$B$28</f>
        <v>#DIV/0!</v>
      </c>
      <c r="S28" s="977"/>
      <c r="T28" s="988" t="e">
        <f>T25*$B$28</f>
        <v>#DIV/0!</v>
      </c>
      <c r="U28" s="988" t="e">
        <f>U25*$B$28</f>
        <v>#DIV/0!</v>
      </c>
      <c r="V28" s="977"/>
      <c r="W28" s="988" t="e">
        <f>W25*$B$28</f>
        <v>#DIV/0!</v>
      </c>
      <c r="X28" s="988" t="e">
        <f>X25*$B$28</f>
        <v>#DIV/0!</v>
      </c>
      <c r="Y28" s="977"/>
      <c r="Z28" s="988" t="e">
        <f>Z25*$B$28</f>
        <v>#DIV/0!</v>
      </c>
      <c r="AA28" s="988" t="e">
        <f>AA25*$B$28</f>
        <v>#DIV/0!</v>
      </c>
      <c r="AB28" s="977"/>
      <c r="AC28" s="988" t="e">
        <f>AC25*$B$28</f>
        <v>#DIV/0!</v>
      </c>
      <c r="AD28" s="988" t="e">
        <f>AD25*$B$28</f>
        <v>#DIV/0!</v>
      </c>
      <c r="AE28" s="977"/>
      <c r="AF28" s="988" t="e">
        <f>AF25*$B$28</f>
        <v>#DIV/0!</v>
      </c>
      <c r="AG28" s="988" t="e">
        <f>AG25*$B$28</f>
        <v>#DIV/0!</v>
      </c>
    </row>
    <row r="29" spans="1:33" x14ac:dyDescent="0.2">
      <c r="A29" s="860" t="s">
        <v>561</v>
      </c>
      <c r="B29" s="197"/>
      <c r="C29" s="1000"/>
      <c r="D29" s="989"/>
      <c r="E29" s="988" t="e">
        <f>E25*$B$29</f>
        <v>#DIV/0!</v>
      </c>
      <c r="F29" s="988" t="e">
        <f>F25*$B$29</f>
        <v>#DIV/0!</v>
      </c>
      <c r="G29" s="989"/>
      <c r="H29" s="988" t="e">
        <f>H25*$B$29</f>
        <v>#DIV/0!</v>
      </c>
      <c r="I29" s="988" t="e">
        <f>I25*$B$29</f>
        <v>#DIV/0!</v>
      </c>
      <c r="J29" s="989"/>
      <c r="K29" s="988" t="e">
        <f>K25*$B$29</f>
        <v>#DIV/0!</v>
      </c>
      <c r="L29" s="988" t="e">
        <f>L25*$B$29</f>
        <v>#DIV/0!</v>
      </c>
      <c r="M29" s="989"/>
      <c r="N29" s="988" t="e">
        <f>N25*$B$29</f>
        <v>#DIV/0!</v>
      </c>
      <c r="O29" s="988" t="e">
        <f>O25*$B$29</f>
        <v>#DIV/0!</v>
      </c>
      <c r="P29" s="989"/>
      <c r="Q29" s="988" t="e">
        <f>Q25*$B$29</f>
        <v>#DIV/0!</v>
      </c>
      <c r="R29" s="988" t="e">
        <f>R25*$B$29</f>
        <v>#DIV/0!</v>
      </c>
      <c r="S29" s="989"/>
      <c r="T29" s="988" t="e">
        <f>T25*$B$29</f>
        <v>#DIV/0!</v>
      </c>
      <c r="U29" s="988" t="e">
        <f>U25*$B$29</f>
        <v>#DIV/0!</v>
      </c>
      <c r="V29" s="989"/>
      <c r="W29" s="988" t="e">
        <f>W25*$B$29</f>
        <v>#DIV/0!</v>
      </c>
      <c r="X29" s="988" t="e">
        <f>X25*$B$29</f>
        <v>#DIV/0!</v>
      </c>
      <c r="Y29" s="989"/>
      <c r="Z29" s="988" t="e">
        <f>Z25*$B$29</f>
        <v>#DIV/0!</v>
      </c>
      <c r="AA29" s="988" t="e">
        <f>AA25*$B$29</f>
        <v>#DIV/0!</v>
      </c>
      <c r="AB29" s="989"/>
      <c r="AC29" s="988" t="e">
        <f>AC25*$B$29</f>
        <v>#DIV/0!</v>
      </c>
      <c r="AD29" s="988" t="e">
        <f>AD25*$B$29</f>
        <v>#DIV/0!</v>
      </c>
      <c r="AE29" s="989"/>
      <c r="AF29" s="988" t="e">
        <f>AF25*$B$29</f>
        <v>#DIV/0!</v>
      </c>
      <c r="AG29" s="988" t="e">
        <f>AG25*$B$29</f>
        <v>#DIV/0!</v>
      </c>
    </row>
    <row r="30" spans="1:33" x14ac:dyDescent="0.2">
      <c r="A30" s="860" t="s">
        <v>562</v>
      </c>
      <c r="B30" s="197"/>
      <c r="C30" s="1000"/>
      <c r="D30" s="990"/>
      <c r="E30" s="988" t="e">
        <f>E25*$B$30</f>
        <v>#DIV/0!</v>
      </c>
      <c r="F30" s="988" t="e">
        <f>F25*$B$30</f>
        <v>#DIV/0!</v>
      </c>
      <c r="G30" s="990"/>
      <c r="H30" s="988" t="e">
        <f>H25*$B$30</f>
        <v>#DIV/0!</v>
      </c>
      <c r="I30" s="988" t="e">
        <f>I25*$B$30</f>
        <v>#DIV/0!</v>
      </c>
      <c r="J30" s="990"/>
      <c r="K30" s="988" t="e">
        <f>K25*$B$30</f>
        <v>#DIV/0!</v>
      </c>
      <c r="L30" s="988" t="e">
        <f>L25*$B$30</f>
        <v>#DIV/0!</v>
      </c>
      <c r="M30" s="990"/>
      <c r="N30" s="988" t="e">
        <f>N25*$B$30</f>
        <v>#DIV/0!</v>
      </c>
      <c r="O30" s="988" t="e">
        <f>O25*$B$30</f>
        <v>#DIV/0!</v>
      </c>
      <c r="P30" s="990"/>
      <c r="Q30" s="988" t="e">
        <f>Q25*$B$30</f>
        <v>#DIV/0!</v>
      </c>
      <c r="R30" s="988" t="e">
        <f>R25*$B$30</f>
        <v>#DIV/0!</v>
      </c>
      <c r="S30" s="990"/>
      <c r="T30" s="988" t="e">
        <f>T25*$B$30</f>
        <v>#DIV/0!</v>
      </c>
      <c r="U30" s="988" t="e">
        <f>U25*$B$30</f>
        <v>#DIV/0!</v>
      </c>
      <c r="V30" s="990"/>
      <c r="W30" s="988" t="e">
        <f>W25*$B$30</f>
        <v>#DIV/0!</v>
      </c>
      <c r="X30" s="988" t="e">
        <f>X25*$B$30</f>
        <v>#DIV/0!</v>
      </c>
      <c r="Y30" s="990"/>
      <c r="Z30" s="988" t="e">
        <f>Z25*$B$30</f>
        <v>#DIV/0!</v>
      </c>
      <c r="AA30" s="988" t="e">
        <f>AA25*$B$30</f>
        <v>#DIV/0!</v>
      </c>
      <c r="AB30" s="990"/>
      <c r="AC30" s="988" t="e">
        <f>AC25*$B$30</f>
        <v>#DIV/0!</v>
      </c>
      <c r="AD30" s="988" t="e">
        <f>AD25*$B$30</f>
        <v>#DIV/0!</v>
      </c>
      <c r="AE30" s="990"/>
      <c r="AF30" s="988" t="e">
        <f>AF25*$B$30</f>
        <v>#DIV/0!</v>
      </c>
      <c r="AG30" s="988" t="e">
        <f>AG25*$B$30</f>
        <v>#DIV/0!</v>
      </c>
    </row>
    <row r="31" spans="1:33" x14ac:dyDescent="0.2">
      <c r="A31" s="860"/>
      <c r="B31" s="860"/>
      <c r="C31" s="1044"/>
      <c r="D31" s="860"/>
      <c r="E31" s="991"/>
      <c r="F31" s="860"/>
      <c r="G31" s="860"/>
      <c r="H31" s="991"/>
      <c r="I31" s="860"/>
      <c r="J31" s="860"/>
      <c r="K31" s="991"/>
      <c r="L31" s="860"/>
      <c r="M31" s="860"/>
      <c r="N31" s="991"/>
      <c r="O31" s="860"/>
      <c r="P31" s="860"/>
      <c r="Q31" s="991"/>
      <c r="R31" s="860"/>
      <c r="S31" s="860"/>
      <c r="T31" s="945"/>
      <c r="U31" s="860"/>
      <c r="V31" s="860"/>
      <c r="W31" s="945"/>
      <c r="X31" s="860"/>
      <c r="Y31" s="860"/>
      <c r="Z31" s="945"/>
      <c r="AA31" s="860"/>
      <c r="AB31" s="860"/>
      <c r="AC31" s="945"/>
      <c r="AD31" s="860"/>
      <c r="AE31" s="860"/>
      <c r="AF31" s="945"/>
      <c r="AG31" s="860"/>
    </row>
    <row r="32" spans="1:33" x14ac:dyDescent="0.2">
      <c r="A32" s="860" t="s">
        <v>563</v>
      </c>
      <c r="B32" s="197"/>
      <c r="C32" s="1000"/>
      <c r="D32" s="992"/>
      <c r="E32" s="988" t="e">
        <f>E28*$B$32</f>
        <v>#DIV/0!</v>
      </c>
      <c r="F32" s="988" t="e">
        <f>F28*$B$32</f>
        <v>#DIV/0!</v>
      </c>
      <c r="G32" s="992"/>
      <c r="H32" s="988" t="e">
        <f>H28*$B$32</f>
        <v>#DIV/0!</v>
      </c>
      <c r="I32" s="988" t="e">
        <f>I28*$B$32</f>
        <v>#DIV/0!</v>
      </c>
      <c r="J32" s="992"/>
      <c r="K32" s="988" t="e">
        <f>K28*$B$32</f>
        <v>#DIV/0!</v>
      </c>
      <c r="L32" s="988" t="e">
        <f>L28*$B$32</f>
        <v>#DIV/0!</v>
      </c>
      <c r="M32" s="992"/>
      <c r="N32" s="988" t="e">
        <f>N28*$B$32</f>
        <v>#DIV/0!</v>
      </c>
      <c r="O32" s="988" t="e">
        <f>O28*$B$32</f>
        <v>#DIV/0!</v>
      </c>
      <c r="P32" s="992"/>
      <c r="Q32" s="988" t="e">
        <f>Q28*$B$32</f>
        <v>#DIV/0!</v>
      </c>
      <c r="R32" s="988" t="e">
        <f>R28*$B$32</f>
        <v>#DIV/0!</v>
      </c>
      <c r="S32" s="992"/>
      <c r="T32" s="988" t="e">
        <f>T28*$B$32</f>
        <v>#DIV/0!</v>
      </c>
      <c r="U32" s="988" t="e">
        <f>U28*$B$32</f>
        <v>#DIV/0!</v>
      </c>
      <c r="V32" s="992"/>
      <c r="W32" s="988" t="e">
        <f>W28*$B$32</f>
        <v>#DIV/0!</v>
      </c>
      <c r="X32" s="988" t="e">
        <f>X28*$B$32</f>
        <v>#DIV/0!</v>
      </c>
      <c r="Y32" s="992"/>
      <c r="Z32" s="988" t="e">
        <f>Z28*$B$32</f>
        <v>#DIV/0!</v>
      </c>
      <c r="AA32" s="988" t="e">
        <f>AA28*$B$32</f>
        <v>#DIV/0!</v>
      </c>
      <c r="AB32" s="992"/>
      <c r="AC32" s="988" t="e">
        <f>AC28*$B$32</f>
        <v>#DIV/0!</v>
      </c>
      <c r="AD32" s="988" t="e">
        <f>AD28*$B$32</f>
        <v>#DIV/0!</v>
      </c>
      <c r="AE32" s="992"/>
      <c r="AF32" s="988" t="e">
        <f>AF28*$B$32</f>
        <v>#DIV/0!</v>
      </c>
      <c r="AG32" s="988" t="e">
        <f>AG28*$B$32</f>
        <v>#DIV/0!</v>
      </c>
    </row>
    <row r="33" spans="1:33" x14ac:dyDescent="0.2">
      <c r="A33" s="860" t="s">
        <v>564</v>
      </c>
      <c r="B33" s="197"/>
      <c r="C33" s="1000"/>
      <c r="D33" s="992"/>
      <c r="E33" s="988" t="e">
        <f>E29*$B$33</f>
        <v>#DIV/0!</v>
      </c>
      <c r="F33" s="988" t="e">
        <f>F29*$B$33</f>
        <v>#DIV/0!</v>
      </c>
      <c r="G33" s="992"/>
      <c r="H33" s="988" t="e">
        <f>H29*$B$33</f>
        <v>#DIV/0!</v>
      </c>
      <c r="I33" s="988" t="e">
        <f>I29*$B$33</f>
        <v>#DIV/0!</v>
      </c>
      <c r="J33" s="992"/>
      <c r="K33" s="988" t="e">
        <f>K29*$B$33</f>
        <v>#DIV/0!</v>
      </c>
      <c r="L33" s="988" t="e">
        <f>L29*$B$33</f>
        <v>#DIV/0!</v>
      </c>
      <c r="M33" s="992"/>
      <c r="N33" s="988" t="e">
        <f>N29*$B$33</f>
        <v>#DIV/0!</v>
      </c>
      <c r="O33" s="988" t="e">
        <f>O29*$B$33</f>
        <v>#DIV/0!</v>
      </c>
      <c r="P33" s="992"/>
      <c r="Q33" s="988" t="e">
        <f>Q29*$B$33</f>
        <v>#DIV/0!</v>
      </c>
      <c r="R33" s="988" t="e">
        <f>R29*$B$33</f>
        <v>#DIV/0!</v>
      </c>
      <c r="S33" s="992"/>
      <c r="T33" s="988" t="e">
        <f>T29*$B$33</f>
        <v>#DIV/0!</v>
      </c>
      <c r="U33" s="988" t="e">
        <f>U29*$B$33</f>
        <v>#DIV/0!</v>
      </c>
      <c r="V33" s="992"/>
      <c r="W33" s="988" t="e">
        <f>W29*$B$33</f>
        <v>#DIV/0!</v>
      </c>
      <c r="X33" s="988" t="e">
        <f>X29*$B$33</f>
        <v>#DIV/0!</v>
      </c>
      <c r="Y33" s="992"/>
      <c r="Z33" s="988" t="e">
        <f>Z29*$B$33</f>
        <v>#DIV/0!</v>
      </c>
      <c r="AA33" s="988" t="e">
        <f>AA29*$B$33</f>
        <v>#DIV/0!</v>
      </c>
      <c r="AB33" s="992"/>
      <c r="AC33" s="988" t="e">
        <f>AC29*$B$33</f>
        <v>#DIV/0!</v>
      </c>
      <c r="AD33" s="988" t="e">
        <f>AD29*$B$33</f>
        <v>#DIV/0!</v>
      </c>
      <c r="AE33" s="992"/>
      <c r="AF33" s="988" t="e">
        <f>AF29*$B$33</f>
        <v>#DIV/0!</v>
      </c>
      <c r="AG33" s="988" t="e">
        <f>AG29*$B$33</f>
        <v>#DIV/0!</v>
      </c>
    </row>
    <row r="34" spans="1:33" x14ac:dyDescent="0.2">
      <c r="A34" s="860" t="s">
        <v>565</v>
      </c>
      <c r="B34" s="197"/>
      <c r="C34" s="1000"/>
      <c r="D34" s="992"/>
      <c r="E34" s="988" t="e">
        <f>E30*$B$34</f>
        <v>#DIV/0!</v>
      </c>
      <c r="F34" s="986" t="e">
        <f>F30*$B$34</f>
        <v>#DIV/0!</v>
      </c>
      <c r="G34" s="992"/>
      <c r="H34" s="988" t="e">
        <f>H30*$B$34</f>
        <v>#DIV/0!</v>
      </c>
      <c r="I34" s="986" t="e">
        <f>I30*$B$34</f>
        <v>#DIV/0!</v>
      </c>
      <c r="J34" s="992"/>
      <c r="K34" s="988" t="e">
        <f>K30*$B$34</f>
        <v>#DIV/0!</v>
      </c>
      <c r="L34" s="986" t="e">
        <f>L30*$B$34</f>
        <v>#DIV/0!</v>
      </c>
      <c r="M34" s="992"/>
      <c r="N34" s="988" t="e">
        <f>N30*$B$34</f>
        <v>#DIV/0!</v>
      </c>
      <c r="O34" s="986" t="e">
        <f>O30*$B$34</f>
        <v>#DIV/0!</v>
      </c>
      <c r="P34" s="992"/>
      <c r="Q34" s="988" t="e">
        <f>Q30*$B$34</f>
        <v>#DIV/0!</v>
      </c>
      <c r="R34" s="986" t="e">
        <f>R30*$B$34</f>
        <v>#DIV/0!</v>
      </c>
      <c r="S34" s="992"/>
      <c r="T34" s="988" t="e">
        <f>T30*$B$34</f>
        <v>#DIV/0!</v>
      </c>
      <c r="U34" s="986" t="e">
        <f>U30*$B$34</f>
        <v>#DIV/0!</v>
      </c>
      <c r="V34" s="992"/>
      <c r="W34" s="988" t="e">
        <f>W30*$B$34</f>
        <v>#DIV/0!</v>
      </c>
      <c r="X34" s="986" t="e">
        <f>X30*$B$34</f>
        <v>#DIV/0!</v>
      </c>
      <c r="Y34" s="992"/>
      <c r="Z34" s="988" t="e">
        <f>Z30*$B$34</f>
        <v>#DIV/0!</v>
      </c>
      <c r="AA34" s="986" t="e">
        <f>AA30*$B$34</f>
        <v>#DIV/0!</v>
      </c>
      <c r="AB34" s="992"/>
      <c r="AC34" s="988" t="e">
        <f>AC30*$B$34</f>
        <v>#DIV/0!</v>
      </c>
      <c r="AD34" s="986" t="e">
        <f>AD30*$B$34</f>
        <v>#DIV/0!</v>
      </c>
      <c r="AE34" s="992"/>
      <c r="AF34" s="988" t="e">
        <f>AF30*$B$34</f>
        <v>#DIV/0!</v>
      </c>
      <c r="AG34" s="986" t="e">
        <f>AG30*$B$34</f>
        <v>#DIV/0!</v>
      </c>
    </row>
    <row r="35" spans="1:33" x14ac:dyDescent="0.2">
      <c r="A35" s="993" t="s">
        <v>566</v>
      </c>
      <c r="B35" s="860"/>
      <c r="C35" s="1000"/>
      <c r="D35" s="860"/>
      <c r="E35" s="994" t="e">
        <f>SUM(E32:E34)</f>
        <v>#DIV/0!</v>
      </c>
      <c r="F35" s="994" t="e">
        <f>SUM(F32:F34)</f>
        <v>#DIV/0!</v>
      </c>
      <c r="G35" s="860"/>
      <c r="H35" s="994" t="e">
        <f>SUM(H32:H34)</f>
        <v>#DIV/0!</v>
      </c>
      <c r="I35" s="994" t="e">
        <f>SUM(I32:I34)</f>
        <v>#DIV/0!</v>
      </c>
      <c r="J35" s="860"/>
      <c r="K35" s="994" t="e">
        <f>SUM(K32:K34)</f>
        <v>#DIV/0!</v>
      </c>
      <c r="L35" s="994" t="e">
        <f>SUM(L32:L34)</f>
        <v>#DIV/0!</v>
      </c>
      <c r="M35" s="860"/>
      <c r="N35" s="994" t="e">
        <f>SUM(N32:N34)</f>
        <v>#DIV/0!</v>
      </c>
      <c r="O35" s="994" t="e">
        <f>SUM(O32:O34)</f>
        <v>#DIV/0!</v>
      </c>
      <c r="P35" s="860"/>
      <c r="Q35" s="994" t="e">
        <f>SUM(Q32:Q34)</f>
        <v>#DIV/0!</v>
      </c>
      <c r="R35" s="994" t="e">
        <f>SUM(R32:R34)</f>
        <v>#DIV/0!</v>
      </c>
      <c r="S35" s="860"/>
      <c r="T35" s="994" t="e">
        <f>SUM(T32:T34)</f>
        <v>#DIV/0!</v>
      </c>
      <c r="U35" s="994" t="e">
        <f>SUM(U32:U34)</f>
        <v>#DIV/0!</v>
      </c>
      <c r="V35" s="860"/>
      <c r="W35" s="994" t="e">
        <f>SUM(W32:W34)</f>
        <v>#DIV/0!</v>
      </c>
      <c r="X35" s="994" t="e">
        <f>SUM(X32:X34)</f>
        <v>#DIV/0!</v>
      </c>
      <c r="Y35" s="860"/>
      <c r="Z35" s="994" t="e">
        <f>SUM(Z32:Z34)</f>
        <v>#DIV/0!</v>
      </c>
      <c r="AA35" s="994" t="e">
        <f>SUM(AA32:AA34)</f>
        <v>#DIV/0!</v>
      </c>
      <c r="AB35" s="860"/>
      <c r="AC35" s="994" t="e">
        <f>SUM(AC32:AC34)</f>
        <v>#DIV/0!</v>
      </c>
      <c r="AD35" s="994" t="e">
        <f>SUM(AD32:AD34)</f>
        <v>#DIV/0!</v>
      </c>
      <c r="AE35" s="860"/>
      <c r="AF35" s="994" t="e">
        <f>SUM(AF32:AF34)</f>
        <v>#DIV/0!</v>
      </c>
      <c r="AG35" s="994" t="e">
        <f>SUM(AG32:AG34)</f>
        <v>#DIV/0!</v>
      </c>
    </row>
    <row r="36" spans="1:33" x14ac:dyDescent="0.2">
      <c r="A36" s="860"/>
      <c r="B36" s="860"/>
      <c r="C36" s="972"/>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860"/>
      <c r="AB36" s="860"/>
      <c r="AC36" s="860"/>
      <c r="AD36" s="860"/>
      <c r="AE36" s="860"/>
      <c r="AF36" s="860"/>
      <c r="AG36" s="860"/>
    </row>
    <row r="37" spans="1:33" x14ac:dyDescent="0.2">
      <c r="A37" s="860" t="s">
        <v>103</v>
      </c>
      <c r="B37" s="860"/>
      <c r="C37" s="1045"/>
      <c r="D37" s="860"/>
      <c r="E37" s="995">
        <f>E22+E23</f>
        <v>0</v>
      </c>
      <c r="F37" s="988">
        <f>F23</f>
        <v>0</v>
      </c>
      <c r="G37" s="860"/>
      <c r="H37" s="995">
        <f>H22+H23</f>
        <v>0</v>
      </c>
      <c r="I37" s="988">
        <f>I23</f>
        <v>0</v>
      </c>
      <c r="J37" s="860"/>
      <c r="K37" s="995">
        <f>K22+K23</f>
        <v>0</v>
      </c>
      <c r="L37" s="988">
        <f>L23</f>
        <v>0</v>
      </c>
      <c r="M37" s="860"/>
      <c r="N37" s="995">
        <f>N22+N23</f>
        <v>0</v>
      </c>
      <c r="O37" s="988">
        <f>O23</f>
        <v>0</v>
      </c>
      <c r="P37" s="860"/>
      <c r="Q37" s="995">
        <f>Q22+Q23</f>
        <v>0</v>
      </c>
      <c r="R37" s="988">
        <f>R23</f>
        <v>0</v>
      </c>
      <c r="S37" s="860"/>
      <c r="T37" s="995">
        <f>T22+T23</f>
        <v>0</v>
      </c>
      <c r="U37" s="988">
        <f>U23</f>
        <v>0</v>
      </c>
      <c r="V37" s="860"/>
      <c r="W37" s="995">
        <f>W22+W23</f>
        <v>0</v>
      </c>
      <c r="X37" s="988">
        <f>X23</f>
        <v>0</v>
      </c>
      <c r="Y37" s="879"/>
      <c r="Z37" s="995">
        <f>Z22+Z23</f>
        <v>0</v>
      </c>
      <c r="AA37" s="988">
        <f>AA23</f>
        <v>0</v>
      </c>
      <c r="AB37" s="860"/>
      <c r="AC37" s="995">
        <f>AC22+AC23</f>
        <v>0</v>
      </c>
      <c r="AD37" s="995">
        <f>AD23</f>
        <v>0</v>
      </c>
      <c r="AE37" s="860"/>
      <c r="AF37" s="995">
        <f>AF22+AF23</f>
        <v>0</v>
      </c>
      <c r="AG37" s="995">
        <f>AG23</f>
        <v>0</v>
      </c>
    </row>
    <row r="38" spans="1:33" x14ac:dyDescent="0.2">
      <c r="A38" s="860" t="s">
        <v>567</v>
      </c>
      <c r="B38" s="996"/>
      <c r="C38" s="1000"/>
      <c r="D38" s="945">
        <f>D78</f>
        <v>0</v>
      </c>
      <c r="E38" s="988">
        <f>D38*E$20</f>
        <v>0</v>
      </c>
      <c r="F38" s="988">
        <f>D38*F$20</f>
        <v>0</v>
      </c>
      <c r="G38" s="945" t="e">
        <f>G78</f>
        <v>#DIV/0!</v>
      </c>
      <c r="H38" s="988" t="e">
        <f>G38*H$20</f>
        <v>#DIV/0!</v>
      </c>
      <c r="I38" s="988" t="e">
        <f>G38*I$20</f>
        <v>#DIV/0!</v>
      </c>
      <c r="J38" s="945" t="e">
        <f>H78</f>
        <v>#DIV/0!</v>
      </c>
      <c r="K38" s="988" t="e">
        <f>J38*K$20</f>
        <v>#DIV/0!</v>
      </c>
      <c r="L38" s="988" t="e">
        <f>J38*L$20</f>
        <v>#DIV/0!</v>
      </c>
      <c r="M38" s="945" t="e">
        <f>I78</f>
        <v>#DIV/0!</v>
      </c>
      <c r="N38" s="988" t="e">
        <f>M38*N$20</f>
        <v>#DIV/0!</v>
      </c>
      <c r="O38" s="988" t="e">
        <f>M38*O$20</f>
        <v>#DIV/0!</v>
      </c>
      <c r="P38" s="945" t="e">
        <f>J78</f>
        <v>#DIV/0!</v>
      </c>
      <c r="Q38" s="988" t="e">
        <f>P38*Q$20</f>
        <v>#DIV/0!</v>
      </c>
      <c r="R38" s="988" t="e">
        <f>P38*R$20</f>
        <v>#DIV/0!</v>
      </c>
      <c r="S38" s="997" t="e">
        <f>K76+K77</f>
        <v>#DIV/0!</v>
      </c>
      <c r="T38" s="988" t="e">
        <f>S38*T$20</f>
        <v>#DIV/0!</v>
      </c>
      <c r="U38" s="988" t="e">
        <f>S38*U$20</f>
        <v>#DIV/0!</v>
      </c>
      <c r="V38" s="997" t="e">
        <f>L76+L77</f>
        <v>#DIV/0!</v>
      </c>
      <c r="W38" s="988" t="e">
        <f>V38*W$20</f>
        <v>#DIV/0!</v>
      </c>
      <c r="X38" s="988" t="e">
        <f>V38*X$20</f>
        <v>#DIV/0!</v>
      </c>
      <c r="Y38" s="997" t="e">
        <f>M76+M77</f>
        <v>#DIV/0!</v>
      </c>
      <c r="Z38" s="988" t="e">
        <f>Y38*Z$20</f>
        <v>#DIV/0!</v>
      </c>
      <c r="AA38" s="988" t="e">
        <f>Y38*AA$20</f>
        <v>#DIV/0!</v>
      </c>
      <c r="AB38" s="997" t="e">
        <f>N76+N77</f>
        <v>#DIV/0!</v>
      </c>
      <c r="AC38" s="988" t="e">
        <f>AB38*AC$20</f>
        <v>#DIV/0!</v>
      </c>
      <c r="AD38" s="988" t="e">
        <f>AB38*AD$20</f>
        <v>#DIV/0!</v>
      </c>
      <c r="AE38" s="997" t="e">
        <f>O76+O77</f>
        <v>#DIV/0!</v>
      </c>
      <c r="AF38" s="988" t="e">
        <f>AE38*AF$20</f>
        <v>#DIV/0!</v>
      </c>
      <c r="AG38" s="988" t="e">
        <f>AE38*AG$20</f>
        <v>#DIV/0!</v>
      </c>
    </row>
    <row r="39" spans="1:33" x14ac:dyDescent="0.2">
      <c r="A39" s="860" t="s">
        <v>568</v>
      </c>
      <c r="B39" s="996"/>
      <c r="C39" s="1046"/>
      <c r="D39" s="860"/>
      <c r="E39" s="945" t="e">
        <f>E66</f>
        <v>#DIV/0!</v>
      </c>
      <c r="F39" s="945" t="e">
        <f>F66</f>
        <v>#DIV/0!</v>
      </c>
      <c r="G39" s="860"/>
      <c r="H39" s="945" t="e">
        <f>H66</f>
        <v>#DIV/0!</v>
      </c>
      <c r="I39" s="945" t="e">
        <f>I66</f>
        <v>#DIV/0!</v>
      </c>
      <c r="J39" s="860"/>
      <c r="K39" s="945" t="e">
        <f>K66</f>
        <v>#DIV/0!</v>
      </c>
      <c r="L39" s="945" t="e">
        <f>L66</f>
        <v>#DIV/0!</v>
      </c>
      <c r="M39" s="860"/>
      <c r="N39" s="945" t="e">
        <f>N66</f>
        <v>#DIV/0!</v>
      </c>
      <c r="O39" s="945" t="e">
        <f>O66</f>
        <v>#DIV/0!</v>
      </c>
      <c r="P39" s="860"/>
      <c r="Q39" s="945" t="e">
        <f>Q66</f>
        <v>#DIV/0!</v>
      </c>
      <c r="R39" s="945" t="e">
        <f>R66</f>
        <v>#DIV/0!</v>
      </c>
      <c r="S39" s="996"/>
      <c r="T39" s="945" t="e">
        <f>T66</f>
        <v>#DIV/0!</v>
      </c>
      <c r="U39" s="945" t="e">
        <f>U66</f>
        <v>#DIV/0!</v>
      </c>
      <c r="V39" s="996"/>
      <c r="W39" s="945" t="e">
        <f>W66</f>
        <v>#DIV/0!</v>
      </c>
      <c r="X39" s="945" t="e">
        <f>X66</f>
        <v>#DIV/0!</v>
      </c>
      <c r="Y39" s="996"/>
      <c r="Z39" s="945" t="e">
        <f>Z66</f>
        <v>#DIV/0!</v>
      </c>
      <c r="AA39" s="945" t="e">
        <f>AA66</f>
        <v>#DIV/0!</v>
      </c>
      <c r="AB39" s="996"/>
      <c r="AC39" s="945" t="e">
        <f>AC66</f>
        <v>#DIV/0!</v>
      </c>
      <c r="AD39" s="945" t="e">
        <f>AD66</f>
        <v>#DIV/0!</v>
      </c>
      <c r="AE39" s="996"/>
      <c r="AF39" s="945" t="e">
        <f>AF66</f>
        <v>#DIV/0!</v>
      </c>
      <c r="AG39" s="945" t="e">
        <f>AG66</f>
        <v>#DIV/0!</v>
      </c>
    </row>
    <row r="40" spans="1:33" x14ac:dyDescent="0.2">
      <c r="A40" s="860"/>
      <c r="B40" s="860"/>
      <c r="C40" s="972"/>
      <c r="D40" s="860"/>
      <c r="E40" s="860"/>
      <c r="F40" s="860"/>
      <c r="G40" s="860"/>
      <c r="H40" s="860"/>
      <c r="I40" s="860"/>
      <c r="J40" s="860"/>
      <c r="K40" s="860"/>
      <c r="L40" s="860"/>
      <c r="M40" s="860"/>
      <c r="N40" s="860"/>
      <c r="O40" s="860"/>
      <c r="P40" s="860"/>
      <c r="Q40" s="860"/>
      <c r="R40" s="860"/>
      <c r="S40" s="860"/>
      <c r="T40" s="860"/>
      <c r="U40" s="860"/>
      <c r="V40" s="860"/>
      <c r="W40" s="860"/>
      <c r="X40" s="860"/>
      <c r="Y40" s="860"/>
      <c r="Z40" s="860"/>
      <c r="AA40" s="860"/>
      <c r="AB40" s="860"/>
      <c r="AC40" s="860"/>
      <c r="AD40" s="860"/>
      <c r="AE40" s="860"/>
      <c r="AF40" s="860"/>
      <c r="AG40" s="860"/>
    </row>
    <row r="41" spans="1:33" ht="13.5" thickBot="1" x14ac:dyDescent="0.25">
      <c r="A41" s="874" t="s">
        <v>569</v>
      </c>
      <c r="B41" s="860"/>
      <c r="C41" s="1000"/>
      <c r="D41" s="860"/>
      <c r="E41" s="998" t="e">
        <f>SUM(E35:E39)</f>
        <v>#DIV/0!</v>
      </c>
      <c r="F41" s="998" t="e">
        <f>SUM(F35:F39)</f>
        <v>#DIV/0!</v>
      </c>
      <c r="G41" s="860"/>
      <c r="H41" s="998" t="e">
        <f>SUM(H35:H39)</f>
        <v>#DIV/0!</v>
      </c>
      <c r="I41" s="998" t="e">
        <f>SUM(I35:I39)</f>
        <v>#DIV/0!</v>
      </c>
      <c r="J41" s="860"/>
      <c r="K41" s="998" t="e">
        <f>SUM(K35:K39)</f>
        <v>#DIV/0!</v>
      </c>
      <c r="L41" s="998" t="e">
        <f>SUM(L35:L39)</f>
        <v>#DIV/0!</v>
      </c>
      <c r="M41" s="860"/>
      <c r="N41" s="998" t="e">
        <f>SUM(N35:N39)</f>
        <v>#DIV/0!</v>
      </c>
      <c r="O41" s="998" t="e">
        <f>SUM(O35:O39)</f>
        <v>#DIV/0!</v>
      </c>
      <c r="P41" s="860"/>
      <c r="Q41" s="998" t="e">
        <f>SUM(Q35:Q39)</f>
        <v>#DIV/0!</v>
      </c>
      <c r="R41" s="998" t="e">
        <f>SUM(R35:R39)</f>
        <v>#DIV/0!</v>
      </c>
      <c r="S41" s="860"/>
      <c r="T41" s="998" t="e">
        <f>SUM(T35:T39)</f>
        <v>#DIV/0!</v>
      </c>
      <c r="U41" s="998" t="e">
        <f>SUM(U35:U39)</f>
        <v>#DIV/0!</v>
      </c>
      <c r="V41" s="860"/>
      <c r="W41" s="998" t="e">
        <f>SUM(W35:W39)</f>
        <v>#DIV/0!</v>
      </c>
      <c r="X41" s="998" t="e">
        <f>SUM(X35:X39)</f>
        <v>#DIV/0!</v>
      </c>
      <c r="Y41" s="860"/>
      <c r="Z41" s="998" t="e">
        <f>SUM(Z35:Z39)</f>
        <v>#DIV/0!</v>
      </c>
      <c r="AA41" s="998" t="e">
        <f>SUM(AA35:AA39)</f>
        <v>#DIV/0!</v>
      </c>
      <c r="AB41" s="860"/>
      <c r="AC41" s="998" t="e">
        <f>SUM(AC35:AC39)</f>
        <v>#DIV/0!</v>
      </c>
      <c r="AD41" s="998" t="e">
        <f>SUM(AD35:AD39)</f>
        <v>#DIV/0!</v>
      </c>
      <c r="AE41" s="860"/>
      <c r="AF41" s="998" t="e">
        <f>SUM(AF35:AF39)</f>
        <v>#DIV/0!</v>
      </c>
      <c r="AG41" s="998" t="e">
        <f>SUM(AG35:AG39)</f>
        <v>#DIV/0!</v>
      </c>
    </row>
    <row r="42" spans="1:33" x14ac:dyDescent="0.2">
      <c r="A42" s="860"/>
      <c r="B42" s="860"/>
      <c r="C42" s="1000"/>
      <c r="D42" s="1000"/>
      <c r="E42" s="1000"/>
      <c r="F42" s="1000"/>
      <c r="G42" s="860"/>
      <c r="H42" s="1000"/>
      <c r="I42" s="1000"/>
      <c r="J42" s="860"/>
      <c r="K42" s="1000"/>
      <c r="L42" s="1000"/>
      <c r="M42" s="860"/>
      <c r="N42" s="1000"/>
      <c r="O42" s="1000"/>
      <c r="P42" s="860"/>
      <c r="Q42" s="1000"/>
      <c r="R42" s="1000"/>
      <c r="S42" s="860"/>
      <c r="T42" s="1000"/>
      <c r="U42" s="1000"/>
      <c r="V42" s="860"/>
      <c r="W42" s="1000"/>
      <c r="X42" s="1000"/>
      <c r="Y42" s="860"/>
      <c r="Z42" s="1000"/>
      <c r="AA42" s="1000"/>
      <c r="AB42" s="860"/>
      <c r="AC42" s="1000"/>
      <c r="AD42" s="1000"/>
      <c r="AE42" s="860"/>
      <c r="AF42" s="1000"/>
      <c r="AG42" s="1000"/>
    </row>
    <row r="43" spans="1:33" x14ac:dyDescent="0.2">
      <c r="A43" s="860"/>
      <c r="B43" s="1001"/>
      <c r="C43" s="988"/>
      <c r="D43" s="988"/>
      <c r="E43" s="988"/>
      <c r="F43" s="988"/>
      <c r="G43" s="860"/>
      <c r="H43" s="988"/>
      <c r="I43" s="956"/>
      <c r="J43" s="860"/>
      <c r="K43" s="988"/>
      <c r="L43" s="956"/>
      <c r="M43" s="860"/>
      <c r="N43" s="988"/>
      <c r="O43" s="956"/>
      <c r="P43" s="860"/>
      <c r="Q43" s="988"/>
      <c r="R43" s="956"/>
      <c r="S43" s="988"/>
      <c r="T43" s="860"/>
      <c r="U43" s="988"/>
      <c r="V43" s="988"/>
      <c r="W43" s="860"/>
      <c r="X43" s="988"/>
      <c r="Y43" s="988"/>
      <c r="Z43" s="860"/>
      <c r="AA43" s="988"/>
      <c r="AB43" s="988"/>
      <c r="AC43" s="860"/>
      <c r="AD43" s="988"/>
      <c r="AE43" s="988"/>
      <c r="AF43" s="860"/>
      <c r="AG43" s="988"/>
    </row>
    <row r="44" spans="1:33" x14ac:dyDescent="0.2">
      <c r="A44" s="860" t="s">
        <v>570</v>
      </c>
      <c r="B44" s="1001"/>
      <c r="C44" s="988"/>
      <c r="D44" s="988"/>
      <c r="E44" s="988"/>
      <c r="F44" s="1002" t="e">
        <f>F41</f>
        <v>#DIV/0!</v>
      </c>
      <c r="G44" s="860"/>
      <c r="H44" s="988"/>
      <c r="I44" s="1002" t="e">
        <f>I41</f>
        <v>#DIV/0!</v>
      </c>
      <c r="J44" s="860"/>
      <c r="K44" s="988"/>
      <c r="L44" s="1002" t="e">
        <f>L41</f>
        <v>#DIV/0!</v>
      </c>
      <c r="M44" s="860"/>
      <c r="N44" s="988"/>
      <c r="O44" s="1002" t="e">
        <f>O41</f>
        <v>#DIV/0!</v>
      </c>
      <c r="P44" s="860"/>
      <c r="Q44" s="988"/>
      <c r="R44" s="1002" t="e">
        <f>R41</f>
        <v>#DIV/0!</v>
      </c>
      <c r="S44" s="988"/>
      <c r="T44" s="860"/>
      <c r="U44" s="1002" t="e">
        <f>U41</f>
        <v>#DIV/0!</v>
      </c>
      <c r="V44" s="988"/>
      <c r="W44" s="860"/>
      <c r="X44" s="1002" t="e">
        <f>X41</f>
        <v>#DIV/0!</v>
      </c>
      <c r="Y44" s="988"/>
      <c r="Z44" s="860"/>
      <c r="AA44" s="1002" t="e">
        <f>AA41</f>
        <v>#DIV/0!</v>
      </c>
      <c r="AB44" s="988"/>
      <c r="AC44" s="860"/>
      <c r="AD44" s="1002" t="e">
        <f>AD41</f>
        <v>#DIV/0!</v>
      </c>
      <c r="AE44" s="988"/>
      <c r="AF44" s="860"/>
      <c r="AG44" s="1002" t="e">
        <f>AG41</f>
        <v>#DIV/0!</v>
      </c>
    </row>
    <row r="45" spans="1:33" x14ac:dyDescent="0.2">
      <c r="A45" s="860"/>
      <c r="B45" s="1003"/>
      <c r="C45" s="860"/>
      <c r="D45" s="860"/>
      <c r="E45" s="860"/>
      <c r="F45" s="860"/>
      <c r="G45" s="860"/>
      <c r="H45" s="1004"/>
      <c r="I45" s="956"/>
      <c r="J45" s="860"/>
      <c r="K45" s="1004"/>
      <c r="L45" s="956"/>
      <c r="M45" s="860"/>
      <c r="N45" s="1004"/>
      <c r="O45" s="956"/>
      <c r="P45" s="860"/>
      <c r="Q45" s="1004"/>
      <c r="R45" s="956"/>
      <c r="S45" s="860"/>
      <c r="T45" s="1005"/>
      <c r="U45" s="956"/>
      <c r="V45" s="860"/>
      <c r="W45" s="1005"/>
      <c r="X45" s="956"/>
      <c r="Y45" s="860"/>
      <c r="Z45" s="1005"/>
      <c r="AA45" s="956"/>
      <c r="AB45" s="860"/>
      <c r="AC45" s="1005"/>
      <c r="AD45" s="956"/>
      <c r="AE45" s="860"/>
      <c r="AF45" s="1005"/>
      <c r="AG45" s="956"/>
    </row>
    <row r="46" spans="1:33" x14ac:dyDescent="0.2">
      <c r="A46" s="879" t="s">
        <v>767</v>
      </c>
      <c r="B46" s="860"/>
      <c r="C46" s="945"/>
      <c r="D46" s="945"/>
      <c r="E46" s="945"/>
      <c r="F46" s="1002" t="e">
        <f>F44/12</f>
        <v>#DIV/0!</v>
      </c>
      <c r="G46" s="945"/>
      <c r="H46" s="945"/>
      <c r="I46" s="1002" t="e">
        <f>I44/12</f>
        <v>#DIV/0!</v>
      </c>
      <c r="J46" s="945"/>
      <c r="K46" s="945"/>
      <c r="L46" s="1002" t="e">
        <f>L44/12</f>
        <v>#DIV/0!</v>
      </c>
      <c r="M46" s="945"/>
      <c r="N46" s="945"/>
      <c r="O46" s="1002" t="e">
        <f>O44/12</f>
        <v>#DIV/0!</v>
      </c>
      <c r="P46" s="945"/>
      <c r="Q46" s="945"/>
      <c r="R46" s="1002" t="e">
        <f>R44/12</f>
        <v>#DIV/0!</v>
      </c>
      <c r="S46" s="945"/>
      <c r="T46" s="860"/>
      <c r="U46" s="1002" t="e">
        <f>U44/12</f>
        <v>#DIV/0!</v>
      </c>
      <c r="V46" s="945"/>
      <c r="W46" s="860"/>
      <c r="X46" s="1002" t="e">
        <f>X44/12</f>
        <v>#DIV/0!</v>
      </c>
      <c r="Y46" s="945"/>
      <c r="Z46" s="860"/>
      <c r="AA46" s="1002" t="e">
        <f>AA44/12</f>
        <v>#DIV/0!</v>
      </c>
      <c r="AB46" s="945"/>
      <c r="AC46" s="860"/>
      <c r="AD46" s="1002" t="e">
        <f>AD44/12</f>
        <v>#DIV/0!</v>
      </c>
      <c r="AE46" s="945"/>
      <c r="AF46" s="860"/>
      <c r="AG46" s="1002" t="e">
        <f>AG44/12</f>
        <v>#DIV/0!</v>
      </c>
    </row>
    <row r="47" spans="1:33" x14ac:dyDescent="0.2">
      <c r="A47" s="879"/>
      <c r="B47" s="860"/>
      <c r="C47" s="945"/>
      <c r="D47" s="945"/>
      <c r="E47" s="945"/>
      <c r="F47" s="945"/>
      <c r="G47" s="945"/>
      <c r="H47" s="945"/>
      <c r="I47" s="945"/>
      <c r="J47" s="945"/>
      <c r="K47" s="945"/>
      <c r="L47" s="945"/>
      <c r="M47" s="945"/>
      <c r="N47" s="945"/>
      <c r="O47" s="945"/>
      <c r="P47" s="945"/>
      <c r="Q47" s="945"/>
      <c r="R47" s="1006"/>
      <c r="S47" s="945"/>
      <c r="T47" s="860"/>
      <c r="U47" s="945"/>
      <c r="V47" s="945"/>
      <c r="W47" s="860"/>
      <c r="X47" s="860"/>
      <c r="Y47" s="945"/>
      <c r="Z47" s="860"/>
      <c r="AA47" s="945"/>
      <c r="AB47" s="945"/>
      <c r="AC47" s="860"/>
      <c r="AD47" s="860"/>
      <c r="AE47" s="945"/>
      <c r="AF47" s="860"/>
      <c r="AG47" s="860"/>
    </row>
    <row r="48" spans="1:33" ht="13.15" customHeight="1" x14ac:dyDescent="0.2">
      <c r="A48" s="2063" t="s">
        <v>1343</v>
      </c>
      <c r="B48" s="2063"/>
      <c r="C48" s="2063"/>
      <c r="D48" s="2063"/>
      <c r="E48" s="2063"/>
      <c r="F48" s="2063"/>
      <c r="G48" s="2063"/>
      <c r="H48" s="2063"/>
      <c r="I48" s="2063"/>
      <c r="J48" s="2063"/>
      <c r="K48" s="2063"/>
      <c r="L48" s="2063"/>
      <c r="M48" s="2063"/>
      <c r="N48" s="2063"/>
      <c r="O48" s="2063"/>
      <c r="P48" s="2063"/>
      <c r="Q48" s="2063"/>
      <c r="R48" s="2063"/>
      <c r="S48" s="2063"/>
      <c r="T48" s="1523"/>
      <c r="U48" s="1523"/>
      <c r="V48" s="1523"/>
      <c r="W48" s="1523"/>
      <c r="X48" s="1523"/>
      <c r="Y48" s="1523"/>
      <c r="Z48" s="1523"/>
    </row>
    <row r="49" spans="1:33" ht="51.75" customHeight="1" x14ac:dyDescent="0.2">
      <c r="A49" s="2063"/>
      <c r="B49" s="2063"/>
      <c r="C49" s="2063"/>
      <c r="D49" s="2063"/>
      <c r="E49" s="2063"/>
      <c r="F49" s="2063"/>
      <c r="G49" s="2063"/>
      <c r="H49" s="2063"/>
      <c r="I49" s="2063"/>
      <c r="J49" s="2063"/>
      <c r="K49" s="2063"/>
      <c r="L49" s="2063"/>
      <c r="M49" s="2063"/>
      <c r="N49" s="2063"/>
      <c r="O49" s="2063"/>
      <c r="P49" s="2063"/>
      <c r="Q49" s="2063"/>
      <c r="R49" s="2063"/>
      <c r="S49" s="2063"/>
      <c r="T49" s="1523"/>
      <c r="U49" s="1523"/>
      <c r="V49" s="1523"/>
      <c r="W49" s="1523"/>
      <c r="X49" s="1523"/>
      <c r="Y49" s="1523"/>
      <c r="Z49" s="1523"/>
    </row>
    <row r="50" spans="1:33" x14ac:dyDescent="0.2">
      <c r="A50" s="993" t="s">
        <v>1341</v>
      </c>
      <c r="B50" s="1359"/>
      <c r="C50" s="1359"/>
      <c r="D50" s="1359"/>
      <c r="E50" s="1359"/>
      <c r="F50" s="1359"/>
      <c r="G50" s="1359"/>
      <c r="H50" s="1359"/>
      <c r="I50" s="1359"/>
      <c r="J50" s="1359"/>
      <c r="K50" s="1359"/>
      <c r="L50" s="1359"/>
      <c r="M50" s="1359"/>
      <c r="N50" s="1359"/>
      <c r="O50" s="1359"/>
      <c r="P50" s="1359"/>
      <c r="Q50" s="1359"/>
      <c r="R50" s="1359"/>
      <c r="S50" s="1359"/>
      <c r="T50" s="1359"/>
      <c r="U50" s="1359"/>
      <c r="V50" s="1359"/>
      <c r="W50" s="1359"/>
      <c r="X50" s="1359"/>
      <c r="Y50" s="1359"/>
    </row>
    <row r="51" spans="1:33" ht="15" x14ac:dyDescent="0.2">
      <c r="A51" s="2064"/>
      <c r="B51" s="2064"/>
      <c r="C51" s="1047"/>
      <c r="D51" s="1047"/>
      <c r="E51" s="1047"/>
      <c r="F51" s="1047"/>
      <c r="G51" s="1047"/>
      <c r="H51" s="1047"/>
      <c r="I51" s="1047"/>
      <c r="J51" s="1047"/>
      <c r="K51" s="1047"/>
      <c r="L51" s="1047"/>
      <c r="M51" s="1047"/>
      <c r="N51" s="1047"/>
      <c r="O51" s="1047"/>
      <c r="P51" s="1047"/>
      <c r="Q51" s="1047"/>
      <c r="R51" s="1047"/>
      <c r="S51" s="953"/>
    </row>
    <row r="52" spans="1:33" ht="16.5" thickBot="1" x14ac:dyDescent="0.3">
      <c r="A52" s="1010" t="s">
        <v>571</v>
      </c>
      <c r="B52" s="1048"/>
      <c r="C52" s="1047"/>
      <c r="D52" s="1047"/>
      <c r="E52" s="1047"/>
      <c r="F52" s="1047"/>
      <c r="G52" s="1047"/>
      <c r="H52" s="1047"/>
      <c r="I52" s="1047"/>
      <c r="J52" s="1047"/>
      <c r="K52" s="1047"/>
      <c r="L52" s="1047"/>
      <c r="M52" s="1047"/>
      <c r="N52" s="1047"/>
      <c r="O52" s="1047"/>
      <c r="P52" s="1047"/>
      <c r="Q52" s="1047"/>
      <c r="R52" s="1047"/>
      <c r="S52" s="953"/>
    </row>
    <row r="53" spans="1:33" ht="13.5" thickBot="1" x14ac:dyDescent="0.25">
      <c r="A53" s="1014"/>
      <c r="B53" s="1008"/>
      <c r="C53" s="1009"/>
      <c r="D53" s="1009"/>
      <c r="E53" s="2054">
        <f>D18</f>
        <v>2015</v>
      </c>
      <c r="F53" s="2055"/>
      <c r="G53" s="1009"/>
      <c r="H53" s="2054">
        <f>G18</f>
        <v>2016</v>
      </c>
      <c r="I53" s="2055"/>
      <c r="J53" s="972"/>
      <c r="K53" s="2054">
        <f>J18</f>
        <v>2017</v>
      </c>
      <c r="L53" s="2055"/>
      <c r="M53" s="972"/>
      <c r="N53" s="2054">
        <f>M18</f>
        <v>2018</v>
      </c>
      <c r="O53" s="2055"/>
      <c r="P53" s="972"/>
      <c r="Q53" s="2054">
        <f>P18</f>
        <v>2019</v>
      </c>
      <c r="R53" s="2055"/>
      <c r="S53" s="972"/>
      <c r="T53" s="2054" t="str">
        <f>S18</f>
        <v>2020 Test Year</v>
      </c>
      <c r="U53" s="2055"/>
      <c r="V53" s="972"/>
      <c r="W53" s="2054">
        <f>V18</f>
        <v>2021</v>
      </c>
      <c r="X53" s="2055"/>
      <c r="Y53" s="972"/>
      <c r="Z53" s="2054">
        <f>Y18</f>
        <v>2022</v>
      </c>
      <c r="AA53" s="2055"/>
      <c r="AB53" s="972"/>
      <c r="AC53" s="2054">
        <f>AB18</f>
        <v>2023</v>
      </c>
      <c r="AD53" s="2055"/>
      <c r="AE53" s="972"/>
      <c r="AF53" s="2054">
        <f>AE18</f>
        <v>2024</v>
      </c>
      <c r="AG53" s="2055"/>
    </row>
    <row r="54" spans="1:33" x14ac:dyDescent="0.2">
      <c r="A54" s="1012" t="s">
        <v>572</v>
      </c>
      <c r="B54" s="1008"/>
      <c r="C54" s="1009"/>
      <c r="D54" s="1009"/>
      <c r="E54" s="874" t="s">
        <v>555</v>
      </c>
      <c r="F54" s="942" t="s">
        <v>556</v>
      </c>
      <c r="G54" s="1009"/>
      <c r="H54" s="874" t="s">
        <v>555</v>
      </c>
      <c r="I54" s="942" t="s">
        <v>556</v>
      </c>
      <c r="J54" s="860"/>
      <c r="K54" s="874" t="s">
        <v>555</v>
      </c>
      <c r="L54" s="942" t="s">
        <v>556</v>
      </c>
      <c r="M54" s="860"/>
      <c r="N54" s="874" t="s">
        <v>555</v>
      </c>
      <c r="O54" s="942" t="s">
        <v>556</v>
      </c>
      <c r="P54" s="860"/>
      <c r="Q54" s="874" t="s">
        <v>555</v>
      </c>
      <c r="R54" s="942" t="s">
        <v>556</v>
      </c>
      <c r="S54" s="860"/>
      <c r="T54" s="874" t="s">
        <v>555</v>
      </c>
      <c r="U54" s="942" t="s">
        <v>556</v>
      </c>
      <c r="V54" s="860"/>
      <c r="W54" s="874" t="s">
        <v>555</v>
      </c>
      <c r="X54" s="942" t="s">
        <v>556</v>
      </c>
      <c r="Y54" s="860"/>
      <c r="Z54" s="874" t="s">
        <v>555</v>
      </c>
      <c r="AA54" s="942" t="s">
        <v>556</v>
      </c>
      <c r="AB54" s="860"/>
      <c r="AC54" s="874" t="s">
        <v>555</v>
      </c>
      <c r="AD54" s="942" t="s">
        <v>556</v>
      </c>
      <c r="AE54" s="860"/>
      <c r="AF54" s="874" t="s">
        <v>555</v>
      </c>
      <c r="AG54" s="942" t="s">
        <v>556</v>
      </c>
    </row>
    <row r="55" spans="1:33" x14ac:dyDescent="0.2">
      <c r="A55" s="1013"/>
      <c r="B55" s="1008"/>
      <c r="C55" s="1009"/>
      <c r="D55" s="1009"/>
      <c r="E55" s="874"/>
      <c r="F55" s="942"/>
      <c r="G55" s="1009"/>
      <c r="H55" s="874"/>
      <c r="I55" s="942"/>
      <c r="J55" s="975"/>
      <c r="K55" s="874"/>
      <c r="L55" s="942"/>
      <c r="M55" s="975"/>
      <c r="N55" s="874"/>
      <c r="O55" s="942"/>
      <c r="P55" s="975"/>
      <c r="Q55" s="874"/>
      <c r="R55" s="942"/>
      <c r="S55" s="975"/>
      <c r="T55" s="874"/>
      <c r="U55" s="942"/>
      <c r="V55" s="975"/>
      <c r="W55" s="874"/>
      <c r="X55" s="942"/>
      <c r="Y55" s="975" t="s">
        <v>259</v>
      </c>
      <c r="Z55" s="874"/>
      <c r="AA55" s="942"/>
      <c r="AB55" s="975" t="s">
        <v>259</v>
      </c>
      <c r="AC55" s="874"/>
      <c r="AD55" s="942"/>
      <c r="AE55" s="975" t="s">
        <v>259</v>
      </c>
      <c r="AF55" s="874"/>
      <c r="AG55" s="942"/>
    </row>
    <row r="56" spans="1:33" x14ac:dyDescent="0.2">
      <c r="A56" s="1014" t="s">
        <v>573</v>
      </c>
      <c r="B56" s="1008"/>
      <c r="C56" s="1009"/>
      <c r="D56" s="1009"/>
      <c r="E56" s="959" t="e">
        <f>E34</f>
        <v>#DIV/0!</v>
      </c>
      <c r="F56" s="1015" t="e">
        <f>F34</f>
        <v>#DIV/0!</v>
      </c>
      <c r="G56" s="1009"/>
      <c r="H56" s="959" t="e">
        <f>H34</f>
        <v>#DIV/0!</v>
      </c>
      <c r="I56" s="1015" t="e">
        <f>I34</f>
        <v>#DIV/0!</v>
      </c>
      <c r="J56" s="959"/>
      <c r="K56" s="959" t="e">
        <f>K34</f>
        <v>#DIV/0!</v>
      </c>
      <c r="L56" s="1015" t="e">
        <f>L34</f>
        <v>#DIV/0!</v>
      </c>
      <c r="M56" s="959"/>
      <c r="N56" s="959" t="e">
        <f>N34</f>
        <v>#DIV/0!</v>
      </c>
      <c r="O56" s="1015" t="e">
        <f>O34</f>
        <v>#DIV/0!</v>
      </c>
      <c r="P56" s="959"/>
      <c r="Q56" s="959" t="e">
        <f>Q34</f>
        <v>#DIV/0!</v>
      </c>
      <c r="R56" s="1015" t="e">
        <f>R34</f>
        <v>#DIV/0!</v>
      </c>
      <c r="S56" s="959"/>
      <c r="T56" s="959" t="e">
        <f>T34</f>
        <v>#DIV/0!</v>
      </c>
      <c r="U56" s="1015" t="e">
        <f>U34</f>
        <v>#DIV/0!</v>
      </c>
      <c r="V56" s="959"/>
      <c r="W56" s="959" t="e">
        <f>W34</f>
        <v>#DIV/0!</v>
      </c>
      <c r="X56" s="1015" t="e">
        <f>X34</f>
        <v>#DIV/0!</v>
      </c>
      <c r="Y56" s="959"/>
      <c r="Z56" s="959" t="e">
        <f>Z34</f>
        <v>#DIV/0!</v>
      </c>
      <c r="AA56" s="1015" t="e">
        <f>AA34</f>
        <v>#DIV/0!</v>
      </c>
      <c r="AB56" s="959"/>
      <c r="AC56" s="959" t="e">
        <f>AC34</f>
        <v>#DIV/0!</v>
      </c>
      <c r="AD56" s="1015" t="e">
        <f>AD34</f>
        <v>#DIV/0!</v>
      </c>
      <c r="AE56" s="959"/>
      <c r="AF56" s="959" t="e">
        <f>AF34</f>
        <v>#DIV/0!</v>
      </c>
      <c r="AG56" s="1015" t="e">
        <f>AG34</f>
        <v>#DIV/0!</v>
      </c>
    </row>
    <row r="57" spans="1:33" x14ac:dyDescent="0.2">
      <c r="A57" s="1014" t="s">
        <v>776</v>
      </c>
      <c r="B57" s="1008"/>
      <c r="C57" s="1009"/>
      <c r="D57" s="1009"/>
      <c r="E57" s="980">
        <f>E38</f>
        <v>0</v>
      </c>
      <c r="F57" s="980">
        <f>F38</f>
        <v>0</v>
      </c>
      <c r="G57" s="1009"/>
      <c r="H57" s="980" t="e">
        <f>H38</f>
        <v>#DIV/0!</v>
      </c>
      <c r="I57" s="980" t="e">
        <f>I38</f>
        <v>#DIV/0!</v>
      </c>
      <c r="J57" s="958"/>
      <c r="K57" s="980" t="e">
        <f>K38</f>
        <v>#DIV/0!</v>
      </c>
      <c r="L57" s="980" t="e">
        <f>L38</f>
        <v>#DIV/0!</v>
      </c>
      <c r="M57" s="958"/>
      <c r="N57" s="980" t="e">
        <f>N38</f>
        <v>#DIV/0!</v>
      </c>
      <c r="O57" s="980" t="e">
        <f>O38</f>
        <v>#DIV/0!</v>
      </c>
      <c r="P57" s="958"/>
      <c r="Q57" s="980" t="e">
        <f>Q38</f>
        <v>#DIV/0!</v>
      </c>
      <c r="R57" s="980" t="e">
        <f>R38</f>
        <v>#DIV/0!</v>
      </c>
      <c r="S57" s="958"/>
      <c r="T57" s="980" t="e">
        <f>T38</f>
        <v>#DIV/0!</v>
      </c>
      <c r="U57" s="980" t="e">
        <f>U38</f>
        <v>#DIV/0!</v>
      </c>
      <c r="V57" s="958"/>
      <c r="W57" s="980" t="e">
        <f>W38</f>
        <v>#DIV/0!</v>
      </c>
      <c r="X57" s="980" t="e">
        <f>X38</f>
        <v>#DIV/0!</v>
      </c>
      <c r="Y57" s="958"/>
      <c r="Z57" s="980" t="e">
        <f>Z38</f>
        <v>#DIV/0!</v>
      </c>
      <c r="AA57" s="980" t="e">
        <f>AA38</f>
        <v>#DIV/0!</v>
      </c>
      <c r="AB57" s="958"/>
      <c r="AC57" s="980" t="e">
        <f>AC38</f>
        <v>#DIV/0!</v>
      </c>
      <c r="AD57" s="980" t="e">
        <f>AD38</f>
        <v>#DIV/0!</v>
      </c>
      <c r="AE57" s="958"/>
      <c r="AF57" s="980" t="e">
        <f>AF38</f>
        <v>#DIV/0!</v>
      </c>
      <c r="AG57" s="980" t="e">
        <f>AG38</f>
        <v>#DIV/0!</v>
      </c>
    </row>
    <row r="58" spans="1:33" x14ac:dyDescent="0.2">
      <c r="A58" s="1014" t="s">
        <v>777</v>
      </c>
      <c r="B58" s="1008"/>
      <c r="C58" s="1009"/>
      <c r="D58" s="1009"/>
      <c r="E58" s="958">
        <f>-D94*E$20</f>
        <v>0</v>
      </c>
      <c r="F58" s="958">
        <f>-D94*F$20</f>
        <v>0</v>
      </c>
      <c r="G58" s="1009"/>
      <c r="H58" s="958">
        <f>-G94*H$20</f>
        <v>0</v>
      </c>
      <c r="I58" s="958">
        <f>-G94*I$20</f>
        <v>0</v>
      </c>
      <c r="J58" s="958"/>
      <c r="K58" s="958">
        <f>-H94*K$20</f>
        <v>0</v>
      </c>
      <c r="L58" s="958">
        <f>-H94*L$20</f>
        <v>0</v>
      </c>
      <c r="M58" s="958"/>
      <c r="N58" s="958">
        <f>-I94*N$20</f>
        <v>0</v>
      </c>
      <c r="O58" s="958">
        <f>-I94*O$20</f>
        <v>0</v>
      </c>
      <c r="P58" s="958"/>
      <c r="Q58" s="958">
        <f>-J94*Q$20</f>
        <v>0</v>
      </c>
      <c r="R58" s="958">
        <f>-J94*R$20</f>
        <v>0</v>
      </c>
      <c r="S58" s="958"/>
      <c r="T58" s="958">
        <f>-K94*T$20</f>
        <v>0</v>
      </c>
      <c r="U58" s="958">
        <f>-K94*U$20</f>
        <v>0</v>
      </c>
      <c r="V58" s="958"/>
      <c r="W58" s="958">
        <f>-L94*W$20</f>
        <v>0</v>
      </c>
      <c r="X58" s="958">
        <f>-L94*X$20</f>
        <v>0</v>
      </c>
      <c r="Y58" s="958"/>
      <c r="Z58" s="958">
        <f>-M94*Z$20</f>
        <v>0</v>
      </c>
      <c r="AA58" s="958">
        <f>-M94*AA$20</f>
        <v>0</v>
      </c>
      <c r="AB58" s="958"/>
      <c r="AC58" s="958">
        <f>-N94*AC$20</f>
        <v>0</v>
      </c>
      <c r="AD58" s="958">
        <f>-N94*AD$20</f>
        <v>0</v>
      </c>
      <c r="AE58" s="958"/>
      <c r="AF58" s="958">
        <f>-O94*AF$20</f>
        <v>0</v>
      </c>
      <c r="AG58" s="958">
        <f>-O94*AG$20</f>
        <v>0</v>
      </c>
    </row>
    <row r="59" spans="1:33" x14ac:dyDescent="0.2">
      <c r="A59" s="1013" t="s">
        <v>576</v>
      </c>
      <c r="B59" s="1008"/>
      <c r="C59" s="1009"/>
      <c r="D59" s="1009"/>
      <c r="E59" s="1017" t="e">
        <f>SUM(E56:E58)</f>
        <v>#DIV/0!</v>
      </c>
      <c r="F59" s="1017" t="e">
        <f>SUM(F56:F58)</f>
        <v>#DIV/0!</v>
      </c>
      <c r="G59" s="1009"/>
      <c r="H59" s="1017" t="e">
        <f>SUM(H56:H58)</f>
        <v>#DIV/0!</v>
      </c>
      <c r="I59" s="1017" t="e">
        <f>SUM(I56:I58)</f>
        <v>#DIV/0!</v>
      </c>
      <c r="J59" s="958"/>
      <c r="K59" s="1017" t="e">
        <f>SUM(K56:K58)</f>
        <v>#DIV/0!</v>
      </c>
      <c r="L59" s="1017" t="e">
        <f>SUM(L56:L58)</f>
        <v>#DIV/0!</v>
      </c>
      <c r="M59" s="958"/>
      <c r="N59" s="1017" t="e">
        <f>SUM(N56:N58)</f>
        <v>#DIV/0!</v>
      </c>
      <c r="O59" s="1017" t="e">
        <f>SUM(O56:O58)</f>
        <v>#DIV/0!</v>
      </c>
      <c r="P59" s="958"/>
      <c r="Q59" s="1017" t="e">
        <f>SUM(Q56:Q58)</f>
        <v>#DIV/0!</v>
      </c>
      <c r="R59" s="1017" t="e">
        <f>SUM(R56:R58)</f>
        <v>#DIV/0!</v>
      </c>
      <c r="S59" s="958"/>
      <c r="T59" s="1017" t="e">
        <f>SUM(T56:T58)</f>
        <v>#DIV/0!</v>
      </c>
      <c r="U59" s="1017" t="e">
        <f>SUM(U56:U58)</f>
        <v>#DIV/0!</v>
      </c>
      <c r="V59" s="958"/>
      <c r="W59" s="1017" t="e">
        <f>SUM(W56:W58)</f>
        <v>#DIV/0!</v>
      </c>
      <c r="X59" s="1017" t="e">
        <f>SUM(X56:X58)</f>
        <v>#DIV/0!</v>
      </c>
      <c r="Y59" s="1017"/>
      <c r="Z59" s="1017" t="e">
        <f>SUM(Z56:Z58)</f>
        <v>#DIV/0!</v>
      </c>
      <c r="AA59" s="1017" t="e">
        <f>SUM(AA56:AA58)</f>
        <v>#DIV/0!</v>
      </c>
      <c r="AB59" s="1017"/>
      <c r="AC59" s="1017" t="e">
        <f>SUM(AC56:AC58)</f>
        <v>#DIV/0!</v>
      </c>
      <c r="AD59" s="1017" t="e">
        <f>SUM(AD56:AD58)</f>
        <v>#DIV/0!</v>
      </c>
      <c r="AE59" s="1017"/>
      <c r="AF59" s="1017" t="e">
        <f>SUM(AF56:AF58)</f>
        <v>#DIV/0!</v>
      </c>
      <c r="AG59" s="1017" t="e">
        <f>SUM(AG56:AG58)</f>
        <v>#DIV/0!</v>
      </c>
    </row>
    <row r="60" spans="1:33" x14ac:dyDescent="0.2">
      <c r="A60" s="879"/>
      <c r="B60" s="1008"/>
      <c r="C60" s="1009"/>
      <c r="D60" s="1009"/>
      <c r="E60" s="879"/>
      <c r="F60" s="879"/>
      <c r="G60" s="1009"/>
      <c r="H60" s="879"/>
      <c r="I60" s="879"/>
      <c r="J60" s="879"/>
      <c r="K60" s="879"/>
      <c r="L60" s="879"/>
      <c r="M60" s="879"/>
      <c r="N60" s="879"/>
      <c r="O60" s="879"/>
      <c r="P60" s="879"/>
      <c r="Q60" s="879"/>
      <c r="R60" s="879"/>
      <c r="S60" s="879"/>
      <c r="T60" s="879"/>
      <c r="U60" s="879"/>
      <c r="V60" s="879"/>
      <c r="W60" s="879"/>
      <c r="X60" s="879"/>
      <c r="Y60" s="879"/>
      <c r="Z60" s="879"/>
      <c r="AA60" s="879"/>
      <c r="AB60" s="879"/>
      <c r="AC60" s="879"/>
      <c r="AD60" s="879"/>
      <c r="AE60" s="879"/>
      <c r="AF60" s="879"/>
      <c r="AG60" s="879"/>
    </row>
    <row r="61" spans="1:33" x14ac:dyDescent="0.2">
      <c r="A61" s="1014" t="s">
        <v>577</v>
      </c>
      <c r="B61" s="1009"/>
      <c r="C61" s="1009"/>
      <c r="D61" s="1009"/>
      <c r="E61" s="191"/>
      <c r="F61" s="191"/>
      <c r="G61" s="1009"/>
      <c r="H61" s="191"/>
      <c r="I61" s="191"/>
      <c r="J61" s="1016"/>
      <c r="K61" s="191"/>
      <c r="L61" s="191"/>
      <c r="M61" s="1016"/>
      <c r="N61" s="191"/>
      <c r="O61" s="191"/>
      <c r="P61" s="1016"/>
      <c r="Q61" s="191"/>
      <c r="R61" s="191"/>
      <c r="S61" s="1016"/>
      <c r="T61" s="191"/>
      <c r="U61" s="191"/>
      <c r="V61" s="1016"/>
      <c r="W61" s="191"/>
      <c r="X61" s="191"/>
      <c r="Y61" s="1016"/>
      <c r="Z61" s="191"/>
      <c r="AA61" s="191"/>
      <c r="AB61" s="958"/>
      <c r="AC61" s="191"/>
      <c r="AD61" s="191"/>
      <c r="AE61" s="958"/>
      <c r="AF61" s="191"/>
      <c r="AG61" s="191"/>
    </row>
    <row r="62" spans="1:33" x14ac:dyDescent="0.2">
      <c r="A62" s="1014"/>
      <c r="B62" s="1009"/>
      <c r="C62" s="1009"/>
      <c r="D62" s="1009"/>
      <c r="E62" s="1049"/>
      <c r="F62" s="1049"/>
      <c r="G62" s="1009"/>
      <c r="H62" s="1049"/>
      <c r="I62" s="1049"/>
      <c r="J62" s="1016"/>
      <c r="K62" s="1049"/>
      <c r="L62" s="1049"/>
      <c r="M62" s="1016"/>
      <c r="N62" s="1049"/>
      <c r="O62" s="1049"/>
      <c r="P62" s="1016"/>
      <c r="Q62" s="1049"/>
      <c r="R62" s="1049"/>
      <c r="S62" s="1016"/>
      <c r="T62" s="1049"/>
      <c r="U62" s="1049"/>
      <c r="V62" s="1016"/>
      <c r="W62" s="1049"/>
      <c r="X62" s="1049"/>
      <c r="Y62" s="1016"/>
      <c r="Z62" s="1049"/>
      <c r="AA62" s="1049"/>
      <c r="AB62" s="958"/>
      <c r="AC62" s="1049"/>
      <c r="AD62" s="1049"/>
      <c r="AE62" s="958"/>
      <c r="AF62" s="1049"/>
      <c r="AG62" s="1049"/>
    </row>
    <row r="63" spans="1:33" x14ac:dyDescent="0.2">
      <c r="A63" s="1014" t="s">
        <v>578</v>
      </c>
      <c r="B63" s="1008"/>
      <c r="C63" s="1009"/>
      <c r="D63" s="1009"/>
      <c r="E63" s="1018" t="e">
        <f>E59*E61</f>
        <v>#DIV/0!</v>
      </c>
      <c r="F63" s="1018" t="e">
        <f>F59*F61</f>
        <v>#DIV/0!</v>
      </c>
      <c r="G63" s="1009"/>
      <c r="H63" s="1018" t="e">
        <f>H59*H61</f>
        <v>#DIV/0!</v>
      </c>
      <c r="I63" s="1018" t="e">
        <f>I59*I61</f>
        <v>#DIV/0!</v>
      </c>
      <c r="J63" s="958"/>
      <c r="K63" s="1018" t="e">
        <f>K59*K61</f>
        <v>#DIV/0!</v>
      </c>
      <c r="L63" s="1018" t="e">
        <f>L59*L61</f>
        <v>#DIV/0!</v>
      </c>
      <c r="M63" s="958"/>
      <c r="N63" s="1018" t="e">
        <f>N59*N61</f>
        <v>#DIV/0!</v>
      </c>
      <c r="O63" s="1018" t="e">
        <f>O59*O61</f>
        <v>#DIV/0!</v>
      </c>
      <c r="P63" s="958"/>
      <c r="Q63" s="1018" t="e">
        <f>Q59*Q61</f>
        <v>#DIV/0!</v>
      </c>
      <c r="R63" s="1018" t="e">
        <f>R59*R61</f>
        <v>#DIV/0!</v>
      </c>
      <c r="S63" s="958"/>
      <c r="T63" s="1018" t="e">
        <f>T59*T61</f>
        <v>#DIV/0!</v>
      </c>
      <c r="U63" s="1018" t="e">
        <f>U59*U61</f>
        <v>#DIV/0!</v>
      </c>
      <c r="V63" s="958"/>
      <c r="W63" s="1018" t="e">
        <f>W59*W61</f>
        <v>#DIV/0!</v>
      </c>
      <c r="X63" s="1018" t="e">
        <f>X59*X61</f>
        <v>#DIV/0!</v>
      </c>
      <c r="Y63" s="958"/>
      <c r="Z63" s="1018" t="e">
        <f>Z59*Z61</f>
        <v>#DIV/0!</v>
      </c>
      <c r="AA63" s="1018" t="e">
        <f>AA59*AA61</f>
        <v>#DIV/0!</v>
      </c>
      <c r="AB63" s="958"/>
      <c r="AC63" s="1018" t="e">
        <f>AC59*AC61</f>
        <v>#DIV/0!</v>
      </c>
      <c r="AD63" s="1018" t="e">
        <f>AD59*AD61</f>
        <v>#DIV/0!</v>
      </c>
      <c r="AE63" s="958"/>
      <c r="AF63" s="1018" t="e">
        <f>AF59*AF61</f>
        <v>#DIV/0!</v>
      </c>
      <c r="AG63" s="1018" t="e">
        <f>AG59*AG61</f>
        <v>#DIV/0!</v>
      </c>
    </row>
    <row r="64" spans="1:33" x14ac:dyDescent="0.2">
      <c r="A64" s="1019" t="s">
        <v>579</v>
      </c>
      <c r="B64" s="1008"/>
      <c r="C64" s="1009"/>
      <c r="D64" s="1009"/>
      <c r="E64" s="1014"/>
      <c r="F64" s="1014"/>
      <c r="G64" s="1009"/>
      <c r="H64" s="1014"/>
      <c r="I64" s="1014"/>
      <c r="J64" s="1011"/>
      <c r="K64" s="1014"/>
      <c r="L64" s="1014"/>
      <c r="M64" s="1011"/>
      <c r="N64" s="1014"/>
      <c r="O64" s="1014"/>
      <c r="P64" s="1011"/>
      <c r="Q64" s="1014"/>
      <c r="R64" s="1014"/>
      <c r="S64" s="1011"/>
      <c r="T64" s="1014"/>
      <c r="U64" s="1014"/>
      <c r="V64" s="1011"/>
      <c r="W64" s="1014"/>
      <c r="X64" s="1014"/>
      <c r="Y64" s="1011"/>
      <c r="Z64" s="1014"/>
      <c r="AA64" s="1014"/>
      <c r="AB64" s="1011"/>
      <c r="AC64" s="1014"/>
      <c r="AD64" s="1014"/>
      <c r="AE64" s="1011"/>
      <c r="AF64" s="1014"/>
      <c r="AG64" s="1014"/>
    </row>
    <row r="65" spans="1:33" x14ac:dyDescent="0.2">
      <c r="A65" s="1014" t="s">
        <v>578</v>
      </c>
      <c r="B65" s="1008"/>
      <c r="C65" s="1009"/>
      <c r="D65" s="1009"/>
      <c r="E65" s="1020" t="e">
        <f>E63/(1-E61)</f>
        <v>#DIV/0!</v>
      </c>
      <c r="F65" s="1020" t="e">
        <f>F63/(1-F61)</f>
        <v>#DIV/0!</v>
      </c>
      <c r="G65" s="1009"/>
      <c r="H65" s="1020" t="e">
        <f>H63/(1-H61)</f>
        <v>#DIV/0!</v>
      </c>
      <c r="I65" s="1020" t="e">
        <f>I63/(1-I61)</f>
        <v>#DIV/0!</v>
      </c>
      <c r="J65" s="1021"/>
      <c r="K65" s="1020" t="e">
        <f>K63/(1-K61)</f>
        <v>#DIV/0!</v>
      </c>
      <c r="L65" s="1020" t="e">
        <f>L63/(1-L61)</f>
        <v>#DIV/0!</v>
      </c>
      <c r="M65" s="1021"/>
      <c r="N65" s="1020" t="e">
        <f>N63/(1-N61)</f>
        <v>#DIV/0!</v>
      </c>
      <c r="O65" s="1020" t="e">
        <f>O63/(1-O61)</f>
        <v>#DIV/0!</v>
      </c>
      <c r="P65" s="1021"/>
      <c r="Q65" s="1020" t="e">
        <f>Q63/(1-Q61)</f>
        <v>#DIV/0!</v>
      </c>
      <c r="R65" s="1020" t="e">
        <f>R63/(1-R61)</f>
        <v>#DIV/0!</v>
      </c>
      <c r="S65" s="1021"/>
      <c r="T65" s="1020" t="e">
        <f>T63/(1-T61)</f>
        <v>#DIV/0!</v>
      </c>
      <c r="U65" s="1020" t="e">
        <f>U63/(1-U61)</f>
        <v>#DIV/0!</v>
      </c>
      <c r="V65" s="1021"/>
      <c r="W65" s="1020" t="e">
        <f>W63/(1-W61)</f>
        <v>#DIV/0!</v>
      </c>
      <c r="X65" s="1020" t="e">
        <f>X63/(1-X61)</f>
        <v>#DIV/0!</v>
      </c>
      <c r="Y65" s="1021"/>
      <c r="Z65" s="1020" t="e">
        <f>Z63/(1-Z61)</f>
        <v>#DIV/0!</v>
      </c>
      <c r="AA65" s="1020" t="e">
        <f>AA63/(1-AA61)</f>
        <v>#DIV/0!</v>
      </c>
      <c r="AB65" s="1021"/>
      <c r="AC65" s="1020" t="e">
        <f>AC63/(1-AC61)</f>
        <v>#DIV/0!</v>
      </c>
      <c r="AD65" s="1020" t="e">
        <f>AD63/(1-AD61)</f>
        <v>#DIV/0!</v>
      </c>
      <c r="AE65" s="1021"/>
      <c r="AF65" s="1020" t="e">
        <f>AF63/(1-AF61)</f>
        <v>#DIV/0!</v>
      </c>
      <c r="AG65" s="1020" t="e">
        <f>AG63/(1-AG61)</f>
        <v>#DIV/0!</v>
      </c>
    </row>
    <row r="66" spans="1:33" x14ac:dyDescent="0.2">
      <c r="A66" s="1013" t="s">
        <v>580</v>
      </c>
      <c r="B66" s="1008"/>
      <c r="C66" s="1009"/>
      <c r="D66" s="1009"/>
      <c r="E66" s="1022" t="e">
        <f>SUM(E65:E65)</f>
        <v>#DIV/0!</v>
      </c>
      <c r="F66" s="1022" t="e">
        <f>SUM(F65:F65)</f>
        <v>#DIV/0!</v>
      </c>
      <c r="G66" s="1009"/>
      <c r="H66" s="1022" t="e">
        <f>SUM(H65:H65)</f>
        <v>#DIV/0!</v>
      </c>
      <c r="I66" s="1022" t="e">
        <f>SUM(I65:I65)</f>
        <v>#DIV/0!</v>
      </c>
      <c r="J66" s="1023"/>
      <c r="K66" s="1022" t="e">
        <f>SUM(K65:K65)</f>
        <v>#DIV/0!</v>
      </c>
      <c r="L66" s="1022" t="e">
        <f>SUM(L65:L65)</f>
        <v>#DIV/0!</v>
      </c>
      <c r="M66" s="1023"/>
      <c r="N66" s="1022" t="e">
        <f>SUM(N65:N65)</f>
        <v>#DIV/0!</v>
      </c>
      <c r="O66" s="1022" t="e">
        <f>SUM(O65:O65)</f>
        <v>#DIV/0!</v>
      </c>
      <c r="P66" s="1023"/>
      <c r="Q66" s="1022" t="e">
        <f>SUM(Q65:Q65)</f>
        <v>#DIV/0!</v>
      </c>
      <c r="R66" s="1022" t="e">
        <f>SUM(R65:R65)</f>
        <v>#DIV/0!</v>
      </c>
      <c r="S66" s="1023"/>
      <c r="T66" s="1022" t="e">
        <f>SUM(T65:T65)</f>
        <v>#DIV/0!</v>
      </c>
      <c r="U66" s="1022" t="e">
        <f>SUM(U65:U65)</f>
        <v>#DIV/0!</v>
      </c>
      <c r="V66" s="1023"/>
      <c r="W66" s="1022" t="e">
        <f>SUM(W65:W65)</f>
        <v>#DIV/0!</v>
      </c>
      <c r="X66" s="1022" t="e">
        <f>SUM(X65:X65)</f>
        <v>#DIV/0!</v>
      </c>
      <c r="Y66" s="1023"/>
      <c r="Z66" s="1022" t="e">
        <f>SUM(Z65:Z65)</f>
        <v>#DIV/0!</v>
      </c>
      <c r="AA66" s="1022" t="e">
        <f>SUM(AA65:AA65)</f>
        <v>#DIV/0!</v>
      </c>
      <c r="AB66" s="1023"/>
      <c r="AC66" s="1022" t="e">
        <f>SUM(AC65:AC65)</f>
        <v>#DIV/0!</v>
      </c>
      <c r="AD66" s="1022" t="e">
        <f>SUM(AD65:AD65)</f>
        <v>#DIV/0!</v>
      </c>
      <c r="AE66" s="1023"/>
      <c r="AF66" s="1022" t="e">
        <f>SUM(AF65:AF65)</f>
        <v>#DIV/0!</v>
      </c>
      <c r="AG66" s="1022" t="e">
        <f>SUM(AG65:AG65)</f>
        <v>#DIV/0!</v>
      </c>
    </row>
    <row r="67" spans="1:33" x14ac:dyDescent="0.2">
      <c r="A67" s="860"/>
      <c r="B67" s="1007"/>
      <c r="C67" s="1024"/>
      <c r="D67" s="1024"/>
      <c r="E67" s="1024"/>
      <c r="F67" s="1024"/>
      <c r="G67" s="1024"/>
      <c r="H67" s="1024"/>
      <c r="I67" s="1024"/>
      <c r="J67" s="1024"/>
      <c r="K67" s="1024"/>
      <c r="L67" s="1024"/>
      <c r="M67" s="1024"/>
      <c r="N67" s="1024"/>
      <c r="O67" s="1024"/>
      <c r="P67" s="1024"/>
      <c r="Q67" s="1024"/>
      <c r="R67" s="1024"/>
      <c r="S67" s="860"/>
      <c r="T67" s="860"/>
      <c r="U67" s="860"/>
      <c r="V67" s="860"/>
      <c r="W67" s="860"/>
      <c r="X67" s="860"/>
      <c r="Y67" s="860"/>
      <c r="Z67" s="860"/>
      <c r="AA67" s="860"/>
      <c r="AB67" s="860"/>
      <c r="AC67" s="860"/>
      <c r="AD67" s="860"/>
    </row>
    <row r="68" spans="1:33" ht="13.5" thickBot="1" x14ac:dyDescent="0.25">
      <c r="A68" s="860"/>
      <c r="B68" s="1007"/>
      <c r="C68" s="1024"/>
      <c r="D68" s="1024"/>
      <c r="E68" s="1024"/>
      <c r="F68" s="1024"/>
      <c r="G68" s="1024"/>
      <c r="H68" s="1024"/>
      <c r="I68" s="1024"/>
      <c r="J68" s="1024"/>
      <c r="K68" s="1024"/>
      <c r="L68" s="1024"/>
      <c r="M68" s="1024"/>
      <c r="N68" s="1024"/>
      <c r="O68" s="1024"/>
      <c r="P68" s="1024"/>
      <c r="Q68" s="1024"/>
      <c r="R68" s="1024"/>
      <c r="S68" s="860"/>
      <c r="T68" s="860"/>
    </row>
    <row r="69" spans="1:33" ht="15" customHeight="1" thickBot="1" x14ac:dyDescent="0.25">
      <c r="A69" s="1030" t="s">
        <v>581</v>
      </c>
      <c r="B69" s="1025"/>
      <c r="C69" s="1050"/>
      <c r="D69" s="1050"/>
      <c r="E69" s="1050"/>
      <c r="F69" s="1051">
        <f>E53</f>
        <v>2015</v>
      </c>
      <c r="G69" s="1051">
        <f>H53</f>
        <v>2016</v>
      </c>
      <c r="H69" s="1051">
        <f>K53</f>
        <v>2017</v>
      </c>
      <c r="I69" s="1051">
        <f>N53</f>
        <v>2018</v>
      </c>
      <c r="J69" s="1051">
        <f>Q53</f>
        <v>2019</v>
      </c>
      <c r="K69" s="1051" t="str">
        <f>T53</f>
        <v>2020 Test Year</v>
      </c>
      <c r="L69" s="1051">
        <f>W53</f>
        <v>2021</v>
      </c>
      <c r="M69" s="1051">
        <f>Z53</f>
        <v>2022</v>
      </c>
      <c r="N69" s="1051">
        <f>AC53</f>
        <v>2023</v>
      </c>
      <c r="O69" s="1052">
        <f>AF53</f>
        <v>2024</v>
      </c>
      <c r="P69" s="1028"/>
      <c r="Q69" s="1029"/>
      <c r="R69" s="1029"/>
      <c r="S69" s="1029"/>
      <c r="T69" s="1029"/>
      <c r="U69" s="1029"/>
    </row>
    <row r="70" spans="1:33" ht="15" customHeight="1" x14ac:dyDescent="0.2">
      <c r="A70" s="1035" t="s">
        <v>582</v>
      </c>
      <c r="B70" s="194"/>
      <c r="D70" s="1053"/>
      <c r="E70" s="1053"/>
      <c r="F70" s="1053"/>
      <c r="G70" s="1054"/>
      <c r="H70" s="1054"/>
      <c r="I70" s="1054"/>
      <c r="J70" s="980"/>
      <c r="K70" s="980"/>
      <c r="L70" s="879"/>
      <c r="M70" s="980"/>
      <c r="N70" s="879"/>
      <c r="O70" s="879"/>
      <c r="P70" s="879"/>
      <c r="Q70" s="879"/>
      <c r="R70" s="879"/>
      <c r="S70" s="879"/>
      <c r="T70" s="1029"/>
      <c r="U70" s="1029"/>
    </row>
    <row r="71" spans="1:33" x14ac:dyDescent="0.2">
      <c r="A71" s="1025" t="s">
        <v>583</v>
      </c>
      <c r="B71" s="1025"/>
      <c r="C71" s="958"/>
      <c r="D71" s="958"/>
      <c r="E71" s="958"/>
      <c r="F71" s="1055"/>
      <c r="G71" s="1055">
        <f>F73</f>
        <v>0</v>
      </c>
      <c r="H71" s="1055">
        <f>G73</f>
        <v>0</v>
      </c>
      <c r="I71" s="1055">
        <f t="shared" ref="I71:O71" si="0">H73</f>
        <v>0</v>
      </c>
      <c r="J71" s="1017">
        <f>I73</f>
        <v>0</v>
      </c>
      <c r="K71" s="1017">
        <f t="shared" si="0"/>
        <v>0</v>
      </c>
      <c r="L71" s="1017">
        <f t="shared" si="0"/>
        <v>0</v>
      </c>
      <c r="M71" s="1017">
        <f>L73</f>
        <v>0</v>
      </c>
      <c r="N71" s="1017">
        <f t="shared" si="0"/>
        <v>0</v>
      </c>
      <c r="O71" s="1017">
        <f t="shared" si="0"/>
        <v>0</v>
      </c>
      <c r="P71" s="879"/>
      <c r="Q71" s="879"/>
      <c r="R71" s="879"/>
      <c r="S71" s="879"/>
      <c r="T71" s="1029"/>
      <c r="U71" s="1029"/>
    </row>
    <row r="72" spans="1:33" x14ac:dyDescent="0.2">
      <c r="A72" s="1025" t="s">
        <v>584</v>
      </c>
      <c r="B72" s="1025"/>
      <c r="C72" s="1056"/>
      <c r="D72" s="1056"/>
      <c r="E72" s="1056"/>
      <c r="F72" s="1057">
        <f>'App.2-FA Proposed REG Invest.'!C99</f>
        <v>0</v>
      </c>
      <c r="G72" s="1057">
        <f>'App.2-FA Proposed REG Invest.'!D99</f>
        <v>0</v>
      </c>
      <c r="H72" s="1057">
        <f>'App.2-FA Proposed REG Invest.'!E99</f>
        <v>0</v>
      </c>
      <c r="I72" s="1057">
        <f>'App.2-FA Proposed REG Invest.'!F99</f>
        <v>0</v>
      </c>
      <c r="J72" s="1032">
        <f>'App.2-FA Proposed REG Invest.'!G99</f>
        <v>0</v>
      </c>
      <c r="K72" s="1032">
        <f>'App.2-FA Proposed REG Invest.'!H99</f>
        <v>0</v>
      </c>
      <c r="L72" s="1032">
        <f>'App.2-FA Proposed REG Invest.'!I99</f>
        <v>0</v>
      </c>
      <c r="M72" s="1032">
        <f>'App.2-FA Proposed REG Invest.'!J99</f>
        <v>0</v>
      </c>
      <c r="N72" s="1032">
        <f>'App.2-FA Proposed REG Invest.'!K99</f>
        <v>0</v>
      </c>
      <c r="O72" s="1032">
        <f>'App.2-FA Proposed REG Invest.'!L99</f>
        <v>0</v>
      </c>
      <c r="P72" s="879"/>
      <c r="Q72" s="879"/>
      <c r="R72" s="879"/>
      <c r="S72" s="1036"/>
      <c r="T72" s="1029"/>
      <c r="U72" s="1029"/>
    </row>
    <row r="73" spans="1:33" x14ac:dyDescent="0.2">
      <c r="A73" s="1025" t="s">
        <v>585</v>
      </c>
      <c r="B73" s="1025"/>
      <c r="C73" s="958"/>
      <c r="D73" s="958"/>
      <c r="E73" s="958"/>
      <c r="F73" s="1055">
        <f>SUM(F71:F72)</f>
        <v>0</v>
      </c>
      <c r="G73" s="1055">
        <f t="shared" ref="G73:O73" si="1">SUM(G71:G72)</f>
        <v>0</v>
      </c>
      <c r="H73" s="1055">
        <f t="shared" si="1"/>
        <v>0</v>
      </c>
      <c r="I73" s="1055">
        <f t="shared" si="1"/>
        <v>0</v>
      </c>
      <c r="J73" s="1017">
        <f t="shared" si="1"/>
        <v>0</v>
      </c>
      <c r="K73" s="1017">
        <f t="shared" si="1"/>
        <v>0</v>
      </c>
      <c r="L73" s="1017">
        <f t="shared" si="1"/>
        <v>0</v>
      </c>
      <c r="M73" s="1017">
        <f t="shared" si="1"/>
        <v>0</v>
      </c>
      <c r="N73" s="1017">
        <f t="shared" si="1"/>
        <v>0</v>
      </c>
      <c r="O73" s="1017">
        <f t="shared" si="1"/>
        <v>0</v>
      </c>
      <c r="P73" s="1029"/>
      <c r="Q73" s="1029"/>
      <c r="R73" s="1029"/>
      <c r="S73" s="1029"/>
      <c r="T73" s="1029"/>
      <c r="U73" s="1029"/>
    </row>
    <row r="74" spans="1:33" x14ac:dyDescent="0.2">
      <c r="A74" s="1025"/>
      <c r="B74" s="1025"/>
      <c r="C74" s="958"/>
      <c r="D74" s="958"/>
      <c r="E74" s="958"/>
      <c r="F74" s="1058"/>
      <c r="G74" s="1058"/>
      <c r="H74" s="1058"/>
      <c r="I74" s="1058"/>
      <c r="J74" s="958"/>
      <c r="K74" s="980"/>
      <c r="L74" s="879"/>
      <c r="M74" s="980"/>
      <c r="N74" s="879"/>
      <c r="O74" s="879"/>
      <c r="P74" s="879"/>
      <c r="Q74" s="1029"/>
      <c r="R74" s="1029"/>
      <c r="S74" s="1029"/>
      <c r="T74" s="1029"/>
      <c r="U74" s="1029"/>
    </row>
    <row r="75" spans="1:33" x14ac:dyDescent="0.2">
      <c r="A75" s="1025" t="s">
        <v>586</v>
      </c>
      <c r="B75" s="1025"/>
      <c r="C75" s="958"/>
      <c r="D75" s="958"/>
      <c r="E75" s="958"/>
      <c r="F75" s="1055"/>
      <c r="G75" s="1055" t="e">
        <f>+F78</f>
        <v>#DIV/0!</v>
      </c>
      <c r="H75" s="1055" t="e">
        <f>+G78</f>
        <v>#DIV/0!</v>
      </c>
      <c r="I75" s="1055" t="e">
        <f t="shared" ref="I75:O75" si="2">H78</f>
        <v>#DIV/0!</v>
      </c>
      <c r="J75" s="1017" t="e">
        <f>I78</f>
        <v>#DIV/0!</v>
      </c>
      <c r="K75" s="1017" t="e">
        <f t="shared" si="2"/>
        <v>#DIV/0!</v>
      </c>
      <c r="L75" s="1017" t="e">
        <f t="shared" si="2"/>
        <v>#DIV/0!</v>
      </c>
      <c r="M75" s="1017" t="e">
        <f t="shared" si="2"/>
        <v>#DIV/0!</v>
      </c>
      <c r="N75" s="1017" t="e">
        <f t="shared" si="2"/>
        <v>#DIV/0!</v>
      </c>
      <c r="O75" s="1017" t="e">
        <f t="shared" si="2"/>
        <v>#DIV/0!</v>
      </c>
      <c r="P75" s="879"/>
      <c r="Q75" s="1029"/>
      <c r="R75" s="1029"/>
      <c r="S75" s="1029"/>
      <c r="T75" s="1029"/>
      <c r="U75" s="1029"/>
    </row>
    <row r="76" spans="1:33" x14ac:dyDescent="0.2">
      <c r="A76" s="1025" t="s">
        <v>587</v>
      </c>
      <c r="B76" s="1025"/>
      <c r="C76" s="958"/>
      <c r="D76" s="958"/>
      <c r="E76" s="958"/>
      <c r="F76" s="1058">
        <f>IF(ISERROR(F71/$B$70), 0, F71/$B$70)</f>
        <v>0</v>
      </c>
      <c r="G76" s="1058">
        <f>IF(ISERROR(G71/$B$70), 0, G71/$B$70)</f>
        <v>0</v>
      </c>
      <c r="H76" s="1058">
        <f>IF(ISERROR(H71/$B$70), 0, H71/$B$70)</f>
        <v>0</v>
      </c>
      <c r="I76" s="1058">
        <f>IF(ISERROR(I71/$B$70), 0, I71/$B$70)</f>
        <v>0</v>
      </c>
      <c r="J76" s="958">
        <f>IF(ISERROR(J71/$B$70), 0, J71/$B$70)</f>
        <v>0</v>
      </c>
      <c r="K76" s="958" t="e">
        <f>K71/$B$70</f>
        <v>#DIV/0!</v>
      </c>
      <c r="L76" s="958" t="e">
        <f>L71/$B$70</f>
        <v>#DIV/0!</v>
      </c>
      <c r="M76" s="958" t="e">
        <f>M71/$B$70</f>
        <v>#DIV/0!</v>
      </c>
      <c r="N76" s="958" t="e">
        <f>N71/$B$70</f>
        <v>#DIV/0!</v>
      </c>
      <c r="O76" s="958" t="e">
        <f>O71/$B$70</f>
        <v>#DIV/0!</v>
      </c>
      <c r="P76" s="879"/>
      <c r="Q76" s="1029"/>
      <c r="R76" s="1029"/>
      <c r="S76" s="1029"/>
      <c r="T76" s="1029"/>
      <c r="U76" s="1029"/>
    </row>
    <row r="77" spans="1:33" x14ac:dyDescent="0.2">
      <c r="A77" s="1025" t="s">
        <v>588</v>
      </c>
      <c r="B77" s="860"/>
      <c r="C77" s="860"/>
      <c r="D77" s="860"/>
      <c r="E77" s="860"/>
      <c r="F77" s="1054" t="e">
        <f>F72/B70/2</f>
        <v>#DIV/0!</v>
      </c>
      <c r="G77" s="1054" t="e">
        <f>G72/B70/2</f>
        <v>#DIV/0!</v>
      </c>
      <c r="H77" s="1054" t="e">
        <f>H72/B70/2</f>
        <v>#DIV/0!</v>
      </c>
      <c r="I77" s="1054" t="e">
        <f>I72/B70/2</f>
        <v>#DIV/0!</v>
      </c>
      <c r="J77" s="980" t="e">
        <f>J72/B70/2</f>
        <v>#DIV/0!</v>
      </c>
      <c r="K77" s="980" t="e">
        <f>K72/B70/2</f>
        <v>#DIV/0!</v>
      </c>
      <c r="L77" s="980" t="e">
        <f>L72/B70/2</f>
        <v>#DIV/0!</v>
      </c>
      <c r="M77" s="980" t="e">
        <f>M72/B70/2</f>
        <v>#DIV/0!</v>
      </c>
      <c r="N77" s="980" t="e">
        <f>N72/B70/2</f>
        <v>#DIV/0!</v>
      </c>
      <c r="O77" s="1059" t="e">
        <f>O72/B70/2</f>
        <v>#DIV/0!</v>
      </c>
      <c r="P77" s="879"/>
      <c r="Q77" s="1029"/>
      <c r="R77" s="1029"/>
      <c r="S77" s="1029"/>
      <c r="T77" s="1029"/>
      <c r="U77" s="1029"/>
    </row>
    <row r="78" spans="1:33" x14ac:dyDescent="0.2">
      <c r="A78" s="1025" t="s">
        <v>589</v>
      </c>
      <c r="B78" s="1025"/>
      <c r="C78" s="958"/>
      <c r="D78" s="958"/>
      <c r="E78" s="958"/>
      <c r="F78" s="1055" t="e">
        <f>SUM(F75+F77)</f>
        <v>#DIV/0!</v>
      </c>
      <c r="G78" s="1055" t="e">
        <f>SUM(G75+G77)</f>
        <v>#DIV/0!</v>
      </c>
      <c r="H78" s="1055" t="e">
        <f t="shared" ref="H78:O78" si="3">SUM(H75:H77)</f>
        <v>#DIV/0!</v>
      </c>
      <c r="I78" s="1055" t="e">
        <f t="shared" si="3"/>
        <v>#DIV/0!</v>
      </c>
      <c r="J78" s="1017" t="e">
        <f t="shared" si="3"/>
        <v>#DIV/0!</v>
      </c>
      <c r="K78" s="1017" t="e">
        <f t="shared" si="3"/>
        <v>#DIV/0!</v>
      </c>
      <c r="L78" s="1017" t="e">
        <f t="shared" si="3"/>
        <v>#DIV/0!</v>
      </c>
      <c r="M78" s="1017" t="e">
        <f t="shared" si="3"/>
        <v>#DIV/0!</v>
      </c>
      <c r="N78" s="1017" t="e">
        <f t="shared" si="3"/>
        <v>#DIV/0!</v>
      </c>
      <c r="O78" s="1017" t="e">
        <f t="shared" si="3"/>
        <v>#DIV/0!</v>
      </c>
      <c r="P78" s="879"/>
      <c r="Q78" s="1029"/>
      <c r="R78" s="1029"/>
      <c r="S78" s="1029"/>
      <c r="T78" s="1029"/>
      <c r="U78" s="1029"/>
    </row>
    <row r="79" spans="1:33" x14ac:dyDescent="0.2">
      <c r="A79" s="1025"/>
      <c r="B79" s="1025"/>
      <c r="C79" s="958"/>
      <c r="D79" s="958"/>
      <c r="E79" s="958"/>
      <c r="F79" s="1054"/>
      <c r="G79" s="1054"/>
      <c r="H79" s="1054"/>
      <c r="I79" s="1054"/>
      <c r="J79" s="980"/>
      <c r="K79" s="980"/>
      <c r="L79" s="980"/>
      <c r="M79" s="980"/>
      <c r="N79" s="980"/>
      <c r="O79" s="980"/>
      <c r="P79" s="879"/>
      <c r="Q79" s="1029"/>
      <c r="R79" s="1036"/>
      <c r="S79" s="879"/>
      <c r="T79" s="1029"/>
      <c r="U79" s="1029"/>
    </row>
    <row r="80" spans="1:33" x14ac:dyDescent="0.2">
      <c r="A80" s="1025" t="s">
        <v>590</v>
      </c>
      <c r="B80" s="1025"/>
      <c r="C80" s="958"/>
      <c r="D80" s="958"/>
      <c r="E80" s="958"/>
      <c r="F80" s="1054">
        <f>F71-F75</f>
        <v>0</v>
      </c>
      <c r="G80" s="1054" t="e">
        <f>G71-G75</f>
        <v>#DIV/0!</v>
      </c>
      <c r="H80" s="1054" t="e">
        <f>H71-H75</f>
        <v>#DIV/0!</v>
      </c>
      <c r="I80" s="1054" t="e">
        <f>I71-I75</f>
        <v>#DIV/0!</v>
      </c>
      <c r="J80" s="980" t="e">
        <f>J71-J75</f>
        <v>#DIV/0!</v>
      </c>
      <c r="K80" s="980" t="e">
        <f>J81</f>
        <v>#DIV/0!</v>
      </c>
      <c r="L80" s="980" t="e">
        <f>K81</f>
        <v>#DIV/0!</v>
      </c>
      <c r="M80" s="980" t="e">
        <f>L81</f>
        <v>#DIV/0!</v>
      </c>
      <c r="N80" s="980" t="e">
        <f>M81</f>
        <v>#DIV/0!</v>
      </c>
      <c r="O80" s="980" t="e">
        <f>N81</f>
        <v>#DIV/0!</v>
      </c>
      <c r="P80" s="879"/>
      <c r="Q80" s="1029"/>
      <c r="R80" s="879"/>
      <c r="S80" s="1029"/>
      <c r="T80" s="1029"/>
      <c r="U80" s="1029"/>
    </row>
    <row r="81" spans="1:21" x14ac:dyDescent="0.2">
      <c r="A81" s="1025" t="s">
        <v>591</v>
      </c>
      <c r="B81" s="1025"/>
      <c r="C81" s="958"/>
      <c r="D81" s="958"/>
      <c r="E81" s="958"/>
      <c r="F81" s="1055" t="e">
        <f>F73-F78</f>
        <v>#DIV/0!</v>
      </c>
      <c r="G81" s="1055" t="e">
        <f t="shared" ref="G81:O81" si="4">G73-G78</f>
        <v>#DIV/0!</v>
      </c>
      <c r="H81" s="1055" t="e">
        <f t="shared" si="4"/>
        <v>#DIV/0!</v>
      </c>
      <c r="I81" s="1055" t="e">
        <f t="shared" si="4"/>
        <v>#DIV/0!</v>
      </c>
      <c r="J81" s="1017" t="e">
        <f t="shared" si="4"/>
        <v>#DIV/0!</v>
      </c>
      <c r="K81" s="1017" t="e">
        <f t="shared" si="4"/>
        <v>#DIV/0!</v>
      </c>
      <c r="L81" s="1017" t="e">
        <f t="shared" si="4"/>
        <v>#DIV/0!</v>
      </c>
      <c r="M81" s="1017" t="e">
        <f t="shared" si="4"/>
        <v>#DIV/0!</v>
      </c>
      <c r="N81" s="1017" t="e">
        <f t="shared" si="4"/>
        <v>#DIV/0!</v>
      </c>
      <c r="O81" s="1017" t="e">
        <f t="shared" si="4"/>
        <v>#DIV/0!</v>
      </c>
      <c r="P81" s="879"/>
      <c r="Q81" s="1029"/>
      <c r="R81" s="1029"/>
      <c r="S81" s="1029"/>
      <c r="T81" s="1029"/>
      <c r="U81" s="1029"/>
    </row>
    <row r="82" spans="1:21" ht="13.5" thickBot="1" x14ac:dyDescent="0.25">
      <c r="A82" s="1031" t="s">
        <v>592</v>
      </c>
      <c r="B82" s="1025"/>
      <c r="C82" s="958"/>
      <c r="D82" s="958"/>
      <c r="E82" s="958"/>
      <c r="F82" s="1060" t="e">
        <f>SUM(F80:F81)/2</f>
        <v>#DIV/0!</v>
      </c>
      <c r="G82" s="1060" t="e">
        <f t="shared" ref="G82:O82" si="5">SUM(G80:G81)/2</f>
        <v>#DIV/0!</v>
      </c>
      <c r="H82" s="1060" t="e">
        <f t="shared" si="5"/>
        <v>#DIV/0!</v>
      </c>
      <c r="I82" s="1060" t="e">
        <f t="shared" si="5"/>
        <v>#DIV/0!</v>
      </c>
      <c r="J82" s="1037" t="e">
        <f t="shared" si="5"/>
        <v>#DIV/0!</v>
      </c>
      <c r="K82" s="1037" t="e">
        <f t="shared" si="5"/>
        <v>#DIV/0!</v>
      </c>
      <c r="L82" s="1037" t="e">
        <f t="shared" si="5"/>
        <v>#DIV/0!</v>
      </c>
      <c r="M82" s="1037" t="e">
        <f t="shared" si="5"/>
        <v>#DIV/0!</v>
      </c>
      <c r="N82" s="1037" t="e">
        <f t="shared" si="5"/>
        <v>#DIV/0!</v>
      </c>
      <c r="O82" s="1037" t="e">
        <f t="shared" si="5"/>
        <v>#DIV/0!</v>
      </c>
      <c r="P82" s="879"/>
      <c r="Q82" s="1029"/>
      <c r="R82" s="1029"/>
      <c r="S82" s="1029"/>
      <c r="T82" s="1029"/>
      <c r="U82" s="1029"/>
    </row>
    <row r="83" spans="1:21" x14ac:dyDescent="0.2">
      <c r="A83" s="1025"/>
      <c r="B83" s="1025"/>
      <c r="C83" s="958"/>
      <c r="D83" s="958"/>
      <c r="E83" s="958"/>
      <c r="F83" s="958"/>
      <c r="G83" s="1054"/>
      <c r="H83" s="1054"/>
      <c r="I83" s="1054"/>
      <c r="J83" s="980"/>
      <c r="K83" s="980"/>
      <c r="L83" s="879"/>
      <c r="M83" s="980"/>
      <c r="N83" s="879"/>
      <c r="O83" s="879"/>
      <c r="P83" s="879"/>
      <c r="Q83" s="1029"/>
      <c r="R83" s="1029"/>
      <c r="S83" s="1029"/>
      <c r="T83" s="1029"/>
      <c r="U83" s="1029"/>
    </row>
    <row r="84" spans="1:21" ht="13.5" thickBot="1" x14ac:dyDescent="0.25">
      <c r="A84" s="1030" t="s">
        <v>593</v>
      </c>
      <c r="B84" s="1031"/>
      <c r="C84" s="980"/>
      <c r="D84" s="980"/>
      <c r="E84" s="980"/>
      <c r="F84" s="980"/>
      <c r="G84" s="1054"/>
      <c r="H84" s="1054"/>
      <c r="I84" s="1054"/>
      <c r="J84" s="980"/>
      <c r="K84" s="980"/>
      <c r="L84" s="879"/>
      <c r="M84" s="980"/>
      <c r="N84" s="879"/>
      <c r="O84" s="879"/>
      <c r="P84" s="879"/>
      <c r="Q84" s="1029"/>
      <c r="R84" s="1029"/>
      <c r="S84" s="1029"/>
      <c r="T84" s="1029"/>
      <c r="U84" s="1029"/>
    </row>
    <row r="85" spans="1:21" ht="13.5" thickBot="1" x14ac:dyDescent="0.25">
      <c r="A85" s="1031"/>
      <c r="B85" s="879"/>
      <c r="C85" s="1031"/>
      <c r="D85" s="1031"/>
      <c r="E85" s="1031"/>
      <c r="F85" s="1051">
        <f>F69</f>
        <v>2015</v>
      </c>
      <c r="G85" s="1051">
        <f t="shared" ref="G85:O85" si="6">G69</f>
        <v>2016</v>
      </c>
      <c r="H85" s="1051">
        <f t="shared" si="6"/>
        <v>2017</v>
      </c>
      <c r="I85" s="1051">
        <f t="shared" si="6"/>
        <v>2018</v>
      </c>
      <c r="J85" s="1051">
        <f t="shared" si="6"/>
        <v>2019</v>
      </c>
      <c r="K85" s="1051" t="str">
        <f t="shared" si="6"/>
        <v>2020 Test Year</v>
      </c>
      <c r="L85" s="1051">
        <f t="shared" si="6"/>
        <v>2021</v>
      </c>
      <c r="M85" s="1051">
        <f t="shared" si="6"/>
        <v>2022</v>
      </c>
      <c r="N85" s="1051">
        <f t="shared" si="6"/>
        <v>2023</v>
      </c>
      <c r="O85" s="1051">
        <f t="shared" si="6"/>
        <v>2024</v>
      </c>
      <c r="P85" s="879"/>
      <c r="Q85" s="1029"/>
      <c r="R85" s="1029"/>
      <c r="S85" s="1029"/>
      <c r="T85" s="1029"/>
      <c r="U85" s="1029"/>
    </row>
    <row r="86" spans="1:21" x14ac:dyDescent="0.2">
      <c r="A86" s="1025"/>
      <c r="B86" s="879"/>
      <c r="C86" s="1025"/>
      <c r="D86" s="1025"/>
      <c r="E86" s="1025"/>
      <c r="F86" s="1025"/>
      <c r="G86" s="1054"/>
      <c r="H86" s="1054"/>
      <c r="I86" s="1054"/>
      <c r="J86" s="980"/>
      <c r="K86" s="980"/>
      <c r="L86" s="980"/>
      <c r="M86" s="980"/>
      <c r="N86" s="980"/>
      <c r="O86" s="980"/>
      <c r="P86" s="879"/>
      <c r="Q86" s="1029"/>
      <c r="R86" s="1029"/>
      <c r="S86" s="1029"/>
      <c r="T86" s="1029"/>
      <c r="U86" s="1029"/>
    </row>
    <row r="87" spans="1:21" x14ac:dyDescent="0.2">
      <c r="A87" s="1025" t="s">
        <v>594</v>
      </c>
      <c r="B87" s="879"/>
      <c r="C87" s="1025"/>
      <c r="D87" s="1025"/>
      <c r="E87" s="1025"/>
      <c r="F87" s="1055"/>
      <c r="G87" s="1055">
        <f t="shared" ref="G87:O87" si="7">F95</f>
        <v>0</v>
      </c>
      <c r="H87" s="1055">
        <f t="shared" si="7"/>
        <v>0</v>
      </c>
      <c r="I87" s="1055">
        <f t="shared" si="7"/>
        <v>0</v>
      </c>
      <c r="J87" s="1017">
        <f>I95</f>
        <v>0</v>
      </c>
      <c r="K87" s="1017">
        <f t="shared" si="7"/>
        <v>0</v>
      </c>
      <c r="L87" s="1017">
        <f t="shared" si="7"/>
        <v>0</v>
      </c>
      <c r="M87" s="1017">
        <f t="shared" si="7"/>
        <v>0</v>
      </c>
      <c r="N87" s="1017">
        <f t="shared" si="7"/>
        <v>0</v>
      </c>
      <c r="O87" s="1017">
        <f t="shared" si="7"/>
        <v>0</v>
      </c>
      <c r="P87" s="879"/>
      <c r="Q87" s="1029"/>
      <c r="R87" s="1029"/>
      <c r="S87" s="1029"/>
      <c r="T87" s="1029"/>
      <c r="U87" s="1029"/>
    </row>
    <row r="88" spans="1:21" x14ac:dyDescent="0.2">
      <c r="A88" s="1025" t="s">
        <v>595</v>
      </c>
      <c r="B88" s="879"/>
      <c r="C88" s="1025"/>
      <c r="D88" s="1025"/>
      <c r="E88" s="1025"/>
      <c r="F88" s="1054">
        <f>F72</f>
        <v>0</v>
      </c>
      <c r="G88" s="1054">
        <f>G72</f>
        <v>0</v>
      </c>
      <c r="H88" s="1054">
        <f t="shared" ref="H88:O88" si="8">H72</f>
        <v>0</v>
      </c>
      <c r="I88" s="1054">
        <f t="shared" si="8"/>
        <v>0</v>
      </c>
      <c r="J88" s="980">
        <f t="shared" si="8"/>
        <v>0</v>
      </c>
      <c r="K88" s="980">
        <f t="shared" si="8"/>
        <v>0</v>
      </c>
      <c r="L88" s="980">
        <f t="shared" si="8"/>
        <v>0</v>
      </c>
      <c r="M88" s="980">
        <f t="shared" si="8"/>
        <v>0</v>
      </c>
      <c r="N88" s="980">
        <f t="shared" si="8"/>
        <v>0</v>
      </c>
      <c r="O88" s="980">
        <f t="shared" si="8"/>
        <v>0</v>
      </c>
      <c r="P88" s="879"/>
      <c r="Q88" s="1029"/>
      <c r="R88" s="1036"/>
      <c r="S88" s="879"/>
      <c r="T88" s="1029"/>
      <c r="U88" s="1029"/>
    </row>
    <row r="89" spans="1:21" x14ac:dyDescent="0.2">
      <c r="A89" s="1025" t="s">
        <v>596</v>
      </c>
      <c r="B89" s="879"/>
      <c r="C89" s="1025"/>
      <c r="D89" s="1025"/>
      <c r="E89" s="1025"/>
      <c r="F89" s="1055">
        <f>SUM(F87:F88)</f>
        <v>0</v>
      </c>
      <c r="G89" s="1055">
        <f>SUM(G87:G88)</f>
        <v>0</v>
      </c>
      <c r="H89" s="1055">
        <f t="shared" ref="H89:O89" si="9">SUM(H87:H88)</f>
        <v>0</v>
      </c>
      <c r="I89" s="1055">
        <f t="shared" si="9"/>
        <v>0</v>
      </c>
      <c r="J89" s="1017">
        <f t="shared" si="9"/>
        <v>0</v>
      </c>
      <c r="K89" s="1017">
        <f t="shared" si="9"/>
        <v>0</v>
      </c>
      <c r="L89" s="1017">
        <f t="shared" si="9"/>
        <v>0</v>
      </c>
      <c r="M89" s="1017">
        <f t="shared" si="9"/>
        <v>0</v>
      </c>
      <c r="N89" s="1017">
        <f t="shared" si="9"/>
        <v>0</v>
      </c>
      <c r="O89" s="1017">
        <f t="shared" si="9"/>
        <v>0</v>
      </c>
      <c r="P89" s="879"/>
      <c r="Q89" s="1029"/>
      <c r="R89" s="879"/>
      <c r="S89" s="1029"/>
      <c r="T89" s="1029"/>
      <c r="U89" s="1029"/>
    </row>
    <row r="90" spans="1:21" x14ac:dyDescent="0.2">
      <c r="A90" s="1025" t="s">
        <v>597</v>
      </c>
      <c r="B90" s="879"/>
      <c r="C90" s="1025"/>
      <c r="D90" s="1025"/>
      <c r="E90" s="1025"/>
      <c r="F90" s="1054">
        <f>F88/2</f>
        <v>0</v>
      </c>
      <c r="G90" s="1054">
        <f t="shared" ref="G90:O90" si="10">G88/2</f>
        <v>0</v>
      </c>
      <c r="H90" s="1054">
        <f t="shared" si="10"/>
        <v>0</v>
      </c>
      <c r="I90" s="1054">
        <f t="shared" si="10"/>
        <v>0</v>
      </c>
      <c r="J90" s="980">
        <f t="shared" si="10"/>
        <v>0</v>
      </c>
      <c r="K90" s="980">
        <f t="shared" si="10"/>
        <v>0</v>
      </c>
      <c r="L90" s="980">
        <f t="shared" si="10"/>
        <v>0</v>
      </c>
      <c r="M90" s="980">
        <f t="shared" si="10"/>
        <v>0</v>
      </c>
      <c r="N90" s="980">
        <f t="shared" si="10"/>
        <v>0</v>
      </c>
      <c r="O90" s="980">
        <f t="shared" si="10"/>
        <v>0</v>
      </c>
      <c r="P90" s="879"/>
      <c r="Q90" s="1029"/>
      <c r="R90" s="1029"/>
      <c r="S90" s="1029"/>
      <c r="T90" s="1029"/>
      <c r="U90" s="1029"/>
    </row>
    <row r="91" spans="1:21" x14ac:dyDescent="0.2">
      <c r="A91" s="1025" t="s">
        <v>598</v>
      </c>
      <c r="B91" s="879"/>
      <c r="C91" s="1025"/>
      <c r="D91" s="1025"/>
      <c r="E91" s="1025"/>
      <c r="F91" s="1055">
        <f>F89-F90</f>
        <v>0</v>
      </c>
      <c r="G91" s="1055">
        <f t="shared" ref="G91:O91" si="11">G89-G90</f>
        <v>0</v>
      </c>
      <c r="H91" s="1055">
        <f t="shared" si="11"/>
        <v>0</v>
      </c>
      <c r="I91" s="1055">
        <f t="shared" si="11"/>
        <v>0</v>
      </c>
      <c r="J91" s="1017">
        <f t="shared" si="11"/>
        <v>0</v>
      </c>
      <c r="K91" s="1017">
        <f t="shared" si="11"/>
        <v>0</v>
      </c>
      <c r="L91" s="1017">
        <f t="shared" si="11"/>
        <v>0</v>
      </c>
      <c r="M91" s="1017">
        <f t="shared" si="11"/>
        <v>0</v>
      </c>
      <c r="N91" s="1017">
        <f t="shared" si="11"/>
        <v>0</v>
      </c>
      <c r="O91" s="1017">
        <f t="shared" si="11"/>
        <v>0</v>
      </c>
      <c r="P91" s="1029"/>
      <c r="Q91" s="1029"/>
      <c r="R91" s="1029"/>
      <c r="S91" s="1029"/>
      <c r="T91" s="1029"/>
      <c r="U91" s="1029"/>
    </row>
    <row r="92" spans="1:21" x14ac:dyDescent="0.2">
      <c r="A92" s="1025" t="s">
        <v>599</v>
      </c>
      <c r="B92" s="195"/>
      <c r="D92" s="1050"/>
      <c r="E92" s="1050"/>
      <c r="F92" s="1050">
        <f t="shared" ref="F92:O92" si="12">$B$92</f>
        <v>0</v>
      </c>
      <c r="G92" s="1050">
        <f t="shared" si="12"/>
        <v>0</v>
      </c>
      <c r="H92" s="1050">
        <f t="shared" si="12"/>
        <v>0</v>
      </c>
      <c r="I92" s="1050">
        <f t="shared" si="12"/>
        <v>0</v>
      </c>
      <c r="J92" s="1050">
        <f t="shared" si="12"/>
        <v>0</v>
      </c>
      <c r="K92" s="1050">
        <f t="shared" si="12"/>
        <v>0</v>
      </c>
      <c r="L92" s="1050">
        <f t="shared" si="12"/>
        <v>0</v>
      </c>
      <c r="M92" s="1050">
        <f t="shared" si="12"/>
        <v>0</v>
      </c>
      <c r="N92" s="1050">
        <f t="shared" si="12"/>
        <v>0</v>
      </c>
      <c r="O92" s="1050">
        <f t="shared" si="12"/>
        <v>0</v>
      </c>
      <c r="P92" s="1029"/>
      <c r="Q92" s="1029"/>
      <c r="R92" s="1029"/>
      <c r="S92" s="1029"/>
      <c r="T92" s="1029"/>
      <c r="U92" s="1029"/>
    </row>
    <row r="93" spans="1:21" x14ac:dyDescent="0.2">
      <c r="A93" s="1025" t="s">
        <v>600</v>
      </c>
      <c r="B93" s="196"/>
      <c r="D93" s="1061"/>
      <c r="E93" s="1061"/>
      <c r="F93" s="1360">
        <f t="shared" ref="F93:O93" si="13">$B$93</f>
        <v>0</v>
      </c>
      <c r="G93" s="1360">
        <f t="shared" si="13"/>
        <v>0</v>
      </c>
      <c r="H93" s="1360">
        <f t="shared" si="13"/>
        <v>0</v>
      </c>
      <c r="I93" s="1360">
        <f t="shared" si="13"/>
        <v>0</v>
      </c>
      <c r="J93" s="1360">
        <f t="shared" si="13"/>
        <v>0</v>
      </c>
      <c r="K93" s="1360">
        <f t="shared" si="13"/>
        <v>0</v>
      </c>
      <c r="L93" s="1360">
        <f t="shared" si="13"/>
        <v>0</v>
      </c>
      <c r="M93" s="1360">
        <f t="shared" si="13"/>
        <v>0</v>
      </c>
      <c r="N93" s="1360">
        <f t="shared" si="13"/>
        <v>0</v>
      </c>
      <c r="O93" s="1360">
        <f t="shared" si="13"/>
        <v>0</v>
      </c>
      <c r="P93" s="879"/>
      <c r="Q93" s="1029"/>
      <c r="R93" s="1029"/>
      <c r="S93" s="1029"/>
      <c r="T93" s="1029"/>
      <c r="U93" s="1029"/>
    </row>
    <row r="94" spans="1:21" x14ac:dyDescent="0.2">
      <c r="A94" s="1025" t="s">
        <v>601</v>
      </c>
      <c r="B94" s="879"/>
      <c r="C94" s="1025"/>
      <c r="D94" s="1025"/>
      <c r="E94" s="1025"/>
      <c r="F94" s="1055">
        <f>F91*F$93</f>
        <v>0</v>
      </c>
      <c r="G94" s="1055">
        <f t="shared" ref="G94:O94" si="14">G91*G$93</f>
        <v>0</v>
      </c>
      <c r="H94" s="1055">
        <f t="shared" si="14"/>
        <v>0</v>
      </c>
      <c r="I94" s="1055">
        <f t="shared" si="14"/>
        <v>0</v>
      </c>
      <c r="J94" s="1017">
        <f t="shared" si="14"/>
        <v>0</v>
      </c>
      <c r="K94" s="1017">
        <f t="shared" si="14"/>
        <v>0</v>
      </c>
      <c r="L94" s="1017">
        <f t="shared" si="14"/>
        <v>0</v>
      </c>
      <c r="M94" s="1017">
        <f t="shared" si="14"/>
        <v>0</v>
      </c>
      <c r="N94" s="1017">
        <f t="shared" si="14"/>
        <v>0</v>
      </c>
      <c r="O94" s="1017">
        <f t="shared" si="14"/>
        <v>0</v>
      </c>
      <c r="P94" s="879"/>
      <c r="Q94" s="1029"/>
      <c r="R94" s="1029"/>
      <c r="S94" s="1029"/>
      <c r="T94" s="1029"/>
      <c r="U94" s="1029"/>
    </row>
    <row r="95" spans="1:21" ht="13.5" thickBot="1" x14ac:dyDescent="0.25">
      <c r="A95" s="1031" t="s">
        <v>602</v>
      </c>
      <c r="B95" s="879"/>
      <c r="C95" s="1025"/>
      <c r="D95" s="1025"/>
      <c r="E95" s="1025"/>
      <c r="F95" s="1060">
        <f>F89-F94</f>
        <v>0</v>
      </c>
      <c r="G95" s="1060">
        <f>G89-G94</f>
        <v>0</v>
      </c>
      <c r="H95" s="1060">
        <f t="shared" ref="H95:O95" si="15">H89-H94</f>
        <v>0</v>
      </c>
      <c r="I95" s="1060">
        <f t="shared" si="15"/>
        <v>0</v>
      </c>
      <c r="J95" s="1037">
        <f t="shared" si="15"/>
        <v>0</v>
      </c>
      <c r="K95" s="1037">
        <f t="shared" si="15"/>
        <v>0</v>
      </c>
      <c r="L95" s="1037">
        <f t="shared" si="15"/>
        <v>0</v>
      </c>
      <c r="M95" s="1037">
        <f t="shared" si="15"/>
        <v>0</v>
      </c>
      <c r="N95" s="1037">
        <f t="shared" si="15"/>
        <v>0</v>
      </c>
      <c r="O95" s="1037">
        <f t="shared" si="15"/>
        <v>0</v>
      </c>
      <c r="P95" s="879"/>
      <c r="Q95" s="1029"/>
      <c r="R95" s="1029"/>
      <c r="S95" s="1029"/>
      <c r="T95" s="1029"/>
      <c r="U95" s="1029"/>
    </row>
    <row r="96" spans="1:21" x14ac:dyDescent="0.2">
      <c r="A96" s="1025"/>
      <c r="B96" s="1025"/>
      <c r="C96" s="980"/>
      <c r="D96" s="980"/>
      <c r="E96" s="980"/>
      <c r="F96" s="980"/>
      <c r="G96" s="980"/>
      <c r="H96" s="980"/>
      <c r="I96" s="980"/>
      <c r="J96" s="980"/>
      <c r="K96" s="980"/>
      <c r="L96" s="879"/>
      <c r="M96" s="980"/>
      <c r="N96" s="879"/>
      <c r="P96" s="879"/>
      <c r="Q96" s="1029"/>
      <c r="R96" s="1029"/>
      <c r="S96" s="1029"/>
      <c r="T96" s="1029"/>
      <c r="U96" s="1029"/>
    </row>
    <row r="97" spans="16:27" x14ac:dyDescent="0.2">
      <c r="V97" s="879"/>
      <c r="W97" s="1029"/>
      <c r="X97" s="1029"/>
      <c r="Y97" s="1029"/>
      <c r="Z97" s="1029"/>
      <c r="AA97" s="1029"/>
    </row>
    <row r="98" spans="16:27" x14ac:dyDescent="0.2">
      <c r="V98" s="879"/>
      <c r="W98" s="1029"/>
      <c r="X98" s="1029"/>
      <c r="Y98" s="1029"/>
      <c r="Z98" s="1029"/>
      <c r="AA98" s="1029"/>
    </row>
    <row r="99" spans="16:27" x14ac:dyDescent="0.2">
      <c r="V99" s="879"/>
      <c r="W99" s="1029"/>
      <c r="X99" s="1029"/>
      <c r="Y99" s="1029"/>
      <c r="Z99" s="1029"/>
      <c r="AA99" s="1029"/>
    </row>
    <row r="100" spans="16:27" x14ac:dyDescent="0.2">
      <c r="V100" s="879"/>
      <c r="W100" s="1029"/>
      <c r="X100" s="1036"/>
      <c r="Y100" s="879"/>
      <c r="Z100" s="1029"/>
      <c r="AA100" s="1029"/>
    </row>
    <row r="101" spans="16:27" x14ac:dyDescent="0.2">
      <c r="V101" s="879"/>
      <c r="W101" s="1029"/>
      <c r="X101" s="879"/>
      <c r="Y101" s="1029"/>
      <c r="Z101" s="1029"/>
      <c r="AA101" s="1029"/>
    </row>
    <row r="102" spans="16:27" x14ac:dyDescent="0.2">
      <c r="P102" s="879"/>
      <c r="V102" s="879"/>
      <c r="W102" s="1029"/>
      <c r="X102" s="1029"/>
      <c r="Y102" s="1029"/>
      <c r="Z102" s="1029"/>
      <c r="AA102" s="1029"/>
    </row>
    <row r="105" spans="16:27" x14ac:dyDescent="0.2">
      <c r="V105" s="879"/>
    </row>
    <row r="106" spans="16:27" x14ac:dyDescent="0.2">
      <c r="V106" s="879"/>
    </row>
    <row r="107" spans="16:27" x14ac:dyDescent="0.2">
      <c r="V107" s="879"/>
    </row>
    <row r="108" spans="16:27" x14ac:dyDescent="0.2">
      <c r="V108" s="879"/>
    </row>
    <row r="109" spans="16:27" x14ac:dyDescent="0.2">
      <c r="V109" s="879"/>
    </row>
    <row r="110" spans="16:27" x14ac:dyDescent="0.2">
      <c r="V110" s="879"/>
    </row>
    <row r="111" spans="16:27" x14ac:dyDescent="0.2">
      <c r="V111" s="879"/>
    </row>
    <row r="112" spans="16:27" x14ac:dyDescent="0.2">
      <c r="V112" s="879"/>
      <c r="X112" s="945"/>
      <c r="Y112" s="879"/>
    </row>
    <row r="113" spans="22:24" x14ac:dyDescent="0.2">
      <c r="V113" s="879"/>
      <c r="X113" s="879"/>
    </row>
    <row r="114" spans="22:24" x14ac:dyDescent="0.2">
      <c r="V114" s="879"/>
    </row>
  </sheetData>
  <sheetProtection algorithmName="SHA-512" hashValue="bydQ+8Ik6UkW+wNyzQ/yryougR8jXtmNmEoKARP1PNJwj50fQv5yalnKXYIIb7xjOywBI55ZdpO0M8OQbFSoOg==" saltValue="MhoMccCgTqxYv/tMWk0IOQ==" spinCount="100000" sheet="1" objects="1" scenarios="1"/>
  <mergeCells count="27">
    <mergeCell ref="A9:R9"/>
    <mergeCell ref="A10:R10"/>
    <mergeCell ref="A12:R12"/>
    <mergeCell ref="A13:R13"/>
    <mergeCell ref="A15:R15"/>
    <mergeCell ref="AE18:AG18"/>
    <mergeCell ref="Z53:AA53"/>
    <mergeCell ref="AC53:AD53"/>
    <mergeCell ref="AF53:AG53"/>
    <mergeCell ref="A51:B51"/>
    <mergeCell ref="H53:I53"/>
    <mergeCell ref="K53:L53"/>
    <mergeCell ref="N53:O53"/>
    <mergeCell ref="Q53:R53"/>
    <mergeCell ref="T53:U53"/>
    <mergeCell ref="W53:X53"/>
    <mergeCell ref="G18:I18"/>
    <mergeCell ref="J18:L18"/>
    <mergeCell ref="M18:O18"/>
    <mergeCell ref="D18:F18"/>
    <mergeCell ref="E53:F53"/>
    <mergeCell ref="A48:S49"/>
    <mergeCell ref="V18:X18"/>
    <mergeCell ref="Y18:AA18"/>
    <mergeCell ref="AB18:AD18"/>
    <mergeCell ref="P18:R18"/>
    <mergeCell ref="S18:U18"/>
  </mergeCells>
  <dataValidations disablePrompts="1"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00000000-0002-0000-1500-000000000000}"/>
  </dataValidations>
  <pageMargins left="0.70866141732283472" right="0.70866141732283472" top="0.74803149606299213" bottom="0.74803149606299213" header="0.31496062992125984" footer="0.31496062992125984"/>
  <pageSetup scale="39" fitToWidth="2" orientation="landscape" r:id="rId1"/>
  <colBreaks count="1" manualBreakCount="1">
    <brk id="1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rgb="FF00B0F0"/>
  </sheetPr>
  <dimension ref="A1:H1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96.7109375" bestFit="1" customWidth="1"/>
  </cols>
  <sheetData>
    <row r="1" spans="1:8" ht="17.45" customHeight="1" x14ac:dyDescent="0.2">
      <c r="A1" t="s">
        <v>1081</v>
      </c>
      <c r="B1" t="s">
        <v>1082</v>
      </c>
      <c r="C1" t="s">
        <v>277</v>
      </c>
      <c r="D1" t="s">
        <v>276</v>
      </c>
      <c r="E1" t="s">
        <v>275</v>
      </c>
      <c r="F1" t="s">
        <v>1092</v>
      </c>
      <c r="G1" t="s">
        <v>10</v>
      </c>
      <c r="H1" t="s">
        <v>1084</v>
      </c>
    </row>
    <row r="2" spans="1:8" x14ac:dyDescent="0.2">
      <c r="A2" t="str">
        <f>'LDC Info'!$E$14</f>
        <v>Greater Sudbury Hydro Inc.</v>
      </c>
      <c r="B2" t="str">
        <f t="shared" ref="B2:B11" si="0">EBNUMBER</f>
        <v>EB-2019-0037</v>
      </c>
      <c r="C2">
        <f t="shared" ref="C2:C11" si="1">TestYear</f>
        <v>2020</v>
      </c>
      <c r="D2">
        <f t="shared" ref="D2:D11" si="2">BridgeYear</f>
        <v>2019</v>
      </c>
      <c r="E2">
        <f t="shared" ref="E2:E11" si="3">RebaseYear</f>
        <v>2013</v>
      </c>
      <c r="F2" t="s">
        <v>570</v>
      </c>
      <c r="G2" s="1370">
        <f>'App.2-FC Calc of REG Expansion'!D18</f>
        <v>2015</v>
      </c>
      <c r="H2" t="e">
        <f>'App.2-FC Calc of REG Expansion'!F44</f>
        <v>#DIV/0!</v>
      </c>
    </row>
    <row r="3" spans="1:8" x14ac:dyDescent="0.2">
      <c r="A3" t="str">
        <f>'LDC Info'!$E$14</f>
        <v>Greater Sudbury Hydro Inc.</v>
      </c>
      <c r="B3" t="str">
        <f t="shared" si="0"/>
        <v>EB-2019-0037</v>
      </c>
      <c r="C3">
        <f t="shared" si="1"/>
        <v>2020</v>
      </c>
      <c r="D3">
        <f t="shared" si="2"/>
        <v>2019</v>
      </c>
      <c r="E3">
        <f t="shared" si="3"/>
        <v>2013</v>
      </c>
      <c r="F3" t="s">
        <v>570</v>
      </c>
      <c r="G3" s="1370">
        <f>'App.2-FC Calc of REG Expansion'!G18</f>
        <v>2016</v>
      </c>
      <c r="H3" t="e">
        <f>'App.2-FC Calc of REG Expansion'!I44</f>
        <v>#DIV/0!</v>
      </c>
    </row>
    <row r="4" spans="1:8" x14ac:dyDescent="0.2">
      <c r="A4" t="str">
        <f>'LDC Info'!$E$14</f>
        <v>Greater Sudbury Hydro Inc.</v>
      </c>
      <c r="B4" t="str">
        <f t="shared" si="0"/>
        <v>EB-2019-0037</v>
      </c>
      <c r="C4">
        <f t="shared" si="1"/>
        <v>2020</v>
      </c>
      <c r="D4">
        <f t="shared" si="2"/>
        <v>2019</v>
      </c>
      <c r="E4">
        <f t="shared" si="3"/>
        <v>2013</v>
      </c>
      <c r="F4" t="s">
        <v>570</v>
      </c>
      <c r="G4" s="1370">
        <f>'App.2-FC Calc of REG Expansion'!J18</f>
        <v>2017</v>
      </c>
      <c r="H4" t="e">
        <f>'App.2-FC Calc of REG Expansion'!L44</f>
        <v>#DIV/0!</v>
      </c>
    </row>
    <row r="5" spans="1:8" x14ac:dyDescent="0.2">
      <c r="A5" t="str">
        <f>'LDC Info'!$E$14</f>
        <v>Greater Sudbury Hydro Inc.</v>
      </c>
      <c r="B5" t="str">
        <f t="shared" si="0"/>
        <v>EB-2019-0037</v>
      </c>
      <c r="C5">
        <f t="shared" si="1"/>
        <v>2020</v>
      </c>
      <c r="D5">
        <f t="shared" si="2"/>
        <v>2019</v>
      </c>
      <c r="E5">
        <f t="shared" si="3"/>
        <v>2013</v>
      </c>
      <c r="F5" t="s">
        <v>570</v>
      </c>
      <c r="G5" s="1370">
        <f>'App.2-FC Calc of REG Expansion'!M18</f>
        <v>2018</v>
      </c>
      <c r="H5" t="e">
        <f>'App.2-FC Calc of REG Expansion'!O44</f>
        <v>#DIV/0!</v>
      </c>
    </row>
    <row r="6" spans="1:8" x14ac:dyDescent="0.2">
      <c r="A6" t="str">
        <f>'LDC Info'!$E$14</f>
        <v>Greater Sudbury Hydro Inc.</v>
      </c>
      <c r="B6" t="str">
        <f t="shared" si="0"/>
        <v>EB-2019-0037</v>
      </c>
      <c r="C6">
        <f t="shared" si="1"/>
        <v>2020</v>
      </c>
      <c r="D6">
        <f t="shared" si="2"/>
        <v>2019</v>
      </c>
      <c r="E6">
        <f t="shared" si="3"/>
        <v>2013</v>
      </c>
      <c r="F6" t="s">
        <v>570</v>
      </c>
      <c r="G6" s="1370">
        <f>'App.2-FC Calc of REG Expansion'!P18</f>
        <v>2019</v>
      </c>
      <c r="H6" t="e">
        <f>'App.2-FC Calc of REG Expansion'!R44</f>
        <v>#DIV/0!</v>
      </c>
    </row>
    <row r="7" spans="1:8" x14ac:dyDescent="0.2">
      <c r="A7" t="str">
        <f>'LDC Info'!$E$14</f>
        <v>Greater Sudbury Hydro Inc.</v>
      </c>
      <c r="B7" t="str">
        <f t="shared" si="0"/>
        <v>EB-2019-0037</v>
      </c>
      <c r="C7">
        <f t="shared" si="1"/>
        <v>2020</v>
      </c>
      <c r="D7">
        <f t="shared" si="2"/>
        <v>2019</v>
      </c>
      <c r="E7">
        <f t="shared" si="3"/>
        <v>2013</v>
      </c>
      <c r="F7" t="s">
        <v>570</v>
      </c>
      <c r="G7" s="1370" t="str">
        <f>LEFT('App.2-FC Calc of REG Expansion'!S18,4)</f>
        <v>2020</v>
      </c>
      <c r="H7" t="e">
        <f>'App.2-FC Calc of REG Expansion'!U44</f>
        <v>#DIV/0!</v>
      </c>
    </row>
    <row r="8" spans="1:8" x14ac:dyDescent="0.2">
      <c r="A8" t="str">
        <f>'LDC Info'!$E$14</f>
        <v>Greater Sudbury Hydro Inc.</v>
      </c>
      <c r="B8" t="str">
        <f t="shared" si="0"/>
        <v>EB-2019-0037</v>
      </c>
      <c r="C8">
        <f t="shared" si="1"/>
        <v>2020</v>
      </c>
      <c r="D8">
        <f t="shared" si="2"/>
        <v>2019</v>
      </c>
      <c r="E8">
        <f t="shared" si="3"/>
        <v>2013</v>
      </c>
      <c r="F8" t="s">
        <v>570</v>
      </c>
      <c r="G8" s="1370">
        <f>'App.2-FC Calc of REG Expansion'!V18</f>
        <v>2021</v>
      </c>
      <c r="H8" t="e">
        <f>'App.2-FC Calc of REG Expansion'!X44</f>
        <v>#DIV/0!</v>
      </c>
    </row>
    <row r="9" spans="1:8" x14ac:dyDescent="0.2">
      <c r="A9" t="str">
        <f>'LDC Info'!$E$14</f>
        <v>Greater Sudbury Hydro Inc.</v>
      </c>
      <c r="B9" t="str">
        <f t="shared" si="0"/>
        <v>EB-2019-0037</v>
      </c>
      <c r="C9">
        <f t="shared" si="1"/>
        <v>2020</v>
      </c>
      <c r="D9">
        <f t="shared" si="2"/>
        <v>2019</v>
      </c>
      <c r="E9">
        <f t="shared" si="3"/>
        <v>2013</v>
      </c>
      <c r="F9" t="s">
        <v>570</v>
      </c>
      <c r="G9" s="1370">
        <f>'App.2-FC Calc of REG Expansion'!Y18</f>
        <v>2022</v>
      </c>
      <c r="H9" t="e">
        <f>'App.2-FC Calc of REG Expansion'!AA44</f>
        <v>#DIV/0!</v>
      </c>
    </row>
    <row r="10" spans="1:8" x14ac:dyDescent="0.2">
      <c r="A10" t="str">
        <f>'LDC Info'!$E$14</f>
        <v>Greater Sudbury Hydro Inc.</v>
      </c>
      <c r="B10" t="str">
        <f t="shared" si="0"/>
        <v>EB-2019-0037</v>
      </c>
      <c r="C10">
        <f t="shared" si="1"/>
        <v>2020</v>
      </c>
      <c r="D10">
        <f t="shared" si="2"/>
        <v>2019</v>
      </c>
      <c r="E10">
        <f t="shared" si="3"/>
        <v>2013</v>
      </c>
      <c r="F10" t="s">
        <v>570</v>
      </c>
      <c r="G10" s="1370">
        <f>'App.2-FC Calc of REG Expansion'!AB18</f>
        <v>2023</v>
      </c>
      <c r="H10" t="e">
        <f>'App.2-FC Calc of REG Expansion'!AD44</f>
        <v>#DIV/0!</v>
      </c>
    </row>
    <row r="11" spans="1:8" x14ac:dyDescent="0.2">
      <c r="A11" t="str">
        <f>'LDC Info'!$E$14</f>
        <v>Greater Sudbury Hydro Inc.</v>
      </c>
      <c r="B11" t="str">
        <f t="shared" si="0"/>
        <v>EB-2019-0037</v>
      </c>
      <c r="C11">
        <f t="shared" si="1"/>
        <v>2020</v>
      </c>
      <c r="D11">
        <f t="shared" si="2"/>
        <v>2019</v>
      </c>
      <c r="E11">
        <f t="shared" si="3"/>
        <v>2013</v>
      </c>
      <c r="F11" t="s">
        <v>570</v>
      </c>
      <c r="G11" s="1370">
        <f>'App.2-FC Calc of REG Expansion'!AE18</f>
        <v>2024</v>
      </c>
      <c r="H11" t="e">
        <f>'App.2-FC Calc of REG Expansion'!AG44</f>
        <v>#DIV/0!</v>
      </c>
    </row>
  </sheetData>
  <sheetProtection algorithmName="SHA-512" hashValue="B5Alvf6tMoa1qM0o9sQllKFFjxFV6EEOMq3kdNFtO1q+Z/R9QTGLhZuekiJWaNBAMx/FaoeidjBM168aFvEcDQ==" saltValue="S0mjfpSGr2nmEOJCHDAocA=="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9">
    <tabColor rgb="FF00B0F0"/>
    <pageSetUpPr fitToPage="1"/>
  </sheetPr>
  <dimension ref="A1:S40"/>
  <sheetViews>
    <sheetView showGridLines="0" zoomScaleNormal="100" workbookViewId="0">
      <selection activeCell="O2" sqref="O2:P5"/>
    </sheetView>
  </sheetViews>
  <sheetFormatPr defaultColWidth="8.7109375" defaultRowHeight="15" x14ac:dyDescent="0.25"/>
  <cols>
    <col min="1" max="1" width="9.7109375" style="183" customWidth="1"/>
    <col min="2" max="3" width="10.28515625" style="183" customWidth="1"/>
    <col min="4" max="5" width="8.7109375" style="183"/>
    <col min="6" max="6" width="9.5703125" style="183" bestFit="1" customWidth="1"/>
    <col min="7" max="10" width="8.7109375" style="183"/>
    <col min="11" max="11" width="8.7109375" style="183" customWidth="1"/>
    <col min="12" max="16384" width="8.7109375" style="183"/>
  </cols>
  <sheetData>
    <row r="1" spans="1:19" s="150" customFormat="1" x14ac:dyDescent="0.25">
      <c r="A1" s="34"/>
      <c r="B1" s="34"/>
      <c r="C1" s="34"/>
      <c r="D1" s="34"/>
      <c r="E1" s="34"/>
      <c r="F1" s="34"/>
      <c r="G1" s="34"/>
      <c r="H1" s="34"/>
      <c r="I1" s="34"/>
      <c r="J1" s="34"/>
      <c r="K1" s="34"/>
      <c r="M1" s="39" t="s">
        <v>264</v>
      </c>
      <c r="O1" s="2069" t="str">
        <f>EBNUMBER</f>
        <v>EB-2019-0037</v>
      </c>
      <c r="P1" s="2069"/>
    </row>
    <row r="2" spans="1:19" s="150" customFormat="1" x14ac:dyDescent="0.25">
      <c r="A2" s="34"/>
      <c r="B2" s="34"/>
      <c r="C2" s="34"/>
      <c r="D2" s="34"/>
      <c r="E2" s="34"/>
      <c r="F2" s="34"/>
      <c r="G2" s="34"/>
      <c r="H2" s="34"/>
      <c r="I2" s="34"/>
      <c r="J2" s="34"/>
      <c r="K2" s="34"/>
      <c r="M2" s="39" t="s">
        <v>265</v>
      </c>
      <c r="O2" s="2070"/>
      <c r="P2" s="2070"/>
    </row>
    <row r="3" spans="1:19" s="150" customFormat="1" x14ac:dyDescent="0.25">
      <c r="A3" s="34"/>
      <c r="B3" s="34"/>
      <c r="C3" s="34"/>
      <c r="D3" s="34"/>
      <c r="E3" s="34"/>
      <c r="F3" s="34"/>
      <c r="G3" s="34"/>
      <c r="H3" s="34"/>
      <c r="I3" s="34"/>
      <c r="J3" s="34"/>
      <c r="K3" s="34"/>
      <c r="M3" s="39" t="s">
        <v>266</v>
      </c>
      <c r="O3" s="2070"/>
      <c r="P3" s="2070"/>
    </row>
    <row r="4" spans="1:19" s="150" customFormat="1" x14ac:dyDescent="0.25">
      <c r="A4" s="34"/>
      <c r="B4" s="34"/>
      <c r="C4" s="34"/>
      <c r="D4" s="34"/>
      <c r="E4" s="34"/>
      <c r="F4" s="34"/>
      <c r="G4" s="34"/>
      <c r="H4" s="34"/>
      <c r="I4" s="34"/>
      <c r="J4" s="34"/>
      <c r="K4" s="34"/>
      <c r="M4" s="39" t="s">
        <v>267</v>
      </c>
      <c r="O4" s="2070"/>
      <c r="P4" s="2070"/>
    </row>
    <row r="5" spans="1:19" s="150" customFormat="1" x14ac:dyDescent="0.25">
      <c r="A5" s="34"/>
      <c r="B5" s="34"/>
      <c r="C5" s="34"/>
      <c r="D5" s="34"/>
      <c r="E5" s="34"/>
      <c r="F5" s="34"/>
      <c r="G5" s="34"/>
      <c r="H5" s="34"/>
      <c r="I5" s="34"/>
      <c r="J5" s="34"/>
      <c r="K5" s="34"/>
      <c r="M5" s="39" t="s">
        <v>268</v>
      </c>
      <c r="O5" s="2071"/>
      <c r="P5" s="2071"/>
    </row>
    <row r="6" spans="1:19" s="150" customFormat="1" x14ac:dyDescent="0.25">
      <c r="A6" s="34"/>
      <c r="B6" s="34"/>
      <c r="C6" s="34"/>
      <c r="D6" s="34"/>
      <c r="E6" s="34"/>
      <c r="F6" s="34"/>
      <c r="G6" s="34"/>
      <c r="H6" s="34"/>
      <c r="I6" s="34"/>
      <c r="J6" s="34"/>
      <c r="K6" s="34"/>
      <c r="M6" s="39"/>
      <c r="O6" s="40"/>
    </row>
    <row r="7" spans="1:19" s="150" customFormat="1" x14ac:dyDescent="0.25">
      <c r="A7" s="34"/>
      <c r="B7" s="34"/>
      <c r="C7" s="34"/>
      <c r="D7" s="34"/>
      <c r="E7" s="34"/>
      <c r="F7" s="34"/>
      <c r="G7" s="34"/>
      <c r="H7" s="34"/>
      <c r="I7" s="34"/>
      <c r="J7" s="34"/>
      <c r="K7" s="34"/>
      <c r="M7" s="39" t="s">
        <v>269</v>
      </c>
      <c r="O7" s="2071"/>
      <c r="P7" s="2071"/>
    </row>
    <row r="8" spans="1:19" s="150" customFormat="1" x14ac:dyDescent="0.25">
      <c r="A8" s="38"/>
      <c r="B8" s="38"/>
      <c r="C8" s="38"/>
      <c r="D8" s="38"/>
      <c r="E8" s="38"/>
      <c r="F8" s="38"/>
      <c r="G8" s="38"/>
      <c r="H8" s="38"/>
      <c r="I8" s="38"/>
      <c r="J8" s="182"/>
      <c r="K8" s="182"/>
      <c r="L8" s="182"/>
      <c r="M8" s="182"/>
      <c r="N8" s="182"/>
      <c r="O8" s="182"/>
    </row>
    <row r="9" spans="1:19" s="150" customFormat="1" ht="18" x14ac:dyDescent="0.25">
      <c r="A9" s="2015" t="s">
        <v>102</v>
      </c>
      <c r="B9" s="2015"/>
      <c r="C9" s="2015"/>
      <c r="D9" s="2015"/>
      <c r="E9" s="2015"/>
      <c r="F9" s="2015"/>
      <c r="G9" s="2015"/>
      <c r="H9" s="2015"/>
      <c r="I9" s="2015"/>
      <c r="J9" s="2015"/>
      <c r="K9" s="2015"/>
      <c r="L9" s="2015"/>
      <c r="M9" s="2015"/>
      <c r="N9" s="2015"/>
      <c r="O9" s="2015"/>
      <c r="P9" s="2015"/>
    </row>
    <row r="10" spans="1:19" s="150" customFormat="1" ht="18" x14ac:dyDescent="0.25">
      <c r="A10" s="2015" t="s">
        <v>890</v>
      </c>
      <c r="B10" s="2015"/>
      <c r="C10" s="2015"/>
      <c r="D10" s="2015"/>
      <c r="E10" s="2015"/>
      <c r="F10" s="2015"/>
      <c r="G10" s="2015"/>
      <c r="H10" s="2015"/>
      <c r="I10" s="2015"/>
      <c r="J10" s="2015"/>
      <c r="K10" s="2015"/>
      <c r="L10" s="2015"/>
      <c r="M10" s="2015"/>
      <c r="N10" s="2015"/>
      <c r="O10" s="2015"/>
      <c r="P10" s="2015"/>
    </row>
    <row r="11" spans="1:19" s="150" customFormat="1" ht="18" x14ac:dyDescent="0.25">
      <c r="A11" s="2015"/>
      <c r="B11" s="2015"/>
      <c r="C11" s="2015"/>
      <c r="D11" s="2015"/>
      <c r="E11" s="2015"/>
      <c r="F11" s="2015"/>
      <c r="G11" s="2015"/>
      <c r="H11" s="2015"/>
      <c r="I11" s="2015"/>
      <c r="J11" s="2015"/>
      <c r="K11" s="2015"/>
      <c r="L11" s="2015"/>
      <c r="M11" s="2015"/>
      <c r="N11" s="2015"/>
      <c r="O11" s="2015"/>
      <c r="P11" s="2015"/>
    </row>
    <row r="12" spans="1:19" s="150" customFormat="1" ht="18" x14ac:dyDescent="0.25">
      <c r="A12" s="443"/>
      <c r="B12" s="443"/>
      <c r="C12" s="443"/>
      <c r="D12" s="443"/>
      <c r="E12" s="443"/>
      <c r="F12" s="443"/>
      <c r="G12" s="443"/>
      <c r="H12" s="443"/>
      <c r="I12" s="443"/>
      <c r="J12" s="443"/>
      <c r="K12" s="443"/>
      <c r="L12" s="182"/>
      <c r="M12" s="182"/>
      <c r="N12" s="182"/>
      <c r="O12" s="182"/>
    </row>
    <row r="13" spans="1:19" s="150" customFormat="1" ht="18" customHeight="1" x14ac:dyDescent="0.25">
      <c r="A13" s="2083" t="s">
        <v>891</v>
      </c>
      <c r="B13" s="2083"/>
      <c r="C13" s="2083"/>
      <c r="D13" s="2083"/>
      <c r="E13" s="2083"/>
      <c r="F13" s="2083"/>
      <c r="G13" s="2083"/>
      <c r="H13" s="2083"/>
      <c r="I13" s="2083"/>
      <c r="J13" s="2083"/>
      <c r="K13" s="2083"/>
      <c r="L13" s="2083"/>
      <c r="M13" s="2083"/>
      <c r="N13" s="2083"/>
      <c r="O13" s="2083"/>
      <c r="P13" s="2083"/>
    </row>
    <row r="14" spans="1:19" ht="15.75" thickBot="1" x14ac:dyDescent="0.3">
      <c r="A14" s="187"/>
      <c r="B14" s="187"/>
      <c r="C14" s="187"/>
      <c r="D14" s="187"/>
      <c r="E14" s="187"/>
      <c r="F14" s="187"/>
      <c r="G14" s="187"/>
      <c r="H14" s="187"/>
      <c r="I14" s="187"/>
      <c r="J14" s="187"/>
      <c r="K14" s="187"/>
      <c r="L14" s="187"/>
      <c r="M14" s="187"/>
      <c r="N14" s="187"/>
      <c r="O14" s="187"/>
    </row>
    <row r="15" spans="1:19" ht="15.75" thickBot="1" x14ac:dyDescent="0.3">
      <c r="A15" s="2067" t="s">
        <v>361</v>
      </c>
      <c r="B15" s="2072" t="s">
        <v>871</v>
      </c>
      <c r="C15" s="2073"/>
      <c r="D15" s="2073"/>
      <c r="E15" s="2073"/>
      <c r="F15" s="2073"/>
      <c r="G15" s="2074"/>
      <c r="H15" s="2072" t="s">
        <v>872</v>
      </c>
      <c r="I15" s="2073"/>
      <c r="J15" s="2073"/>
      <c r="K15" s="2073"/>
      <c r="L15" s="2073"/>
      <c r="M15" s="2074"/>
      <c r="N15" s="2072" t="s">
        <v>1001</v>
      </c>
      <c r="O15" s="2073"/>
      <c r="P15" s="2073"/>
      <c r="Q15" s="2073"/>
      <c r="R15" s="2073"/>
      <c r="S15" s="2074"/>
    </row>
    <row r="16" spans="1:19" x14ac:dyDescent="0.25">
      <c r="A16" s="2068"/>
      <c r="B16" s="1568">
        <v>2013</v>
      </c>
      <c r="C16" s="1365">
        <f>TestYear-6</f>
        <v>2014</v>
      </c>
      <c r="D16" s="1572">
        <f>TestYear-5</f>
        <v>2015</v>
      </c>
      <c r="E16" s="1573">
        <f>TestYear-4</f>
        <v>2016</v>
      </c>
      <c r="F16" s="1573">
        <f>TestYear-3</f>
        <v>2017</v>
      </c>
      <c r="G16" s="1574">
        <f>TestYear-2</f>
        <v>2018</v>
      </c>
      <c r="H16" s="1569">
        <v>2013</v>
      </c>
      <c r="I16" s="1365">
        <f>C16</f>
        <v>2014</v>
      </c>
      <c r="J16" s="1366">
        <f>D16</f>
        <v>2015</v>
      </c>
      <c r="K16" s="1367">
        <f>E16</f>
        <v>2016</v>
      </c>
      <c r="L16" s="1367">
        <f>F16</f>
        <v>2017</v>
      </c>
      <c r="M16" s="1368">
        <f>G16</f>
        <v>2018</v>
      </c>
      <c r="N16" s="1569">
        <v>2013</v>
      </c>
      <c r="O16" s="1365">
        <f>I16</f>
        <v>2014</v>
      </c>
      <c r="P16" s="1366">
        <f>J16</f>
        <v>2015</v>
      </c>
      <c r="Q16" s="1367">
        <f>K16</f>
        <v>2016</v>
      </c>
      <c r="R16" s="1367">
        <f>L16</f>
        <v>2017</v>
      </c>
      <c r="S16" s="1368">
        <f>M16</f>
        <v>2018</v>
      </c>
    </row>
    <row r="17" spans="1:19" x14ac:dyDescent="0.25">
      <c r="A17" s="198" t="s">
        <v>415</v>
      </c>
      <c r="B17" s="1575">
        <v>1.49</v>
      </c>
      <c r="C17" s="1575">
        <v>2.2400000000000002</v>
      </c>
      <c r="D17" s="199">
        <v>1.53</v>
      </c>
      <c r="E17" s="200">
        <v>1.29</v>
      </c>
      <c r="F17" s="200">
        <v>2.5299999999999998</v>
      </c>
      <c r="G17" s="201">
        <v>2.67</v>
      </c>
      <c r="H17" s="1570">
        <v>1.35</v>
      </c>
      <c r="I17" s="1576">
        <v>1.21</v>
      </c>
      <c r="J17" s="199">
        <v>1.01</v>
      </c>
      <c r="K17" s="200">
        <v>1.19</v>
      </c>
      <c r="L17" s="200">
        <v>1.65</v>
      </c>
      <c r="M17" s="200">
        <v>2.61</v>
      </c>
      <c r="N17" s="1570">
        <v>1.49</v>
      </c>
      <c r="O17" s="1576">
        <v>2.2400000000000002</v>
      </c>
      <c r="P17" s="199">
        <v>1.53</v>
      </c>
      <c r="Q17" s="200">
        <v>1.29</v>
      </c>
      <c r="R17" s="200">
        <v>2.5299999999999998</v>
      </c>
      <c r="S17" s="200">
        <v>1.44</v>
      </c>
    </row>
    <row r="18" spans="1:19" ht="15.75" thickBot="1" x14ac:dyDescent="0.3">
      <c r="A18" s="202" t="s">
        <v>416</v>
      </c>
      <c r="B18" s="199">
        <v>1.23</v>
      </c>
      <c r="C18" s="203">
        <v>2.71</v>
      </c>
      <c r="D18" s="203">
        <v>1.99</v>
      </c>
      <c r="E18" s="204">
        <v>0.91</v>
      </c>
      <c r="F18" s="204">
        <v>1.98</v>
      </c>
      <c r="G18" s="205">
        <v>1.59</v>
      </c>
      <c r="H18" s="1571">
        <v>1.1599999999999999</v>
      </c>
      <c r="I18" s="1577">
        <v>1.83</v>
      </c>
      <c r="J18" s="203">
        <v>1.25</v>
      </c>
      <c r="K18" s="204">
        <v>0.87</v>
      </c>
      <c r="L18" s="204">
        <v>1.34</v>
      </c>
      <c r="M18" s="204">
        <v>1.55</v>
      </c>
      <c r="N18" s="1571">
        <v>1.23</v>
      </c>
      <c r="O18" s="1577">
        <v>2.71</v>
      </c>
      <c r="P18" s="203">
        <v>1.99</v>
      </c>
      <c r="Q18" s="204">
        <v>0.91</v>
      </c>
      <c r="R18" s="204">
        <v>1.98</v>
      </c>
      <c r="S18" s="204">
        <v>1.44</v>
      </c>
    </row>
    <row r="19" spans="1:19" x14ac:dyDescent="0.25">
      <c r="A19" s="27"/>
      <c r="B19" s="27"/>
      <c r="C19" s="27"/>
      <c r="D19" s="27"/>
      <c r="E19" s="27"/>
      <c r="F19" s="27"/>
      <c r="G19" s="27"/>
      <c r="H19" s="27"/>
      <c r="I19" s="27"/>
      <c r="J19" s="27"/>
      <c r="K19" s="27"/>
      <c r="L19" s="187"/>
      <c r="M19" s="187"/>
      <c r="N19" s="187"/>
      <c r="O19" s="187"/>
    </row>
    <row r="20" spans="1:19" ht="15.75" thickBot="1" x14ac:dyDescent="0.3">
      <c r="A20" s="2082" t="s">
        <v>1444</v>
      </c>
      <c r="B20" s="2082"/>
      <c r="C20" s="2082"/>
      <c r="D20" s="2082"/>
      <c r="E20" s="2082"/>
      <c r="F20" s="2082"/>
      <c r="G20" s="2082"/>
      <c r="H20" s="2082"/>
      <c r="I20" s="2082"/>
      <c r="J20" s="2082"/>
      <c r="K20" s="2082"/>
      <c r="L20" s="2082"/>
      <c r="M20" s="2082"/>
      <c r="N20" s="2082"/>
      <c r="O20" s="2082"/>
      <c r="P20" s="2082"/>
    </row>
    <row r="21" spans="1:19" ht="15.75" thickBot="1" x14ac:dyDescent="0.3">
      <c r="A21" s="206" t="s">
        <v>415</v>
      </c>
      <c r="B21" s="2079"/>
      <c r="C21" s="2079"/>
      <c r="D21" s="2079"/>
      <c r="E21" s="2079"/>
      <c r="F21" s="1369">
        <f>IF(ISERROR(AVERAGE(B17:G17)), "", AVERAGE(C17:G17))</f>
        <v>2.052</v>
      </c>
      <c r="G21" s="2078"/>
      <c r="H21" s="2079"/>
      <c r="I21" s="2079"/>
      <c r="J21" s="2079"/>
      <c r="K21" s="1369">
        <f>IF(ISERROR(AVERAGE(H17:M17)), "", AVERAGE(I17:M17))</f>
        <v>1.534</v>
      </c>
      <c r="L21" s="2078"/>
      <c r="M21" s="2079"/>
      <c r="N21" s="2079"/>
      <c r="O21" s="2079"/>
      <c r="P21" s="1369">
        <f>IF(ISERROR(AVERAGE(N17:S17)), "", AVERAGE(O17:S17))</f>
        <v>1.8059999999999998</v>
      </c>
    </row>
    <row r="22" spans="1:19" ht="15.75" thickBot="1" x14ac:dyDescent="0.3">
      <c r="A22" s="207" t="s">
        <v>416</v>
      </c>
      <c r="B22" s="2081"/>
      <c r="C22" s="2081"/>
      <c r="D22" s="2081"/>
      <c r="E22" s="2081"/>
      <c r="F22" s="1369">
        <f>IF(ISERROR(AVERAGE(B18:G18)), "", AVERAGE(C18:G18))</f>
        <v>1.8359999999999999</v>
      </c>
      <c r="G22" s="2080"/>
      <c r="H22" s="2081"/>
      <c r="I22" s="2081"/>
      <c r="J22" s="2081"/>
      <c r="K22" s="1369">
        <f>IF(ISERROR(AVERAGE(H18:M18)), "", AVERAGE(I18:M18))</f>
        <v>1.3679999999999999</v>
      </c>
      <c r="L22" s="2080"/>
      <c r="M22" s="2081"/>
      <c r="N22" s="2081"/>
      <c r="O22" s="2081"/>
      <c r="P22" s="1369">
        <f>IF(ISERROR(AVERAGE(N18:S18)), "", AVERAGE(O18:S18))</f>
        <v>1.8059999999999998</v>
      </c>
    </row>
    <row r="23" spans="1:19" x14ac:dyDescent="0.25">
      <c r="A23" s="27"/>
      <c r="B23" s="27"/>
      <c r="C23" s="27"/>
      <c r="D23" s="27"/>
      <c r="E23" s="27"/>
      <c r="F23" s="27"/>
      <c r="G23" s="27"/>
      <c r="H23" s="27"/>
      <c r="I23" s="27"/>
      <c r="J23" s="27"/>
      <c r="K23" s="27"/>
    </row>
    <row r="24" spans="1:19" x14ac:dyDescent="0.25">
      <c r="A24" s="2084" t="s">
        <v>417</v>
      </c>
      <c r="B24" s="2084"/>
      <c r="C24" s="2084"/>
      <c r="D24" s="2084"/>
      <c r="E24" s="2084"/>
      <c r="F24" s="2084"/>
      <c r="G24" s="2084"/>
      <c r="H24" s="2084"/>
      <c r="I24" s="2084"/>
      <c r="J24" s="2084"/>
      <c r="K24" s="2084"/>
    </row>
    <row r="25" spans="1:19" x14ac:dyDescent="0.25">
      <c r="A25" s="2084" t="s">
        <v>418</v>
      </c>
      <c r="B25" s="2084"/>
      <c r="C25" s="2084"/>
      <c r="D25" s="2084"/>
      <c r="E25" s="2084"/>
      <c r="F25" s="2084"/>
      <c r="G25" s="2084"/>
      <c r="H25" s="2084"/>
      <c r="I25" s="2084"/>
      <c r="J25" s="2084"/>
      <c r="K25" s="2084"/>
    </row>
    <row r="26" spans="1:19" x14ac:dyDescent="0.25">
      <c r="A26" s="444"/>
      <c r="B26" s="444"/>
      <c r="C26" s="444"/>
      <c r="D26" s="444"/>
      <c r="E26" s="444"/>
      <c r="F26" s="444"/>
      <c r="G26" s="444"/>
      <c r="H26" s="444"/>
      <c r="I26" s="444"/>
      <c r="J26" s="444"/>
      <c r="K26" s="444"/>
    </row>
    <row r="27" spans="1:19" ht="15.75" x14ac:dyDescent="0.25">
      <c r="A27" s="2083" t="s">
        <v>892</v>
      </c>
      <c r="B27" s="2083"/>
      <c r="C27" s="2083"/>
      <c r="D27" s="2083"/>
      <c r="E27" s="2083"/>
      <c r="F27" s="2083"/>
      <c r="G27" s="2083"/>
      <c r="H27" s="2083"/>
      <c r="I27" s="2083"/>
      <c r="J27" s="2083"/>
      <c r="K27" s="2083"/>
    </row>
    <row r="28" spans="1:19" ht="15.75" thickBot="1" x14ac:dyDescent="0.3"/>
    <row r="29" spans="1:19" ht="51" customHeight="1" thickBot="1" x14ac:dyDescent="0.3">
      <c r="A29" s="2075" t="s">
        <v>803</v>
      </c>
      <c r="B29" s="2076"/>
      <c r="C29" s="2076"/>
      <c r="D29" s="2077"/>
      <c r="E29" s="2087" t="s">
        <v>802</v>
      </c>
      <c r="F29" s="2088"/>
      <c r="G29" s="1549">
        <v>2013</v>
      </c>
      <c r="H29" s="1388">
        <f>C16</f>
        <v>2014</v>
      </c>
      <c r="I29" s="1388">
        <f>D16</f>
        <v>2015</v>
      </c>
      <c r="J29" s="1388">
        <f>E16</f>
        <v>2016</v>
      </c>
      <c r="K29" s="1389">
        <f>F16</f>
        <v>2017</v>
      </c>
      <c r="L29" s="1390">
        <f>G16</f>
        <v>2018</v>
      </c>
    </row>
    <row r="30" spans="1:19" ht="20.25" customHeight="1" x14ac:dyDescent="0.25">
      <c r="A30" s="2093" t="s">
        <v>804</v>
      </c>
      <c r="B30" s="2094"/>
      <c r="C30" s="2094"/>
      <c r="D30" s="2095"/>
      <c r="E30" s="2089">
        <v>0.9</v>
      </c>
      <c r="F30" s="2090"/>
      <c r="G30" s="1578">
        <v>0.996</v>
      </c>
      <c r="H30" s="1579">
        <v>0.99</v>
      </c>
      <c r="I30" s="1579">
        <v>0.998</v>
      </c>
      <c r="J30" s="1579">
        <v>0.99399999999999999</v>
      </c>
      <c r="K30" s="1579">
        <v>0.98780000000000001</v>
      </c>
      <c r="L30" s="1580">
        <v>0.99199999999999999</v>
      </c>
    </row>
    <row r="31" spans="1:19" ht="20.25" customHeight="1" x14ac:dyDescent="0.25">
      <c r="A31" s="2096" t="s">
        <v>805</v>
      </c>
      <c r="B31" s="2097"/>
      <c r="C31" s="2097"/>
      <c r="D31" s="2098"/>
      <c r="E31" s="2085">
        <v>0.9</v>
      </c>
      <c r="F31" s="2086"/>
      <c r="G31" s="1578" t="s">
        <v>1445</v>
      </c>
      <c r="H31" s="1578" t="s">
        <v>1445</v>
      </c>
      <c r="I31" s="1578" t="s">
        <v>1445</v>
      </c>
      <c r="J31" s="1578" t="s">
        <v>1445</v>
      </c>
      <c r="K31" s="1578" t="s">
        <v>1445</v>
      </c>
      <c r="L31" s="1581" t="s">
        <v>1445</v>
      </c>
    </row>
    <row r="32" spans="1:19" ht="20.25" customHeight="1" x14ac:dyDescent="0.25">
      <c r="A32" s="2096" t="s">
        <v>806</v>
      </c>
      <c r="B32" s="2097"/>
      <c r="C32" s="2097"/>
      <c r="D32" s="2098"/>
      <c r="E32" s="2085">
        <v>0.65</v>
      </c>
      <c r="F32" s="2086"/>
      <c r="G32" s="1578">
        <v>0.77300000000000002</v>
      </c>
      <c r="H32" s="1578">
        <v>0.72099999999999997</v>
      </c>
      <c r="I32" s="1578">
        <v>0.69399999999999995</v>
      </c>
      <c r="J32" s="1578">
        <v>0.66900000000000004</v>
      </c>
      <c r="K32" s="1578">
        <v>0.67159999999999997</v>
      </c>
      <c r="L32" s="1581">
        <v>0.71250000000000002</v>
      </c>
    </row>
    <row r="33" spans="1:12" ht="20.25" customHeight="1" x14ac:dyDescent="0.25">
      <c r="A33" s="2096" t="s">
        <v>807</v>
      </c>
      <c r="B33" s="2097"/>
      <c r="C33" s="2097"/>
      <c r="D33" s="2098"/>
      <c r="E33" s="2085">
        <v>0.9</v>
      </c>
      <c r="F33" s="2086"/>
      <c r="G33" s="1578">
        <v>1</v>
      </c>
      <c r="H33" s="1578">
        <v>1</v>
      </c>
      <c r="I33" s="1578">
        <v>1</v>
      </c>
      <c r="J33" s="1578">
        <v>1</v>
      </c>
      <c r="K33" s="1578">
        <v>1</v>
      </c>
      <c r="L33" s="1581">
        <v>0.99890000000000001</v>
      </c>
    </row>
    <row r="34" spans="1:12" ht="20.25" customHeight="1" x14ac:dyDescent="0.25">
      <c r="A34" s="2096" t="s">
        <v>808</v>
      </c>
      <c r="B34" s="2097"/>
      <c r="C34" s="2097"/>
      <c r="D34" s="2098"/>
      <c r="E34" s="2085">
        <v>0.8</v>
      </c>
      <c r="F34" s="2086"/>
      <c r="G34" s="1578">
        <v>1</v>
      </c>
      <c r="H34" s="1578">
        <v>0.998</v>
      </c>
      <c r="I34" s="1578">
        <v>1</v>
      </c>
      <c r="J34" s="1578">
        <v>0.99099999999999999</v>
      </c>
      <c r="K34" s="1578">
        <v>0.97070000000000001</v>
      </c>
      <c r="L34" s="1581">
        <v>0.99739999999999995</v>
      </c>
    </row>
    <row r="35" spans="1:12" ht="20.25" customHeight="1" x14ac:dyDescent="0.25">
      <c r="A35" s="2096" t="s">
        <v>809</v>
      </c>
      <c r="B35" s="2097"/>
      <c r="C35" s="2097"/>
      <c r="D35" s="2098"/>
      <c r="E35" s="2085">
        <v>0.8</v>
      </c>
      <c r="F35" s="2086"/>
      <c r="G35" s="1578">
        <v>0.98299999999999998</v>
      </c>
      <c r="H35" s="1578">
        <v>0.90500000000000003</v>
      </c>
      <c r="I35" s="1578">
        <v>0.95299999999999996</v>
      </c>
      <c r="J35" s="1578">
        <v>1</v>
      </c>
      <c r="K35" s="1578">
        <v>0.94830000000000003</v>
      </c>
      <c r="L35" s="1581">
        <v>0.93440000000000001</v>
      </c>
    </row>
    <row r="36" spans="1:12" ht="20.25" customHeight="1" x14ac:dyDescent="0.25">
      <c r="A36" s="2096" t="s">
        <v>810</v>
      </c>
      <c r="B36" s="2097"/>
      <c r="C36" s="2097"/>
      <c r="D36" s="2098"/>
      <c r="E36" s="2085">
        <v>0.8</v>
      </c>
      <c r="F36" s="2086"/>
      <c r="G36" s="1578" t="s">
        <v>1445</v>
      </c>
      <c r="H36" s="1578" t="s">
        <v>1445</v>
      </c>
      <c r="I36" s="1578" t="s">
        <v>1445</v>
      </c>
      <c r="J36" s="1578" t="s">
        <v>1445</v>
      </c>
      <c r="K36" s="1578" t="s">
        <v>1445</v>
      </c>
      <c r="L36" s="1581" t="s">
        <v>1445</v>
      </c>
    </row>
    <row r="37" spans="1:12" ht="20.25" customHeight="1" x14ac:dyDescent="0.25">
      <c r="A37" s="2096" t="s">
        <v>811</v>
      </c>
      <c r="B37" s="2097"/>
      <c r="C37" s="2097"/>
      <c r="D37" s="2098"/>
      <c r="E37" s="2085">
        <v>0.1</v>
      </c>
      <c r="F37" s="2086"/>
      <c r="G37" s="1578">
        <v>1.6E-2</v>
      </c>
      <c r="H37" s="1578">
        <v>1.7000000000000001E-2</v>
      </c>
      <c r="I37" s="1578">
        <v>1.7999999999999999E-2</v>
      </c>
      <c r="J37" s="1578">
        <v>2.7E-2</v>
      </c>
      <c r="K37" s="1578">
        <v>1.4999999999999999E-2</v>
      </c>
      <c r="L37" s="1581">
        <v>1.24E-2</v>
      </c>
    </row>
    <row r="38" spans="1:12" ht="20.25" customHeight="1" x14ac:dyDescent="0.25">
      <c r="A38" s="2096" t="s">
        <v>812</v>
      </c>
      <c r="B38" s="2097"/>
      <c r="C38" s="2097"/>
      <c r="D38" s="2098"/>
      <c r="E38" s="2085">
        <v>0.9</v>
      </c>
      <c r="F38" s="2086"/>
      <c r="G38" s="1578">
        <v>0.98399999999999999</v>
      </c>
      <c r="H38" s="1578">
        <v>0.99</v>
      </c>
      <c r="I38" s="1578">
        <v>0.98199999999999998</v>
      </c>
      <c r="J38" s="1578">
        <v>0.98799999999999999</v>
      </c>
      <c r="K38" s="1578">
        <v>0.95550000000000002</v>
      </c>
      <c r="L38" s="1581">
        <v>0.96989999999999998</v>
      </c>
    </row>
    <row r="39" spans="1:12" ht="20.25" customHeight="1" x14ac:dyDescent="0.25">
      <c r="A39" s="2096" t="s">
        <v>813</v>
      </c>
      <c r="B39" s="2097"/>
      <c r="C39" s="2097"/>
      <c r="D39" s="2098"/>
      <c r="E39" s="2085">
        <v>1</v>
      </c>
      <c r="F39" s="2086"/>
      <c r="G39" s="1578" t="s">
        <v>1445</v>
      </c>
      <c r="H39" s="1578" t="s">
        <v>1445</v>
      </c>
      <c r="I39" s="1578" t="s">
        <v>1445</v>
      </c>
      <c r="J39" s="1578" t="s">
        <v>1445</v>
      </c>
      <c r="K39" s="1578" t="s">
        <v>1445</v>
      </c>
      <c r="L39" s="1581">
        <v>1</v>
      </c>
    </row>
    <row r="40" spans="1:12" ht="20.25" customHeight="1" thickBot="1" x14ac:dyDescent="0.3">
      <c r="A40" s="2099" t="s">
        <v>814</v>
      </c>
      <c r="B40" s="2100"/>
      <c r="C40" s="2100"/>
      <c r="D40" s="2101"/>
      <c r="E40" s="2091">
        <v>0.85</v>
      </c>
      <c r="F40" s="2092"/>
      <c r="G40" s="1578">
        <v>1</v>
      </c>
      <c r="H40" s="1582">
        <v>1</v>
      </c>
      <c r="I40" s="1582">
        <v>1</v>
      </c>
      <c r="J40" s="1582">
        <v>1</v>
      </c>
      <c r="K40" s="1582">
        <v>1</v>
      </c>
      <c r="L40" s="1583">
        <v>1</v>
      </c>
    </row>
  </sheetData>
  <mergeCells count="48">
    <mergeCell ref="E38:F38"/>
    <mergeCell ref="E39:F39"/>
    <mergeCell ref="E40:F40"/>
    <mergeCell ref="A30:D30"/>
    <mergeCell ref="A31:D31"/>
    <mergeCell ref="A32:D32"/>
    <mergeCell ref="A33:D33"/>
    <mergeCell ref="A34:D34"/>
    <mergeCell ref="A35:D35"/>
    <mergeCell ref="A36:D36"/>
    <mergeCell ref="A37:D37"/>
    <mergeCell ref="A38:D38"/>
    <mergeCell ref="A39:D39"/>
    <mergeCell ref="A40:D40"/>
    <mergeCell ref="E33:F33"/>
    <mergeCell ref="E34:F34"/>
    <mergeCell ref="E35:F35"/>
    <mergeCell ref="E36:F36"/>
    <mergeCell ref="E37:F37"/>
    <mergeCell ref="E29:F29"/>
    <mergeCell ref="E30:F30"/>
    <mergeCell ref="E31:F31"/>
    <mergeCell ref="E32:F32"/>
    <mergeCell ref="A29:D29"/>
    <mergeCell ref="O7:P7"/>
    <mergeCell ref="L21:O21"/>
    <mergeCell ref="L22:O22"/>
    <mergeCell ref="A20:P20"/>
    <mergeCell ref="A9:P9"/>
    <mergeCell ref="A10:P10"/>
    <mergeCell ref="A11:P11"/>
    <mergeCell ref="A13:P13"/>
    <mergeCell ref="B21:E21"/>
    <mergeCell ref="G21:J21"/>
    <mergeCell ref="A24:K24"/>
    <mergeCell ref="A25:K25"/>
    <mergeCell ref="A27:K27"/>
    <mergeCell ref="B22:E22"/>
    <mergeCell ref="G22:J22"/>
    <mergeCell ref="A15:A16"/>
    <mergeCell ref="O1:P1"/>
    <mergeCell ref="O2:P2"/>
    <mergeCell ref="O3:P3"/>
    <mergeCell ref="O4:P4"/>
    <mergeCell ref="O5:P5"/>
    <mergeCell ref="N15:S15"/>
    <mergeCell ref="H15:M15"/>
    <mergeCell ref="B15:G15"/>
  </mergeCells>
  <dataValidations disablePrompts="1"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00000000-0002-0000-1700-000000000000}"/>
  </dataValidations>
  <pageMargins left="0.7" right="0.7" top="0.75" bottom="0.75" header="0.3" footer="0.3"/>
  <pageSetup scale="5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tabColor theme="9" tint="0.39997558519241921"/>
    <pageSetUpPr fitToPage="1"/>
  </sheetPr>
  <dimension ref="A1:N567"/>
  <sheetViews>
    <sheetView showGridLines="0" zoomScale="90" zoomScaleNormal="90" zoomScaleSheetLayoutView="70" workbookViewId="0">
      <selection activeCell="J293" sqref="J293:K293"/>
    </sheetView>
  </sheetViews>
  <sheetFormatPr defaultColWidth="9.28515625" defaultRowHeight="12.75" x14ac:dyDescent="0.2"/>
  <cols>
    <col min="1" max="1" width="11.28515625" style="1" customWidth="1"/>
    <col min="2" max="2" width="24.28515625" style="1" customWidth="1"/>
    <col min="3" max="4" width="13.7109375" style="1" hidden="1" customWidth="1"/>
    <col min="5" max="12" width="13.7109375" style="1" customWidth="1"/>
    <col min="13" max="13" width="9.28515625" style="1"/>
    <col min="14" max="14" width="21.140625" style="1" bestFit="1" customWidth="1"/>
    <col min="15" max="16384" width="9.28515625" style="1"/>
  </cols>
  <sheetData>
    <row r="1" spans="1:14" x14ac:dyDescent="0.2">
      <c r="J1" s="874"/>
      <c r="K1" s="993" t="s">
        <v>264</v>
      </c>
      <c r="L1" s="930" t="str">
        <f>EBNUMBER</f>
        <v>EB-2019-0037</v>
      </c>
    </row>
    <row r="2" spans="1:14" x14ac:dyDescent="0.2">
      <c r="J2" s="874"/>
      <c r="K2" s="993" t="s">
        <v>265</v>
      </c>
      <c r="L2" s="41"/>
    </row>
    <row r="3" spans="1:14" x14ac:dyDescent="0.2">
      <c r="J3" s="874"/>
      <c r="K3" s="993" t="s">
        <v>266</v>
      </c>
      <c r="L3" s="41"/>
    </row>
    <row r="4" spans="1:14" ht="15" x14ac:dyDescent="0.25">
      <c r="A4" s="1038" t="s">
        <v>1143</v>
      </c>
      <c r="J4" s="874"/>
      <c r="K4" s="993" t="s">
        <v>267</v>
      </c>
      <c r="L4" s="41"/>
    </row>
    <row r="5" spans="1:14" x14ac:dyDescent="0.2">
      <c r="J5" s="874"/>
      <c r="K5" s="993" t="s">
        <v>268</v>
      </c>
      <c r="L5" s="42"/>
    </row>
    <row r="6" spans="1:14" x14ac:dyDescent="0.2">
      <c r="J6" s="874"/>
      <c r="K6" s="993"/>
      <c r="L6" s="875"/>
    </row>
    <row r="7" spans="1:14" x14ac:dyDescent="0.2">
      <c r="J7" s="874"/>
      <c r="K7" s="993" t="s">
        <v>269</v>
      </c>
      <c r="L7" s="42"/>
    </row>
    <row r="8" spans="1:14" x14ac:dyDescent="0.2">
      <c r="K8" s="1062"/>
    </row>
    <row r="9" spans="1:14" ht="18" x14ac:dyDescent="0.25">
      <c r="A9" s="1856" t="s">
        <v>347</v>
      </c>
      <c r="B9" s="1856"/>
      <c r="C9" s="1856"/>
      <c r="D9" s="1856"/>
      <c r="E9" s="1856"/>
      <c r="F9" s="1856"/>
      <c r="G9" s="1856"/>
      <c r="H9" s="1856"/>
      <c r="I9" s="1856"/>
      <c r="J9" s="1856"/>
      <c r="K9" s="1856"/>
      <c r="L9" s="1856"/>
    </row>
    <row r="10" spans="1:14" ht="18" x14ac:dyDescent="0.25">
      <c r="A10" s="1856" t="s">
        <v>23</v>
      </c>
      <c r="B10" s="1856"/>
      <c r="C10" s="1856"/>
      <c r="D10" s="1856"/>
      <c r="E10" s="1856"/>
      <c r="F10" s="1856"/>
      <c r="G10" s="1856"/>
      <c r="H10" s="1856"/>
      <c r="I10" s="1856"/>
      <c r="J10" s="1856"/>
      <c r="K10" s="1856"/>
      <c r="L10" s="1856"/>
    </row>
    <row r="11" spans="1:14" ht="13.5" thickBot="1" x14ac:dyDescent="0.25"/>
    <row r="12" spans="1:14" x14ac:dyDescent="0.2">
      <c r="A12" s="1063" t="s">
        <v>22</v>
      </c>
      <c r="B12" s="1064" t="s">
        <v>78</v>
      </c>
      <c r="C12" s="1065" t="str">
        <f t="shared" ref="C12:H12" si="0">D13 - 1 &amp;" Actual"&amp;CHAR(178)</f>
        <v>2011 Actual²</v>
      </c>
      <c r="D12" s="1065" t="str">
        <f t="shared" si="0"/>
        <v>2012 Actual²</v>
      </c>
      <c r="E12" s="1065" t="str">
        <f t="shared" si="0"/>
        <v>2013 Actual²</v>
      </c>
      <c r="F12" s="1065" t="str">
        <f t="shared" si="0"/>
        <v>2014 Actual²</v>
      </c>
      <c r="G12" s="1065" t="str">
        <f t="shared" si="0"/>
        <v>2015 Actual²</v>
      </c>
      <c r="H12" s="1065" t="str">
        <f t="shared" si="0"/>
        <v>2016 Actual²</v>
      </c>
      <c r="I12" s="1065" t="str">
        <f>I13 &amp; " Actual" &amp; CHAR(178)</f>
        <v>2017 Actual²</v>
      </c>
      <c r="J12" s="1065" t="str">
        <f>J13&amp; " Actual"</f>
        <v>2018 Actual</v>
      </c>
      <c r="K12" s="1066" t="s">
        <v>276</v>
      </c>
      <c r="L12" s="1067" t="s">
        <v>277</v>
      </c>
      <c r="N12" s="1424" t="s">
        <v>91</v>
      </c>
    </row>
    <row r="13" spans="1:14" ht="13.5" thickBot="1" x14ac:dyDescent="0.25">
      <c r="A13" s="1068"/>
      <c r="B13" s="1069"/>
      <c r="C13" s="1070">
        <f t="shared" ref="C13:J13" si="1">D13-1</f>
        <v>2011</v>
      </c>
      <c r="D13" s="1070">
        <f t="shared" si="1"/>
        <v>2012</v>
      </c>
      <c r="E13" s="1070">
        <f t="shared" si="1"/>
        <v>2013</v>
      </c>
      <c r="F13" s="1070">
        <f t="shared" si="1"/>
        <v>2014</v>
      </c>
      <c r="G13" s="1070">
        <f t="shared" si="1"/>
        <v>2015</v>
      </c>
      <c r="H13" s="1070">
        <f t="shared" si="1"/>
        <v>2016</v>
      </c>
      <c r="I13" s="1070">
        <f t="shared" si="1"/>
        <v>2017</v>
      </c>
      <c r="J13" s="1071">
        <f t="shared" si="1"/>
        <v>2018</v>
      </c>
      <c r="K13" s="1071">
        <f>BridgeYear</f>
        <v>2019</v>
      </c>
      <c r="L13" s="1072">
        <f>TestYear</f>
        <v>2020</v>
      </c>
      <c r="N13" s="1758">
        <v>2015</v>
      </c>
    </row>
    <row r="14" spans="1:14" x14ac:dyDescent="0.2">
      <c r="A14" s="1068"/>
      <c r="B14" s="1073" t="s">
        <v>90</v>
      </c>
      <c r="C14" s="47"/>
      <c r="D14" s="47"/>
      <c r="E14" s="47" t="s">
        <v>91</v>
      </c>
      <c r="F14" s="47" t="s">
        <v>91</v>
      </c>
      <c r="G14" s="47" t="s">
        <v>92</v>
      </c>
      <c r="H14" s="47" t="s">
        <v>92</v>
      </c>
      <c r="I14" s="47" t="s">
        <v>92</v>
      </c>
      <c r="J14" s="47" t="s">
        <v>92</v>
      </c>
      <c r="K14" s="209" t="s">
        <v>92</v>
      </c>
      <c r="L14" s="210" t="s">
        <v>92</v>
      </c>
      <c r="N14" s="1424" t="s">
        <v>91</v>
      </c>
    </row>
    <row r="15" spans="1:14" x14ac:dyDescent="0.2">
      <c r="A15" s="1075">
        <v>4235</v>
      </c>
      <c r="B15" s="1076" t="s">
        <v>24</v>
      </c>
      <c r="C15" s="96"/>
      <c r="D15" s="96"/>
      <c r="E15" s="96">
        <v>-486032.68</v>
      </c>
      <c r="F15" s="96">
        <v>-500019.58</v>
      </c>
      <c r="G15" s="96">
        <v>-477142.57999999996</v>
      </c>
      <c r="H15" s="96">
        <v>-516505.33999999997</v>
      </c>
      <c r="I15" s="96">
        <v>-441433.92</v>
      </c>
      <c r="J15" s="96">
        <v>-320067.69000000006</v>
      </c>
      <c r="K15" s="211">
        <v>-299383.06</v>
      </c>
      <c r="L15" s="212">
        <v>-218602</v>
      </c>
      <c r="N15" s="1427">
        <f t="shared" ref="N15:N30" si="2">G15</f>
        <v>-477142.57999999996</v>
      </c>
    </row>
    <row r="16" spans="1:14" x14ac:dyDescent="0.2">
      <c r="A16" s="1075">
        <v>4225</v>
      </c>
      <c r="B16" s="1076" t="s">
        <v>25</v>
      </c>
      <c r="C16" s="96"/>
      <c r="D16" s="96"/>
      <c r="E16" s="96">
        <v>-144064.42000000007</v>
      </c>
      <c r="F16" s="96">
        <v>-175091.61999999997</v>
      </c>
      <c r="G16" s="96">
        <v>-182321.5400000001</v>
      </c>
      <c r="H16" s="96">
        <v>-195236.33000000019</v>
      </c>
      <c r="I16" s="96">
        <v>-166760.54000000033</v>
      </c>
      <c r="J16" s="96">
        <v>-148898.01000000018</v>
      </c>
      <c r="K16" s="211">
        <v>-155234.51999999999</v>
      </c>
      <c r="L16" s="212">
        <v>-156800</v>
      </c>
      <c r="N16" s="1427">
        <f t="shared" si="2"/>
        <v>-182321.5400000001</v>
      </c>
    </row>
    <row r="17" spans="1:14" x14ac:dyDescent="0.2">
      <c r="A17" s="1075">
        <v>4082</v>
      </c>
      <c r="B17" s="1076" t="s">
        <v>26</v>
      </c>
      <c r="C17" s="96"/>
      <c r="D17" s="96"/>
      <c r="E17" s="96">
        <v>-39393.300000000003</v>
      </c>
      <c r="F17" s="96">
        <v>-33126.699999999997</v>
      </c>
      <c r="G17" s="96">
        <v>-30989</v>
      </c>
      <c r="H17" s="96">
        <v>-30665.800000000003</v>
      </c>
      <c r="I17" s="96">
        <v>-21847.999999999993</v>
      </c>
      <c r="J17" s="96">
        <v>-20810.100000000002</v>
      </c>
      <c r="K17" s="211">
        <v>-29914.5</v>
      </c>
      <c r="L17" s="212">
        <v>-35915</v>
      </c>
      <c r="N17" s="1427">
        <f t="shared" si="2"/>
        <v>-30989</v>
      </c>
    </row>
    <row r="18" spans="1:14" ht="25.5" x14ac:dyDescent="0.2">
      <c r="A18" s="1584">
        <v>4086</v>
      </c>
      <c r="B18" s="1585" t="s">
        <v>1446</v>
      </c>
      <c r="C18" s="96"/>
      <c r="D18" s="96"/>
      <c r="E18" s="96">
        <v>-134162.94999999998</v>
      </c>
      <c r="F18" s="96">
        <v>-135547.72999999986</v>
      </c>
      <c r="G18" s="96">
        <v>-135841.25999999998</v>
      </c>
      <c r="H18" s="96">
        <v>-157978.58000000013</v>
      </c>
      <c r="I18" s="96">
        <v>-139356.18000000014</v>
      </c>
      <c r="J18" s="96">
        <v>-140733.35000000021</v>
      </c>
      <c r="K18" s="211">
        <v>-141749.87</v>
      </c>
      <c r="L18" s="212">
        <v>-140473</v>
      </c>
      <c r="N18" s="1427">
        <f t="shared" si="2"/>
        <v>-135841.25999999998</v>
      </c>
    </row>
    <row r="19" spans="1:14" ht="25.5" x14ac:dyDescent="0.2">
      <c r="A19" s="1584">
        <v>4084</v>
      </c>
      <c r="B19" s="1585" t="s">
        <v>1447</v>
      </c>
      <c r="C19" s="96"/>
      <c r="D19" s="96"/>
      <c r="E19" s="96">
        <v>-1114.25</v>
      </c>
      <c r="F19" s="96">
        <v>-732.75</v>
      </c>
      <c r="G19" s="96">
        <v>-852.5</v>
      </c>
      <c r="H19" s="96">
        <v>-642.5</v>
      </c>
      <c r="I19" s="96">
        <v>-305.75</v>
      </c>
      <c r="J19" s="96">
        <v>-301.75</v>
      </c>
      <c r="K19" s="211">
        <v>-496</v>
      </c>
      <c r="L19" s="212">
        <v>-930</v>
      </c>
      <c r="N19" s="1427">
        <f t="shared" si="2"/>
        <v>-852.5</v>
      </c>
    </row>
    <row r="20" spans="1:14" x14ac:dyDescent="0.2">
      <c r="A20" s="1584">
        <v>4210</v>
      </c>
      <c r="B20" s="1585" t="s">
        <v>1448</v>
      </c>
      <c r="C20" s="96"/>
      <c r="D20" s="96"/>
      <c r="E20" s="96">
        <v>-549226.56000000017</v>
      </c>
      <c r="F20" s="96">
        <v>-514367.32999999996</v>
      </c>
      <c r="G20" s="96">
        <v>-777359.48</v>
      </c>
      <c r="H20" s="96">
        <v>-587682.06000000006</v>
      </c>
      <c r="I20" s="96">
        <v>-577201.42000000004</v>
      </c>
      <c r="J20" s="96">
        <v>-619546.33000000007</v>
      </c>
      <c r="K20" s="211">
        <v>-1095852.56</v>
      </c>
      <c r="L20" s="212">
        <v>-1110954.7392</v>
      </c>
      <c r="N20" s="1427">
        <f t="shared" si="2"/>
        <v>-777359.48</v>
      </c>
    </row>
    <row r="21" spans="1:14" ht="25.5" x14ac:dyDescent="0.2">
      <c r="A21" s="1584">
        <v>4360</v>
      </c>
      <c r="B21" s="1585" t="s">
        <v>1509</v>
      </c>
      <c r="C21" s="1584"/>
      <c r="D21" s="1584"/>
      <c r="E21" s="96"/>
      <c r="F21" s="96"/>
      <c r="G21" s="96">
        <v>538013.67999999993</v>
      </c>
      <c r="H21" s="96">
        <v>637753.51000000024</v>
      </c>
      <c r="I21" s="96">
        <v>454852.37999999989</v>
      </c>
      <c r="J21" s="96">
        <v>624722.30000000005</v>
      </c>
      <c r="K21" s="211">
        <v>515798.59</v>
      </c>
      <c r="L21" s="212">
        <v>531690</v>
      </c>
      <c r="N21" s="1427">
        <f t="shared" si="2"/>
        <v>538013.67999999993</v>
      </c>
    </row>
    <row r="22" spans="1:14" ht="25.5" x14ac:dyDescent="0.2">
      <c r="A22" s="1584">
        <v>4375</v>
      </c>
      <c r="B22" s="1585" t="s">
        <v>1449</v>
      </c>
      <c r="C22" s="96"/>
      <c r="D22" s="96"/>
      <c r="E22" s="96">
        <v>-499146.94000000029</v>
      </c>
      <c r="F22" s="96">
        <v>-984571.69000000006</v>
      </c>
      <c r="G22" s="96">
        <v>-1106728.06</v>
      </c>
      <c r="H22" s="96">
        <v>-1383431.7000000009</v>
      </c>
      <c r="I22" s="96">
        <v>-2033251.9799999995</v>
      </c>
      <c r="J22" s="96">
        <v>-3188325.9300000006</v>
      </c>
      <c r="K22" s="211">
        <v>-2886713.48</v>
      </c>
      <c r="L22" s="212">
        <v>-2495805</v>
      </c>
      <c r="N22" s="1427">
        <f t="shared" si="2"/>
        <v>-1106728.06</v>
      </c>
    </row>
    <row r="23" spans="1:14" ht="25.5" x14ac:dyDescent="0.2">
      <c r="A23" s="1584">
        <v>4380</v>
      </c>
      <c r="B23" s="1585" t="s">
        <v>1450</v>
      </c>
      <c r="C23" s="96"/>
      <c r="D23" s="96"/>
      <c r="E23" s="96">
        <v>487218.52000000037</v>
      </c>
      <c r="F23" s="96">
        <v>966943.29000000027</v>
      </c>
      <c r="G23" s="96">
        <v>878606.67</v>
      </c>
      <c r="H23" s="96">
        <v>1383431.7000000009</v>
      </c>
      <c r="I23" s="96">
        <v>2033251.9799999995</v>
      </c>
      <c r="J23" s="96">
        <v>2725752.4700000007</v>
      </c>
      <c r="K23" s="211">
        <v>2886713.5</v>
      </c>
      <c r="L23" s="212">
        <v>2495805</v>
      </c>
      <c r="N23" s="1427">
        <f t="shared" si="2"/>
        <v>878606.67</v>
      </c>
    </row>
    <row r="24" spans="1:14" ht="27" x14ac:dyDescent="0.2">
      <c r="A24" s="1584">
        <v>4390</v>
      </c>
      <c r="B24" s="1585" t="s">
        <v>1451</v>
      </c>
      <c r="C24" s="96"/>
      <c r="D24" s="96"/>
      <c r="E24" s="96">
        <v>-168814.50000000003</v>
      </c>
      <c r="F24" s="96">
        <v>-98067.61</v>
      </c>
      <c r="G24" s="96">
        <v>-165643.85999999999</v>
      </c>
      <c r="H24" s="96">
        <v>-202201.38</v>
      </c>
      <c r="I24" s="96">
        <v>-130581.07</v>
      </c>
      <c r="J24" s="96">
        <v>-147480.03</v>
      </c>
      <c r="K24" s="211">
        <v>-117097.98</v>
      </c>
      <c r="L24" s="212">
        <v>-133000</v>
      </c>
      <c r="N24" s="1427">
        <f t="shared" si="2"/>
        <v>-165643.85999999999</v>
      </c>
    </row>
    <row r="25" spans="1:14" ht="27" x14ac:dyDescent="0.2">
      <c r="A25" s="1584">
        <v>4405</v>
      </c>
      <c r="B25" s="1585" t="s">
        <v>1452</v>
      </c>
      <c r="C25" s="96"/>
      <c r="D25" s="96"/>
      <c r="E25" s="96">
        <v>-413018.52</v>
      </c>
      <c r="F25" s="96">
        <v>-333359.76</v>
      </c>
      <c r="G25" s="96">
        <v>-361394.58999999997</v>
      </c>
      <c r="H25" s="96">
        <v>-196989.04</v>
      </c>
      <c r="I25" s="96">
        <v>-290797.59999999998</v>
      </c>
      <c r="J25" s="96">
        <v>-233287.24</v>
      </c>
      <c r="K25" s="211">
        <v>-200065.22999999998</v>
      </c>
      <c r="L25" s="212">
        <v>-60000</v>
      </c>
      <c r="N25" s="1427">
        <f t="shared" si="2"/>
        <v>-361394.58999999997</v>
      </c>
    </row>
    <row r="26" spans="1:14" ht="25.5" x14ac:dyDescent="0.2">
      <c r="A26" s="1584">
        <v>4385</v>
      </c>
      <c r="B26" s="1585" t="s">
        <v>1453</v>
      </c>
      <c r="C26" s="96"/>
      <c r="D26" s="96"/>
      <c r="E26" s="96">
        <v>-12418.030000000002</v>
      </c>
      <c r="F26" s="96">
        <v>-21536.969999999998</v>
      </c>
      <c r="G26" s="96">
        <v>-21757.540000000005</v>
      </c>
      <c r="H26" s="96">
        <v>-23029.439999999999</v>
      </c>
      <c r="I26" s="96">
        <v>-20106.14</v>
      </c>
      <c r="J26" s="96">
        <v>-20073.480000000007</v>
      </c>
      <c r="K26" s="211">
        <v>-19504.23</v>
      </c>
      <c r="L26" s="212">
        <v>-20000</v>
      </c>
      <c r="N26" s="1427">
        <f t="shared" si="2"/>
        <v>-21757.540000000005</v>
      </c>
    </row>
    <row r="27" spans="1:14" x14ac:dyDescent="0.2">
      <c r="A27" s="1584">
        <v>4220</v>
      </c>
      <c r="B27" s="1498" t="s">
        <v>1454</v>
      </c>
      <c r="C27" s="96"/>
      <c r="D27" s="96"/>
      <c r="E27" s="96">
        <v>0</v>
      </c>
      <c r="F27" s="96">
        <v>0</v>
      </c>
      <c r="G27" s="96">
        <v>-8242.0400000000009</v>
      </c>
      <c r="H27" s="96">
        <v>-1268.3599999999999</v>
      </c>
      <c r="I27" s="96">
        <v>-121902.54</v>
      </c>
      <c r="J27" s="96">
        <v>0</v>
      </c>
      <c r="K27" s="211">
        <v>0</v>
      </c>
      <c r="L27" s="212">
        <v>0</v>
      </c>
      <c r="N27" s="1427">
        <f t="shared" si="2"/>
        <v>-8242.0400000000009</v>
      </c>
    </row>
    <row r="28" spans="1:14" x14ac:dyDescent="0.2">
      <c r="A28" s="1584">
        <v>4305</v>
      </c>
      <c r="B28" s="1585" t="s">
        <v>1730</v>
      </c>
      <c r="C28" s="96"/>
      <c r="D28" s="96"/>
      <c r="E28" s="96"/>
      <c r="F28" s="96"/>
      <c r="G28" s="96"/>
      <c r="H28" s="96"/>
      <c r="I28" s="96"/>
      <c r="J28" s="96">
        <v>38524.97</v>
      </c>
      <c r="K28" s="211">
        <v>507988.99333333335</v>
      </c>
      <c r="L28" s="212">
        <v>0</v>
      </c>
      <c r="N28" s="1427">
        <f t="shared" si="2"/>
        <v>0</v>
      </c>
    </row>
    <row r="29" spans="1:14" x14ac:dyDescent="0.2">
      <c r="A29" s="1584">
        <v>4310</v>
      </c>
      <c r="B29" s="1585" t="s">
        <v>1455</v>
      </c>
      <c r="C29" s="96"/>
      <c r="D29" s="96"/>
      <c r="E29" s="96">
        <v>0</v>
      </c>
      <c r="F29" s="96">
        <v>0</v>
      </c>
      <c r="G29" s="96">
        <v>0</v>
      </c>
      <c r="H29" s="96">
        <v>-1624753.77</v>
      </c>
      <c r="I29" s="96">
        <v>-461850.66</v>
      </c>
      <c r="J29" s="96">
        <v>-624722.29999999993</v>
      </c>
      <c r="K29" s="211">
        <v>-515798.59</v>
      </c>
      <c r="L29" s="212">
        <v>0</v>
      </c>
      <c r="N29" s="1427">
        <f t="shared" si="2"/>
        <v>0</v>
      </c>
    </row>
    <row r="30" spans="1:14" x14ac:dyDescent="0.2">
      <c r="A30" s="1584">
        <v>4245</v>
      </c>
      <c r="B30" s="1585" t="s">
        <v>1544</v>
      </c>
      <c r="C30" s="96"/>
      <c r="D30" s="96"/>
      <c r="E30" s="96"/>
      <c r="F30" s="96"/>
      <c r="G30" s="96">
        <v>-42626.3</v>
      </c>
      <c r="H30" s="96">
        <v>-70036.53</v>
      </c>
      <c r="I30" s="96">
        <v>-92006.799999999988</v>
      </c>
      <c r="J30" s="96">
        <v>-115823.23999999999</v>
      </c>
      <c r="K30" s="211">
        <v>-198359.85145000002</v>
      </c>
      <c r="L30" s="212">
        <v>-207802.02615000005</v>
      </c>
      <c r="N30" s="1427">
        <f t="shared" si="2"/>
        <v>-42626.3</v>
      </c>
    </row>
    <row r="31" spans="1:14" ht="25.5" x14ac:dyDescent="0.2">
      <c r="A31" s="1584">
        <v>4355</v>
      </c>
      <c r="B31" s="1585" t="s">
        <v>1586</v>
      </c>
      <c r="C31" s="96"/>
      <c r="D31" s="96"/>
      <c r="E31" s="96">
        <v>-1402.02</v>
      </c>
      <c r="F31" s="96">
        <v>-26005.49</v>
      </c>
      <c r="G31" s="96"/>
      <c r="H31" s="96"/>
      <c r="I31" s="96"/>
      <c r="J31" s="96"/>
      <c r="K31" s="211">
        <v>-2696</v>
      </c>
      <c r="L31" s="212">
        <v>0</v>
      </c>
      <c r="N31" s="1427">
        <f>G31</f>
        <v>0</v>
      </c>
    </row>
    <row r="32" spans="1:14" x14ac:dyDescent="0.2">
      <c r="A32" s="96"/>
      <c r="B32" s="96"/>
      <c r="C32" s="96"/>
      <c r="D32" s="96"/>
      <c r="E32" s="96"/>
      <c r="F32" s="96"/>
      <c r="G32" s="96"/>
      <c r="H32" s="96"/>
      <c r="I32" s="96"/>
      <c r="J32" s="96"/>
      <c r="K32" s="211"/>
      <c r="L32" s="212"/>
      <c r="N32" s="1427"/>
    </row>
    <row r="33" spans="1:14" x14ac:dyDescent="0.2">
      <c r="A33" s="96"/>
      <c r="B33" s="96"/>
      <c r="C33" s="96"/>
      <c r="D33" s="96"/>
      <c r="E33" s="96"/>
      <c r="F33" s="96"/>
      <c r="G33" s="96"/>
      <c r="H33" s="96"/>
      <c r="I33" s="96"/>
      <c r="J33" s="96"/>
      <c r="K33" s="211"/>
      <c r="L33" s="212"/>
      <c r="N33" s="1427"/>
    </row>
    <row r="34" spans="1:14" x14ac:dyDescent="0.2">
      <c r="A34" s="96"/>
      <c r="B34" s="96"/>
      <c r="C34" s="96"/>
      <c r="D34" s="96"/>
      <c r="E34" s="96"/>
      <c r="F34" s="96"/>
      <c r="G34" s="96"/>
      <c r="H34" s="96"/>
      <c r="I34" s="96"/>
      <c r="J34" s="96"/>
      <c r="K34" s="211"/>
      <c r="L34" s="212"/>
      <c r="N34" s="1427"/>
    </row>
    <row r="35" spans="1:14" x14ac:dyDescent="0.2">
      <c r="A35" s="96"/>
      <c r="B35" s="96"/>
      <c r="C35" s="96"/>
      <c r="D35" s="96"/>
      <c r="E35" s="96"/>
      <c r="F35" s="96"/>
      <c r="G35" s="96"/>
      <c r="H35" s="96"/>
      <c r="I35" s="96"/>
      <c r="J35" s="96"/>
      <c r="K35" s="211"/>
      <c r="L35" s="212"/>
      <c r="N35" s="1427"/>
    </row>
    <row r="36" spans="1:14" x14ac:dyDescent="0.2">
      <c r="A36" s="96"/>
      <c r="B36" s="96"/>
      <c r="C36" s="96"/>
      <c r="D36" s="96"/>
      <c r="E36" s="96"/>
      <c r="F36" s="96"/>
      <c r="G36" s="96"/>
      <c r="H36" s="96"/>
      <c r="I36" s="96"/>
      <c r="J36" s="96"/>
      <c r="K36" s="211"/>
      <c r="L36" s="212"/>
      <c r="N36" s="1427"/>
    </row>
    <row r="37" spans="1:14" x14ac:dyDescent="0.2">
      <c r="A37" s="96"/>
      <c r="B37" s="96"/>
      <c r="C37" s="96"/>
      <c r="D37" s="96"/>
      <c r="E37" s="96"/>
      <c r="F37" s="96"/>
      <c r="G37" s="96"/>
      <c r="H37" s="96"/>
      <c r="I37" s="96"/>
      <c r="J37" s="96"/>
      <c r="K37" s="211"/>
      <c r="L37" s="212"/>
      <c r="N37" s="1427"/>
    </row>
    <row r="38" spans="1:14" x14ac:dyDescent="0.2">
      <c r="A38" s="96"/>
      <c r="B38" s="96"/>
      <c r="C38" s="96"/>
      <c r="D38" s="96"/>
      <c r="E38" s="96"/>
      <c r="F38" s="96"/>
      <c r="G38" s="96"/>
      <c r="H38" s="96"/>
      <c r="I38" s="96"/>
      <c r="J38" s="96"/>
      <c r="K38" s="211"/>
      <c r="L38" s="212"/>
      <c r="N38" s="1427"/>
    </row>
    <row r="39" spans="1:14" x14ac:dyDescent="0.2">
      <c r="A39" s="96"/>
      <c r="B39" s="96"/>
      <c r="C39" s="96"/>
      <c r="D39" s="96"/>
      <c r="E39" s="96"/>
      <c r="F39" s="96"/>
      <c r="G39" s="96"/>
      <c r="H39" s="96"/>
      <c r="I39" s="96"/>
      <c r="J39" s="96"/>
      <c r="K39" s="211"/>
      <c r="L39" s="212"/>
      <c r="N39" s="1427"/>
    </row>
    <row r="40" spans="1:14" x14ac:dyDescent="0.2">
      <c r="A40" s="96"/>
      <c r="B40" s="96"/>
      <c r="C40" s="96"/>
      <c r="D40" s="96"/>
      <c r="E40" s="96"/>
      <c r="F40" s="96"/>
      <c r="G40" s="96"/>
      <c r="H40" s="96"/>
      <c r="I40" s="96"/>
      <c r="J40" s="96"/>
      <c r="K40" s="211"/>
      <c r="L40" s="212"/>
      <c r="N40" s="1427"/>
    </row>
    <row r="41" spans="1:14" x14ac:dyDescent="0.2">
      <c r="A41" s="96"/>
      <c r="B41" s="96"/>
      <c r="C41" s="96"/>
      <c r="D41" s="96"/>
      <c r="E41" s="96"/>
      <c r="F41" s="96"/>
      <c r="G41" s="96"/>
      <c r="H41" s="96"/>
      <c r="I41" s="96"/>
      <c r="J41" s="96"/>
      <c r="K41" s="211"/>
      <c r="L41" s="212"/>
      <c r="N41" s="1427"/>
    </row>
    <row r="42" spans="1:14" x14ac:dyDescent="0.2">
      <c r="A42" s="96"/>
      <c r="B42" s="96"/>
      <c r="C42" s="96"/>
      <c r="D42" s="96"/>
      <c r="E42" s="96"/>
      <c r="F42" s="96"/>
      <c r="G42" s="96"/>
      <c r="H42" s="96"/>
      <c r="I42" s="96"/>
      <c r="J42" s="96"/>
      <c r="K42" s="211"/>
      <c r="L42" s="212"/>
      <c r="N42" s="1427"/>
    </row>
    <row r="43" spans="1:14" x14ac:dyDescent="0.2">
      <c r="A43" s="96"/>
      <c r="B43" s="96"/>
      <c r="C43" s="96"/>
      <c r="D43" s="96"/>
      <c r="E43" s="96"/>
      <c r="F43" s="96"/>
      <c r="G43" s="96"/>
      <c r="H43" s="96"/>
      <c r="I43" s="96"/>
      <c r="J43" s="96"/>
      <c r="K43" s="211"/>
      <c r="L43" s="212"/>
      <c r="N43" s="1427"/>
    </row>
    <row r="44" spans="1:14" x14ac:dyDescent="0.2">
      <c r="A44" s="96"/>
      <c r="B44" s="96"/>
      <c r="C44" s="96"/>
      <c r="D44" s="96"/>
      <c r="E44" s="96"/>
      <c r="F44" s="96"/>
      <c r="G44" s="96"/>
      <c r="H44" s="96"/>
      <c r="I44" s="96"/>
      <c r="J44" s="96"/>
      <c r="K44" s="211"/>
      <c r="L44" s="212"/>
      <c r="N44" s="1427"/>
    </row>
    <row r="45" spans="1:14" x14ac:dyDescent="0.2">
      <c r="A45" s="96"/>
      <c r="B45" s="96"/>
      <c r="C45" s="96"/>
      <c r="D45" s="96"/>
      <c r="E45" s="96"/>
      <c r="F45" s="96"/>
      <c r="G45" s="96"/>
      <c r="H45" s="96"/>
      <c r="I45" s="96"/>
      <c r="J45" s="96"/>
      <c r="K45" s="211"/>
      <c r="L45" s="212"/>
      <c r="N45" s="1427"/>
    </row>
    <row r="46" spans="1:14" x14ac:dyDescent="0.2">
      <c r="A46" s="96"/>
      <c r="B46" s="96"/>
      <c r="C46" s="96"/>
      <c r="D46" s="96"/>
      <c r="E46" s="96"/>
      <c r="F46" s="96"/>
      <c r="G46" s="96"/>
      <c r="H46" s="96"/>
      <c r="I46" s="96"/>
      <c r="J46" s="96"/>
      <c r="K46" s="211"/>
      <c r="L46" s="212"/>
      <c r="N46" s="1427"/>
    </row>
    <row r="47" spans="1:14" x14ac:dyDescent="0.2">
      <c r="A47" s="96"/>
      <c r="B47" s="96"/>
      <c r="C47" s="96"/>
      <c r="D47" s="96"/>
      <c r="E47" s="96"/>
      <c r="F47" s="96"/>
      <c r="G47" s="96"/>
      <c r="H47" s="96"/>
      <c r="I47" s="96"/>
      <c r="J47" s="96"/>
      <c r="K47" s="211"/>
      <c r="L47" s="212"/>
      <c r="N47" s="1427"/>
    </row>
    <row r="48" spans="1:14" x14ac:dyDescent="0.2">
      <c r="A48" s="96"/>
      <c r="B48" s="214"/>
      <c r="C48" s="214"/>
      <c r="D48" s="214"/>
      <c r="E48" s="214"/>
      <c r="F48" s="214"/>
      <c r="G48" s="96"/>
      <c r="H48" s="96"/>
      <c r="I48" s="96"/>
      <c r="J48" s="96"/>
      <c r="K48" s="211"/>
      <c r="L48" s="212"/>
      <c r="N48" s="1427"/>
    </row>
    <row r="49" spans="1:14" x14ac:dyDescent="0.2">
      <c r="A49" s="213"/>
      <c r="B49" s="214"/>
      <c r="C49" s="214"/>
      <c r="D49" s="214"/>
      <c r="E49" s="214"/>
      <c r="F49" s="214"/>
      <c r="G49" s="96"/>
      <c r="H49" s="96"/>
      <c r="I49" s="96"/>
      <c r="J49" s="96"/>
      <c r="K49" s="211"/>
      <c r="L49" s="212"/>
      <c r="N49" s="1427"/>
    </row>
    <row r="50" spans="1:14" x14ac:dyDescent="0.2">
      <c r="A50" s="213"/>
      <c r="B50" s="214"/>
      <c r="C50" s="214"/>
      <c r="D50" s="214"/>
      <c r="E50" s="214"/>
      <c r="F50" s="214"/>
      <c r="G50" s="96"/>
      <c r="H50" s="96"/>
      <c r="I50" s="96"/>
      <c r="J50" s="96"/>
      <c r="K50" s="211"/>
      <c r="L50" s="212"/>
      <c r="N50" s="1427"/>
    </row>
    <row r="51" spans="1:14" x14ac:dyDescent="0.2">
      <c r="A51" s="213"/>
      <c r="B51" s="214"/>
      <c r="C51" s="214"/>
      <c r="D51" s="214"/>
      <c r="E51" s="214"/>
      <c r="F51" s="214"/>
      <c r="G51" s="96"/>
      <c r="H51" s="96"/>
      <c r="I51" s="96"/>
      <c r="J51" s="96"/>
      <c r="K51" s="211"/>
      <c r="L51" s="212"/>
      <c r="N51" s="1427"/>
    </row>
    <row r="52" spans="1:14" ht="7.5" customHeight="1" x14ac:dyDescent="0.2">
      <c r="A52" s="2104"/>
      <c r="B52" s="2105"/>
      <c r="C52" s="2105"/>
      <c r="D52" s="2105"/>
      <c r="E52" s="2105"/>
      <c r="F52" s="2105"/>
      <c r="G52" s="2105"/>
      <c r="H52" s="2105"/>
      <c r="I52" s="2105"/>
      <c r="J52" s="2105"/>
      <c r="K52" s="2106"/>
      <c r="L52" s="2107"/>
      <c r="N52" s="1428"/>
    </row>
    <row r="53" spans="1:14" x14ac:dyDescent="0.2">
      <c r="A53" s="2108" t="s">
        <v>24</v>
      </c>
      <c r="B53" s="2109"/>
      <c r="C53" s="1077">
        <f t="shared" ref="C53:L53" si="3">C15</f>
        <v>0</v>
      </c>
      <c r="D53" s="1077">
        <f t="shared" si="3"/>
        <v>0</v>
      </c>
      <c r="E53" s="1077">
        <f t="shared" si="3"/>
        <v>-486032.68</v>
      </c>
      <c r="F53" s="1077">
        <f t="shared" si="3"/>
        <v>-500019.58</v>
      </c>
      <c r="G53" s="1077">
        <f t="shared" si="3"/>
        <v>-477142.57999999996</v>
      </c>
      <c r="H53" s="1077">
        <f t="shared" si="3"/>
        <v>-516505.33999999997</v>
      </c>
      <c r="I53" s="1077">
        <f t="shared" si="3"/>
        <v>-441433.92</v>
      </c>
      <c r="J53" s="1077">
        <f t="shared" si="3"/>
        <v>-320067.69000000006</v>
      </c>
      <c r="K53" s="1077">
        <f t="shared" si="3"/>
        <v>-299383.06</v>
      </c>
      <c r="L53" s="1079">
        <f t="shared" si="3"/>
        <v>-218602</v>
      </c>
      <c r="N53" s="1429">
        <f>N15</f>
        <v>-477142.57999999996</v>
      </c>
    </row>
    <row r="54" spans="1:14" x14ac:dyDescent="0.2">
      <c r="A54" s="2108" t="s">
        <v>25</v>
      </c>
      <c r="B54" s="2109"/>
      <c r="C54" s="1078">
        <f t="shared" ref="C54:L54" si="4">C16</f>
        <v>0</v>
      </c>
      <c r="D54" s="1078">
        <f t="shared" si="4"/>
        <v>0</v>
      </c>
      <c r="E54" s="1078">
        <f t="shared" si="4"/>
        <v>-144064.42000000007</v>
      </c>
      <c r="F54" s="1078">
        <f t="shared" si="4"/>
        <v>-175091.61999999997</v>
      </c>
      <c r="G54" s="1078">
        <f t="shared" si="4"/>
        <v>-182321.5400000001</v>
      </c>
      <c r="H54" s="1078">
        <f t="shared" si="4"/>
        <v>-195236.33000000019</v>
      </c>
      <c r="I54" s="1078">
        <f t="shared" si="4"/>
        <v>-166760.54000000033</v>
      </c>
      <c r="J54" s="1078">
        <f t="shared" si="4"/>
        <v>-148898.01000000018</v>
      </c>
      <c r="K54" s="1078">
        <f t="shared" si="4"/>
        <v>-155234.51999999999</v>
      </c>
      <c r="L54" s="1079">
        <f t="shared" si="4"/>
        <v>-156800</v>
      </c>
      <c r="N54" s="1429">
        <f>N16</f>
        <v>-182321.5400000001</v>
      </c>
    </row>
    <row r="55" spans="1:14" x14ac:dyDescent="0.2">
      <c r="A55" s="2108" t="s">
        <v>192</v>
      </c>
      <c r="B55" s="2109"/>
      <c r="C55" s="215"/>
      <c r="D55" s="215"/>
      <c r="E55" s="1586">
        <f t="shared" ref="E55:J55" si="5">E17+E18+E19+E20+E27+E30</f>
        <v>-723897.06000000017</v>
      </c>
      <c r="F55" s="1586">
        <f t="shared" si="5"/>
        <v>-683774.50999999978</v>
      </c>
      <c r="G55" s="1586">
        <f t="shared" si="5"/>
        <v>-995910.58000000007</v>
      </c>
      <c r="H55" s="1586">
        <f t="shared" si="5"/>
        <v>-848273.83000000019</v>
      </c>
      <c r="I55" s="1586">
        <f t="shared" si="5"/>
        <v>-952620.69000000018</v>
      </c>
      <c r="J55" s="1586">
        <f t="shared" si="5"/>
        <v>-897214.77000000025</v>
      </c>
      <c r="K55" s="1586">
        <f>K17+K18+K19+K20+K27+K30</f>
        <v>-1466372.7814500001</v>
      </c>
      <c r="L55" s="1586">
        <f>L17+L18+L19+L20+L27+L30</f>
        <v>-1496074.76535</v>
      </c>
      <c r="N55" s="1586">
        <f>N17+N18+N19+N20+N27+N30</f>
        <v>-995910.58000000007</v>
      </c>
    </row>
    <row r="56" spans="1:14" ht="13.5" thickBot="1" x14ac:dyDescent="0.25">
      <c r="A56" s="2124" t="s">
        <v>193</v>
      </c>
      <c r="B56" s="2125"/>
      <c r="C56" s="215"/>
      <c r="D56" s="215"/>
      <c r="E56" s="1586">
        <f t="shared" ref="E56:J56" si="6">E22+E23+E24+E25+E26+E28+E21+E31+E29</f>
        <v>-607581.49</v>
      </c>
      <c r="F56" s="1586">
        <f t="shared" si="6"/>
        <v>-496598.22999999975</v>
      </c>
      <c r="G56" s="1586">
        <f t="shared" si="6"/>
        <v>-238903.70000000007</v>
      </c>
      <c r="H56" s="1586">
        <f t="shared" si="6"/>
        <v>-1409220.1199999999</v>
      </c>
      <c r="I56" s="1586">
        <f t="shared" si="6"/>
        <v>-448483.09000000008</v>
      </c>
      <c r="J56" s="1586">
        <f t="shared" si="6"/>
        <v>-824889.23999999987</v>
      </c>
      <c r="K56" s="1586">
        <f>K22+K23+K24+K25+K26+K28+K21+K31+K29</f>
        <v>168625.57333333342</v>
      </c>
      <c r="L56" s="1586">
        <f>L22+L23+L24+L25+L26+L28+L21+L31+L29</f>
        <v>318690</v>
      </c>
      <c r="N56" s="1586">
        <f>N22+N23+N24+N25+N26+N28+N21+N31+N29</f>
        <v>-238903.70000000007</v>
      </c>
    </row>
    <row r="57" spans="1:14" ht="14.25" thickTop="1" thickBot="1" x14ac:dyDescent="0.25">
      <c r="A57" s="2126" t="s">
        <v>259</v>
      </c>
      <c r="B57" s="2127"/>
      <c r="C57" s="1080">
        <f>SUM(C53:C56)</f>
        <v>0</v>
      </c>
      <c r="D57" s="1080">
        <f>SUM(D53:D56)</f>
        <v>0</v>
      </c>
      <c r="E57" s="1080">
        <f>SUM(E53:E56)</f>
        <v>-1961575.6500000001</v>
      </c>
      <c r="F57" s="1080">
        <f>SUM(F53:F56)</f>
        <v>-1855483.9399999995</v>
      </c>
      <c r="G57" s="1080">
        <f t="shared" ref="G57:L57" si="7">SUM(G53:G56)</f>
        <v>-1894278.4000000004</v>
      </c>
      <c r="H57" s="1080">
        <f t="shared" si="7"/>
        <v>-2969235.62</v>
      </c>
      <c r="I57" s="1080">
        <f t="shared" si="7"/>
        <v>-2009298.2400000005</v>
      </c>
      <c r="J57" s="1080">
        <f t="shared" si="7"/>
        <v>-2191069.7100000004</v>
      </c>
      <c r="K57" s="1080">
        <f t="shared" si="7"/>
        <v>-1752364.7881166667</v>
      </c>
      <c r="L57" s="1081">
        <f t="shared" si="7"/>
        <v>-1552786.76535</v>
      </c>
      <c r="N57" s="1082">
        <f>SUM(N53:N56)</f>
        <v>-1894278.4000000004</v>
      </c>
    </row>
    <row r="59" spans="1:14" x14ac:dyDescent="0.2">
      <c r="A59" s="2128" t="s">
        <v>1149</v>
      </c>
      <c r="B59" s="2128"/>
      <c r="C59" s="2128"/>
      <c r="D59" s="2128"/>
      <c r="E59" s="2128"/>
      <c r="F59" s="2128"/>
      <c r="G59" s="2128"/>
      <c r="H59" s="2128"/>
      <c r="I59" s="2128"/>
      <c r="J59" s="2128"/>
      <c r="K59" s="2128"/>
      <c r="L59" s="2128"/>
    </row>
    <row r="60" spans="1:14" x14ac:dyDescent="0.2">
      <c r="A60" s="1905" t="s">
        <v>1148</v>
      </c>
      <c r="B60" s="1905"/>
      <c r="C60" s="1905"/>
      <c r="D60" s="1905"/>
      <c r="E60" s="1905"/>
      <c r="F60" s="1905"/>
      <c r="G60" s="1905"/>
      <c r="H60" s="1905"/>
      <c r="I60" s="1905"/>
      <c r="J60" s="1905"/>
      <c r="K60" s="1905"/>
      <c r="L60" s="1905"/>
    </row>
    <row r="61" spans="1:14" x14ac:dyDescent="0.2">
      <c r="A61" s="1905" t="s">
        <v>1147</v>
      </c>
      <c r="B61" s="1905"/>
      <c r="C61" s="1905"/>
      <c r="D61" s="1905"/>
      <c r="E61" s="1905"/>
      <c r="F61" s="1905"/>
      <c r="G61" s="1905"/>
      <c r="H61" s="1905"/>
      <c r="I61" s="1905"/>
      <c r="J61" s="1905"/>
      <c r="K61" s="1905"/>
      <c r="L61" s="1905"/>
    </row>
    <row r="62" spans="1:14" x14ac:dyDescent="0.2">
      <c r="A62" s="1905" t="s">
        <v>1146</v>
      </c>
      <c r="B62" s="1905"/>
      <c r="C62" s="1905"/>
      <c r="D62" s="1905"/>
      <c r="E62" s="1905"/>
      <c r="F62" s="1905"/>
      <c r="G62" s="1905"/>
      <c r="H62" s="1905"/>
      <c r="I62" s="1905"/>
      <c r="J62" s="1905"/>
      <c r="K62" s="1905"/>
      <c r="L62" s="1905"/>
    </row>
    <row r="63" spans="1:14" ht="26.25" customHeight="1" x14ac:dyDescent="0.2">
      <c r="A63" s="1905" t="s">
        <v>1145</v>
      </c>
      <c r="B63" s="1905"/>
      <c r="C63" s="1905"/>
      <c r="D63" s="1905"/>
      <c r="E63" s="1905"/>
      <c r="F63" s="1905"/>
      <c r="G63" s="1905"/>
      <c r="H63" s="1905"/>
      <c r="I63" s="1905"/>
      <c r="J63" s="1905"/>
      <c r="K63" s="1905"/>
      <c r="L63" s="1905"/>
    </row>
    <row r="64" spans="1:14" x14ac:dyDescent="0.2">
      <c r="G64" s="868"/>
      <c r="H64" s="868"/>
      <c r="I64" s="868"/>
      <c r="J64" s="868"/>
      <c r="K64" s="868"/>
      <c r="L64" s="868"/>
    </row>
    <row r="66" spans="1:14" ht="15.75" x14ac:dyDescent="0.25">
      <c r="A66" s="1083" t="s">
        <v>194</v>
      </c>
      <c r="B66" s="871"/>
      <c r="C66" s="871"/>
      <c r="D66" s="871"/>
      <c r="E66" s="871"/>
      <c r="F66" s="871"/>
      <c r="G66" s="1084"/>
      <c r="H66" s="1085"/>
      <c r="I66" s="1085"/>
      <c r="J66" s="1085"/>
      <c r="K66" s="1085"/>
      <c r="L66" s="1085"/>
    </row>
    <row r="67" spans="1:14" x14ac:dyDescent="0.2">
      <c r="A67" s="2135"/>
      <c r="B67" s="2135"/>
      <c r="C67" s="2135"/>
      <c r="D67" s="2135"/>
      <c r="E67" s="2135"/>
      <c r="F67" s="2135"/>
      <c r="G67" s="2135"/>
      <c r="H67" s="2135"/>
      <c r="I67" s="2135"/>
      <c r="J67" s="2135"/>
      <c r="K67" s="2135"/>
      <c r="L67" s="2135"/>
    </row>
    <row r="68" spans="1:14" ht="12.75" customHeight="1" x14ac:dyDescent="0.2">
      <c r="A68" s="1086" t="s">
        <v>195</v>
      </c>
      <c r="B68" s="1087"/>
      <c r="C68" s="1087"/>
      <c r="D68" s="1087"/>
      <c r="E68" s="1087"/>
      <c r="F68" s="1087"/>
      <c r="G68" s="1087"/>
      <c r="H68" s="1087"/>
      <c r="I68" s="1087"/>
      <c r="J68" s="1087"/>
      <c r="K68" s="1087"/>
      <c r="L68" s="1087"/>
    </row>
    <row r="69" spans="1:14" x14ac:dyDescent="0.2">
      <c r="A69" s="1087"/>
      <c r="B69" s="1087"/>
      <c r="C69" s="1087"/>
      <c r="D69" s="1087"/>
      <c r="E69" s="1087"/>
      <c r="F69" s="1087"/>
      <c r="G69" s="1087"/>
      <c r="H69" s="1087"/>
      <c r="I69" s="1087"/>
      <c r="J69" s="1087"/>
      <c r="K69" s="1087"/>
      <c r="L69" s="1087"/>
    </row>
    <row r="70" spans="1:14" x14ac:dyDescent="0.2">
      <c r="A70" s="2114" t="s">
        <v>1231</v>
      </c>
      <c r="B70" s="2115"/>
      <c r="C70" s="2115"/>
      <c r="D70" s="2115"/>
      <c r="E70" s="2115"/>
      <c r="F70" s="2115"/>
      <c r="G70" s="2115"/>
      <c r="H70" s="2115"/>
      <c r="I70" s="2115"/>
      <c r="J70" s="2115"/>
      <c r="K70" s="2115"/>
      <c r="L70" s="2115"/>
    </row>
    <row r="71" spans="1:14" x14ac:dyDescent="0.2">
      <c r="A71" s="2115"/>
      <c r="B71" s="2115"/>
      <c r="C71" s="2115"/>
      <c r="D71" s="2115"/>
      <c r="E71" s="2115"/>
      <c r="F71" s="2115"/>
      <c r="G71" s="2115"/>
      <c r="H71" s="2115"/>
      <c r="I71" s="2115"/>
      <c r="J71" s="2115"/>
      <c r="K71" s="2115"/>
      <c r="L71" s="2115"/>
    </row>
    <row r="73" spans="1:14" ht="13.5" thickBot="1" x14ac:dyDescent="0.25">
      <c r="A73" s="1405" t="s">
        <v>1229</v>
      </c>
      <c r="B73" s="1029"/>
      <c r="C73" s="1029"/>
      <c r="D73" s="1029"/>
      <c r="E73" s="1029"/>
      <c r="F73" s="1029"/>
      <c r="G73" s="1029"/>
      <c r="H73" s="1029"/>
      <c r="I73" s="1029"/>
      <c r="J73" s="1029"/>
      <c r="K73" s="1029"/>
      <c r="L73" s="1029"/>
      <c r="M73" s="1029"/>
      <c r="N73" s="1029"/>
    </row>
    <row r="74" spans="1:14" x14ac:dyDescent="0.2">
      <c r="A74" s="1406"/>
      <c r="B74" s="1407"/>
      <c r="C74" s="1065" t="str">
        <f t="shared" ref="C74:L74" si="8">C12</f>
        <v>2011 Actual²</v>
      </c>
      <c r="D74" s="1065" t="str">
        <f t="shared" si="8"/>
        <v>2012 Actual²</v>
      </c>
      <c r="E74" s="1065" t="str">
        <f t="shared" si="8"/>
        <v>2013 Actual²</v>
      </c>
      <c r="F74" s="1065" t="str">
        <f t="shared" si="8"/>
        <v>2014 Actual²</v>
      </c>
      <c r="G74" s="1065" t="str">
        <f t="shared" si="8"/>
        <v>2015 Actual²</v>
      </c>
      <c r="H74" s="1065" t="str">
        <f t="shared" si="8"/>
        <v>2016 Actual²</v>
      </c>
      <c r="I74" s="1065" t="str">
        <f t="shared" si="8"/>
        <v>2017 Actual²</v>
      </c>
      <c r="J74" s="1065" t="str">
        <f t="shared" si="8"/>
        <v>2018 Actual</v>
      </c>
      <c r="K74" s="1065" t="str">
        <f t="shared" si="8"/>
        <v>Bridge Year</v>
      </c>
      <c r="L74" s="1088" t="str">
        <f t="shared" si="8"/>
        <v>Test Year</v>
      </c>
      <c r="M74" s="1029"/>
      <c r="N74" s="1422" t="str">
        <f>N12</f>
        <v>CGAAP</v>
      </c>
    </row>
    <row r="75" spans="1:14" ht="13.5" thickBot="1" x14ac:dyDescent="0.25">
      <c r="A75" s="1408"/>
      <c r="B75" s="1409"/>
      <c r="C75" s="1091">
        <f t="shared" ref="C75:I75" si="9">C13</f>
        <v>2011</v>
      </c>
      <c r="D75" s="1091">
        <f t="shared" si="9"/>
        <v>2012</v>
      </c>
      <c r="E75" s="1091">
        <f t="shared" si="9"/>
        <v>2013</v>
      </c>
      <c r="F75" s="1091">
        <f t="shared" si="9"/>
        <v>2014</v>
      </c>
      <c r="G75" s="1091">
        <f t="shared" si="9"/>
        <v>2015</v>
      </c>
      <c r="H75" s="1091">
        <f t="shared" si="9"/>
        <v>2016</v>
      </c>
      <c r="I75" s="1091">
        <f t="shared" si="9"/>
        <v>2017</v>
      </c>
      <c r="J75" s="1091">
        <f>J13</f>
        <v>2018</v>
      </c>
      <c r="K75" s="1091">
        <f>K13</f>
        <v>2019</v>
      </c>
      <c r="L75" s="1092">
        <f>L13</f>
        <v>2020</v>
      </c>
      <c r="M75" s="1029"/>
      <c r="N75" s="1423">
        <f>N13</f>
        <v>2015</v>
      </c>
    </row>
    <row r="76" spans="1:14" x14ac:dyDescent="0.2">
      <c r="A76" s="2116" t="s">
        <v>90</v>
      </c>
      <c r="B76" s="2117"/>
      <c r="C76" s="1074" t="str">
        <f t="shared" ref="C76:L76" si="10">IF(C14=0, "", C14)</f>
        <v/>
      </c>
      <c r="D76" s="1074" t="str">
        <f t="shared" si="10"/>
        <v/>
      </c>
      <c r="E76" s="1074" t="str">
        <f t="shared" si="10"/>
        <v>CGAAP</v>
      </c>
      <c r="F76" s="1074" t="str">
        <f t="shared" si="10"/>
        <v>CGAAP</v>
      </c>
      <c r="G76" s="1074" t="str">
        <f t="shared" si="10"/>
        <v>MIFRS</v>
      </c>
      <c r="H76" s="1074" t="str">
        <f t="shared" si="10"/>
        <v>MIFRS</v>
      </c>
      <c r="I76" s="1074" t="str">
        <f t="shared" si="10"/>
        <v>MIFRS</v>
      </c>
      <c r="J76" s="1074" t="str">
        <f t="shared" si="10"/>
        <v>MIFRS</v>
      </c>
      <c r="K76" s="1074" t="str">
        <f t="shared" si="10"/>
        <v>MIFRS</v>
      </c>
      <c r="L76" s="1421" t="str">
        <f t="shared" si="10"/>
        <v>MIFRS</v>
      </c>
      <c r="M76" s="1029"/>
      <c r="N76" s="1422" t="str">
        <f>IF(N14=0, "", N14)</f>
        <v>CGAAP</v>
      </c>
    </row>
    <row r="77" spans="1:14" x14ac:dyDescent="0.2">
      <c r="A77" s="2112" t="s">
        <v>95</v>
      </c>
      <c r="B77" s="2113"/>
      <c r="C77" s="1410"/>
      <c r="D77" s="1410"/>
      <c r="E77" s="1410"/>
      <c r="F77" s="1410"/>
      <c r="G77" s="1410"/>
      <c r="H77" s="1410"/>
      <c r="I77" s="1410"/>
      <c r="J77" s="1410"/>
      <c r="K77" s="1410"/>
      <c r="L77" s="1411"/>
      <c r="M77" s="1029"/>
      <c r="N77" s="1425"/>
    </row>
    <row r="78" spans="1:14" x14ac:dyDescent="0.2">
      <c r="A78" s="2120" t="s">
        <v>96</v>
      </c>
      <c r="B78" s="2121"/>
      <c r="C78" s="1410"/>
      <c r="D78" s="1410"/>
      <c r="E78" s="1410"/>
      <c r="F78" s="1410"/>
      <c r="G78" s="1410"/>
      <c r="H78" s="1410"/>
      <c r="I78" s="1410"/>
      <c r="J78" s="1410"/>
      <c r="K78" s="1412"/>
      <c r="L78" s="1411"/>
      <c r="M78" s="1029"/>
      <c r="N78" s="1425"/>
    </row>
    <row r="79" spans="1:14" x14ac:dyDescent="0.2">
      <c r="A79" s="2122" t="s">
        <v>97</v>
      </c>
      <c r="B79" s="2123"/>
      <c r="C79" s="1410"/>
      <c r="D79" s="1410"/>
      <c r="E79" s="1410"/>
      <c r="F79" s="1413"/>
      <c r="G79" s="1413"/>
      <c r="H79" s="1413"/>
      <c r="I79" s="1413"/>
      <c r="J79" s="1413"/>
      <c r="K79" s="1413"/>
      <c r="L79" s="1411"/>
      <c r="M79" s="1029"/>
      <c r="N79" s="1425"/>
    </row>
    <row r="80" spans="1:14" ht="14.25" x14ac:dyDescent="0.2">
      <c r="A80" s="2122" t="s">
        <v>79</v>
      </c>
      <c r="B80" s="2123"/>
      <c r="C80" s="1413"/>
      <c r="D80" s="1413"/>
      <c r="E80" s="1413"/>
      <c r="F80" s="1413"/>
      <c r="G80" s="1413"/>
      <c r="H80" s="1413"/>
      <c r="I80" s="1413"/>
      <c r="J80" s="1413"/>
      <c r="K80" s="1413"/>
      <c r="L80" s="1411"/>
      <c r="M80" s="1029"/>
      <c r="N80" s="1425"/>
    </row>
    <row r="81" spans="1:14" x14ac:dyDescent="0.2">
      <c r="A81" s="2120"/>
      <c r="B81" s="2121"/>
      <c r="C81" s="1413"/>
      <c r="D81" s="1413"/>
      <c r="E81" s="1413"/>
      <c r="F81" s="1413"/>
      <c r="G81" s="1413"/>
      <c r="H81" s="1413"/>
      <c r="I81" s="1413"/>
      <c r="J81" s="1413"/>
      <c r="K81" s="1413"/>
      <c r="L81" s="1411"/>
      <c r="M81" s="1029"/>
      <c r="N81" s="1425"/>
    </row>
    <row r="82" spans="1:14" ht="13.5" thickBot="1" x14ac:dyDescent="0.25">
      <c r="A82" s="2122"/>
      <c r="B82" s="2123"/>
      <c r="C82" s="1414"/>
      <c r="D82" s="1414"/>
      <c r="E82" s="1414"/>
      <c r="F82" s="1414"/>
      <c r="G82" s="1415"/>
      <c r="H82" s="1415"/>
      <c r="I82" s="1415"/>
      <c r="J82" s="1415"/>
      <c r="K82" s="1416"/>
      <c r="L82" s="1417"/>
      <c r="M82" s="1029"/>
      <c r="N82" s="1426"/>
    </row>
    <row r="83" spans="1:14" ht="14.25" thickTop="1" thickBot="1" x14ac:dyDescent="0.25">
      <c r="A83" s="2118" t="s">
        <v>259</v>
      </c>
      <c r="B83" s="2119"/>
      <c r="C83" s="1418">
        <f t="shared" ref="C83:L83" si="11">SUM(C77:C82)</f>
        <v>0</v>
      </c>
      <c r="D83" s="1418">
        <f t="shared" si="11"/>
        <v>0</v>
      </c>
      <c r="E83" s="1418">
        <f t="shared" si="11"/>
        <v>0</v>
      </c>
      <c r="F83" s="1418">
        <f t="shared" si="11"/>
        <v>0</v>
      </c>
      <c r="G83" s="1418">
        <f t="shared" si="11"/>
        <v>0</v>
      </c>
      <c r="H83" s="1418">
        <f t="shared" si="11"/>
        <v>0</v>
      </c>
      <c r="I83" s="1418">
        <f t="shared" si="11"/>
        <v>0</v>
      </c>
      <c r="J83" s="1418">
        <f t="shared" si="11"/>
        <v>0</v>
      </c>
      <c r="K83" s="1418">
        <f t="shared" si="11"/>
        <v>0</v>
      </c>
      <c r="L83" s="1419">
        <f t="shared" si="11"/>
        <v>0</v>
      </c>
      <c r="M83" s="1029"/>
      <c r="N83" s="1420">
        <f>SUM(N77:N82)</f>
        <v>0</v>
      </c>
    </row>
    <row r="86" spans="1:14" x14ac:dyDescent="0.2">
      <c r="A86" s="942" t="s">
        <v>6</v>
      </c>
    </row>
    <row r="87" spans="1:14" x14ac:dyDescent="0.2">
      <c r="A87" s="1094">
        <v>1</v>
      </c>
      <c r="B87" s="1095" t="s">
        <v>765</v>
      </c>
      <c r="C87" s="1095"/>
      <c r="D87" s="1095"/>
      <c r="E87" s="1095"/>
      <c r="F87" s="1095"/>
      <c r="G87" s="859"/>
      <c r="H87" s="859"/>
      <c r="I87" s="859"/>
      <c r="J87" s="859"/>
      <c r="K87" s="859"/>
      <c r="L87" s="859"/>
    </row>
    <row r="88" spans="1:14" ht="44.25" customHeight="1" x14ac:dyDescent="0.2">
      <c r="A88" s="1094">
        <v>2</v>
      </c>
      <c r="B88" s="1905" t="s">
        <v>1103</v>
      </c>
      <c r="C88" s="1905"/>
      <c r="D88" s="1905"/>
      <c r="E88" s="1905"/>
      <c r="F88" s="1905"/>
      <c r="G88" s="1905"/>
      <c r="H88" s="1905"/>
      <c r="I88" s="1905"/>
      <c r="J88" s="1905"/>
      <c r="K88" s="1905"/>
      <c r="L88" s="1905"/>
    </row>
    <row r="89" spans="1:14" ht="43.15" customHeight="1" x14ac:dyDescent="0.2">
      <c r="A89" s="1096"/>
      <c r="B89" s="1431">
        <v>15</v>
      </c>
      <c r="C89" s="2129" t="s">
        <v>1230</v>
      </c>
      <c r="D89" s="2130"/>
      <c r="E89" s="2130"/>
      <c r="F89" s="2130"/>
      <c r="G89" s="2130"/>
      <c r="H89" s="2130"/>
      <c r="I89" s="2130"/>
      <c r="J89" s="2130"/>
    </row>
    <row r="90" spans="1:14" ht="31.5" customHeight="1" x14ac:dyDescent="0.2">
      <c r="A90" s="1096"/>
    </row>
    <row r="92" spans="1:14" x14ac:dyDescent="0.2">
      <c r="B92" s="2110"/>
      <c r="C92" s="2110"/>
      <c r="D92" s="2110"/>
      <c r="E92" s="2110"/>
      <c r="F92" s="2110"/>
      <c r="G92" s="2111"/>
      <c r="H92" s="2111"/>
      <c r="I92" s="2111"/>
      <c r="J92" s="2111"/>
      <c r="K92" s="2111"/>
      <c r="L92" s="2111"/>
    </row>
    <row r="93" spans="1:14" ht="13.5" thickBot="1" x14ac:dyDescent="0.25">
      <c r="A93" s="2141" t="s">
        <v>1475</v>
      </c>
      <c r="B93" s="2141"/>
      <c r="C93" s="2141"/>
    </row>
    <row r="94" spans="1:14" ht="13.5" thickBot="1" x14ac:dyDescent="0.25">
      <c r="A94" s="1089"/>
      <c r="B94" s="1090"/>
      <c r="C94" s="1434" t="str">
        <f t="shared" ref="C94:L94" si="12">C$12</f>
        <v>2011 Actual²</v>
      </c>
      <c r="D94" s="1065" t="str">
        <f t="shared" si="12"/>
        <v>2012 Actual²</v>
      </c>
      <c r="E94" s="1065" t="str">
        <f t="shared" si="12"/>
        <v>2013 Actual²</v>
      </c>
      <c r="F94" s="1065" t="str">
        <f t="shared" si="12"/>
        <v>2014 Actual²</v>
      </c>
      <c r="G94" s="1065" t="str">
        <f t="shared" si="12"/>
        <v>2015 Actual²</v>
      </c>
      <c r="H94" s="1065" t="str">
        <f t="shared" si="12"/>
        <v>2016 Actual²</v>
      </c>
      <c r="I94" s="1065" t="str">
        <f t="shared" si="12"/>
        <v>2017 Actual²</v>
      </c>
      <c r="J94" s="1065" t="str">
        <f t="shared" si="12"/>
        <v>2018 Actual</v>
      </c>
      <c r="K94" s="1065" t="str">
        <f t="shared" si="12"/>
        <v>Bridge Year</v>
      </c>
      <c r="L94" s="1088" t="str">
        <f t="shared" si="12"/>
        <v>Test Year</v>
      </c>
      <c r="N94" s="1422" t="str">
        <f>N$12</f>
        <v>CGAAP</v>
      </c>
    </row>
    <row r="95" spans="1:14" ht="13.5" thickBot="1" x14ac:dyDescent="0.25">
      <c r="A95" s="1089"/>
      <c r="B95" s="1090"/>
      <c r="C95" s="1065">
        <f t="shared" ref="C95:L95" si="13">C$13</f>
        <v>2011</v>
      </c>
      <c r="D95" s="1065">
        <f t="shared" si="13"/>
        <v>2012</v>
      </c>
      <c r="E95" s="1065">
        <f t="shared" si="13"/>
        <v>2013</v>
      </c>
      <c r="F95" s="1065">
        <f t="shared" si="13"/>
        <v>2014</v>
      </c>
      <c r="G95" s="1065">
        <f t="shared" si="13"/>
        <v>2015</v>
      </c>
      <c r="H95" s="1065">
        <f t="shared" si="13"/>
        <v>2016</v>
      </c>
      <c r="I95" s="1065">
        <f t="shared" si="13"/>
        <v>2017</v>
      </c>
      <c r="J95" s="1065">
        <f t="shared" si="13"/>
        <v>2018</v>
      </c>
      <c r="K95" s="1065">
        <f t="shared" si="13"/>
        <v>2019</v>
      </c>
      <c r="L95" s="1088">
        <f t="shared" si="13"/>
        <v>2020</v>
      </c>
      <c r="N95" s="1423">
        <f>N$13</f>
        <v>2015</v>
      </c>
    </row>
    <row r="96" spans="1:14" x14ac:dyDescent="0.2">
      <c r="A96" s="2136" t="s">
        <v>90</v>
      </c>
      <c r="B96" s="2137"/>
      <c r="C96" s="1074" t="str">
        <f t="shared" ref="C96:L96" si="14">IF(C34=0, "", C34)</f>
        <v/>
      </c>
      <c r="D96" s="1074" t="str">
        <f t="shared" si="14"/>
        <v/>
      </c>
      <c r="E96" s="1074" t="str">
        <f t="shared" si="14"/>
        <v/>
      </c>
      <c r="F96" s="1074" t="str">
        <f t="shared" si="14"/>
        <v/>
      </c>
      <c r="G96" s="1074" t="str">
        <f t="shared" si="14"/>
        <v/>
      </c>
      <c r="H96" s="1074" t="str">
        <f t="shared" si="14"/>
        <v/>
      </c>
      <c r="I96" s="1074" t="str">
        <f t="shared" si="14"/>
        <v/>
      </c>
      <c r="J96" s="1074" t="str">
        <f t="shared" si="14"/>
        <v/>
      </c>
      <c r="K96" s="1074" t="str">
        <f t="shared" si="14"/>
        <v/>
      </c>
      <c r="L96" s="1421" t="str">
        <f t="shared" si="14"/>
        <v/>
      </c>
      <c r="N96" s="1424" t="str">
        <f>IF(N$14=0, "", N$14)</f>
        <v>CGAAP</v>
      </c>
    </row>
    <row r="97" spans="1:14" x14ac:dyDescent="0.2">
      <c r="A97" s="2138" t="s">
        <v>1737</v>
      </c>
      <c r="B97" s="2103"/>
      <c r="C97" s="96"/>
      <c r="D97" s="96"/>
      <c r="E97" s="98">
        <v>-53537.279999999999</v>
      </c>
      <c r="F97" s="98">
        <v>-57045.8</v>
      </c>
      <c r="G97" s="98">
        <v>-52963.29</v>
      </c>
      <c r="H97" s="98">
        <v>-42964.3</v>
      </c>
      <c r="I97" s="98">
        <v>-51720.98</v>
      </c>
      <c r="J97" s="98">
        <v>-72061.289999999994</v>
      </c>
      <c r="K97" s="98">
        <v>-84121.25</v>
      </c>
      <c r="L97" s="212">
        <v>-60000</v>
      </c>
      <c r="N97" s="1427">
        <v>-52963.29</v>
      </c>
    </row>
    <row r="98" spans="1:14" x14ac:dyDescent="0.2">
      <c r="A98" s="2138" t="s">
        <v>1738</v>
      </c>
      <c r="B98" s="2103"/>
      <c r="C98" s="96"/>
      <c r="D98" s="96"/>
      <c r="E98" s="98">
        <v>-171894.94</v>
      </c>
      <c r="F98" s="98">
        <v>-79030.5</v>
      </c>
      <c r="G98" s="98">
        <v>-127357.1</v>
      </c>
      <c r="H98" s="98">
        <v>-4712.66</v>
      </c>
      <c r="I98" s="98">
        <v>-78340.09</v>
      </c>
      <c r="J98" s="98">
        <v>-60952.08</v>
      </c>
      <c r="K98" s="98">
        <v>-15670.11</v>
      </c>
      <c r="L98" s="212">
        <v>0</v>
      </c>
      <c r="N98" s="1427">
        <v>-127357.1</v>
      </c>
    </row>
    <row r="99" spans="1:14" x14ac:dyDescent="0.2">
      <c r="A99" s="2102" t="s">
        <v>1476</v>
      </c>
      <c r="B99" s="2103"/>
      <c r="C99" s="96"/>
      <c r="D99" s="96"/>
      <c r="E99" s="98">
        <v>-187586.3</v>
      </c>
      <c r="F99" s="98">
        <v>-197283.46</v>
      </c>
      <c r="G99" s="98">
        <v>-181074.2</v>
      </c>
      <c r="H99" s="98">
        <v>-149312.07999999999</v>
      </c>
      <c r="I99" s="98">
        <v>-160736.53</v>
      </c>
      <c r="J99" s="98">
        <v>-100273.87</v>
      </c>
      <c r="K99" s="98">
        <v>-100273.87</v>
      </c>
      <c r="L99" s="212">
        <v>0</v>
      </c>
      <c r="N99" s="1427">
        <v>-181074.2</v>
      </c>
    </row>
    <row r="100" spans="1:14" x14ac:dyDescent="0.2">
      <c r="A100" s="2102"/>
      <c r="B100" s="2103"/>
      <c r="C100" s="96"/>
      <c r="D100" s="96"/>
      <c r="E100" s="96"/>
      <c r="F100" s="98"/>
      <c r="G100" s="98"/>
      <c r="H100" s="98"/>
      <c r="I100" s="98"/>
      <c r="J100" s="98"/>
      <c r="K100" s="217"/>
      <c r="L100" s="212"/>
      <c r="N100" s="1427"/>
    </row>
    <row r="101" spans="1:14" x14ac:dyDescent="0.2">
      <c r="A101" s="2102"/>
      <c r="B101" s="2103"/>
      <c r="C101" s="96"/>
      <c r="D101" s="96"/>
      <c r="E101" s="96"/>
      <c r="F101" s="98"/>
      <c r="G101" s="98"/>
      <c r="H101" s="98"/>
      <c r="I101" s="98"/>
      <c r="J101" s="98"/>
      <c r="K101" s="98"/>
      <c r="L101" s="212"/>
      <c r="N101" s="1427"/>
    </row>
    <row r="102" spans="1:14" x14ac:dyDescent="0.2">
      <c r="A102" s="2102"/>
      <c r="B102" s="2103"/>
      <c r="C102" s="98"/>
      <c r="D102" s="98"/>
      <c r="E102" s="98"/>
      <c r="F102" s="98"/>
      <c r="G102" s="98"/>
      <c r="H102" s="98"/>
      <c r="I102" s="98"/>
      <c r="J102" s="98"/>
      <c r="K102" s="98"/>
      <c r="L102" s="212"/>
      <c r="N102" s="1427"/>
    </row>
    <row r="103" spans="1:14" x14ac:dyDescent="0.2">
      <c r="A103" s="2133"/>
      <c r="B103" s="2134"/>
      <c r="C103" s="98"/>
      <c r="D103" s="98"/>
      <c r="E103" s="98"/>
      <c r="F103" s="98"/>
      <c r="G103" s="98"/>
      <c r="H103" s="98"/>
      <c r="I103" s="98"/>
      <c r="J103" s="98"/>
      <c r="K103" s="98"/>
      <c r="L103" s="212"/>
      <c r="N103" s="1427"/>
    </row>
    <row r="104" spans="1:14" ht="13.5" thickBot="1" x14ac:dyDescent="0.25">
      <c r="A104" s="2102"/>
      <c r="B104" s="2103"/>
      <c r="C104" s="831"/>
      <c r="D104" s="831"/>
      <c r="E104" s="831"/>
      <c r="F104" s="831"/>
      <c r="G104" s="123"/>
      <c r="H104" s="123"/>
      <c r="I104" s="123"/>
      <c r="J104" s="123"/>
      <c r="K104" s="218"/>
      <c r="L104" s="219"/>
      <c r="N104" s="1430"/>
    </row>
    <row r="105" spans="1:14" ht="14.25" thickTop="1" thickBot="1" x14ac:dyDescent="0.25">
      <c r="A105" s="2139" t="s">
        <v>259</v>
      </c>
      <c r="B105" s="2140"/>
      <c r="C105" s="1080">
        <f t="shared" ref="C105:L105" si="15">SUM(C97:C104)</f>
        <v>0</v>
      </c>
      <c r="D105" s="1080">
        <f t="shared" si="15"/>
        <v>0</v>
      </c>
      <c r="E105" s="1080">
        <f t="shared" si="15"/>
        <v>-413018.52</v>
      </c>
      <c r="F105" s="1080">
        <f t="shared" si="15"/>
        <v>-333359.76</v>
      </c>
      <c r="G105" s="1080">
        <f t="shared" si="15"/>
        <v>-361394.59</v>
      </c>
      <c r="H105" s="1080">
        <f t="shared" si="15"/>
        <v>-196989.03999999998</v>
      </c>
      <c r="I105" s="1080">
        <f t="shared" si="15"/>
        <v>-290797.59999999998</v>
      </c>
      <c r="J105" s="1080">
        <f t="shared" si="15"/>
        <v>-233287.24</v>
      </c>
      <c r="K105" s="1080">
        <f t="shared" si="15"/>
        <v>-200065.22999999998</v>
      </c>
      <c r="L105" s="1093">
        <f t="shared" si="15"/>
        <v>-60000</v>
      </c>
      <c r="N105" s="1082">
        <f>SUM(N97:N104)</f>
        <v>-361394.59</v>
      </c>
    </row>
    <row r="107" spans="1:14" ht="13.5" thickBot="1" x14ac:dyDescent="0.25">
      <c r="A107" s="2141" t="s">
        <v>1477</v>
      </c>
      <c r="B107" s="2141"/>
      <c r="C107" s="2141"/>
    </row>
    <row r="108" spans="1:14" ht="13.5" thickBot="1" x14ac:dyDescent="0.25">
      <c r="A108" s="1089"/>
      <c r="B108" s="1090"/>
      <c r="C108" s="1434" t="str">
        <f t="shared" ref="C108:L108" si="16">C$12</f>
        <v>2011 Actual²</v>
      </c>
      <c r="D108" s="1065" t="str">
        <f t="shared" si="16"/>
        <v>2012 Actual²</v>
      </c>
      <c r="E108" s="1065" t="str">
        <f t="shared" si="16"/>
        <v>2013 Actual²</v>
      </c>
      <c r="F108" s="1065" t="str">
        <f t="shared" si="16"/>
        <v>2014 Actual²</v>
      </c>
      <c r="G108" s="1065" t="str">
        <f t="shared" si="16"/>
        <v>2015 Actual²</v>
      </c>
      <c r="H108" s="1065" t="str">
        <f t="shared" si="16"/>
        <v>2016 Actual²</v>
      </c>
      <c r="I108" s="1065" t="str">
        <f t="shared" si="16"/>
        <v>2017 Actual²</v>
      </c>
      <c r="J108" s="1065" t="str">
        <f t="shared" si="16"/>
        <v>2018 Actual</v>
      </c>
      <c r="K108" s="1065" t="str">
        <f t="shared" si="16"/>
        <v>Bridge Year</v>
      </c>
      <c r="L108" s="1088" t="str">
        <f t="shared" si="16"/>
        <v>Test Year</v>
      </c>
      <c r="N108" s="1422" t="str">
        <f>N$12</f>
        <v>CGAAP</v>
      </c>
    </row>
    <row r="109" spans="1:14" ht="13.5" thickBot="1" x14ac:dyDescent="0.25">
      <c r="A109" s="1089"/>
      <c r="B109" s="1090"/>
      <c r="C109" s="1065">
        <f t="shared" ref="C109:L109" si="17">C$13</f>
        <v>2011</v>
      </c>
      <c r="D109" s="1065">
        <f t="shared" si="17"/>
        <v>2012</v>
      </c>
      <c r="E109" s="1065">
        <f t="shared" si="17"/>
        <v>2013</v>
      </c>
      <c r="F109" s="1065">
        <f t="shared" si="17"/>
        <v>2014</v>
      </c>
      <c r="G109" s="1065">
        <f t="shared" si="17"/>
        <v>2015</v>
      </c>
      <c r="H109" s="1065">
        <f t="shared" si="17"/>
        <v>2016</v>
      </c>
      <c r="I109" s="1065">
        <f t="shared" si="17"/>
        <v>2017</v>
      </c>
      <c r="J109" s="1065">
        <f t="shared" si="17"/>
        <v>2018</v>
      </c>
      <c r="K109" s="1065">
        <f t="shared" si="17"/>
        <v>2019</v>
      </c>
      <c r="L109" s="1088">
        <f t="shared" si="17"/>
        <v>2020</v>
      </c>
      <c r="N109" s="1423">
        <f>N$13</f>
        <v>2015</v>
      </c>
    </row>
    <row r="110" spans="1:14" x14ac:dyDescent="0.2">
      <c r="A110" s="2136" t="s">
        <v>90</v>
      </c>
      <c r="B110" s="2137"/>
      <c r="C110" s="1074" t="str">
        <f t="shared" ref="C110:L110" si="18">IF(C48=0, "", C48)</f>
        <v/>
      </c>
      <c r="D110" s="1074" t="str">
        <f t="shared" si="18"/>
        <v/>
      </c>
      <c r="E110" s="1074" t="str">
        <f t="shared" si="18"/>
        <v/>
      </c>
      <c r="F110" s="1074" t="str">
        <f t="shared" si="18"/>
        <v/>
      </c>
      <c r="G110" s="1074" t="str">
        <f t="shared" si="18"/>
        <v/>
      </c>
      <c r="H110" s="1074" t="str">
        <f t="shared" si="18"/>
        <v/>
      </c>
      <c r="I110" s="1074" t="str">
        <f t="shared" si="18"/>
        <v/>
      </c>
      <c r="J110" s="1074" t="str">
        <f t="shared" si="18"/>
        <v/>
      </c>
      <c r="K110" s="1074" t="str">
        <f t="shared" si="18"/>
        <v/>
      </c>
      <c r="L110" s="1421" t="str">
        <f t="shared" si="18"/>
        <v/>
      </c>
      <c r="N110" s="1424" t="str">
        <f>IF(N$14=0, "", N$14)</f>
        <v>CGAAP</v>
      </c>
    </row>
    <row r="111" spans="1:14" x14ac:dyDescent="0.2">
      <c r="A111" s="98" t="s">
        <v>1478</v>
      </c>
      <c r="B111" s="98"/>
      <c r="C111" s="98"/>
      <c r="D111" s="98"/>
      <c r="E111" s="98">
        <v>-13169.800000000003</v>
      </c>
      <c r="F111" s="98">
        <v>-11014.699999999999</v>
      </c>
      <c r="G111" s="98">
        <v>-9912</v>
      </c>
      <c r="H111" s="98">
        <v>-9733.8000000000011</v>
      </c>
      <c r="I111" s="98">
        <v>-6778.4999999999945</v>
      </c>
      <c r="J111" s="98">
        <v>-6239.6000000000013</v>
      </c>
      <c r="K111" s="98">
        <v>-8484</v>
      </c>
      <c r="L111" s="212">
        <v>-9926</v>
      </c>
      <c r="N111" s="1427">
        <v>-9912</v>
      </c>
    </row>
    <row r="112" spans="1:14" x14ac:dyDescent="0.2">
      <c r="A112" s="1655" t="s">
        <v>1734</v>
      </c>
      <c r="B112" s="98"/>
      <c r="C112" s="98"/>
      <c r="D112" s="98"/>
      <c r="E112" s="98">
        <v>-4180</v>
      </c>
      <c r="F112" s="98">
        <v>-3920</v>
      </c>
      <c r="G112" s="98">
        <v>-4320</v>
      </c>
      <c r="H112" s="98">
        <v>-4580</v>
      </c>
      <c r="I112" s="98">
        <v>-3760</v>
      </c>
      <c r="J112" s="98">
        <v>-4440</v>
      </c>
      <c r="K112" s="98">
        <v>-7220</v>
      </c>
      <c r="L112" s="212">
        <v>-9302</v>
      </c>
      <c r="N112" s="1427">
        <v>-4320</v>
      </c>
    </row>
    <row r="113" spans="1:14" x14ac:dyDescent="0.2">
      <c r="A113" s="1655" t="s">
        <v>1735</v>
      </c>
      <c r="B113" s="98"/>
      <c r="C113" s="98"/>
      <c r="D113" s="98"/>
      <c r="E113" s="98">
        <v>-22043.5</v>
      </c>
      <c r="F113" s="98">
        <v>-18192</v>
      </c>
      <c r="G113" s="98">
        <v>-16757</v>
      </c>
      <c r="H113" s="98">
        <v>-16352</v>
      </c>
      <c r="I113" s="98">
        <v>-11309.5</v>
      </c>
      <c r="J113" s="98">
        <v>-10130.5</v>
      </c>
      <c r="K113" s="98">
        <v>-14210.5</v>
      </c>
      <c r="L113" s="212">
        <v>-16687</v>
      </c>
      <c r="N113" s="1427">
        <v>-16757</v>
      </c>
    </row>
    <row r="114" spans="1:14" x14ac:dyDescent="0.2">
      <c r="A114" s="2131"/>
      <c r="B114" s="2132"/>
      <c r="C114" s="96"/>
      <c r="D114" s="96"/>
      <c r="E114" s="96"/>
      <c r="F114" s="98"/>
      <c r="G114" s="98"/>
      <c r="H114" s="98"/>
      <c r="I114" s="98"/>
      <c r="J114" s="98"/>
      <c r="K114" s="217"/>
      <c r="L114" s="212"/>
      <c r="N114" s="1427"/>
    </row>
    <row r="115" spans="1:14" x14ac:dyDescent="0.2">
      <c r="A115" s="2102"/>
      <c r="B115" s="2103"/>
      <c r="C115" s="96"/>
      <c r="D115" s="96"/>
      <c r="E115" s="96"/>
      <c r="F115" s="98"/>
      <c r="G115" s="98"/>
      <c r="H115" s="98"/>
      <c r="I115" s="98"/>
      <c r="J115" s="98"/>
      <c r="K115" s="98"/>
      <c r="L115" s="212"/>
      <c r="N115" s="1427"/>
    </row>
    <row r="116" spans="1:14" x14ac:dyDescent="0.2">
      <c r="A116" s="2102"/>
      <c r="B116" s="2103"/>
      <c r="C116" s="98"/>
      <c r="D116" s="98"/>
      <c r="E116" s="98"/>
      <c r="F116" s="98"/>
      <c r="G116" s="98"/>
      <c r="H116" s="98"/>
      <c r="I116" s="98"/>
      <c r="J116" s="98"/>
      <c r="K116" s="98"/>
      <c r="L116" s="212"/>
      <c r="N116" s="1427"/>
    </row>
    <row r="117" spans="1:14" x14ac:dyDescent="0.2">
      <c r="A117" s="2133"/>
      <c r="B117" s="2134"/>
      <c r="C117" s="98"/>
      <c r="D117" s="98"/>
      <c r="E117" s="98"/>
      <c r="F117" s="98"/>
      <c r="G117" s="98"/>
      <c r="H117" s="98"/>
      <c r="I117" s="98"/>
      <c r="J117" s="98"/>
      <c r="K117" s="98"/>
      <c r="L117" s="212"/>
      <c r="N117" s="1427"/>
    </row>
    <row r="118" spans="1:14" ht="13.5" thickBot="1" x14ac:dyDescent="0.25">
      <c r="A118" s="2102"/>
      <c r="B118" s="2103"/>
      <c r="C118" s="831"/>
      <c r="D118" s="831"/>
      <c r="E118" s="831"/>
      <c r="F118" s="831"/>
      <c r="G118" s="123"/>
      <c r="H118" s="123"/>
      <c r="I118" s="123"/>
      <c r="J118" s="123"/>
      <c r="K118" s="218"/>
      <c r="L118" s="219"/>
      <c r="N118" s="1430"/>
    </row>
    <row r="119" spans="1:14" ht="14.25" thickTop="1" thickBot="1" x14ac:dyDescent="0.25">
      <c r="A119" s="2139" t="s">
        <v>259</v>
      </c>
      <c r="B119" s="2140"/>
      <c r="C119" s="1080">
        <f t="shared" ref="C119:L119" si="19">SUM(C111:C118)</f>
        <v>0</v>
      </c>
      <c r="D119" s="1080">
        <f t="shared" si="19"/>
        <v>0</v>
      </c>
      <c r="E119" s="1080">
        <f t="shared" si="19"/>
        <v>-39393.300000000003</v>
      </c>
      <c r="F119" s="1080">
        <f t="shared" si="19"/>
        <v>-33126.699999999997</v>
      </c>
      <c r="G119" s="1080">
        <f t="shared" si="19"/>
        <v>-30989</v>
      </c>
      <c r="H119" s="1080">
        <f t="shared" si="19"/>
        <v>-30665.800000000003</v>
      </c>
      <c r="I119" s="1080">
        <f t="shared" si="19"/>
        <v>-21847.999999999993</v>
      </c>
      <c r="J119" s="1080">
        <f t="shared" si="19"/>
        <v>-20810.100000000002</v>
      </c>
      <c r="K119" s="1080">
        <f t="shared" si="19"/>
        <v>-29914.5</v>
      </c>
      <c r="L119" s="1093">
        <f t="shared" si="19"/>
        <v>-35915</v>
      </c>
      <c r="N119" s="1082">
        <f>SUM(N111:N118)</f>
        <v>-30989</v>
      </c>
    </row>
    <row r="121" spans="1:14" ht="13.5" thickBot="1" x14ac:dyDescent="0.25">
      <c r="A121" s="2141" t="s">
        <v>1510</v>
      </c>
      <c r="B121" s="2141"/>
      <c r="C121" s="2141"/>
    </row>
    <row r="122" spans="1:14" ht="13.5" thickBot="1" x14ac:dyDescent="0.25">
      <c r="A122" s="1089"/>
      <c r="B122" s="1090"/>
      <c r="C122" s="1434" t="str">
        <f t="shared" ref="C122:L122" si="20">C$12</f>
        <v>2011 Actual²</v>
      </c>
      <c r="D122" s="1065" t="str">
        <f t="shared" si="20"/>
        <v>2012 Actual²</v>
      </c>
      <c r="E122" s="1065" t="str">
        <f t="shared" si="20"/>
        <v>2013 Actual²</v>
      </c>
      <c r="F122" s="1065" t="str">
        <f t="shared" si="20"/>
        <v>2014 Actual²</v>
      </c>
      <c r="G122" s="1065" t="str">
        <f t="shared" si="20"/>
        <v>2015 Actual²</v>
      </c>
      <c r="H122" s="1065" t="str">
        <f t="shared" si="20"/>
        <v>2016 Actual²</v>
      </c>
      <c r="I122" s="1065" t="str">
        <f t="shared" si="20"/>
        <v>2017 Actual²</v>
      </c>
      <c r="J122" s="1065" t="str">
        <f t="shared" si="20"/>
        <v>2018 Actual</v>
      </c>
      <c r="K122" s="1065" t="str">
        <f t="shared" si="20"/>
        <v>Bridge Year</v>
      </c>
      <c r="L122" s="1088" t="str">
        <f t="shared" si="20"/>
        <v>Test Year</v>
      </c>
      <c r="N122" s="1422" t="str">
        <f>N$12</f>
        <v>CGAAP</v>
      </c>
    </row>
    <row r="123" spans="1:14" ht="13.5" thickBot="1" x14ac:dyDescent="0.25">
      <c r="A123" s="1089"/>
      <c r="B123" s="1090"/>
      <c r="C123" s="1065">
        <f t="shared" ref="C123:L123" si="21">C$13</f>
        <v>2011</v>
      </c>
      <c r="D123" s="1065">
        <f t="shared" si="21"/>
        <v>2012</v>
      </c>
      <c r="E123" s="1065">
        <f t="shared" si="21"/>
        <v>2013</v>
      </c>
      <c r="F123" s="1065">
        <f t="shared" si="21"/>
        <v>2014</v>
      </c>
      <c r="G123" s="1065">
        <f t="shared" si="21"/>
        <v>2015</v>
      </c>
      <c r="H123" s="1065">
        <f t="shared" si="21"/>
        <v>2016</v>
      </c>
      <c r="I123" s="1065">
        <f t="shared" si="21"/>
        <v>2017</v>
      </c>
      <c r="J123" s="1065">
        <f t="shared" si="21"/>
        <v>2018</v>
      </c>
      <c r="K123" s="1065">
        <f t="shared" si="21"/>
        <v>2019</v>
      </c>
      <c r="L123" s="1088">
        <f t="shared" si="21"/>
        <v>2020</v>
      </c>
      <c r="N123" s="1423">
        <f>N$13</f>
        <v>2015</v>
      </c>
    </row>
    <row r="124" spans="1:14" x14ac:dyDescent="0.2">
      <c r="A124" s="2136" t="s">
        <v>90</v>
      </c>
      <c r="B124" s="2137"/>
      <c r="C124" s="1074" t="str">
        <f t="shared" ref="C124:L124" si="22">IF(C62=0, "", C62)</f>
        <v/>
      </c>
      <c r="D124" s="1074" t="str">
        <f t="shared" si="22"/>
        <v/>
      </c>
      <c r="E124" s="1074" t="str">
        <f t="shared" si="22"/>
        <v/>
      </c>
      <c r="F124" s="1074" t="str">
        <f t="shared" si="22"/>
        <v/>
      </c>
      <c r="G124" s="1074" t="str">
        <f t="shared" si="22"/>
        <v/>
      </c>
      <c r="H124" s="1074" t="str">
        <f t="shared" si="22"/>
        <v/>
      </c>
      <c r="I124" s="1074" t="str">
        <f t="shared" si="22"/>
        <v/>
      </c>
      <c r="J124" s="1074" t="str">
        <f t="shared" si="22"/>
        <v/>
      </c>
      <c r="K124" s="1074" t="str">
        <f t="shared" si="22"/>
        <v/>
      </c>
      <c r="L124" s="1421" t="str">
        <f t="shared" si="22"/>
        <v/>
      </c>
      <c r="N124" s="1424" t="str">
        <f>IF(N$14=0, "", N$14)</f>
        <v>CGAAP</v>
      </c>
    </row>
    <row r="125" spans="1:14" x14ac:dyDescent="0.2">
      <c r="A125" s="1655" t="s">
        <v>1511</v>
      </c>
      <c r="B125" s="98"/>
      <c r="C125" s="98"/>
      <c r="D125" s="98"/>
      <c r="E125" s="98">
        <v>-120398.93999999997</v>
      </c>
      <c r="F125" s="98">
        <v>-121707.24999999987</v>
      </c>
      <c r="G125" s="98">
        <v>-122265</v>
      </c>
      <c r="H125" s="98">
        <v>-142589.75000000012</v>
      </c>
      <c r="I125" s="98">
        <v>-125795.91000000015</v>
      </c>
      <c r="J125" s="98">
        <v>-127053.02000000021</v>
      </c>
      <c r="K125" s="98">
        <v>-128065.65</v>
      </c>
      <c r="L125" s="212">
        <v>-126713</v>
      </c>
      <c r="N125" s="1427">
        <v>-122265</v>
      </c>
    </row>
    <row r="126" spans="1:14" x14ac:dyDescent="0.2">
      <c r="A126" s="1655" t="s">
        <v>1512</v>
      </c>
      <c r="B126" s="98"/>
      <c r="C126" s="98"/>
      <c r="D126" s="98"/>
      <c r="E126" s="98">
        <v>-11311.040000000006</v>
      </c>
      <c r="F126" s="98">
        <v>-11400.55</v>
      </c>
      <c r="G126" s="98">
        <v>-11193.560000000003</v>
      </c>
      <c r="H126" s="98">
        <v>-12794.860000000013</v>
      </c>
      <c r="I126" s="98">
        <v>-11243.149999999994</v>
      </c>
      <c r="J126" s="98">
        <v>-11420.4</v>
      </c>
      <c r="K126" s="98">
        <v>-11438.52</v>
      </c>
      <c r="L126" s="212">
        <v>-11500</v>
      </c>
      <c r="N126" s="1427">
        <v>-11193.560000000003</v>
      </c>
    </row>
    <row r="127" spans="1:14" x14ac:dyDescent="0.2">
      <c r="A127" s="1655" t="s">
        <v>1513</v>
      </c>
      <c r="B127" s="98"/>
      <c r="C127" s="98"/>
      <c r="D127" s="98"/>
      <c r="E127" s="98">
        <v>-1289.6099999999997</v>
      </c>
      <c r="F127" s="98">
        <v>-1296.96</v>
      </c>
      <c r="G127" s="98">
        <v>-1288.3299999999997</v>
      </c>
      <c r="H127" s="98">
        <v>-1388.9999999999998</v>
      </c>
      <c r="I127" s="98">
        <v>-1289.3699999999994</v>
      </c>
      <c r="J127" s="98">
        <v>-1259.5299999999993</v>
      </c>
      <c r="K127" s="98">
        <v>-1264.8499999999999</v>
      </c>
      <c r="L127" s="212">
        <v>-1250</v>
      </c>
      <c r="N127" s="1427">
        <v>-1288.3299999999997</v>
      </c>
    </row>
    <row r="128" spans="1:14" x14ac:dyDescent="0.2">
      <c r="A128" s="1655" t="s">
        <v>1514</v>
      </c>
      <c r="B128" s="98"/>
      <c r="C128" s="98"/>
      <c r="D128" s="98"/>
      <c r="E128" s="98">
        <v>-584.23</v>
      </c>
      <c r="F128" s="98">
        <v>-576.41</v>
      </c>
      <c r="G128" s="98">
        <v>-558.91000000000008</v>
      </c>
      <c r="H128" s="98">
        <v>-633.40000000000009</v>
      </c>
      <c r="I128" s="98">
        <v>-525.55999999999995</v>
      </c>
      <c r="J128" s="98">
        <v>-505.76999999999992</v>
      </c>
      <c r="K128" s="98">
        <v>-504.45</v>
      </c>
      <c r="L128" s="212">
        <v>-510</v>
      </c>
      <c r="N128" s="1427">
        <v>-558.91000000000008</v>
      </c>
    </row>
    <row r="129" spans="1:14" x14ac:dyDescent="0.2">
      <c r="A129" s="1655" t="s">
        <v>1516</v>
      </c>
      <c r="B129" s="98"/>
      <c r="C129" s="98"/>
      <c r="D129" s="98"/>
      <c r="E129" s="98">
        <v>-572.53</v>
      </c>
      <c r="F129" s="98">
        <v>-560.46</v>
      </c>
      <c r="G129" s="98">
        <v>-529.36</v>
      </c>
      <c r="H129" s="98">
        <v>-564.92999999999995</v>
      </c>
      <c r="I129" s="98">
        <v>-496.09</v>
      </c>
      <c r="J129" s="98">
        <v>-488.53</v>
      </c>
      <c r="K129" s="98">
        <v>-470.3</v>
      </c>
      <c r="L129" s="212">
        <v>-500</v>
      </c>
      <c r="N129" s="1427">
        <v>-529.36</v>
      </c>
    </row>
    <row r="130" spans="1:14" x14ac:dyDescent="0.2">
      <c r="A130" s="1655" t="s">
        <v>1515</v>
      </c>
      <c r="B130" s="98"/>
      <c r="C130" s="98"/>
      <c r="D130" s="98"/>
      <c r="E130" s="98">
        <v>-6.6</v>
      </c>
      <c r="F130" s="98">
        <v>-6.1</v>
      </c>
      <c r="G130" s="98">
        <v>-6.1</v>
      </c>
      <c r="H130" s="98">
        <v>-6.6399999999999988</v>
      </c>
      <c r="I130" s="98">
        <v>-6.1</v>
      </c>
      <c r="J130" s="98">
        <v>-6.1</v>
      </c>
      <c r="K130" s="98">
        <v>-6.1</v>
      </c>
      <c r="L130" s="212">
        <v>0</v>
      </c>
      <c r="N130" s="1427">
        <v>-6.1</v>
      </c>
    </row>
    <row r="131" spans="1:14" x14ac:dyDescent="0.2">
      <c r="A131" s="2133"/>
      <c r="B131" s="2134"/>
      <c r="C131" s="98"/>
      <c r="D131" s="98"/>
      <c r="E131" s="98"/>
      <c r="F131" s="98"/>
      <c r="G131" s="98"/>
      <c r="H131" s="98"/>
      <c r="I131" s="98"/>
      <c r="J131" s="98"/>
      <c r="K131" s="98"/>
      <c r="L131" s="212"/>
      <c r="N131" s="1427"/>
    </row>
    <row r="132" spans="1:14" ht="13.5" thickBot="1" x14ac:dyDescent="0.25">
      <c r="A132" s="2102"/>
      <c r="B132" s="2103"/>
      <c r="C132" s="831"/>
      <c r="D132" s="831"/>
      <c r="E132" s="831"/>
      <c r="F132" s="831"/>
      <c r="G132" s="123"/>
      <c r="H132" s="123"/>
      <c r="I132" s="123"/>
      <c r="J132" s="123"/>
      <c r="K132" s="218"/>
      <c r="L132" s="219"/>
      <c r="N132" s="1430"/>
    </row>
    <row r="133" spans="1:14" ht="14.25" thickTop="1" thickBot="1" x14ac:dyDescent="0.25">
      <c r="A133" s="2139" t="s">
        <v>259</v>
      </c>
      <c r="B133" s="2140"/>
      <c r="C133" s="1080">
        <f t="shared" ref="C133:L133" si="23">SUM(C125:C132)</f>
        <v>0</v>
      </c>
      <c r="D133" s="1080">
        <f t="shared" si="23"/>
        <v>0</v>
      </c>
      <c r="E133" s="1080">
        <f t="shared" si="23"/>
        <v>-134162.94999999998</v>
      </c>
      <c r="F133" s="1080">
        <f t="shared" si="23"/>
        <v>-135547.72999999986</v>
      </c>
      <c r="G133" s="1080">
        <f t="shared" si="23"/>
        <v>-135841.25999999998</v>
      </c>
      <c r="H133" s="1080">
        <f t="shared" si="23"/>
        <v>-157978.58000000013</v>
      </c>
      <c r="I133" s="1080">
        <f t="shared" si="23"/>
        <v>-139356.18000000014</v>
      </c>
      <c r="J133" s="1080">
        <f t="shared" si="23"/>
        <v>-140733.35000000021</v>
      </c>
      <c r="K133" s="1080">
        <f t="shared" si="23"/>
        <v>-141749.87</v>
      </c>
      <c r="L133" s="1093">
        <f t="shared" si="23"/>
        <v>-140473</v>
      </c>
      <c r="N133" s="1082">
        <f>SUM(N125:N132)</f>
        <v>-135841.25999999998</v>
      </c>
    </row>
    <row r="135" spans="1:14" ht="13.5" thickBot="1" x14ac:dyDescent="0.25">
      <c r="A135" s="2141" t="s">
        <v>1479</v>
      </c>
      <c r="B135" s="2141"/>
      <c r="C135" s="2141"/>
    </row>
    <row r="136" spans="1:14" ht="13.5" thickBot="1" x14ac:dyDescent="0.25">
      <c r="A136" s="1089"/>
      <c r="B136" s="1090"/>
      <c r="C136" s="1434" t="str">
        <f t="shared" ref="C136:L136" si="24">C$12</f>
        <v>2011 Actual²</v>
      </c>
      <c r="D136" s="1065" t="str">
        <f t="shared" si="24"/>
        <v>2012 Actual²</v>
      </c>
      <c r="E136" s="1065" t="str">
        <f t="shared" si="24"/>
        <v>2013 Actual²</v>
      </c>
      <c r="F136" s="1065" t="str">
        <f t="shared" si="24"/>
        <v>2014 Actual²</v>
      </c>
      <c r="G136" s="1065" t="str">
        <f t="shared" si="24"/>
        <v>2015 Actual²</v>
      </c>
      <c r="H136" s="1065" t="str">
        <f t="shared" si="24"/>
        <v>2016 Actual²</v>
      </c>
      <c r="I136" s="1065" t="str">
        <f t="shared" si="24"/>
        <v>2017 Actual²</v>
      </c>
      <c r="J136" s="1065" t="str">
        <f t="shared" si="24"/>
        <v>2018 Actual</v>
      </c>
      <c r="K136" s="1065" t="str">
        <f t="shared" si="24"/>
        <v>Bridge Year</v>
      </c>
      <c r="L136" s="1088" t="str">
        <f t="shared" si="24"/>
        <v>Test Year</v>
      </c>
      <c r="N136" s="1422" t="str">
        <f>N$12</f>
        <v>CGAAP</v>
      </c>
    </row>
    <row r="137" spans="1:14" ht="13.5" thickBot="1" x14ac:dyDescent="0.25">
      <c r="A137" s="1089"/>
      <c r="B137" s="1090"/>
      <c r="C137" s="1065">
        <f t="shared" ref="C137:L137" si="25">C$13</f>
        <v>2011</v>
      </c>
      <c r="D137" s="1065">
        <f t="shared" si="25"/>
        <v>2012</v>
      </c>
      <c r="E137" s="1065">
        <f t="shared" si="25"/>
        <v>2013</v>
      </c>
      <c r="F137" s="1065">
        <f t="shared" si="25"/>
        <v>2014</v>
      </c>
      <c r="G137" s="1065">
        <f t="shared" si="25"/>
        <v>2015</v>
      </c>
      <c r="H137" s="1065">
        <f t="shared" si="25"/>
        <v>2016</v>
      </c>
      <c r="I137" s="1065">
        <f t="shared" si="25"/>
        <v>2017</v>
      </c>
      <c r="J137" s="1065">
        <f t="shared" si="25"/>
        <v>2018</v>
      </c>
      <c r="K137" s="1065">
        <f t="shared" si="25"/>
        <v>2019</v>
      </c>
      <c r="L137" s="1088">
        <f t="shared" si="25"/>
        <v>2020</v>
      </c>
      <c r="N137" s="1423">
        <f>N$13</f>
        <v>2015</v>
      </c>
    </row>
    <row r="138" spans="1:14" x14ac:dyDescent="0.2">
      <c r="A138" s="2136" t="s">
        <v>90</v>
      </c>
      <c r="B138" s="2137"/>
      <c r="C138" s="1074" t="str">
        <f t="shared" ref="C138:L138" si="26">IF(C76=0, "", C76)</f>
        <v/>
      </c>
      <c r="D138" s="1074" t="str">
        <f t="shared" si="26"/>
        <v/>
      </c>
      <c r="E138" s="1074" t="str">
        <f t="shared" si="26"/>
        <v>CGAAP</v>
      </c>
      <c r="F138" s="1074" t="str">
        <f t="shared" si="26"/>
        <v>CGAAP</v>
      </c>
      <c r="G138" s="1074" t="str">
        <f t="shared" si="26"/>
        <v>MIFRS</v>
      </c>
      <c r="H138" s="1074" t="str">
        <f t="shared" si="26"/>
        <v>MIFRS</v>
      </c>
      <c r="I138" s="1074" t="str">
        <f t="shared" si="26"/>
        <v>MIFRS</v>
      </c>
      <c r="J138" s="1074" t="str">
        <f t="shared" si="26"/>
        <v>MIFRS</v>
      </c>
      <c r="K138" s="1074" t="str">
        <f t="shared" si="26"/>
        <v>MIFRS</v>
      </c>
      <c r="L138" s="1421" t="str">
        <f t="shared" si="26"/>
        <v>MIFRS</v>
      </c>
      <c r="N138" s="1424" t="str">
        <f>IF(N$14=0, "", N$14)</f>
        <v>CGAAP</v>
      </c>
    </row>
    <row r="139" spans="1:14" x14ac:dyDescent="0.2">
      <c r="A139" s="2138" t="s">
        <v>1736</v>
      </c>
      <c r="B139" s="2103"/>
      <c r="C139" s="96"/>
      <c r="D139" s="96"/>
      <c r="E139" s="98">
        <v>-1114.25</v>
      </c>
      <c r="F139" s="98">
        <v>-732.75</v>
      </c>
      <c r="G139" s="98">
        <v>-852.5</v>
      </c>
      <c r="H139" s="98">
        <v>-642.5</v>
      </c>
      <c r="I139" s="98">
        <v>-305.75</v>
      </c>
      <c r="J139" s="98">
        <v>-301.75</v>
      </c>
      <c r="K139" s="98">
        <v>-496</v>
      </c>
      <c r="L139" s="212">
        <v>-930</v>
      </c>
      <c r="N139" s="1427">
        <v>-852.5</v>
      </c>
    </row>
    <row r="140" spans="1:14" x14ac:dyDescent="0.2">
      <c r="A140" s="2102"/>
      <c r="B140" s="2103"/>
      <c r="C140" s="96"/>
      <c r="D140" s="96"/>
      <c r="E140" s="96"/>
      <c r="F140" s="96"/>
      <c r="G140" s="96"/>
      <c r="H140" s="96"/>
      <c r="I140" s="96"/>
      <c r="J140" s="96"/>
      <c r="K140" s="217"/>
      <c r="L140" s="212"/>
      <c r="N140" s="1427"/>
    </row>
    <row r="141" spans="1:14" x14ac:dyDescent="0.2">
      <c r="A141" s="2131"/>
      <c r="B141" s="2132"/>
      <c r="C141" s="96"/>
      <c r="D141" s="96"/>
      <c r="E141" s="96"/>
      <c r="F141" s="98"/>
      <c r="G141" s="98"/>
      <c r="H141" s="98"/>
      <c r="I141" s="98"/>
      <c r="J141" s="98"/>
      <c r="K141" s="217"/>
      <c r="L141" s="212"/>
      <c r="N141" s="1427"/>
    </row>
    <row r="142" spans="1:14" x14ac:dyDescent="0.2">
      <c r="A142" s="2131"/>
      <c r="B142" s="2132"/>
      <c r="C142" s="96"/>
      <c r="D142" s="96"/>
      <c r="E142" s="96"/>
      <c r="F142" s="98"/>
      <c r="G142" s="98"/>
      <c r="H142" s="98"/>
      <c r="I142" s="98"/>
      <c r="J142" s="98"/>
      <c r="K142" s="217"/>
      <c r="L142" s="212"/>
      <c r="N142" s="1427"/>
    </row>
    <row r="143" spans="1:14" x14ac:dyDescent="0.2">
      <c r="A143" s="2102"/>
      <c r="B143" s="2103"/>
      <c r="C143" s="96"/>
      <c r="D143" s="96"/>
      <c r="E143" s="96"/>
      <c r="F143" s="98"/>
      <c r="G143" s="98"/>
      <c r="H143" s="98"/>
      <c r="I143" s="98"/>
      <c r="J143" s="98"/>
      <c r="K143" s="98"/>
      <c r="L143" s="212"/>
      <c r="N143" s="1427"/>
    </row>
    <row r="144" spans="1:14" x14ac:dyDescent="0.2">
      <c r="A144" s="2102"/>
      <c r="B144" s="2103"/>
      <c r="C144" s="98"/>
      <c r="D144" s="98"/>
      <c r="E144" s="98"/>
      <c r="F144" s="98"/>
      <c r="G144" s="98"/>
      <c r="H144" s="98"/>
      <c r="I144" s="98"/>
      <c r="J144" s="98"/>
      <c r="K144" s="98"/>
      <c r="L144" s="212"/>
      <c r="N144" s="1427"/>
    </row>
    <row r="145" spans="1:14" x14ac:dyDescent="0.2">
      <c r="A145" s="2133"/>
      <c r="B145" s="2134"/>
      <c r="C145" s="98"/>
      <c r="D145" s="98"/>
      <c r="E145" s="98"/>
      <c r="F145" s="98"/>
      <c r="G145" s="98"/>
      <c r="H145" s="98"/>
      <c r="I145" s="98"/>
      <c r="J145" s="98"/>
      <c r="K145" s="98"/>
      <c r="L145" s="212"/>
      <c r="N145" s="1427"/>
    </row>
    <row r="146" spans="1:14" ht="13.5" thickBot="1" x14ac:dyDescent="0.25">
      <c r="A146" s="2102"/>
      <c r="B146" s="2103"/>
      <c r="C146" s="831"/>
      <c r="D146" s="831"/>
      <c r="E146" s="831"/>
      <c r="F146" s="831"/>
      <c r="G146" s="123"/>
      <c r="H146" s="123"/>
      <c r="I146" s="123"/>
      <c r="J146" s="123"/>
      <c r="K146" s="218"/>
      <c r="L146" s="219"/>
      <c r="N146" s="1430"/>
    </row>
    <row r="147" spans="1:14" ht="14.25" thickTop="1" thickBot="1" x14ac:dyDescent="0.25">
      <c r="A147" s="2139" t="s">
        <v>259</v>
      </c>
      <c r="B147" s="2140"/>
      <c r="C147" s="1080">
        <f t="shared" ref="C147:L147" si="27">SUM(C139:C146)</f>
        <v>0</v>
      </c>
      <c r="D147" s="1080">
        <f t="shared" si="27"/>
        <v>0</v>
      </c>
      <c r="E147" s="1080">
        <f t="shared" si="27"/>
        <v>-1114.25</v>
      </c>
      <c r="F147" s="1080">
        <f t="shared" si="27"/>
        <v>-732.75</v>
      </c>
      <c r="G147" s="1080">
        <f t="shared" si="27"/>
        <v>-852.5</v>
      </c>
      <c r="H147" s="1080">
        <f t="shared" si="27"/>
        <v>-642.5</v>
      </c>
      <c r="I147" s="1080">
        <f t="shared" si="27"/>
        <v>-305.75</v>
      </c>
      <c r="J147" s="1080">
        <f t="shared" si="27"/>
        <v>-301.75</v>
      </c>
      <c r="K147" s="1080">
        <f t="shared" si="27"/>
        <v>-496</v>
      </c>
      <c r="L147" s="1093">
        <f t="shared" si="27"/>
        <v>-930</v>
      </c>
      <c r="N147" s="1082">
        <f>SUM(N139:N146)</f>
        <v>-852.5</v>
      </c>
    </row>
    <row r="149" spans="1:14" ht="13.5" thickBot="1" x14ac:dyDescent="0.25">
      <c r="A149" s="2141" t="s">
        <v>1480</v>
      </c>
      <c r="B149" s="2141"/>
      <c r="C149" s="2141"/>
    </row>
    <row r="150" spans="1:14" ht="13.5" thickBot="1" x14ac:dyDescent="0.25">
      <c r="A150" s="1089"/>
      <c r="B150" s="1090"/>
      <c r="C150" s="1434" t="str">
        <f t="shared" ref="C150:L150" si="28">C$12</f>
        <v>2011 Actual²</v>
      </c>
      <c r="D150" s="1065" t="str">
        <f t="shared" si="28"/>
        <v>2012 Actual²</v>
      </c>
      <c r="E150" s="1065" t="str">
        <f t="shared" si="28"/>
        <v>2013 Actual²</v>
      </c>
      <c r="F150" s="1065" t="str">
        <f t="shared" si="28"/>
        <v>2014 Actual²</v>
      </c>
      <c r="G150" s="1065" t="str">
        <f t="shared" si="28"/>
        <v>2015 Actual²</v>
      </c>
      <c r="H150" s="1065" t="str">
        <f t="shared" si="28"/>
        <v>2016 Actual²</v>
      </c>
      <c r="I150" s="1065" t="str">
        <f t="shared" si="28"/>
        <v>2017 Actual²</v>
      </c>
      <c r="J150" s="1065" t="str">
        <f t="shared" si="28"/>
        <v>2018 Actual</v>
      </c>
      <c r="K150" s="1065" t="str">
        <f t="shared" si="28"/>
        <v>Bridge Year</v>
      </c>
      <c r="L150" s="1088" t="str">
        <f t="shared" si="28"/>
        <v>Test Year</v>
      </c>
      <c r="N150" s="1422" t="str">
        <f>N$12</f>
        <v>CGAAP</v>
      </c>
    </row>
    <row r="151" spans="1:14" ht="13.5" thickBot="1" x14ac:dyDescent="0.25">
      <c r="A151" s="1089"/>
      <c r="B151" s="1090"/>
      <c r="C151" s="1065">
        <f t="shared" ref="C151:L151" si="29">C$13</f>
        <v>2011</v>
      </c>
      <c r="D151" s="1065">
        <f t="shared" si="29"/>
        <v>2012</v>
      </c>
      <c r="E151" s="1065">
        <f t="shared" si="29"/>
        <v>2013</v>
      </c>
      <c r="F151" s="1065">
        <f t="shared" si="29"/>
        <v>2014</v>
      </c>
      <c r="G151" s="1065">
        <f t="shared" si="29"/>
        <v>2015</v>
      </c>
      <c r="H151" s="1065">
        <f t="shared" si="29"/>
        <v>2016</v>
      </c>
      <c r="I151" s="1065">
        <f t="shared" si="29"/>
        <v>2017</v>
      </c>
      <c r="J151" s="1065">
        <f t="shared" si="29"/>
        <v>2018</v>
      </c>
      <c r="K151" s="1065">
        <f t="shared" si="29"/>
        <v>2019</v>
      </c>
      <c r="L151" s="1088">
        <f t="shared" si="29"/>
        <v>2020</v>
      </c>
      <c r="N151" s="1423">
        <f>N$13</f>
        <v>2015</v>
      </c>
    </row>
    <row r="152" spans="1:14" x14ac:dyDescent="0.2">
      <c r="A152" s="2136" t="s">
        <v>90</v>
      </c>
      <c r="B152" s="2137"/>
      <c r="C152" s="1074" t="str">
        <f t="shared" ref="C152:L152" si="30">IF(C90=0, "", C90)</f>
        <v/>
      </c>
      <c r="D152" s="1074" t="str">
        <f t="shared" si="30"/>
        <v/>
      </c>
      <c r="E152" s="1074" t="str">
        <f t="shared" si="30"/>
        <v/>
      </c>
      <c r="F152" s="1074" t="str">
        <f t="shared" si="30"/>
        <v/>
      </c>
      <c r="G152" s="1074" t="str">
        <f t="shared" si="30"/>
        <v/>
      </c>
      <c r="H152" s="1074" t="str">
        <f t="shared" si="30"/>
        <v/>
      </c>
      <c r="I152" s="1074" t="str">
        <f t="shared" si="30"/>
        <v/>
      </c>
      <c r="J152" s="1074" t="str">
        <f t="shared" si="30"/>
        <v/>
      </c>
      <c r="K152" s="1074" t="str">
        <f t="shared" si="30"/>
        <v/>
      </c>
      <c r="L152" s="1421" t="str">
        <f t="shared" si="30"/>
        <v/>
      </c>
      <c r="N152" s="1424" t="str">
        <f>IF(N$14=0, "", N$14)</f>
        <v>CGAAP</v>
      </c>
    </row>
    <row r="153" spans="1:14" x14ac:dyDescent="0.2">
      <c r="A153" s="2138" t="s">
        <v>1517</v>
      </c>
      <c r="B153" s="2103"/>
      <c r="C153" s="96"/>
      <c r="D153" s="96"/>
      <c r="E153" s="98">
        <v>-90627.48</v>
      </c>
      <c r="F153" s="98">
        <v>-90627.48</v>
      </c>
      <c r="G153" s="98">
        <v>-90627.48</v>
      </c>
      <c r="H153" s="98">
        <v>-61233.9</v>
      </c>
      <c r="I153" s="98">
        <v>-59806.92</v>
      </c>
      <c r="J153" s="98">
        <v>-59806.92</v>
      </c>
      <c r="K153" s="98">
        <v>-61234.92</v>
      </c>
      <c r="L153" s="212">
        <v>-61235</v>
      </c>
      <c r="N153" s="1427">
        <v>-90627.48</v>
      </c>
    </row>
    <row r="154" spans="1:14" x14ac:dyDescent="0.2">
      <c r="A154" s="2138" t="s">
        <v>1531</v>
      </c>
      <c r="B154" s="2103"/>
      <c r="C154" s="96"/>
      <c r="D154" s="96"/>
      <c r="E154" s="96">
        <v>-458599.08</v>
      </c>
      <c r="F154" s="96">
        <v>-423739.85</v>
      </c>
      <c r="G154" s="96">
        <v>-686732</v>
      </c>
      <c r="H154" s="96">
        <v>-526448.16</v>
      </c>
      <c r="I154" s="96">
        <v>-517394.5</v>
      </c>
      <c r="J154" s="96">
        <v>-559739.41</v>
      </c>
      <c r="K154" s="217">
        <v>-1034617.64</v>
      </c>
      <c r="L154" s="212">
        <v>-1049719.7392</v>
      </c>
      <c r="N154" s="1427">
        <v>-686732</v>
      </c>
    </row>
    <row r="155" spans="1:14" x14ac:dyDescent="0.2">
      <c r="A155" s="2131"/>
      <c r="B155" s="2132"/>
      <c r="C155" s="96"/>
      <c r="D155" s="96"/>
      <c r="E155" s="96"/>
      <c r="F155" s="98"/>
      <c r="G155" s="98"/>
      <c r="H155" s="98"/>
      <c r="I155" s="98"/>
      <c r="J155" s="98"/>
      <c r="K155" s="217"/>
      <c r="L155" s="212"/>
      <c r="N155" s="1427"/>
    </row>
    <row r="156" spans="1:14" x14ac:dyDescent="0.2">
      <c r="A156" s="2131"/>
      <c r="B156" s="2132"/>
      <c r="C156" s="96"/>
      <c r="D156" s="96"/>
      <c r="E156" s="96"/>
      <c r="F156" s="98"/>
      <c r="G156" s="98"/>
      <c r="H156" s="98"/>
      <c r="I156" s="98"/>
      <c r="J156" s="98"/>
      <c r="K156" s="217"/>
      <c r="L156" s="212"/>
      <c r="N156" s="1427"/>
    </row>
    <row r="157" spans="1:14" x14ac:dyDescent="0.2">
      <c r="A157" s="2102"/>
      <c r="B157" s="2103"/>
      <c r="C157" s="96"/>
      <c r="D157" s="96"/>
      <c r="E157" s="96"/>
      <c r="F157" s="98"/>
      <c r="G157" s="98"/>
      <c r="H157" s="98"/>
      <c r="I157" s="98"/>
      <c r="J157" s="98"/>
      <c r="K157" s="98"/>
      <c r="L157" s="212"/>
      <c r="N157" s="1427"/>
    </row>
    <row r="158" spans="1:14" x14ac:dyDescent="0.2">
      <c r="A158" s="2102"/>
      <c r="B158" s="2103"/>
      <c r="C158" s="98"/>
      <c r="D158" s="98"/>
      <c r="E158" s="98"/>
      <c r="F158" s="98"/>
      <c r="G158" s="98"/>
      <c r="H158" s="98"/>
      <c r="I158" s="98"/>
      <c r="J158" s="98"/>
      <c r="K158" s="98"/>
      <c r="L158" s="212"/>
      <c r="N158" s="1427"/>
    </row>
    <row r="159" spans="1:14" x14ac:dyDescent="0.2">
      <c r="A159" s="2133"/>
      <c r="B159" s="2134"/>
      <c r="C159" s="98"/>
      <c r="D159" s="98"/>
      <c r="E159" s="98"/>
      <c r="F159" s="98"/>
      <c r="G159" s="98"/>
      <c r="H159" s="98"/>
      <c r="I159" s="98"/>
      <c r="J159" s="98"/>
      <c r="K159" s="98"/>
      <c r="L159" s="212"/>
      <c r="N159" s="1427"/>
    </row>
    <row r="160" spans="1:14" ht="13.5" thickBot="1" x14ac:dyDescent="0.25">
      <c r="A160" s="2102"/>
      <c r="B160" s="2103"/>
      <c r="C160" s="831"/>
      <c r="D160" s="831"/>
      <c r="E160" s="831"/>
      <c r="F160" s="831"/>
      <c r="G160" s="123"/>
      <c r="H160" s="123"/>
      <c r="I160" s="123"/>
      <c r="J160" s="123"/>
      <c r="K160" s="218"/>
      <c r="L160" s="219"/>
      <c r="N160" s="1430"/>
    </row>
    <row r="161" spans="1:14" ht="14.25" thickTop="1" thickBot="1" x14ac:dyDescent="0.25">
      <c r="A161" s="2139" t="s">
        <v>259</v>
      </c>
      <c r="B161" s="2140"/>
      <c r="C161" s="1080">
        <f t="shared" ref="C161:L161" si="31">SUM(C153:C160)</f>
        <v>0</v>
      </c>
      <c r="D161" s="1080">
        <f t="shared" si="31"/>
        <v>0</v>
      </c>
      <c r="E161" s="1080">
        <f t="shared" si="31"/>
        <v>-549226.56000000006</v>
      </c>
      <c r="F161" s="1080">
        <f t="shared" si="31"/>
        <v>-514367.32999999996</v>
      </c>
      <c r="G161" s="1080">
        <f t="shared" si="31"/>
        <v>-777359.48</v>
      </c>
      <c r="H161" s="1080">
        <f t="shared" si="31"/>
        <v>-587682.06000000006</v>
      </c>
      <c r="I161" s="1080">
        <f t="shared" si="31"/>
        <v>-577201.42000000004</v>
      </c>
      <c r="J161" s="1080">
        <f t="shared" si="31"/>
        <v>-619546.33000000007</v>
      </c>
      <c r="K161" s="1080">
        <f t="shared" si="31"/>
        <v>-1095852.56</v>
      </c>
      <c r="L161" s="1093">
        <f t="shared" si="31"/>
        <v>-1110954.7392</v>
      </c>
      <c r="N161" s="1082">
        <f>SUM(N153:N160)</f>
        <v>-777359.48</v>
      </c>
    </row>
    <row r="163" spans="1:14" ht="13.5" thickBot="1" x14ac:dyDescent="0.25">
      <c r="A163" s="2141" t="s">
        <v>1481</v>
      </c>
      <c r="B163" s="2141"/>
      <c r="C163" s="2141"/>
    </row>
    <row r="164" spans="1:14" ht="13.5" thickBot="1" x14ac:dyDescent="0.25">
      <c r="A164" s="1089"/>
      <c r="B164" s="1090"/>
      <c r="C164" s="1434" t="str">
        <f t="shared" ref="C164:L164" si="32">C$12</f>
        <v>2011 Actual²</v>
      </c>
      <c r="D164" s="1065" t="str">
        <f t="shared" si="32"/>
        <v>2012 Actual²</v>
      </c>
      <c r="E164" s="1065" t="str">
        <f t="shared" si="32"/>
        <v>2013 Actual²</v>
      </c>
      <c r="F164" s="1065" t="str">
        <f t="shared" si="32"/>
        <v>2014 Actual²</v>
      </c>
      <c r="G164" s="1065" t="str">
        <f t="shared" si="32"/>
        <v>2015 Actual²</v>
      </c>
      <c r="H164" s="1065" t="str">
        <f t="shared" si="32"/>
        <v>2016 Actual²</v>
      </c>
      <c r="I164" s="1065" t="str">
        <f t="shared" si="32"/>
        <v>2017 Actual²</v>
      </c>
      <c r="J164" s="1065" t="str">
        <f t="shared" si="32"/>
        <v>2018 Actual</v>
      </c>
      <c r="K164" s="1065" t="str">
        <f t="shared" si="32"/>
        <v>Bridge Year</v>
      </c>
      <c r="L164" s="1088" t="str">
        <f t="shared" si="32"/>
        <v>Test Year</v>
      </c>
      <c r="N164" s="1422" t="str">
        <f>N$12</f>
        <v>CGAAP</v>
      </c>
    </row>
    <row r="165" spans="1:14" ht="13.5" thickBot="1" x14ac:dyDescent="0.25">
      <c r="A165" s="1089"/>
      <c r="B165" s="1090"/>
      <c r="C165" s="1065">
        <f t="shared" ref="C165:L165" si="33">C$13</f>
        <v>2011</v>
      </c>
      <c r="D165" s="1065">
        <f t="shared" si="33"/>
        <v>2012</v>
      </c>
      <c r="E165" s="1065">
        <f t="shared" si="33"/>
        <v>2013</v>
      </c>
      <c r="F165" s="1065">
        <f t="shared" si="33"/>
        <v>2014</v>
      </c>
      <c r="G165" s="1065">
        <f t="shared" si="33"/>
        <v>2015</v>
      </c>
      <c r="H165" s="1065">
        <f t="shared" si="33"/>
        <v>2016</v>
      </c>
      <c r="I165" s="1065">
        <f t="shared" si="33"/>
        <v>2017</v>
      </c>
      <c r="J165" s="1065">
        <f t="shared" si="33"/>
        <v>2018</v>
      </c>
      <c r="K165" s="1065">
        <f t="shared" si="33"/>
        <v>2019</v>
      </c>
      <c r="L165" s="1088">
        <f t="shared" si="33"/>
        <v>2020</v>
      </c>
      <c r="N165" s="1423">
        <f>N$13</f>
        <v>2015</v>
      </c>
    </row>
    <row r="166" spans="1:14" x14ac:dyDescent="0.2">
      <c r="A166" s="2136" t="s">
        <v>90</v>
      </c>
      <c r="B166" s="2137"/>
      <c r="C166" s="1074" t="str">
        <f t="shared" ref="C166:L166" si="34">IF(C104=0, "", C104)</f>
        <v/>
      </c>
      <c r="D166" s="1074" t="str">
        <f t="shared" si="34"/>
        <v/>
      </c>
      <c r="E166" s="1074" t="str">
        <f t="shared" si="34"/>
        <v/>
      </c>
      <c r="F166" s="1074" t="str">
        <f t="shared" si="34"/>
        <v/>
      </c>
      <c r="G166" s="1074" t="str">
        <f t="shared" si="34"/>
        <v/>
      </c>
      <c r="H166" s="1074" t="str">
        <f t="shared" si="34"/>
        <v/>
      </c>
      <c r="I166" s="1074" t="str">
        <f t="shared" si="34"/>
        <v/>
      </c>
      <c r="J166" s="1074" t="str">
        <f t="shared" si="34"/>
        <v/>
      </c>
      <c r="K166" s="1074" t="str">
        <f t="shared" si="34"/>
        <v/>
      </c>
      <c r="L166" s="1421" t="str">
        <f t="shared" si="34"/>
        <v/>
      </c>
      <c r="N166" s="1424" t="str">
        <f>IF(N$14=0, "", N$14)</f>
        <v>CGAAP</v>
      </c>
    </row>
    <row r="167" spans="1:14" x14ac:dyDescent="0.2">
      <c r="A167" s="1655" t="s">
        <v>1519</v>
      </c>
      <c r="B167" s="98"/>
      <c r="C167" s="98"/>
      <c r="D167" s="98"/>
      <c r="E167" s="98">
        <v>-499146.94000000029</v>
      </c>
      <c r="F167" s="98">
        <v>-984571.69000000006</v>
      </c>
      <c r="G167" s="98">
        <v>-1106728.06</v>
      </c>
      <c r="H167" s="98">
        <v>-1383431.7000000009</v>
      </c>
      <c r="I167" s="98">
        <v>-2033251.9799999995</v>
      </c>
      <c r="J167" s="98">
        <v>-2432446.3800000008</v>
      </c>
      <c r="K167" s="98">
        <v>-921769.66</v>
      </c>
      <c r="L167" s="212">
        <v>-1418525</v>
      </c>
      <c r="N167" s="1427">
        <f>G167</f>
        <v>-1106728.06</v>
      </c>
    </row>
    <row r="168" spans="1:14" x14ac:dyDescent="0.2">
      <c r="A168" s="1655" t="s">
        <v>1518</v>
      </c>
      <c r="B168" s="98"/>
      <c r="C168" s="98"/>
      <c r="D168" s="98"/>
      <c r="E168" s="98"/>
      <c r="F168" s="98"/>
      <c r="G168" s="98"/>
      <c r="H168" s="98"/>
      <c r="I168" s="98"/>
      <c r="J168" s="98">
        <v>-755879.55</v>
      </c>
      <c r="K168" s="98">
        <v>-1964943.82</v>
      </c>
      <c r="L168" s="212">
        <v>-1077280</v>
      </c>
      <c r="N168" s="1427">
        <f>G168</f>
        <v>0</v>
      </c>
    </row>
    <row r="169" spans="1:14" x14ac:dyDescent="0.2">
      <c r="A169" s="2131"/>
      <c r="B169" s="2132"/>
      <c r="C169" s="98"/>
      <c r="D169" s="98"/>
      <c r="E169" s="98"/>
      <c r="F169" s="98"/>
      <c r="G169" s="98"/>
      <c r="H169" s="98"/>
      <c r="I169" s="98"/>
      <c r="J169" s="98"/>
      <c r="K169" s="98"/>
      <c r="L169" s="212"/>
      <c r="N169" s="1427"/>
    </row>
    <row r="170" spans="1:14" x14ac:dyDescent="0.2">
      <c r="A170" s="2131"/>
      <c r="B170" s="2132"/>
      <c r="C170" s="96"/>
      <c r="D170" s="96"/>
      <c r="E170" s="96"/>
      <c r="F170" s="98"/>
      <c r="G170" s="98"/>
      <c r="H170" s="98"/>
      <c r="I170" s="98"/>
      <c r="J170" s="98"/>
      <c r="K170" s="217"/>
      <c r="L170" s="212"/>
      <c r="N170" s="1427"/>
    </row>
    <row r="171" spans="1:14" x14ac:dyDescent="0.2">
      <c r="A171" s="2102"/>
      <c r="B171" s="2103"/>
      <c r="C171" s="96"/>
      <c r="D171" s="96"/>
      <c r="E171" s="96"/>
      <c r="F171" s="98"/>
      <c r="G171" s="98"/>
      <c r="H171" s="98"/>
      <c r="I171" s="98"/>
      <c r="J171" s="98"/>
      <c r="K171" s="98"/>
      <c r="L171" s="212"/>
      <c r="N171" s="1427"/>
    </row>
    <row r="172" spans="1:14" x14ac:dyDescent="0.2">
      <c r="A172" s="2102"/>
      <c r="B172" s="2103"/>
      <c r="C172" s="98"/>
      <c r="D172" s="98"/>
      <c r="E172" s="98"/>
      <c r="F172" s="98"/>
      <c r="G172" s="98"/>
      <c r="H172" s="98"/>
      <c r="I172" s="98"/>
      <c r="J172" s="98"/>
      <c r="K172" s="98"/>
      <c r="L172" s="212"/>
      <c r="N172" s="1427"/>
    </row>
    <row r="173" spans="1:14" x14ac:dyDescent="0.2">
      <c r="A173" s="2133"/>
      <c r="B173" s="2134"/>
      <c r="C173" s="98"/>
      <c r="D173" s="98"/>
      <c r="E173" s="98"/>
      <c r="F173" s="98"/>
      <c r="G173" s="98"/>
      <c r="H173" s="98"/>
      <c r="I173" s="98"/>
      <c r="J173" s="98"/>
      <c r="K173" s="98"/>
      <c r="L173" s="212"/>
      <c r="N173" s="1427"/>
    </row>
    <row r="174" spans="1:14" ht="13.5" thickBot="1" x14ac:dyDescent="0.25">
      <c r="A174" s="2102"/>
      <c r="B174" s="2103"/>
      <c r="C174" s="831"/>
      <c r="D174" s="831"/>
      <c r="E174" s="831"/>
      <c r="F174" s="831"/>
      <c r="G174" s="123"/>
      <c r="H174" s="123"/>
      <c r="I174" s="123"/>
      <c r="J174" s="123"/>
      <c r="K174" s="218"/>
      <c r="L174" s="219"/>
      <c r="N174" s="1430"/>
    </row>
    <row r="175" spans="1:14" ht="14.25" thickTop="1" thickBot="1" x14ac:dyDescent="0.25">
      <c r="A175" s="2139" t="s">
        <v>259</v>
      </c>
      <c r="B175" s="2140"/>
      <c r="C175" s="1080">
        <f t="shared" ref="C175:L175" si="35">SUM(C167:C174)</f>
        <v>0</v>
      </c>
      <c r="D175" s="1080">
        <f t="shared" si="35"/>
        <v>0</v>
      </c>
      <c r="E175" s="1080">
        <f t="shared" si="35"/>
        <v>-499146.94000000029</v>
      </c>
      <c r="F175" s="1080">
        <f t="shared" si="35"/>
        <v>-984571.69000000006</v>
      </c>
      <c r="G175" s="1080">
        <f t="shared" si="35"/>
        <v>-1106728.06</v>
      </c>
      <c r="H175" s="1080">
        <f t="shared" si="35"/>
        <v>-1383431.7000000009</v>
      </c>
      <c r="I175" s="1080">
        <f t="shared" si="35"/>
        <v>-2033251.9799999995</v>
      </c>
      <c r="J175" s="1080">
        <f t="shared" si="35"/>
        <v>-3188325.9300000006</v>
      </c>
      <c r="K175" s="1080">
        <f t="shared" si="35"/>
        <v>-2886713.48</v>
      </c>
      <c r="L175" s="1093">
        <f t="shared" si="35"/>
        <v>-2495805</v>
      </c>
      <c r="N175" s="1082">
        <f>SUM(N167:N174)</f>
        <v>-1106728.06</v>
      </c>
    </row>
    <row r="177" spans="1:14" ht="13.5" thickBot="1" x14ac:dyDescent="0.25">
      <c r="A177" s="2141" t="s">
        <v>1482</v>
      </c>
      <c r="B177" s="2141"/>
      <c r="C177" s="2141"/>
    </row>
    <row r="178" spans="1:14" ht="13.5" thickBot="1" x14ac:dyDescent="0.25">
      <c r="A178" s="1089"/>
      <c r="B178" s="1090"/>
      <c r="C178" s="1434" t="str">
        <f t="shared" ref="C178:L178" si="36">C$12</f>
        <v>2011 Actual²</v>
      </c>
      <c r="D178" s="1065" t="str">
        <f t="shared" si="36"/>
        <v>2012 Actual²</v>
      </c>
      <c r="E178" s="1065" t="str">
        <f t="shared" si="36"/>
        <v>2013 Actual²</v>
      </c>
      <c r="F178" s="1065" t="str">
        <f t="shared" si="36"/>
        <v>2014 Actual²</v>
      </c>
      <c r="G178" s="1065" t="str">
        <f t="shared" si="36"/>
        <v>2015 Actual²</v>
      </c>
      <c r="H178" s="1065" t="str">
        <f t="shared" si="36"/>
        <v>2016 Actual²</v>
      </c>
      <c r="I178" s="1065" t="str">
        <f t="shared" si="36"/>
        <v>2017 Actual²</v>
      </c>
      <c r="J178" s="1065" t="str">
        <f t="shared" si="36"/>
        <v>2018 Actual</v>
      </c>
      <c r="K178" s="1065" t="str">
        <f t="shared" si="36"/>
        <v>Bridge Year</v>
      </c>
      <c r="L178" s="1088" t="str">
        <f t="shared" si="36"/>
        <v>Test Year</v>
      </c>
      <c r="N178" s="1422" t="str">
        <f>N$12</f>
        <v>CGAAP</v>
      </c>
    </row>
    <row r="179" spans="1:14" ht="13.5" thickBot="1" x14ac:dyDescent="0.25">
      <c r="A179" s="1089"/>
      <c r="B179" s="1090"/>
      <c r="C179" s="1065">
        <f t="shared" ref="C179:L179" si="37">C$13</f>
        <v>2011</v>
      </c>
      <c r="D179" s="1065">
        <f t="shared" si="37"/>
        <v>2012</v>
      </c>
      <c r="E179" s="1065">
        <f t="shared" si="37"/>
        <v>2013</v>
      </c>
      <c r="F179" s="1065">
        <f t="shared" si="37"/>
        <v>2014</v>
      </c>
      <c r="G179" s="1065">
        <f t="shared" si="37"/>
        <v>2015</v>
      </c>
      <c r="H179" s="1065">
        <f t="shared" si="37"/>
        <v>2016</v>
      </c>
      <c r="I179" s="1065">
        <f t="shared" si="37"/>
        <v>2017</v>
      </c>
      <c r="J179" s="1065">
        <f t="shared" si="37"/>
        <v>2018</v>
      </c>
      <c r="K179" s="1065">
        <f t="shared" si="37"/>
        <v>2019</v>
      </c>
      <c r="L179" s="1088">
        <f t="shared" si="37"/>
        <v>2020</v>
      </c>
      <c r="N179" s="1423">
        <f>N$13</f>
        <v>2015</v>
      </c>
    </row>
    <row r="180" spans="1:14" x14ac:dyDescent="0.2">
      <c r="A180" s="2136" t="s">
        <v>90</v>
      </c>
      <c r="B180" s="2137"/>
      <c r="C180" s="1074" t="str">
        <f t="shared" ref="C180:L180" si="38">IF(C118=0, "", C118)</f>
        <v/>
      </c>
      <c r="D180" s="1074" t="str">
        <f t="shared" si="38"/>
        <v/>
      </c>
      <c r="E180" s="1074" t="str">
        <f t="shared" si="38"/>
        <v/>
      </c>
      <c r="F180" s="1074" t="str">
        <f t="shared" si="38"/>
        <v/>
      </c>
      <c r="G180" s="1074" t="str">
        <f t="shared" si="38"/>
        <v/>
      </c>
      <c r="H180" s="1074" t="str">
        <f t="shared" si="38"/>
        <v/>
      </c>
      <c r="I180" s="1074" t="str">
        <f t="shared" si="38"/>
        <v/>
      </c>
      <c r="J180" s="1074" t="str">
        <f t="shared" si="38"/>
        <v/>
      </c>
      <c r="K180" s="1074" t="str">
        <f t="shared" si="38"/>
        <v/>
      </c>
      <c r="L180" s="1421" t="str">
        <f t="shared" si="38"/>
        <v/>
      </c>
      <c r="N180" s="1424" t="str">
        <f>IF(N$14=0, "", N$14)</f>
        <v>CGAAP</v>
      </c>
    </row>
    <row r="181" spans="1:14" x14ac:dyDescent="0.2">
      <c r="A181" s="1655" t="s">
        <v>1520</v>
      </c>
      <c r="B181" s="98"/>
      <c r="C181" s="98"/>
      <c r="D181" s="98"/>
      <c r="E181" s="98">
        <v>487218.52000000037</v>
      </c>
      <c r="F181" s="98">
        <v>966943.29000000027</v>
      </c>
      <c r="G181" s="98">
        <v>878606.67</v>
      </c>
      <c r="H181" s="98">
        <v>1383431.7000000009</v>
      </c>
      <c r="I181" s="98">
        <v>2033251.9799999995</v>
      </c>
      <c r="J181" s="98">
        <v>1969872.9200000006</v>
      </c>
      <c r="K181" s="98">
        <v>921769.66</v>
      </c>
      <c r="L181" s="212">
        <v>1418525</v>
      </c>
      <c r="N181" s="1427">
        <v>878606.67</v>
      </c>
    </row>
    <row r="182" spans="1:14" x14ac:dyDescent="0.2">
      <c r="A182" s="1655" t="s">
        <v>1518</v>
      </c>
      <c r="B182" s="98"/>
      <c r="C182" s="98"/>
      <c r="D182" s="98"/>
      <c r="E182" s="98"/>
      <c r="F182" s="98"/>
      <c r="G182" s="98"/>
      <c r="H182" s="98"/>
      <c r="I182" s="98"/>
      <c r="J182" s="98">
        <v>755879.55</v>
      </c>
      <c r="K182" s="98">
        <v>1964943.84</v>
      </c>
      <c r="L182" s="212">
        <v>1077280</v>
      </c>
      <c r="N182" s="1427"/>
    </row>
    <row r="183" spans="1:14" x14ac:dyDescent="0.2">
      <c r="A183" s="2131"/>
      <c r="B183" s="2132"/>
      <c r="C183" s="96"/>
      <c r="D183" s="96"/>
      <c r="E183" s="96"/>
      <c r="F183" s="98"/>
      <c r="G183" s="98"/>
      <c r="H183" s="98"/>
      <c r="I183" s="98"/>
      <c r="J183" s="98"/>
      <c r="K183" s="217"/>
      <c r="L183" s="212"/>
      <c r="N183" s="1427"/>
    </row>
    <row r="184" spans="1:14" x14ac:dyDescent="0.2">
      <c r="A184" s="2131"/>
      <c r="B184" s="2132"/>
      <c r="C184" s="96"/>
      <c r="D184" s="96"/>
      <c r="E184" s="96"/>
      <c r="F184" s="98"/>
      <c r="G184" s="98"/>
      <c r="H184" s="98"/>
      <c r="I184" s="98"/>
      <c r="J184" s="98"/>
      <c r="K184" s="217"/>
      <c r="L184" s="212"/>
      <c r="N184" s="1427"/>
    </row>
    <row r="185" spans="1:14" x14ac:dyDescent="0.2">
      <c r="A185" s="2102"/>
      <c r="B185" s="2103"/>
      <c r="C185" s="96"/>
      <c r="D185" s="96"/>
      <c r="E185" s="96"/>
      <c r="F185" s="98"/>
      <c r="G185" s="98"/>
      <c r="H185" s="98"/>
      <c r="I185" s="98"/>
      <c r="J185" s="98"/>
      <c r="K185" s="98"/>
      <c r="L185" s="212"/>
      <c r="N185" s="1427"/>
    </row>
    <row r="186" spans="1:14" x14ac:dyDescent="0.2">
      <c r="A186" s="2102"/>
      <c r="B186" s="2103"/>
      <c r="C186" s="98"/>
      <c r="D186" s="98"/>
      <c r="E186" s="98"/>
      <c r="F186" s="98"/>
      <c r="G186" s="98"/>
      <c r="H186" s="98"/>
      <c r="I186" s="98"/>
      <c r="J186" s="98"/>
      <c r="K186" s="98"/>
      <c r="L186" s="212"/>
      <c r="N186" s="1427"/>
    </row>
    <row r="187" spans="1:14" x14ac:dyDescent="0.2">
      <c r="A187" s="2133"/>
      <c r="B187" s="2134"/>
      <c r="C187" s="98"/>
      <c r="D187" s="98"/>
      <c r="E187" s="98"/>
      <c r="F187" s="98"/>
      <c r="G187" s="98"/>
      <c r="H187" s="98"/>
      <c r="I187" s="98"/>
      <c r="J187" s="98"/>
      <c r="K187" s="98"/>
      <c r="L187" s="212"/>
      <c r="N187" s="1427"/>
    </row>
    <row r="188" spans="1:14" ht="13.5" thickBot="1" x14ac:dyDescent="0.25">
      <c r="A188" s="2102"/>
      <c r="B188" s="2103"/>
      <c r="C188" s="831"/>
      <c r="D188" s="831"/>
      <c r="E188" s="831"/>
      <c r="F188" s="831"/>
      <c r="G188" s="123"/>
      <c r="H188" s="123"/>
      <c r="I188" s="123"/>
      <c r="J188" s="123"/>
      <c r="K188" s="218"/>
      <c r="L188" s="219"/>
      <c r="N188" s="1430"/>
    </row>
    <row r="189" spans="1:14" ht="14.25" thickTop="1" thickBot="1" x14ac:dyDescent="0.25">
      <c r="A189" s="2139" t="s">
        <v>259</v>
      </c>
      <c r="B189" s="2140"/>
      <c r="C189" s="1080">
        <f t="shared" ref="C189:L189" si="39">SUM(C181:C188)</f>
        <v>0</v>
      </c>
      <c r="D189" s="1080">
        <f t="shared" si="39"/>
        <v>0</v>
      </c>
      <c r="E189" s="1080">
        <f t="shared" si="39"/>
        <v>487218.52000000037</v>
      </c>
      <c r="F189" s="1080">
        <f t="shared" si="39"/>
        <v>966943.29000000027</v>
      </c>
      <c r="G189" s="1080">
        <f t="shared" si="39"/>
        <v>878606.67</v>
      </c>
      <c r="H189" s="1080">
        <f t="shared" si="39"/>
        <v>1383431.7000000009</v>
      </c>
      <c r="I189" s="1080">
        <f t="shared" si="39"/>
        <v>2033251.9799999995</v>
      </c>
      <c r="J189" s="1080">
        <f t="shared" si="39"/>
        <v>2725752.4700000007</v>
      </c>
      <c r="K189" s="1080">
        <f t="shared" si="39"/>
        <v>2886713.5</v>
      </c>
      <c r="L189" s="1093">
        <f t="shared" si="39"/>
        <v>2495805</v>
      </c>
      <c r="N189" s="1082">
        <f>SUM(N181:N188)</f>
        <v>878606.67</v>
      </c>
    </row>
    <row r="191" spans="1:14" ht="13.5" thickBot="1" x14ac:dyDescent="0.25">
      <c r="A191" s="2141" t="s">
        <v>1483</v>
      </c>
      <c r="B191" s="2141"/>
      <c r="C191" s="2141"/>
    </row>
    <row r="192" spans="1:14" ht="13.5" thickBot="1" x14ac:dyDescent="0.25">
      <c r="A192" s="1089"/>
      <c r="B192" s="1090"/>
      <c r="C192" s="1434" t="str">
        <f t="shared" ref="C192:L192" si="40">C$12</f>
        <v>2011 Actual²</v>
      </c>
      <c r="D192" s="1065" t="str">
        <f t="shared" si="40"/>
        <v>2012 Actual²</v>
      </c>
      <c r="E192" s="1065" t="str">
        <f t="shared" si="40"/>
        <v>2013 Actual²</v>
      </c>
      <c r="F192" s="1065" t="str">
        <f t="shared" si="40"/>
        <v>2014 Actual²</v>
      </c>
      <c r="G192" s="1065" t="str">
        <f t="shared" si="40"/>
        <v>2015 Actual²</v>
      </c>
      <c r="H192" s="1065" t="str">
        <f t="shared" si="40"/>
        <v>2016 Actual²</v>
      </c>
      <c r="I192" s="1065" t="str">
        <f t="shared" si="40"/>
        <v>2017 Actual²</v>
      </c>
      <c r="J192" s="1065" t="str">
        <f t="shared" si="40"/>
        <v>2018 Actual</v>
      </c>
      <c r="K192" s="1065" t="str">
        <f t="shared" si="40"/>
        <v>Bridge Year</v>
      </c>
      <c r="L192" s="1088" t="str">
        <f t="shared" si="40"/>
        <v>Test Year</v>
      </c>
      <c r="N192" s="1422" t="str">
        <f>N$12</f>
        <v>CGAAP</v>
      </c>
    </row>
    <row r="193" spans="1:14" ht="13.5" thickBot="1" x14ac:dyDescent="0.25">
      <c r="A193" s="1089"/>
      <c r="B193" s="1090"/>
      <c r="C193" s="1065">
        <f t="shared" ref="C193:L193" si="41">C$13</f>
        <v>2011</v>
      </c>
      <c r="D193" s="1065">
        <f t="shared" si="41"/>
        <v>2012</v>
      </c>
      <c r="E193" s="1065">
        <f t="shared" si="41"/>
        <v>2013</v>
      </c>
      <c r="F193" s="1065">
        <f t="shared" si="41"/>
        <v>2014</v>
      </c>
      <c r="G193" s="1065">
        <f t="shared" si="41"/>
        <v>2015</v>
      </c>
      <c r="H193" s="1065">
        <f t="shared" si="41"/>
        <v>2016</v>
      </c>
      <c r="I193" s="1065">
        <f t="shared" si="41"/>
        <v>2017</v>
      </c>
      <c r="J193" s="1065">
        <f t="shared" si="41"/>
        <v>2018</v>
      </c>
      <c r="K193" s="1065">
        <f t="shared" si="41"/>
        <v>2019</v>
      </c>
      <c r="L193" s="1088">
        <f t="shared" si="41"/>
        <v>2020</v>
      </c>
      <c r="N193" s="1423">
        <f>N$13</f>
        <v>2015</v>
      </c>
    </row>
    <row r="194" spans="1:14" x14ac:dyDescent="0.2">
      <c r="A194" s="2136" t="s">
        <v>90</v>
      </c>
      <c r="B194" s="2137"/>
      <c r="C194" s="1074" t="str">
        <f t="shared" ref="C194:L194" si="42">IF(C132=0, "", C132)</f>
        <v/>
      </c>
      <c r="D194" s="1074" t="str">
        <f t="shared" si="42"/>
        <v/>
      </c>
      <c r="E194" s="1074" t="str">
        <f t="shared" si="42"/>
        <v/>
      </c>
      <c r="F194" s="1074" t="str">
        <f t="shared" si="42"/>
        <v/>
      </c>
      <c r="G194" s="1074" t="str">
        <f t="shared" si="42"/>
        <v/>
      </c>
      <c r="H194" s="1074" t="str">
        <f t="shared" si="42"/>
        <v/>
      </c>
      <c r="I194" s="1074" t="str">
        <f t="shared" si="42"/>
        <v/>
      </c>
      <c r="J194" s="1074" t="str">
        <f t="shared" si="42"/>
        <v/>
      </c>
      <c r="K194" s="1074" t="str">
        <f t="shared" si="42"/>
        <v/>
      </c>
      <c r="L194" s="1421" t="str">
        <f t="shared" si="42"/>
        <v/>
      </c>
      <c r="N194" s="1424" t="str">
        <f>IF(N$14=0, "", N$14)</f>
        <v>CGAAP</v>
      </c>
    </row>
    <row r="195" spans="1:14" x14ac:dyDescent="0.2">
      <c r="A195" s="1655" t="s">
        <v>1521</v>
      </c>
      <c r="B195" s="98"/>
      <c r="C195" s="98"/>
      <c r="D195" s="98"/>
      <c r="E195" s="98">
        <v>-224.53</v>
      </c>
      <c r="F195" s="98">
        <v>-1537.98</v>
      </c>
      <c r="G195" s="98">
        <v>-1944.3199999999997</v>
      </c>
      <c r="H195" s="98">
        <v>-3856.17</v>
      </c>
      <c r="I195" s="98">
        <v>-7329.5799999999981</v>
      </c>
      <c r="J195" s="98">
        <v>-5509.1999999999989</v>
      </c>
      <c r="K195" s="98">
        <v>-12682.45</v>
      </c>
      <c r="L195" s="212">
        <v>-5000</v>
      </c>
      <c r="N195" s="1427">
        <v>-1944.3199999999997</v>
      </c>
    </row>
    <row r="196" spans="1:14" x14ac:dyDescent="0.2">
      <c r="A196" s="1655" t="s">
        <v>1522</v>
      </c>
      <c r="B196" s="98"/>
      <c r="C196" s="98"/>
      <c r="D196" s="98"/>
      <c r="E196" s="98">
        <v>-157303.6</v>
      </c>
      <c r="F196" s="98">
        <v>-82476.58</v>
      </c>
      <c r="G196" s="98">
        <v>-114377</v>
      </c>
      <c r="H196" s="98">
        <v>-170868.78</v>
      </c>
      <c r="I196" s="98">
        <v>-102367.7</v>
      </c>
      <c r="J196" s="98">
        <v>-119370.54999999999</v>
      </c>
      <c r="K196" s="98">
        <v>-99046.16</v>
      </c>
      <c r="L196" s="212">
        <v>-128000</v>
      </c>
      <c r="N196" s="1427">
        <v>-114377</v>
      </c>
    </row>
    <row r="197" spans="1:14" x14ac:dyDescent="0.2">
      <c r="A197" s="1655" t="s">
        <v>1523</v>
      </c>
      <c r="B197" s="98"/>
      <c r="C197" s="98"/>
      <c r="D197" s="98"/>
      <c r="E197" s="98">
        <v>-11286.370000000015</v>
      </c>
      <c r="F197" s="98">
        <v>-14053.05</v>
      </c>
      <c r="G197" s="98">
        <v>-49322.539999999994</v>
      </c>
      <c r="H197" s="98">
        <v>-27476.43</v>
      </c>
      <c r="I197" s="98">
        <v>-20883.79</v>
      </c>
      <c r="J197" s="98">
        <v>-22600.280000000002</v>
      </c>
      <c r="K197" s="98">
        <v>-5369.37</v>
      </c>
      <c r="L197" s="212">
        <v>0</v>
      </c>
      <c r="N197" s="1427">
        <v>-49322.539999999994</v>
      </c>
    </row>
    <row r="198" spans="1:14" x14ac:dyDescent="0.2">
      <c r="A198" s="2102"/>
      <c r="B198" s="2103"/>
      <c r="C198" s="98"/>
      <c r="D198" s="98"/>
      <c r="E198" s="98"/>
      <c r="F198" s="98"/>
      <c r="G198" s="98"/>
      <c r="H198" s="98"/>
      <c r="I198" s="98"/>
      <c r="J198" s="98"/>
      <c r="K198" s="98"/>
      <c r="L198" s="212"/>
      <c r="N198" s="1427"/>
    </row>
    <row r="199" spans="1:14" x14ac:dyDescent="0.2">
      <c r="A199" s="2102"/>
      <c r="B199" s="2103"/>
      <c r="C199" s="96"/>
      <c r="D199" s="96"/>
      <c r="E199" s="96"/>
      <c r="F199" s="98"/>
      <c r="G199" s="98"/>
      <c r="H199" s="98"/>
      <c r="I199" s="98"/>
      <c r="J199" s="98"/>
      <c r="K199" s="98"/>
      <c r="L199" s="212"/>
      <c r="N199" s="1427"/>
    </row>
    <row r="200" spans="1:14" x14ac:dyDescent="0.2">
      <c r="A200" s="2102"/>
      <c r="B200" s="2103"/>
      <c r="C200" s="98"/>
      <c r="D200" s="98"/>
      <c r="E200" s="98"/>
      <c r="F200" s="98"/>
      <c r="G200" s="98"/>
      <c r="H200" s="98"/>
      <c r="I200" s="98"/>
      <c r="J200" s="98"/>
      <c r="K200" s="98"/>
      <c r="L200" s="212"/>
      <c r="N200" s="1427"/>
    </row>
    <row r="201" spans="1:14" x14ac:dyDescent="0.2">
      <c r="A201" s="2133"/>
      <c r="B201" s="2134"/>
      <c r="C201" s="98"/>
      <c r="D201" s="98"/>
      <c r="E201" s="98"/>
      <c r="F201" s="98"/>
      <c r="G201" s="98"/>
      <c r="H201" s="98"/>
      <c r="I201" s="98"/>
      <c r="J201" s="98"/>
      <c r="K201" s="98"/>
      <c r="L201" s="212"/>
      <c r="N201" s="1427"/>
    </row>
    <row r="202" spans="1:14" ht="13.5" thickBot="1" x14ac:dyDescent="0.25">
      <c r="A202" s="2102"/>
      <c r="B202" s="2103"/>
      <c r="C202" s="831"/>
      <c r="D202" s="831"/>
      <c r="E202" s="831"/>
      <c r="F202" s="831"/>
      <c r="G202" s="123"/>
      <c r="H202" s="123"/>
      <c r="I202" s="123"/>
      <c r="J202" s="123"/>
      <c r="K202" s="218"/>
      <c r="L202" s="219"/>
      <c r="N202" s="1430"/>
    </row>
    <row r="203" spans="1:14" ht="14.25" thickTop="1" thickBot="1" x14ac:dyDescent="0.25">
      <c r="A203" s="2139" t="s">
        <v>259</v>
      </c>
      <c r="B203" s="2140"/>
      <c r="C203" s="1080">
        <f t="shared" ref="C203:L203" si="43">SUM(C195:C202)</f>
        <v>0</v>
      </c>
      <c r="D203" s="1080">
        <f t="shared" si="43"/>
        <v>0</v>
      </c>
      <c r="E203" s="1080">
        <f t="shared" si="43"/>
        <v>-168814.50000000003</v>
      </c>
      <c r="F203" s="1080">
        <f t="shared" si="43"/>
        <v>-98067.61</v>
      </c>
      <c r="G203" s="1080">
        <f t="shared" si="43"/>
        <v>-165643.85999999999</v>
      </c>
      <c r="H203" s="1080">
        <f t="shared" si="43"/>
        <v>-202201.38</v>
      </c>
      <c r="I203" s="1080">
        <f t="shared" si="43"/>
        <v>-130581.07</v>
      </c>
      <c r="J203" s="1080">
        <f t="shared" si="43"/>
        <v>-147480.03</v>
      </c>
      <c r="K203" s="1080">
        <f t="shared" si="43"/>
        <v>-117097.98</v>
      </c>
      <c r="L203" s="1093">
        <f t="shared" si="43"/>
        <v>-133000</v>
      </c>
      <c r="N203" s="1082">
        <f>SUM(N195:N202)</f>
        <v>-165643.85999999999</v>
      </c>
    </row>
    <row r="205" spans="1:14" ht="13.5" thickBot="1" x14ac:dyDescent="0.25">
      <c r="A205" s="2141" t="s">
        <v>1484</v>
      </c>
      <c r="B205" s="2141"/>
      <c r="C205" s="2141"/>
    </row>
    <row r="206" spans="1:14" ht="13.5" thickBot="1" x14ac:dyDescent="0.25">
      <c r="A206" s="1089"/>
      <c r="B206" s="1090"/>
      <c r="C206" s="1434" t="str">
        <f t="shared" ref="C206:L206" si="44">C$12</f>
        <v>2011 Actual²</v>
      </c>
      <c r="D206" s="1065" t="str">
        <f t="shared" si="44"/>
        <v>2012 Actual²</v>
      </c>
      <c r="E206" s="1065" t="str">
        <f t="shared" si="44"/>
        <v>2013 Actual²</v>
      </c>
      <c r="F206" s="1065" t="str">
        <f t="shared" si="44"/>
        <v>2014 Actual²</v>
      </c>
      <c r="G206" s="1065" t="str">
        <f t="shared" si="44"/>
        <v>2015 Actual²</v>
      </c>
      <c r="H206" s="1065" t="str">
        <f t="shared" si="44"/>
        <v>2016 Actual²</v>
      </c>
      <c r="I206" s="1065" t="str">
        <f t="shared" si="44"/>
        <v>2017 Actual²</v>
      </c>
      <c r="J206" s="1065" t="str">
        <f t="shared" si="44"/>
        <v>2018 Actual</v>
      </c>
      <c r="K206" s="1065" t="str">
        <f t="shared" si="44"/>
        <v>Bridge Year</v>
      </c>
      <c r="L206" s="1088" t="str">
        <f t="shared" si="44"/>
        <v>Test Year</v>
      </c>
      <c r="N206" s="1422" t="str">
        <f>N$12</f>
        <v>CGAAP</v>
      </c>
    </row>
    <row r="207" spans="1:14" ht="13.5" thickBot="1" x14ac:dyDescent="0.25">
      <c r="A207" s="1089"/>
      <c r="B207" s="1090"/>
      <c r="C207" s="1065">
        <f t="shared" ref="C207:L207" si="45">C$13</f>
        <v>2011</v>
      </c>
      <c r="D207" s="1065">
        <f t="shared" si="45"/>
        <v>2012</v>
      </c>
      <c r="E207" s="1065">
        <f t="shared" si="45"/>
        <v>2013</v>
      </c>
      <c r="F207" s="1065">
        <f t="shared" si="45"/>
        <v>2014</v>
      </c>
      <c r="G207" s="1065">
        <f t="shared" si="45"/>
        <v>2015</v>
      </c>
      <c r="H207" s="1065">
        <f t="shared" si="45"/>
        <v>2016</v>
      </c>
      <c r="I207" s="1065">
        <f t="shared" si="45"/>
        <v>2017</v>
      </c>
      <c r="J207" s="1065">
        <f t="shared" si="45"/>
        <v>2018</v>
      </c>
      <c r="K207" s="1065">
        <f t="shared" si="45"/>
        <v>2019</v>
      </c>
      <c r="L207" s="1088">
        <f t="shared" si="45"/>
        <v>2020</v>
      </c>
      <c r="N207" s="1423">
        <f>N$13</f>
        <v>2015</v>
      </c>
    </row>
    <row r="208" spans="1:14" x14ac:dyDescent="0.2">
      <c r="A208" s="2136" t="s">
        <v>90</v>
      </c>
      <c r="B208" s="2137"/>
      <c r="C208" s="1074" t="str">
        <f t="shared" ref="C208:L208" si="46">IF(C146=0, "", C146)</f>
        <v/>
      </c>
      <c r="D208" s="1074" t="str">
        <f t="shared" si="46"/>
        <v/>
      </c>
      <c r="E208" s="1074" t="str">
        <f t="shared" si="46"/>
        <v/>
      </c>
      <c r="F208" s="1074" t="str">
        <f t="shared" si="46"/>
        <v/>
      </c>
      <c r="G208" s="1074" t="str">
        <f t="shared" si="46"/>
        <v/>
      </c>
      <c r="H208" s="1074" t="str">
        <f t="shared" si="46"/>
        <v/>
      </c>
      <c r="I208" s="1074" t="str">
        <f t="shared" si="46"/>
        <v/>
      </c>
      <c r="J208" s="1074" t="str">
        <f t="shared" si="46"/>
        <v/>
      </c>
      <c r="K208" s="1074" t="str">
        <f t="shared" si="46"/>
        <v/>
      </c>
      <c r="L208" s="1421" t="str">
        <f t="shared" si="46"/>
        <v/>
      </c>
      <c r="N208" s="1424" t="str">
        <f>IF(N$14=0, "", N$14)</f>
        <v>CGAAP</v>
      </c>
    </row>
    <row r="209" spans="1:14" x14ac:dyDescent="0.2">
      <c r="A209" s="1655" t="s">
        <v>1740</v>
      </c>
      <c r="B209" s="98"/>
      <c r="C209" s="98"/>
      <c r="D209" s="98"/>
      <c r="E209" s="98">
        <v>-12418.030000000002</v>
      </c>
      <c r="F209" s="98">
        <v>-21536.969999999998</v>
      </c>
      <c r="G209" s="98">
        <v>-21757.540000000005</v>
      </c>
      <c r="H209" s="98">
        <v>-23029.439999999999</v>
      </c>
      <c r="I209" s="98">
        <v>-20106.14</v>
      </c>
      <c r="J209" s="98">
        <v>-20073.480000000007</v>
      </c>
      <c r="K209" s="98">
        <v>-19504.23</v>
      </c>
      <c r="L209" s="212">
        <v>-20000</v>
      </c>
      <c r="N209" s="1427">
        <v>-21757.540000000005</v>
      </c>
    </row>
    <row r="210" spans="1:14" x14ac:dyDescent="0.2">
      <c r="A210" s="2133"/>
      <c r="B210" s="2134"/>
      <c r="C210" s="98"/>
      <c r="D210" s="98"/>
      <c r="E210" s="98"/>
      <c r="F210" s="98"/>
      <c r="G210" s="98"/>
      <c r="H210" s="98"/>
      <c r="I210" s="98"/>
      <c r="J210" s="98"/>
      <c r="K210" s="98"/>
      <c r="L210" s="212"/>
      <c r="N210" s="1427"/>
    </row>
    <row r="211" spans="1:14" x14ac:dyDescent="0.2">
      <c r="A211" s="2133"/>
      <c r="B211" s="2134"/>
      <c r="C211" s="98"/>
      <c r="D211" s="98"/>
      <c r="E211" s="98"/>
      <c r="F211" s="98"/>
      <c r="G211" s="98"/>
      <c r="H211" s="98"/>
      <c r="I211" s="98"/>
      <c r="J211" s="98"/>
      <c r="K211" s="98"/>
      <c r="L211" s="212"/>
      <c r="N211" s="1427"/>
    </row>
    <row r="212" spans="1:14" x14ac:dyDescent="0.2">
      <c r="A212" s="2133"/>
      <c r="B212" s="2134"/>
      <c r="C212" s="98"/>
      <c r="D212" s="98"/>
      <c r="E212" s="98"/>
      <c r="F212" s="98"/>
      <c r="G212" s="98"/>
      <c r="H212" s="98"/>
      <c r="I212" s="98"/>
      <c r="J212" s="98"/>
      <c r="K212" s="98"/>
      <c r="L212" s="212"/>
      <c r="N212" s="1427"/>
    </row>
    <row r="213" spans="1:14" x14ac:dyDescent="0.2">
      <c r="A213" s="2133"/>
      <c r="B213" s="2134"/>
      <c r="C213" s="96"/>
      <c r="D213" s="96"/>
      <c r="E213" s="96"/>
      <c r="F213" s="98"/>
      <c r="G213" s="98"/>
      <c r="H213" s="98"/>
      <c r="I213" s="98"/>
      <c r="J213" s="98"/>
      <c r="K213" s="98"/>
      <c r="L213" s="212"/>
      <c r="N213" s="1427"/>
    </row>
    <row r="214" spans="1:14" x14ac:dyDescent="0.2">
      <c r="A214" s="2102"/>
      <c r="B214" s="2103"/>
      <c r="C214" s="98"/>
      <c r="D214" s="98"/>
      <c r="E214" s="98"/>
      <c r="F214" s="98"/>
      <c r="G214" s="98"/>
      <c r="H214" s="98"/>
      <c r="I214" s="98"/>
      <c r="J214" s="98"/>
      <c r="K214" s="98"/>
      <c r="L214" s="212"/>
      <c r="N214" s="1427"/>
    </row>
    <row r="215" spans="1:14" x14ac:dyDescent="0.2">
      <c r="A215" s="2133"/>
      <c r="B215" s="2134"/>
      <c r="C215" s="98"/>
      <c r="D215" s="98"/>
      <c r="E215" s="98"/>
      <c r="F215" s="98"/>
      <c r="G215" s="98"/>
      <c r="H215" s="98"/>
      <c r="I215" s="98"/>
      <c r="J215" s="98"/>
      <c r="K215" s="98"/>
      <c r="L215" s="212"/>
      <c r="N215" s="1427"/>
    </row>
    <row r="216" spans="1:14" ht="13.5" thickBot="1" x14ac:dyDescent="0.25">
      <c r="A216" s="2102"/>
      <c r="B216" s="2103"/>
      <c r="C216" s="831"/>
      <c r="D216" s="831"/>
      <c r="E216" s="831"/>
      <c r="F216" s="831"/>
      <c r="G216" s="123"/>
      <c r="H216" s="123"/>
      <c r="I216" s="123"/>
      <c r="J216" s="123"/>
      <c r="K216" s="218"/>
      <c r="L216" s="219"/>
      <c r="N216" s="1430"/>
    </row>
    <row r="217" spans="1:14" ht="14.25" thickTop="1" thickBot="1" x14ac:dyDescent="0.25">
      <c r="A217" s="2139" t="s">
        <v>259</v>
      </c>
      <c r="B217" s="2140"/>
      <c r="C217" s="1080">
        <f t="shared" ref="C217:L217" si="47">SUM(C209:C216)</f>
        <v>0</v>
      </c>
      <c r="D217" s="1080">
        <f t="shared" si="47"/>
        <v>0</v>
      </c>
      <c r="E217" s="1080">
        <f t="shared" si="47"/>
        <v>-12418.030000000002</v>
      </c>
      <c r="F217" s="1080">
        <f t="shared" si="47"/>
        <v>-21536.969999999998</v>
      </c>
      <c r="G217" s="1080">
        <f t="shared" si="47"/>
        <v>-21757.540000000005</v>
      </c>
      <c r="H217" s="1080">
        <f t="shared" si="47"/>
        <v>-23029.439999999999</v>
      </c>
      <c r="I217" s="1080">
        <f t="shared" si="47"/>
        <v>-20106.14</v>
      </c>
      <c r="J217" s="1080">
        <f t="shared" si="47"/>
        <v>-20073.480000000007</v>
      </c>
      <c r="K217" s="1080">
        <f t="shared" si="47"/>
        <v>-19504.23</v>
      </c>
      <c r="L217" s="1093">
        <f t="shared" si="47"/>
        <v>-20000</v>
      </c>
      <c r="N217" s="1082">
        <f>SUM(N209:N216)</f>
        <v>-21757.540000000005</v>
      </c>
    </row>
    <row r="219" spans="1:14" ht="13.5" thickBot="1" x14ac:dyDescent="0.25">
      <c r="A219" s="2141" t="s">
        <v>1485</v>
      </c>
      <c r="B219" s="2141"/>
      <c r="C219" s="2141"/>
    </row>
    <row r="220" spans="1:14" ht="13.5" thickBot="1" x14ac:dyDescent="0.25">
      <c r="A220" s="1089"/>
      <c r="B220" s="1090"/>
      <c r="C220" s="1434" t="str">
        <f t="shared" ref="C220:L220" si="48">C$12</f>
        <v>2011 Actual²</v>
      </c>
      <c r="D220" s="1065" t="str">
        <f t="shared" si="48"/>
        <v>2012 Actual²</v>
      </c>
      <c r="E220" s="1065" t="str">
        <f t="shared" si="48"/>
        <v>2013 Actual²</v>
      </c>
      <c r="F220" s="1065" t="str">
        <f t="shared" si="48"/>
        <v>2014 Actual²</v>
      </c>
      <c r="G220" s="1065" t="str">
        <f t="shared" si="48"/>
        <v>2015 Actual²</v>
      </c>
      <c r="H220" s="1065" t="str">
        <f t="shared" si="48"/>
        <v>2016 Actual²</v>
      </c>
      <c r="I220" s="1065" t="str">
        <f t="shared" si="48"/>
        <v>2017 Actual²</v>
      </c>
      <c r="J220" s="1065" t="str">
        <f t="shared" si="48"/>
        <v>2018 Actual</v>
      </c>
      <c r="K220" s="1065" t="str">
        <f t="shared" si="48"/>
        <v>Bridge Year</v>
      </c>
      <c r="L220" s="1088" t="str">
        <f t="shared" si="48"/>
        <v>Test Year</v>
      </c>
      <c r="N220" s="1422" t="str">
        <f>N$12</f>
        <v>CGAAP</v>
      </c>
    </row>
    <row r="221" spans="1:14" ht="13.5" thickBot="1" x14ac:dyDescent="0.25">
      <c r="A221" s="1089"/>
      <c r="B221" s="1090"/>
      <c r="C221" s="1065">
        <f t="shared" ref="C221:L221" si="49">C$13</f>
        <v>2011</v>
      </c>
      <c r="D221" s="1065">
        <f t="shared" si="49"/>
        <v>2012</v>
      </c>
      <c r="E221" s="1065">
        <f t="shared" si="49"/>
        <v>2013</v>
      </c>
      <c r="F221" s="1065">
        <f t="shared" si="49"/>
        <v>2014</v>
      </c>
      <c r="G221" s="1065">
        <f t="shared" si="49"/>
        <v>2015</v>
      </c>
      <c r="H221" s="1065">
        <f t="shared" si="49"/>
        <v>2016</v>
      </c>
      <c r="I221" s="1065">
        <f t="shared" si="49"/>
        <v>2017</v>
      </c>
      <c r="J221" s="1065">
        <f t="shared" si="49"/>
        <v>2018</v>
      </c>
      <c r="K221" s="1065">
        <f t="shared" si="49"/>
        <v>2019</v>
      </c>
      <c r="L221" s="1088">
        <f t="shared" si="49"/>
        <v>2020</v>
      </c>
      <c r="N221" s="1423">
        <f>N$13</f>
        <v>2015</v>
      </c>
    </row>
    <row r="222" spans="1:14" x14ac:dyDescent="0.2">
      <c r="A222" s="2136" t="s">
        <v>90</v>
      </c>
      <c r="B222" s="2137"/>
      <c r="C222" s="1074" t="str">
        <f t="shared" ref="C222:L222" si="50">IF(C160=0, "", C160)</f>
        <v/>
      </c>
      <c r="D222" s="1074" t="str">
        <f t="shared" si="50"/>
        <v/>
      </c>
      <c r="E222" s="1074" t="str">
        <f t="shared" si="50"/>
        <v/>
      </c>
      <c r="F222" s="1074" t="str">
        <f t="shared" si="50"/>
        <v/>
      </c>
      <c r="G222" s="1074" t="str">
        <f t="shared" si="50"/>
        <v/>
      </c>
      <c r="H222" s="1074" t="str">
        <f t="shared" si="50"/>
        <v/>
      </c>
      <c r="I222" s="1074" t="str">
        <f t="shared" si="50"/>
        <v/>
      </c>
      <c r="J222" s="1074" t="str">
        <f t="shared" si="50"/>
        <v/>
      </c>
      <c r="K222" s="1074" t="str">
        <f t="shared" si="50"/>
        <v/>
      </c>
      <c r="L222" s="1421" t="str">
        <f t="shared" si="50"/>
        <v/>
      </c>
      <c r="N222" s="1424" t="str">
        <f>IF(N$14=0, "", N$14)</f>
        <v>CGAAP</v>
      </c>
    </row>
    <row r="223" spans="1:14" x14ac:dyDescent="0.2">
      <c r="A223" s="1655" t="s">
        <v>1524</v>
      </c>
      <c r="B223" s="98"/>
      <c r="C223" s="98"/>
      <c r="D223" s="98"/>
      <c r="E223" s="98"/>
      <c r="F223" s="98"/>
      <c r="G223" s="98">
        <v>-8242.0400000000009</v>
      </c>
      <c r="H223" s="98">
        <v>-1268.3599999999999</v>
      </c>
      <c r="I223" s="98">
        <v>-1902.54</v>
      </c>
      <c r="J223" s="98"/>
      <c r="K223" s="98"/>
      <c r="L223" s="212"/>
      <c r="N223" s="1427">
        <v>-8242.0400000000009</v>
      </c>
    </row>
    <row r="224" spans="1:14" x14ac:dyDescent="0.2">
      <c r="A224" s="1655" t="s">
        <v>1525</v>
      </c>
      <c r="B224" s="98"/>
      <c r="C224" s="98"/>
      <c r="D224" s="98"/>
      <c r="E224" s="98"/>
      <c r="F224" s="98"/>
      <c r="G224" s="98"/>
      <c r="H224" s="98"/>
      <c r="I224" s="98">
        <v>-120000</v>
      </c>
      <c r="J224" s="98"/>
      <c r="K224" s="98"/>
      <c r="L224" s="212"/>
      <c r="N224" s="1427"/>
    </row>
    <row r="225" spans="1:14" x14ac:dyDescent="0.2">
      <c r="A225" s="2131"/>
      <c r="B225" s="2132"/>
      <c r="C225" s="96"/>
      <c r="D225" s="96"/>
      <c r="E225" s="96"/>
      <c r="F225" s="98"/>
      <c r="G225" s="98"/>
      <c r="H225" s="98"/>
      <c r="I225" s="98"/>
      <c r="J225" s="98"/>
      <c r="K225" s="217"/>
      <c r="L225" s="212"/>
      <c r="N225" s="1427"/>
    </row>
    <row r="226" spans="1:14" x14ac:dyDescent="0.2">
      <c r="A226" s="2131"/>
      <c r="B226" s="2132"/>
      <c r="C226" s="96"/>
      <c r="D226" s="96"/>
      <c r="E226" s="96"/>
      <c r="F226" s="98"/>
      <c r="G226" s="98"/>
      <c r="H226" s="98"/>
      <c r="I226" s="98"/>
      <c r="J226" s="98"/>
      <c r="K226" s="217"/>
      <c r="L226" s="212"/>
      <c r="N226" s="1427"/>
    </row>
    <row r="227" spans="1:14" x14ac:dyDescent="0.2">
      <c r="A227" s="2102"/>
      <c r="B227" s="2103"/>
      <c r="C227" s="96"/>
      <c r="D227" s="96"/>
      <c r="E227" s="96"/>
      <c r="F227" s="98"/>
      <c r="G227" s="98"/>
      <c r="H227" s="98"/>
      <c r="I227" s="98"/>
      <c r="J227" s="98"/>
      <c r="K227" s="98"/>
      <c r="L227" s="212"/>
      <c r="N227" s="1427"/>
    </row>
    <row r="228" spans="1:14" x14ac:dyDescent="0.2">
      <c r="A228" s="2102"/>
      <c r="B228" s="2103"/>
      <c r="C228" s="98"/>
      <c r="D228" s="98"/>
      <c r="E228" s="98"/>
      <c r="F228" s="98"/>
      <c r="G228" s="98"/>
      <c r="H228" s="98"/>
      <c r="I228" s="98"/>
      <c r="J228" s="98"/>
      <c r="K228" s="98"/>
      <c r="L228" s="212"/>
      <c r="N228" s="1427"/>
    </row>
    <row r="229" spans="1:14" x14ac:dyDescent="0.2">
      <c r="A229" s="2133"/>
      <c r="B229" s="2134"/>
      <c r="C229" s="98"/>
      <c r="D229" s="98"/>
      <c r="E229" s="98"/>
      <c r="F229" s="98"/>
      <c r="G229" s="98"/>
      <c r="H229" s="98"/>
      <c r="I229" s="98"/>
      <c r="J229" s="98"/>
      <c r="K229" s="98"/>
      <c r="L229" s="212"/>
      <c r="N229" s="1427"/>
    </row>
    <row r="230" spans="1:14" ht="13.5" thickBot="1" x14ac:dyDescent="0.25">
      <c r="A230" s="2102"/>
      <c r="B230" s="2103"/>
      <c r="C230" s="831"/>
      <c r="D230" s="831"/>
      <c r="E230" s="831"/>
      <c r="F230" s="831"/>
      <c r="G230" s="123"/>
      <c r="H230" s="123"/>
      <c r="I230" s="123"/>
      <c r="J230" s="123"/>
      <c r="K230" s="218"/>
      <c r="L230" s="219"/>
      <c r="N230" s="1430"/>
    </row>
    <row r="231" spans="1:14" ht="14.25" thickTop="1" thickBot="1" x14ac:dyDescent="0.25">
      <c r="A231" s="2139" t="s">
        <v>259</v>
      </c>
      <c r="B231" s="2140"/>
      <c r="C231" s="1080">
        <f t="shared" ref="C231:L231" si="51">SUM(C223:C230)</f>
        <v>0</v>
      </c>
      <c r="D231" s="1080">
        <f t="shared" si="51"/>
        <v>0</v>
      </c>
      <c r="E231" s="1080">
        <f t="shared" si="51"/>
        <v>0</v>
      </c>
      <c r="F231" s="1080">
        <f t="shared" si="51"/>
        <v>0</v>
      </c>
      <c r="G231" s="1080">
        <f t="shared" si="51"/>
        <v>-8242.0400000000009</v>
      </c>
      <c r="H231" s="1080">
        <f t="shared" si="51"/>
        <v>-1268.3599999999999</v>
      </c>
      <c r="I231" s="1080">
        <f t="shared" si="51"/>
        <v>-121902.54</v>
      </c>
      <c r="J231" s="1080">
        <f t="shared" si="51"/>
        <v>0</v>
      </c>
      <c r="K231" s="1080">
        <f t="shared" si="51"/>
        <v>0</v>
      </c>
      <c r="L231" s="1093">
        <f t="shared" si="51"/>
        <v>0</v>
      </c>
      <c r="N231" s="1082">
        <f>SUM(N223:N230)</f>
        <v>-8242.0400000000009</v>
      </c>
    </row>
    <row r="233" spans="1:14" ht="13.5" thickBot="1" x14ac:dyDescent="0.25">
      <c r="A233" s="2141" t="s">
        <v>1486</v>
      </c>
      <c r="B233" s="2141"/>
      <c r="C233" s="2141"/>
    </row>
    <row r="234" spans="1:14" ht="13.5" thickBot="1" x14ac:dyDescent="0.25">
      <c r="A234" s="1089"/>
      <c r="B234" s="1090"/>
      <c r="C234" s="1434" t="str">
        <f t="shared" ref="C234:L234" si="52">C$12</f>
        <v>2011 Actual²</v>
      </c>
      <c r="D234" s="1065" t="str">
        <f t="shared" si="52"/>
        <v>2012 Actual²</v>
      </c>
      <c r="E234" s="1065" t="str">
        <f t="shared" si="52"/>
        <v>2013 Actual²</v>
      </c>
      <c r="F234" s="1065" t="str">
        <f t="shared" si="52"/>
        <v>2014 Actual²</v>
      </c>
      <c r="G234" s="1065" t="str">
        <f t="shared" si="52"/>
        <v>2015 Actual²</v>
      </c>
      <c r="H234" s="1065" t="str">
        <f t="shared" si="52"/>
        <v>2016 Actual²</v>
      </c>
      <c r="I234" s="1065" t="str">
        <f t="shared" si="52"/>
        <v>2017 Actual²</v>
      </c>
      <c r="J234" s="1065" t="str">
        <f t="shared" si="52"/>
        <v>2018 Actual</v>
      </c>
      <c r="K234" s="1065" t="str">
        <f t="shared" si="52"/>
        <v>Bridge Year</v>
      </c>
      <c r="L234" s="1088" t="str">
        <f t="shared" si="52"/>
        <v>Test Year</v>
      </c>
      <c r="N234" s="1422" t="str">
        <f>N$12</f>
        <v>CGAAP</v>
      </c>
    </row>
    <row r="235" spans="1:14" ht="13.5" thickBot="1" x14ac:dyDescent="0.25">
      <c r="A235" s="1089"/>
      <c r="B235" s="1090"/>
      <c r="C235" s="1065">
        <f t="shared" ref="C235:L235" si="53">C$13</f>
        <v>2011</v>
      </c>
      <c r="D235" s="1065">
        <f t="shared" si="53"/>
        <v>2012</v>
      </c>
      <c r="E235" s="1065">
        <f t="shared" si="53"/>
        <v>2013</v>
      </c>
      <c r="F235" s="1065">
        <f t="shared" si="53"/>
        <v>2014</v>
      </c>
      <c r="G235" s="1065">
        <f t="shared" si="53"/>
        <v>2015</v>
      </c>
      <c r="H235" s="1065">
        <f t="shared" si="53"/>
        <v>2016</v>
      </c>
      <c r="I235" s="1065">
        <f t="shared" si="53"/>
        <v>2017</v>
      </c>
      <c r="J235" s="1065">
        <f t="shared" si="53"/>
        <v>2018</v>
      </c>
      <c r="K235" s="1065">
        <f t="shared" si="53"/>
        <v>2019</v>
      </c>
      <c r="L235" s="1088">
        <f t="shared" si="53"/>
        <v>2020</v>
      </c>
      <c r="N235" s="1423">
        <f>N$13</f>
        <v>2015</v>
      </c>
    </row>
    <row r="236" spans="1:14" x14ac:dyDescent="0.2">
      <c r="A236" s="2136" t="s">
        <v>90</v>
      </c>
      <c r="B236" s="2137"/>
      <c r="C236" s="1074" t="str">
        <f t="shared" ref="C236:L236" si="54">IF(C174=0, "", C174)</f>
        <v/>
      </c>
      <c r="D236" s="1074" t="str">
        <f t="shared" si="54"/>
        <v/>
      </c>
      <c r="E236" s="1074" t="str">
        <f t="shared" si="54"/>
        <v/>
      </c>
      <c r="F236" s="1074" t="str">
        <f t="shared" si="54"/>
        <v/>
      </c>
      <c r="G236" s="1074" t="str">
        <f t="shared" si="54"/>
        <v/>
      </c>
      <c r="H236" s="1074" t="str">
        <f t="shared" si="54"/>
        <v/>
      </c>
      <c r="I236" s="1074" t="str">
        <f t="shared" si="54"/>
        <v/>
      </c>
      <c r="J236" s="1074" t="str">
        <f t="shared" si="54"/>
        <v/>
      </c>
      <c r="K236" s="1074" t="str">
        <f t="shared" si="54"/>
        <v/>
      </c>
      <c r="L236" s="1421" t="str">
        <f t="shared" si="54"/>
        <v/>
      </c>
      <c r="N236" s="1424" t="str">
        <f>IF(N$14=0, "", N$14)</f>
        <v>CGAAP</v>
      </c>
    </row>
    <row r="237" spans="1:14" x14ac:dyDescent="0.2">
      <c r="A237" s="1655" t="s">
        <v>1731</v>
      </c>
      <c r="B237" s="98"/>
      <c r="C237" s="98"/>
      <c r="D237" s="98"/>
      <c r="E237" s="98"/>
      <c r="F237" s="98"/>
      <c r="G237" s="98"/>
      <c r="H237" s="98">
        <v>-1624753.77</v>
      </c>
      <c r="I237" s="98">
        <v>-461850.66</v>
      </c>
      <c r="J237" s="98">
        <v>-624722.29999999993</v>
      </c>
      <c r="K237" s="98">
        <v>-515798.59</v>
      </c>
      <c r="L237" s="212"/>
      <c r="N237" s="1427"/>
    </row>
    <row r="238" spans="1:14" x14ac:dyDescent="0.2">
      <c r="A238" s="2131"/>
      <c r="B238" s="2132"/>
      <c r="C238" s="98"/>
      <c r="D238" s="98"/>
      <c r="E238" s="98"/>
      <c r="F238" s="98"/>
      <c r="G238" s="98"/>
      <c r="H238" s="98"/>
      <c r="I238" s="98"/>
      <c r="J238" s="98"/>
      <c r="K238" s="98"/>
      <c r="L238" s="212"/>
      <c r="N238" s="1427"/>
    </row>
    <row r="239" spans="1:14" x14ac:dyDescent="0.2">
      <c r="A239" s="2131"/>
      <c r="B239" s="2132"/>
      <c r="C239" s="98"/>
      <c r="D239" s="98"/>
      <c r="E239" s="98"/>
      <c r="F239" s="98"/>
      <c r="G239" s="98"/>
      <c r="H239" s="98"/>
      <c r="I239" s="98"/>
      <c r="J239" s="98"/>
      <c r="K239" s="98"/>
      <c r="L239" s="212"/>
      <c r="N239" s="1427"/>
    </row>
    <row r="240" spans="1:14" x14ac:dyDescent="0.2">
      <c r="A240" s="2131"/>
      <c r="B240" s="2132"/>
      <c r="C240" s="96"/>
      <c r="D240" s="96"/>
      <c r="E240" s="96"/>
      <c r="F240" s="98"/>
      <c r="G240" s="98"/>
      <c r="H240" s="98"/>
      <c r="I240" s="98"/>
      <c r="J240" s="98"/>
      <c r="K240" s="217"/>
      <c r="L240" s="212"/>
      <c r="N240" s="1427"/>
    </row>
    <row r="241" spans="1:14" x14ac:dyDescent="0.2">
      <c r="A241" s="2102"/>
      <c r="B241" s="2103"/>
      <c r="C241" s="96"/>
      <c r="D241" s="96"/>
      <c r="E241" s="96"/>
      <c r="F241" s="98"/>
      <c r="G241" s="98"/>
      <c r="H241" s="98"/>
      <c r="I241" s="98"/>
      <c r="J241" s="98"/>
      <c r="K241" s="98"/>
      <c r="L241" s="212"/>
      <c r="N241" s="1427"/>
    </row>
    <row r="242" spans="1:14" x14ac:dyDescent="0.2">
      <c r="A242" s="2102"/>
      <c r="B242" s="2103"/>
      <c r="C242" s="98"/>
      <c r="D242" s="98"/>
      <c r="E242" s="98"/>
      <c r="F242" s="98"/>
      <c r="G242" s="98"/>
      <c r="H242" s="98"/>
      <c r="I242" s="98"/>
      <c r="J242" s="98"/>
      <c r="K242" s="98"/>
      <c r="L242" s="212"/>
      <c r="N242" s="1427"/>
    </row>
    <row r="243" spans="1:14" x14ac:dyDescent="0.2">
      <c r="A243" s="2133"/>
      <c r="B243" s="2134"/>
      <c r="C243" s="98"/>
      <c r="D243" s="98"/>
      <c r="E243" s="98"/>
      <c r="F243" s="98"/>
      <c r="G243" s="98"/>
      <c r="H243" s="98"/>
      <c r="I243" s="98"/>
      <c r="J243" s="98"/>
      <c r="K243" s="98"/>
      <c r="L243" s="212"/>
      <c r="N243" s="1427"/>
    </row>
    <row r="244" spans="1:14" ht="13.5" thickBot="1" x14ac:dyDescent="0.25">
      <c r="A244" s="2102"/>
      <c r="B244" s="2103"/>
      <c r="C244" s="831"/>
      <c r="D244" s="831"/>
      <c r="E244" s="831"/>
      <c r="F244" s="831"/>
      <c r="G244" s="123"/>
      <c r="H244" s="123"/>
      <c r="I244" s="123"/>
      <c r="J244" s="123"/>
      <c r="K244" s="218"/>
      <c r="L244" s="219"/>
      <c r="N244" s="1430"/>
    </row>
    <row r="245" spans="1:14" ht="14.25" thickTop="1" thickBot="1" x14ac:dyDescent="0.25">
      <c r="A245" s="2139" t="s">
        <v>259</v>
      </c>
      <c r="B245" s="2140"/>
      <c r="C245" s="1080">
        <f t="shared" ref="C245:L245" si="55">SUM(C237:C244)</f>
        <v>0</v>
      </c>
      <c r="D245" s="1080">
        <f t="shared" si="55"/>
        <v>0</v>
      </c>
      <c r="E245" s="1080">
        <f t="shared" si="55"/>
        <v>0</v>
      </c>
      <c r="F245" s="1080">
        <f t="shared" si="55"/>
        <v>0</v>
      </c>
      <c r="G245" s="1080">
        <f t="shared" si="55"/>
        <v>0</v>
      </c>
      <c r="H245" s="1080">
        <f t="shared" si="55"/>
        <v>-1624753.77</v>
      </c>
      <c r="I245" s="1080">
        <f t="shared" si="55"/>
        <v>-461850.66</v>
      </c>
      <c r="J245" s="1080">
        <f t="shared" si="55"/>
        <v>-624722.29999999993</v>
      </c>
      <c r="K245" s="1080">
        <f t="shared" si="55"/>
        <v>-515798.59</v>
      </c>
      <c r="L245" s="1093">
        <f t="shared" si="55"/>
        <v>0</v>
      </c>
      <c r="N245" s="1082">
        <f>SUM(N237:N244)</f>
        <v>0</v>
      </c>
    </row>
    <row r="247" spans="1:14" ht="13.5" thickBot="1" x14ac:dyDescent="0.25">
      <c r="A247" s="2141" t="s">
        <v>1529</v>
      </c>
      <c r="B247" s="2141"/>
      <c r="C247" s="2141"/>
    </row>
    <row r="248" spans="1:14" ht="13.5" thickBot="1" x14ac:dyDescent="0.25">
      <c r="A248" s="1089"/>
      <c r="B248" s="1090"/>
      <c r="C248" s="1434" t="str">
        <f t="shared" ref="C248:L248" si="56">C$12</f>
        <v>2011 Actual²</v>
      </c>
      <c r="D248" s="1065" t="str">
        <f t="shared" si="56"/>
        <v>2012 Actual²</v>
      </c>
      <c r="E248" s="1065" t="str">
        <f t="shared" si="56"/>
        <v>2013 Actual²</v>
      </c>
      <c r="F248" s="1065" t="str">
        <f t="shared" si="56"/>
        <v>2014 Actual²</v>
      </c>
      <c r="G248" s="1065" t="str">
        <f t="shared" si="56"/>
        <v>2015 Actual²</v>
      </c>
      <c r="H248" s="1065" t="str">
        <f t="shared" si="56"/>
        <v>2016 Actual²</v>
      </c>
      <c r="I248" s="1065" t="str">
        <f t="shared" si="56"/>
        <v>2017 Actual²</v>
      </c>
      <c r="J248" s="1065" t="str">
        <f t="shared" si="56"/>
        <v>2018 Actual</v>
      </c>
      <c r="K248" s="1065" t="str">
        <f t="shared" si="56"/>
        <v>Bridge Year</v>
      </c>
      <c r="L248" s="1088" t="str">
        <f t="shared" si="56"/>
        <v>Test Year</v>
      </c>
      <c r="N248" s="1422" t="str">
        <f>N$12</f>
        <v>CGAAP</v>
      </c>
    </row>
    <row r="249" spans="1:14" ht="13.5" thickBot="1" x14ac:dyDescent="0.25">
      <c r="A249" s="1089"/>
      <c r="B249" s="1090"/>
      <c r="C249" s="1065">
        <f t="shared" ref="C249:L249" si="57">C$13</f>
        <v>2011</v>
      </c>
      <c r="D249" s="1065">
        <f t="shared" si="57"/>
        <v>2012</v>
      </c>
      <c r="E249" s="1065">
        <f t="shared" si="57"/>
        <v>2013</v>
      </c>
      <c r="F249" s="1065">
        <f t="shared" si="57"/>
        <v>2014</v>
      </c>
      <c r="G249" s="1065">
        <f t="shared" si="57"/>
        <v>2015</v>
      </c>
      <c r="H249" s="1065">
        <f t="shared" si="57"/>
        <v>2016</v>
      </c>
      <c r="I249" s="1065">
        <f t="shared" si="57"/>
        <v>2017</v>
      </c>
      <c r="J249" s="1065">
        <f t="shared" si="57"/>
        <v>2018</v>
      </c>
      <c r="K249" s="1065">
        <f t="shared" si="57"/>
        <v>2019</v>
      </c>
      <c r="L249" s="1088">
        <f t="shared" si="57"/>
        <v>2020</v>
      </c>
      <c r="N249" s="1423">
        <f>N$13</f>
        <v>2015</v>
      </c>
    </row>
    <row r="250" spans="1:14" x14ac:dyDescent="0.2">
      <c r="A250" s="2136" t="s">
        <v>90</v>
      </c>
      <c r="B250" s="2137"/>
      <c r="C250" s="1074" t="str">
        <f t="shared" ref="C250:L250" si="58">IF(C188=0, "", C188)</f>
        <v/>
      </c>
      <c r="D250" s="1074" t="str">
        <f t="shared" si="58"/>
        <v/>
      </c>
      <c r="E250" s="1074" t="str">
        <f t="shared" si="58"/>
        <v/>
      </c>
      <c r="F250" s="1074" t="str">
        <f t="shared" si="58"/>
        <v/>
      </c>
      <c r="G250" s="1074" t="str">
        <f t="shared" si="58"/>
        <v/>
      </c>
      <c r="H250" s="1074" t="str">
        <f t="shared" si="58"/>
        <v/>
      </c>
      <c r="I250" s="1074" t="str">
        <f t="shared" si="58"/>
        <v/>
      </c>
      <c r="J250" s="1074" t="str">
        <f t="shared" si="58"/>
        <v/>
      </c>
      <c r="K250" s="1074" t="str">
        <f t="shared" si="58"/>
        <v/>
      </c>
      <c r="L250" s="1421" t="str">
        <f t="shared" si="58"/>
        <v/>
      </c>
      <c r="N250" s="1424" t="str">
        <f>IF(N$14=0, "", N$14)</f>
        <v>CGAAP</v>
      </c>
    </row>
    <row r="251" spans="1:14" x14ac:dyDescent="0.2">
      <c r="A251" s="2138" t="s">
        <v>1739</v>
      </c>
      <c r="B251" s="2103"/>
      <c r="C251" s="96"/>
      <c r="D251" s="96"/>
      <c r="E251" s="96"/>
      <c r="F251" s="96"/>
      <c r="G251" s="96">
        <v>538013.67999999993</v>
      </c>
      <c r="H251" s="96">
        <v>637753.51000000024</v>
      </c>
      <c r="I251" s="96">
        <v>454852.37999999989</v>
      </c>
      <c r="J251" s="96">
        <v>624722.30000000005</v>
      </c>
      <c r="K251" s="96">
        <v>515798.59</v>
      </c>
      <c r="L251" s="212">
        <f>L21</f>
        <v>531690</v>
      </c>
      <c r="N251" s="1427">
        <v>0</v>
      </c>
    </row>
    <row r="252" spans="1:14" x14ac:dyDescent="0.2">
      <c r="A252" s="2102"/>
      <c r="B252" s="2103"/>
      <c r="C252" s="96"/>
      <c r="D252" s="96"/>
      <c r="E252" s="96"/>
      <c r="F252" s="96"/>
      <c r="G252" s="96"/>
      <c r="H252" s="96"/>
      <c r="I252" s="96"/>
      <c r="J252" s="96"/>
      <c r="K252" s="217"/>
      <c r="L252" s="212"/>
      <c r="N252" s="1427"/>
    </row>
    <row r="253" spans="1:14" x14ac:dyDescent="0.2">
      <c r="A253" s="2131"/>
      <c r="B253" s="2132"/>
      <c r="C253" s="96"/>
      <c r="D253" s="96"/>
      <c r="E253" s="96"/>
      <c r="F253" s="98"/>
      <c r="G253" s="98"/>
      <c r="H253" s="98"/>
      <c r="I253" s="98"/>
      <c r="J253" s="98"/>
      <c r="K253" s="217"/>
      <c r="L253" s="212"/>
      <c r="N253" s="1427"/>
    </row>
    <row r="254" spans="1:14" x14ac:dyDescent="0.2">
      <c r="A254" s="2131"/>
      <c r="B254" s="2132"/>
      <c r="C254" s="96"/>
      <c r="D254" s="96"/>
      <c r="E254" s="96"/>
      <c r="F254" s="98"/>
      <c r="G254" s="98"/>
      <c r="H254" s="98"/>
      <c r="I254" s="98"/>
      <c r="J254" s="98"/>
      <c r="K254" s="217"/>
      <c r="L254" s="212"/>
      <c r="N254" s="1427"/>
    </row>
    <row r="255" spans="1:14" x14ac:dyDescent="0.2">
      <c r="A255" s="2102"/>
      <c r="B255" s="2103"/>
      <c r="C255" s="96"/>
      <c r="D255" s="96"/>
      <c r="E255" s="96"/>
      <c r="F255" s="98"/>
      <c r="G255" s="98"/>
      <c r="H255" s="98"/>
      <c r="I255" s="98"/>
      <c r="J255" s="98"/>
      <c r="K255" s="98"/>
      <c r="L255" s="212"/>
      <c r="N255" s="1427"/>
    </row>
    <row r="256" spans="1:14" x14ac:dyDescent="0.2">
      <c r="A256" s="2102"/>
      <c r="B256" s="2103"/>
      <c r="C256" s="98"/>
      <c r="D256" s="98"/>
      <c r="E256" s="98"/>
      <c r="F256" s="98"/>
      <c r="G256" s="98"/>
      <c r="H256" s="98"/>
      <c r="I256" s="98"/>
      <c r="J256" s="98"/>
      <c r="K256" s="98"/>
      <c r="L256" s="212"/>
      <c r="N256" s="1427"/>
    </row>
    <row r="257" spans="1:14" x14ac:dyDescent="0.2">
      <c r="A257" s="2133"/>
      <c r="B257" s="2134"/>
      <c r="C257" s="98"/>
      <c r="D257" s="98"/>
      <c r="E257" s="98"/>
      <c r="F257" s="98"/>
      <c r="G257" s="98"/>
      <c r="H257" s="98"/>
      <c r="I257" s="98"/>
      <c r="J257" s="98"/>
      <c r="K257" s="98"/>
      <c r="L257" s="212"/>
      <c r="N257" s="1427"/>
    </row>
    <row r="258" spans="1:14" ht="13.5" thickBot="1" x14ac:dyDescent="0.25">
      <c r="A258" s="2102"/>
      <c r="B258" s="2103"/>
      <c r="C258" s="831"/>
      <c r="D258" s="831"/>
      <c r="E258" s="831"/>
      <c r="F258" s="831"/>
      <c r="G258" s="123"/>
      <c r="H258" s="123"/>
      <c r="I258" s="123"/>
      <c r="J258" s="123"/>
      <c r="K258" s="218"/>
      <c r="L258" s="219"/>
      <c r="N258" s="1430"/>
    </row>
    <row r="259" spans="1:14" ht="14.25" thickTop="1" thickBot="1" x14ac:dyDescent="0.25">
      <c r="A259" s="2139" t="s">
        <v>259</v>
      </c>
      <c r="B259" s="2140"/>
      <c r="C259" s="1080">
        <f t="shared" ref="C259:L259" si="59">SUM(C251:C258)</f>
        <v>0</v>
      </c>
      <c r="D259" s="1080">
        <f t="shared" si="59"/>
        <v>0</v>
      </c>
      <c r="E259" s="1080">
        <f t="shared" si="59"/>
        <v>0</v>
      </c>
      <c r="F259" s="1080">
        <f t="shared" si="59"/>
        <v>0</v>
      </c>
      <c r="G259" s="1080">
        <f t="shared" si="59"/>
        <v>538013.67999999993</v>
      </c>
      <c r="H259" s="1080">
        <f t="shared" si="59"/>
        <v>637753.51000000024</v>
      </c>
      <c r="I259" s="1080">
        <f t="shared" si="59"/>
        <v>454852.37999999989</v>
      </c>
      <c r="J259" s="1080">
        <f t="shared" si="59"/>
        <v>624722.30000000005</v>
      </c>
      <c r="K259" s="1080">
        <f t="shared" si="59"/>
        <v>515798.59</v>
      </c>
      <c r="L259" s="1093">
        <f t="shared" si="59"/>
        <v>531690</v>
      </c>
      <c r="N259" s="1082">
        <f>SUM(N251:N258)</f>
        <v>0</v>
      </c>
    </row>
    <row r="261" spans="1:14" ht="13.5" thickBot="1" x14ac:dyDescent="0.25">
      <c r="A261" s="2141" t="s">
        <v>1545</v>
      </c>
      <c r="B261" s="2141"/>
      <c r="C261" s="2141"/>
    </row>
    <row r="262" spans="1:14" ht="13.5" thickBot="1" x14ac:dyDescent="0.25">
      <c r="A262" s="1089"/>
      <c r="B262" s="1090"/>
      <c r="C262" s="1434" t="str">
        <f t="shared" ref="C262:L262" si="60">C$12</f>
        <v>2011 Actual²</v>
      </c>
      <c r="D262" s="1065" t="str">
        <f t="shared" si="60"/>
        <v>2012 Actual²</v>
      </c>
      <c r="E262" s="1065" t="str">
        <f t="shared" si="60"/>
        <v>2013 Actual²</v>
      </c>
      <c r="F262" s="1065" t="str">
        <f t="shared" si="60"/>
        <v>2014 Actual²</v>
      </c>
      <c r="G262" s="1065" t="str">
        <f t="shared" si="60"/>
        <v>2015 Actual²</v>
      </c>
      <c r="H262" s="1065" t="str">
        <f t="shared" si="60"/>
        <v>2016 Actual²</v>
      </c>
      <c r="I262" s="1065" t="str">
        <f t="shared" si="60"/>
        <v>2017 Actual²</v>
      </c>
      <c r="J262" s="1065" t="str">
        <f t="shared" si="60"/>
        <v>2018 Actual</v>
      </c>
      <c r="K262" s="1065" t="str">
        <f t="shared" si="60"/>
        <v>Bridge Year</v>
      </c>
      <c r="L262" s="1088" t="str">
        <f t="shared" si="60"/>
        <v>Test Year</v>
      </c>
      <c r="N262" s="1422" t="str">
        <f>N$12</f>
        <v>CGAAP</v>
      </c>
    </row>
    <row r="263" spans="1:14" ht="13.5" thickBot="1" x14ac:dyDescent="0.25">
      <c r="A263" s="1089"/>
      <c r="B263" s="1090"/>
      <c r="C263" s="1065">
        <f t="shared" ref="C263:L263" si="61">C$13</f>
        <v>2011</v>
      </c>
      <c r="D263" s="1065">
        <f t="shared" si="61"/>
        <v>2012</v>
      </c>
      <c r="E263" s="1065">
        <f t="shared" si="61"/>
        <v>2013</v>
      </c>
      <c r="F263" s="1065">
        <f t="shared" si="61"/>
        <v>2014</v>
      </c>
      <c r="G263" s="1065">
        <f t="shared" si="61"/>
        <v>2015</v>
      </c>
      <c r="H263" s="1065">
        <f t="shared" si="61"/>
        <v>2016</v>
      </c>
      <c r="I263" s="1065">
        <f t="shared" si="61"/>
        <v>2017</v>
      </c>
      <c r="J263" s="1065">
        <f t="shared" si="61"/>
        <v>2018</v>
      </c>
      <c r="K263" s="1065">
        <f t="shared" si="61"/>
        <v>2019</v>
      </c>
      <c r="L263" s="1088">
        <f t="shared" si="61"/>
        <v>2020</v>
      </c>
      <c r="N263" s="1423">
        <f>N$13</f>
        <v>2015</v>
      </c>
    </row>
    <row r="264" spans="1:14" x14ac:dyDescent="0.2">
      <c r="A264" s="2136" t="s">
        <v>90</v>
      </c>
      <c r="B264" s="2137"/>
      <c r="C264" s="1074" t="str">
        <f t="shared" ref="C264:L264" si="62">IF(C202=0, "", C202)</f>
        <v/>
      </c>
      <c r="D264" s="1074" t="str">
        <f t="shared" si="62"/>
        <v/>
      </c>
      <c r="E264" s="1074" t="str">
        <f t="shared" si="62"/>
        <v/>
      </c>
      <c r="F264" s="1074" t="str">
        <f t="shared" si="62"/>
        <v/>
      </c>
      <c r="G264" s="1074" t="str">
        <f t="shared" si="62"/>
        <v/>
      </c>
      <c r="H264" s="1074" t="str">
        <f t="shared" si="62"/>
        <v/>
      </c>
      <c r="I264" s="1074" t="str">
        <f t="shared" si="62"/>
        <v/>
      </c>
      <c r="J264" s="1074" t="str">
        <f t="shared" si="62"/>
        <v/>
      </c>
      <c r="K264" s="1074" t="str">
        <f t="shared" si="62"/>
        <v/>
      </c>
      <c r="L264" s="1421" t="str">
        <f t="shared" si="62"/>
        <v/>
      </c>
      <c r="N264" s="1424" t="str">
        <f>IF(N$14=0, "", N$14)</f>
        <v>CGAAP</v>
      </c>
    </row>
    <row r="265" spans="1:14" x14ac:dyDescent="0.2">
      <c r="A265" s="2138" t="s">
        <v>1532</v>
      </c>
      <c r="B265" s="2103"/>
      <c r="C265" s="96"/>
      <c r="D265" s="96"/>
      <c r="E265" s="96"/>
      <c r="F265" s="96"/>
      <c r="G265" s="98">
        <v>-42626.3</v>
      </c>
      <c r="H265" s="98">
        <v>-70036.53</v>
      </c>
      <c r="I265" s="98">
        <v>-92006.799999999988</v>
      </c>
      <c r="J265" s="98">
        <v>-115823.23999999999</v>
      </c>
      <c r="K265" s="98">
        <v>-198359.85145000002</v>
      </c>
      <c r="L265" s="212">
        <v>-207802.02615000005</v>
      </c>
      <c r="N265" s="1427"/>
    </row>
    <row r="266" spans="1:14" x14ac:dyDescent="0.2">
      <c r="A266" s="2102"/>
      <c r="B266" s="2103"/>
      <c r="C266" s="96"/>
      <c r="D266" s="96"/>
      <c r="E266" s="96"/>
      <c r="F266" s="96"/>
      <c r="G266" s="96"/>
      <c r="H266" s="96"/>
      <c r="I266" s="96"/>
      <c r="J266" s="96"/>
      <c r="K266" s="217"/>
      <c r="L266" s="212"/>
      <c r="N266" s="1427"/>
    </row>
    <row r="267" spans="1:14" x14ac:dyDescent="0.2">
      <c r="A267" s="2131"/>
      <c r="B267" s="2132"/>
      <c r="C267" s="96"/>
      <c r="D267" s="96"/>
      <c r="E267" s="96"/>
      <c r="F267" s="98"/>
      <c r="G267" s="98"/>
      <c r="H267" s="98"/>
      <c r="I267" s="98"/>
      <c r="J267" s="98"/>
      <c r="K267" s="217"/>
      <c r="L267" s="212"/>
      <c r="N267" s="1427"/>
    </row>
    <row r="268" spans="1:14" x14ac:dyDescent="0.2">
      <c r="A268" s="2131"/>
      <c r="B268" s="2132"/>
      <c r="C268" s="96"/>
      <c r="D268" s="96"/>
      <c r="E268" s="96"/>
      <c r="F268" s="98"/>
      <c r="G268" s="98"/>
      <c r="H268" s="98"/>
      <c r="I268" s="98"/>
      <c r="J268" s="98"/>
      <c r="K268" s="217"/>
      <c r="L268" s="212"/>
      <c r="N268" s="1427"/>
    </row>
    <row r="269" spans="1:14" x14ac:dyDescent="0.2">
      <c r="A269" s="2102"/>
      <c r="B269" s="2103"/>
      <c r="C269" s="96"/>
      <c r="D269" s="96"/>
      <c r="E269" s="96"/>
      <c r="F269" s="98"/>
      <c r="G269" s="98"/>
      <c r="H269" s="98"/>
      <c r="I269" s="98"/>
      <c r="J269" s="98"/>
      <c r="K269" s="98"/>
      <c r="L269" s="212"/>
      <c r="N269" s="1427"/>
    </row>
    <row r="270" spans="1:14" x14ac:dyDescent="0.2">
      <c r="A270" s="2102"/>
      <c r="B270" s="2103"/>
      <c r="C270" s="98"/>
      <c r="D270" s="98"/>
      <c r="E270" s="98"/>
      <c r="F270" s="98"/>
      <c r="G270" s="98"/>
      <c r="H270" s="98"/>
      <c r="I270" s="98"/>
      <c r="J270" s="98"/>
      <c r="K270" s="98"/>
      <c r="L270" s="212"/>
      <c r="N270" s="1427"/>
    </row>
    <row r="271" spans="1:14" x14ac:dyDescent="0.2">
      <c r="A271" s="2133"/>
      <c r="B271" s="2134"/>
      <c r="C271" s="98"/>
      <c r="D271" s="98"/>
      <c r="E271" s="98"/>
      <c r="F271" s="98"/>
      <c r="G271" s="98"/>
      <c r="H271" s="98"/>
      <c r="I271" s="98"/>
      <c r="J271" s="98"/>
      <c r="K271" s="98"/>
      <c r="L271" s="212"/>
      <c r="N271" s="1427"/>
    </row>
    <row r="272" spans="1:14" ht="13.5" thickBot="1" x14ac:dyDescent="0.25">
      <c r="A272" s="2102"/>
      <c r="B272" s="2103"/>
      <c r="C272" s="831"/>
      <c r="D272" s="831"/>
      <c r="E272" s="831"/>
      <c r="F272" s="831"/>
      <c r="G272" s="123"/>
      <c r="H272" s="123"/>
      <c r="I272" s="123"/>
      <c r="J272" s="123"/>
      <c r="K272" s="218"/>
      <c r="L272" s="219"/>
      <c r="N272" s="1430"/>
    </row>
    <row r="273" spans="1:14" ht="14.25" thickTop="1" thickBot="1" x14ac:dyDescent="0.25">
      <c r="A273" s="2139" t="s">
        <v>259</v>
      </c>
      <c r="B273" s="2140"/>
      <c r="C273" s="1080">
        <f t="shared" ref="C273:L273" si="63">SUM(C265:C272)</f>
        <v>0</v>
      </c>
      <c r="D273" s="1080">
        <f t="shared" si="63"/>
        <v>0</v>
      </c>
      <c r="E273" s="1080">
        <f t="shared" si="63"/>
        <v>0</v>
      </c>
      <c r="F273" s="1080">
        <f t="shared" si="63"/>
        <v>0</v>
      </c>
      <c r="G273" s="1080">
        <f t="shared" si="63"/>
        <v>-42626.3</v>
      </c>
      <c r="H273" s="1080">
        <f t="shared" si="63"/>
        <v>-70036.53</v>
      </c>
      <c r="I273" s="1080">
        <f t="shared" si="63"/>
        <v>-92006.799999999988</v>
      </c>
      <c r="J273" s="1080">
        <f t="shared" si="63"/>
        <v>-115823.23999999999</v>
      </c>
      <c r="K273" s="1080">
        <f t="shared" si="63"/>
        <v>-198359.85145000002</v>
      </c>
      <c r="L273" s="1093">
        <f t="shared" si="63"/>
        <v>-207802.02615000005</v>
      </c>
      <c r="N273" s="1082">
        <f>SUM(N265:N272)</f>
        <v>0</v>
      </c>
    </row>
    <row r="275" spans="1:14" ht="13.5" thickBot="1" x14ac:dyDescent="0.25">
      <c r="A275" s="2141" t="s">
        <v>1587</v>
      </c>
      <c r="B275" s="2141"/>
      <c r="C275" s="2141"/>
    </row>
    <row r="276" spans="1:14" ht="13.5" thickBot="1" x14ac:dyDescent="0.25">
      <c r="A276" s="1089"/>
      <c r="B276" s="1090"/>
      <c r="C276" s="1434" t="str">
        <f t="shared" ref="C276:L276" si="64">C$12</f>
        <v>2011 Actual²</v>
      </c>
      <c r="D276" s="1065" t="str">
        <f t="shared" si="64"/>
        <v>2012 Actual²</v>
      </c>
      <c r="E276" s="1065" t="str">
        <f t="shared" si="64"/>
        <v>2013 Actual²</v>
      </c>
      <c r="F276" s="1065" t="str">
        <f t="shared" si="64"/>
        <v>2014 Actual²</v>
      </c>
      <c r="G276" s="1065" t="str">
        <f t="shared" si="64"/>
        <v>2015 Actual²</v>
      </c>
      <c r="H276" s="1065" t="str">
        <f t="shared" si="64"/>
        <v>2016 Actual²</v>
      </c>
      <c r="I276" s="1065" t="str">
        <f t="shared" si="64"/>
        <v>2017 Actual²</v>
      </c>
      <c r="J276" s="1065" t="str">
        <f t="shared" si="64"/>
        <v>2018 Actual</v>
      </c>
      <c r="K276" s="1065" t="str">
        <f t="shared" si="64"/>
        <v>Bridge Year</v>
      </c>
      <c r="L276" s="1088" t="str">
        <f t="shared" si="64"/>
        <v>Test Year</v>
      </c>
      <c r="N276" s="1422" t="str">
        <f>N$12</f>
        <v>CGAAP</v>
      </c>
    </row>
    <row r="277" spans="1:14" ht="13.5" thickBot="1" x14ac:dyDescent="0.25">
      <c r="A277" s="1089"/>
      <c r="B277" s="1090"/>
      <c r="C277" s="1065">
        <f t="shared" ref="C277:L277" si="65">C$13</f>
        <v>2011</v>
      </c>
      <c r="D277" s="1065">
        <f t="shared" si="65"/>
        <v>2012</v>
      </c>
      <c r="E277" s="1065">
        <f t="shared" si="65"/>
        <v>2013</v>
      </c>
      <c r="F277" s="1065">
        <f t="shared" si="65"/>
        <v>2014</v>
      </c>
      <c r="G277" s="1065">
        <f t="shared" si="65"/>
        <v>2015</v>
      </c>
      <c r="H277" s="1065">
        <f t="shared" si="65"/>
        <v>2016</v>
      </c>
      <c r="I277" s="1065">
        <f t="shared" si="65"/>
        <v>2017</v>
      </c>
      <c r="J277" s="1065">
        <f t="shared" si="65"/>
        <v>2018</v>
      </c>
      <c r="K277" s="1065">
        <f t="shared" si="65"/>
        <v>2019</v>
      </c>
      <c r="L277" s="1088">
        <f t="shared" si="65"/>
        <v>2020</v>
      </c>
      <c r="N277" s="1423">
        <f>N$13</f>
        <v>2015</v>
      </c>
    </row>
    <row r="278" spans="1:14" x14ac:dyDescent="0.2">
      <c r="A278" s="2136" t="s">
        <v>90</v>
      </c>
      <c r="B278" s="2137"/>
      <c r="C278" s="1074" t="str">
        <f t="shared" ref="C278:L278" si="66">IF(C216=0, "", C216)</f>
        <v/>
      </c>
      <c r="D278" s="1074" t="str">
        <f t="shared" si="66"/>
        <v/>
      </c>
      <c r="E278" s="1074" t="str">
        <f t="shared" si="66"/>
        <v/>
      </c>
      <c r="F278" s="1074" t="str">
        <f t="shared" si="66"/>
        <v/>
      </c>
      <c r="G278" s="1074" t="str">
        <f t="shared" si="66"/>
        <v/>
      </c>
      <c r="H278" s="1074" t="str">
        <f t="shared" si="66"/>
        <v/>
      </c>
      <c r="I278" s="1074" t="str">
        <f t="shared" si="66"/>
        <v/>
      </c>
      <c r="J278" s="1074" t="str">
        <f t="shared" si="66"/>
        <v/>
      </c>
      <c r="K278" s="1074" t="str">
        <f t="shared" si="66"/>
        <v/>
      </c>
      <c r="L278" s="1421" t="str">
        <f t="shared" si="66"/>
        <v/>
      </c>
      <c r="N278" s="1424" t="str">
        <f>IF(N$14=0, "", N$14)</f>
        <v>CGAAP</v>
      </c>
    </row>
    <row r="279" spans="1:14" x14ac:dyDescent="0.2">
      <c r="A279" s="2138" t="s">
        <v>1588</v>
      </c>
      <c r="B279" s="2103"/>
      <c r="C279" s="96"/>
      <c r="D279" s="96"/>
      <c r="E279" s="96">
        <v>-1402.02</v>
      </c>
      <c r="F279" s="96">
        <v>-26005.49</v>
      </c>
      <c r="G279" s="96"/>
      <c r="H279" s="96"/>
      <c r="I279" s="96"/>
      <c r="J279" s="96"/>
      <c r="K279" s="96">
        <v>-2696</v>
      </c>
      <c r="L279" s="212"/>
      <c r="N279" s="1427"/>
    </row>
    <row r="280" spans="1:14" x14ac:dyDescent="0.2">
      <c r="A280" s="2102"/>
      <c r="B280" s="2103"/>
      <c r="C280" s="96"/>
      <c r="D280" s="96"/>
      <c r="E280" s="96"/>
      <c r="F280" s="96"/>
      <c r="G280" s="96"/>
      <c r="H280" s="96"/>
      <c r="I280" s="96"/>
      <c r="J280" s="96"/>
      <c r="K280" s="217"/>
      <c r="L280" s="212"/>
      <c r="N280" s="1427"/>
    </row>
    <row r="281" spans="1:14" x14ac:dyDescent="0.2">
      <c r="A281" s="2131"/>
      <c r="B281" s="2132"/>
      <c r="C281" s="96"/>
      <c r="D281" s="96"/>
      <c r="E281" s="96"/>
      <c r="F281" s="98"/>
      <c r="G281" s="98"/>
      <c r="H281" s="98"/>
      <c r="I281" s="98"/>
      <c r="J281" s="98"/>
      <c r="K281" s="217"/>
      <c r="L281" s="212"/>
      <c r="N281" s="1427"/>
    </row>
    <row r="282" spans="1:14" x14ac:dyDescent="0.2">
      <c r="A282" s="2131"/>
      <c r="B282" s="2132"/>
      <c r="C282" s="96"/>
      <c r="D282" s="96"/>
      <c r="E282" s="96"/>
      <c r="F282" s="98"/>
      <c r="G282" s="98"/>
      <c r="H282" s="98"/>
      <c r="I282" s="98"/>
      <c r="J282" s="98"/>
      <c r="K282" s="217"/>
      <c r="L282" s="212"/>
      <c r="N282" s="1427"/>
    </row>
    <row r="283" spans="1:14" x14ac:dyDescent="0.2">
      <c r="A283" s="2102"/>
      <c r="B283" s="2103"/>
      <c r="C283" s="96"/>
      <c r="D283" s="96"/>
      <c r="E283" s="96"/>
      <c r="F283" s="98"/>
      <c r="G283" s="98"/>
      <c r="H283" s="98"/>
      <c r="I283" s="98"/>
      <c r="J283" s="98"/>
      <c r="K283" s="98"/>
      <c r="L283" s="212"/>
      <c r="N283" s="1427"/>
    </row>
    <row r="284" spans="1:14" x14ac:dyDescent="0.2">
      <c r="A284" s="2102"/>
      <c r="B284" s="2103"/>
      <c r="C284" s="98"/>
      <c r="D284" s="98"/>
      <c r="E284" s="98"/>
      <c r="F284" s="98"/>
      <c r="G284" s="98"/>
      <c r="H284" s="98"/>
      <c r="I284" s="98"/>
      <c r="J284" s="98"/>
      <c r="K284" s="98"/>
      <c r="L284" s="212"/>
      <c r="N284" s="1427"/>
    </row>
    <row r="285" spans="1:14" x14ac:dyDescent="0.2">
      <c r="A285" s="2133"/>
      <c r="B285" s="2134"/>
      <c r="C285" s="98"/>
      <c r="D285" s="98"/>
      <c r="E285" s="98"/>
      <c r="F285" s="98"/>
      <c r="G285" s="98"/>
      <c r="H285" s="98"/>
      <c r="I285" s="98"/>
      <c r="J285" s="98"/>
      <c r="K285" s="98"/>
      <c r="L285" s="212"/>
      <c r="N285" s="1427"/>
    </row>
    <row r="286" spans="1:14" ht="13.5" thickBot="1" x14ac:dyDescent="0.25">
      <c r="A286" s="2102"/>
      <c r="B286" s="2103"/>
      <c r="C286" s="831"/>
      <c r="D286" s="831"/>
      <c r="E286" s="831"/>
      <c r="F286" s="831"/>
      <c r="G286" s="123"/>
      <c r="H286" s="123"/>
      <c r="I286" s="123"/>
      <c r="J286" s="123"/>
      <c r="K286" s="218"/>
      <c r="L286" s="219"/>
      <c r="N286" s="1430"/>
    </row>
    <row r="287" spans="1:14" ht="14.25" thickTop="1" thickBot="1" x14ac:dyDescent="0.25">
      <c r="A287" s="2139" t="s">
        <v>259</v>
      </c>
      <c r="B287" s="2140"/>
      <c r="C287" s="1080">
        <f t="shared" ref="C287:L287" si="67">SUM(C279:C286)</f>
        <v>0</v>
      </c>
      <c r="D287" s="1080">
        <f t="shared" si="67"/>
        <v>0</v>
      </c>
      <c r="E287" s="1080">
        <f t="shared" si="67"/>
        <v>-1402.02</v>
      </c>
      <c r="F287" s="1080">
        <f t="shared" si="67"/>
        <v>-26005.49</v>
      </c>
      <c r="G287" s="1080">
        <f t="shared" si="67"/>
        <v>0</v>
      </c>
      <c r="H287" s="1080">
        <f t="shared" si="67"/>
        <v>0</v>
      </c>
      <c r="I287" s="1080">
        <f t="shared" si="67"/>
        <v>0</v>
      </c>
      <c r="J287" s="1080">
        <f t="shared" si="67"/>
        <v>0</v>
      </c>
      <c r="K287" s="1080">
        <f t="shared" si="67"/>
        <v>-2696</v>
      </c>
      <c r="L287" s="1093">
        <f t="shared" si="67"/>
        <v>0</v>
      </c>
      <c r="N287" s="1082">
        <f>SUM(N279:N286)</f>
        <v>0</v>
      </c>
    </row>
    <row r="289" spans="1:14" ht="13.5" thickBot="1" x14ac:dyDescent="0.25">
      <c r="A289" s="2141" t="s">
        <v>1732</v>
      </c>
      <c r="B289" s="2141"/>
      <c r="C289" s="2141"/>
    </row>
    <row r="290" spans="1:14" ht="13.5" thickBot="1" x14ac:dyDescent="0.25">
      <c r="A290" s="1089"/>
      <c r="B290" s="1090"/>
      <c r="C290" s="1434" t="str">
        <f t="shared" ref="C290:L290" si="68">C$12</f>
        <v>2011 Actual²</v>
      </c>
      <c r="D290" s="1065" t="str">
        <f t="shared" si="68"/>
        <v>2012 Actual²</v>
      </c>
      <c r="E290" s="1065" t="str">
        <f t="shared" si="68"/>
        <v>2013 Actual²</v>
      </c>
      <c r="F290" s="1065" t="str">
        <f t="shared" si="68"/>
        <v>2014 Actual²</v>
      </c>
      <c r="G290" s="1065" t="str">
        <f t="shared" si="68"/>
        <v>2015 Actual²</v>
      </c>
      <c r="H290" s="1065" t="str">
        <f t="shared" si="68"/>
        <v>2016 Actual²</v>
      </c>
      <c r="I290" s="1065" t="str">
        <f t="shared" si="68"/>
        <v>2017 Actual²</v>
      </c>
      <c r="J290" s="1065" t="str">
        <f t="shared" si="68"/>
        <v>2018 Actual</v>
      </c>
      <c r="K290" s="1065" t="str">
        <f t="shared" si="68"/>
        <v>Bridge Year</v>
      </c>
      <c r="L290" s="1088" t="str">
        <f t="shared" si="68"/>
        <v>Test Year</v>
      </c>
      <c r="N290" s="1422" t="str">
        <f>N$12</f>
        <v>CGAAP</v>
      </c>
    </row>
    <row r="291" spans="1:14" ht="13.5" thickBot="1" x14ac:dyDescent="0.25">
      <c r="A291" s="1089"/>
      <c r="B291" s="1090"/>
      <c r="C291" s="1065">
        <f t="shared" ref="C291:L291" si="69">C$13</f>
        <v>2011</v>
      </c>
      <c r="D291" s="1065">
        <f t="shared" si="69"/>
        <v>2012</v>
      </c>
      <c r="E291" s="1065">
        <f t="shared" si="69"/>
        <v>2013</v>
      </c>
      <c r="F291" s="1065">
        <f t="shared" si="69"/>
        <v>2014</v>
      </c>
      <c r="G291" s="1065">
        <f t="shared" si="69"/>
        <v>2015</v>
      </c>
      <c r="H291" s="1065">
        <f t="shared" si="69"/>
        <v>2016</v>
      </c>
      <c r="I291" s="1065">
        <f t="shared" si="69"/>
        <v>2017</v>
      </c>
      <c r="J291" s="1065">
        <f t="shared" si="69"/>
        <v>2018</v>
      </c>
      <c r="K291" s="1065">
        <f t="shared" si="69"/>
        <v>2019</v>
      </c>
      <c r="L291" s="1088">
        <f t="shared" si="69"/>
        <v>2020</v>
      </c>
      <c r="N291" s="1423">
        <f>N$13</f>
        <v>2015</v>
      </c>
    </row>
    <row r="292" spans="1:14" x14ac:dyDescent="0.2">
      <c r="A292" s="2136" t="s">
        <v>90</v>
      </c>
      <c r="B292" s="2137"/>
      <c r="C292" s="1074" t="str">
        <f t="shared" ref="C292:L292" si="70">IF(C230=0, "", C230)</f>
        <v/>
      </c>
      <c r="D292" s="1074" t="str">
        <f t="shared" si="70"/>
        <v/>
      </c>
      <c r="E292" s="1074" t="str">
        <f t="shared" si="70"/>
        <v/>
      </c>
      <c r="F292" s="1074" t="str">
        <f t="shared" si="70"/>
        <v/>
      </c>
      <c r="G292" s="1074" t="str">
        <f t="shared" si="70"/>
        <v/>
      </c>
      <c r="H292" s="1074" t="str">
        <f t="shared" si="70"/>
        <v/>
      </c>
      <c r="I292" s="1074" t="str">
        <f t="shared" si="70"/>
        <v/>
      </c>
      <c r="J292" s="1074" t="str">
        <f t="shared" si="70"/>
        <v/>
      </c>
      <c r="K292" s="1074" t="str">
        <f t="shared" si="70"/>
        <v/>
      </c>
      <c r="L292" s="1421" t="str">
        <f t="shared" si="70"/>
        <v/>
      </c>
      <c r="N292" s="1424" t="str">
        <f>IF(N$14=0, "", N$14)</f>
        <v>CGAAP</v>
      </c>
    </row>
    <row r="293" spans="1:14" x14ac:dyDescent="0.2">
      <c r="A293" s="2142" t="s">
        <v>1733</v>
      </c>
      <c r="B293" s="2143"/>
      <c r="C293" s="96"/>
      <c r="D293" s="96"/>
      <c r="E293" s="96"/>
      <c r="F293" s="96"/>
      <c r="G293" s="96"/>
      <c r="H293" s="96"/>
      <c r="I293" s="96"/>
      <c r="J293" s="96">
        <v>38524.97</v>
      </c>
      <c r="K293" s="96">
        <v>507988.99333333335</v>
      </c>
      <c r="L293" s="212"/>
      <c r="N293" s="1427"/>
    </row>
    <row r="294" spans="1:14" x14ac:dyDescent="0.2">
      <c r="A294" s="2133"/>
      <c r="B294" s="2134"/>
      <c r="C294" s="96"/>
      <c r="D294" s="96"/>
      <c r="E294" s="96"/>
      <c r="F294" s="96"/>
      <c r="G294" s="96"/>
      <c r="H294" s="96"/>
      <c r="I294" s="96"/>
      <c r="J294" s="96"/>
      <c r="K294" s="217"/>
      <c r="L294" s="212"/>
      <c r="N294" s="1427"/>
    </row>
    <row r="295" spans="1:14" x14ac:dyDescent="0.2">
      <c r="A295" s="2131"/>
      <c r="B295" s="2132"/>
      <c r="C295" s="96"/>
      <c r="D295" s="96"/>
      <c r="E295" s="96"/>
      <c r="F295" s="98"/>
      <c r="G295" s="98"/>
      <c r="H295" s="98"/>
      <c r="I295" s="98"/>
      <c r="J295" s="98"/>
      <c r="K295" s="217"/>
      <c r="L295" s="212"/>
      <c r="N295" s="1427"/>
    </row>
    <row r="296" spans="1:14" x14ac:dyDescent="0.2">
      <c r="A296" s="2131"/>
      <c r="B296" s="2132"/>
      <c r="C296" s="96"/>
      <c r="D296" s="96"/>
      <c r="E296" s="96"/>
      <c r="F296" s="98"/>
      <c r="G296" s="98"/>
      <c r="H296" s="98"/>
      <c r="I296" s="98"/>
      <c r="J296" s="98"/>
      <c r="K296" s="217"/>
      <c r="L296" s="212"/>
      <c r="N296" s="1427"/>
    </row>
    <row r="297" spans="1:14" x14ac:dyDescent="0.2">
      <c r="A297" s="2102"/>
      <c r="B297" s="2103"/>
      <c r="C297" s="96"/>
      <c r="D297" s="96"/>
      <c r="E297" s="96"/>
      <c r="F297" s="98"/>
      <c r="G297" s="98"/>
      <c r="H297" s="98"/>
      <c r="I297" s="98"/>
      <c r="J297" s="98"/>
      <c r="K297" s="98"/>
      <c r="L297" s="212"/>
      <c r="N297" s="1427"/>
    </row>
    <row r="298" spans="1:14" x14ac:dyDescent="0.2">
      <c r="A298" s="2102"/>
      <c r="B298" s="2103"/>
      <c r="C298" s="98"/>
      <c r="D298" s="98"/>
      <c r="E298" s="98"/>
      <c r="F298" s="98"/>
      <c r="G298" s="98"/>
      <c r="H298" s="98"/>
      <c r="I298" s="98"/>
      <c r="J298" s="98"/>
      <c r="K298" s="98"/>
      <c r="L298" s="212"/>
      <c r="N298" s="1427"/>
    </row>
    <row r="299" spans="1:14" x14ac:dyDescent="0.2">
      <c r="A299" s="2133"/>
      <c r="B299" s="2134"/>
      <c r="C299" s="98"/>
      <c r="D299" s="98"/>
      <c r="E299" s="98"/>
      <c r="F299" s="98"/>
      <c r="G299" s="98"/>
      <c r="H299" s="98"/>
      <c r="I299" s="98"/>
      <c r="J299" s="98"/>
      <c r="K299" s="98"/>
      <c r="L299" s="212"/>
      <c r="N299" s="1427"/>
    </row>
    <row r="300" spans="1:14" ht="13.5" thickBot="1" x14ac:dyDescent="0.25">
      <c r="A300" s="2102"/>
      <c r="B300" s="2103"/>
      <c r="C300" s="831"/>
      <c r="D300" s="831"/>
      <c r="E300" s="831"/>
      <c r="F300" s="831"/>
      <c r="G300" s="123"/>
      <c r="H300" s="123"/>
      <c r="I300" s="123"/>
      <c r="J300" s="123"/>
      <c r="K300" s="218"/>
      <c r="L300" s="219"/>
      <c r="N300" s="1430"/>
    </row>
    <row r="301" spans="1:14" ht="14.25" thickTop="1" thickBot="1" x14ac:dyDescent="0.25">
      <c r="A301" s="2139" t="s">
        <v>259</v>
      </c>
      <c r="B301" s="2140"/>
      <c r="C301" s="1080">
        <f t="shared" ref="C301:L301" si="71">SUM(C293:C300)</f>
        <v>0</v>
      </c>
      <c r="D301" s="1080">
        <f t="shared" si="71"/>
        <v>0</v>
      </c>
      <c r="E301" s="1080">
        <f t="shared" si="71"/>
        <v>0</v>
      </c>
      <c r="F301" s="1080">
        <f t="shared" si="71"/>
        <v>0</v>
      </c>
      <c r="G301" s="1080">
        <f t="shared" si="71"/>
        <v>0</v>
      </c>
      <c r="H301" s="1080">
        <f t="shared" si="71"/>
        <v>0</v>
      </c>
      <c r="I301" s="1080">
        <f t="shared" si="71"/>
        <v>0</v>
      </c>
      <c r="J301" s="1080">
        <f t="shared" si="71"/>
        <v>38524.97</v>
      </c>
      <c r="K301" s="1080">
        <f t="shared" si="71"/>
        <v>507988.99333333335</v>
      </c>
      <c r="L301" s="1093">
        <f t="shared" si="71"/>
        <v>0</v>
      </c>
      <c r="N301" s="1082">
        <f>SUM(N293:N300)</f>
        <v>0</v>
      </c>
    </row>
    <row r="302" spans="1:14" hidden="1" x14ac:dyDescent="0.2"/>
    <row r="303" spans="1:14" ht="13.5" hidden="1" thickBot="1" x14ac:dyDescent="0.25">
      <c r="A303" s="2141"/>
      <c r="B303" s="2141"/>
      <c r="C303" s="2141"/>
    </row>
    <row r="304" spans="1:14" ht="13.5" hidden="1" thickBot="1" x14ac:dyDescent="0.25">
      <c r="A304" s="1089"/>
      <c r="B304" s="1090"/>
      <c r="C304" s="1434" t="str">
        <f t="shared" ref="C304:L304" si="72">C$12</f>
        <v>2011 Actual²</v>
      </c>
      <c r="D304" s="1065" t="str">
        <f t="shared" si="72"/>
        <v>2012 Actual²</v>
      </c>
      <c r="E304" s="1065" t="str">
        <f t="shared" si="72"/>
        <v>2013 Actual²</v>
      </c>
      <c r="F304" s="1065" t="str">
        <f t="shared" si="72"/>
        <v>2014 Actual²</v>
      </c>
      <c r="G304" s="1065" t="str">
        <f t="shared" si="72"/>
        <v>2015 Actual²</v>
      </c>
      <c r="H304" s="1065" t="str">
        <f t="shared" si="72"/>
        <v>2016 Actual²</v>
      </c>
      <c r="I304" s="1065" t="str">
        <f t="shared" si="72"/>
        <v>2017 Actual²</v>
      </c>
      <c r="J304" s="1065" t="str">
        <f t="shared" si="72"/>
        <v>2018 Actual</v>
      </c>
      <c r="K304" s="1065" t="str">
        <f t="shared" si="72"/>
        <v>Bridge Year</v>
      </c>
      <c r="L304" s="1088" t="str">
        <f t="shared" si="72"/>
        <v>Test Year</v>
      </c>
      <c r="N304" s="1422" t="str">
        <f>N$12</f>
        <v>CGAAP</v>
      </c>
    </row>
    <row r="305" spans="1:14" ht="13.5" hidden="1" thickBot="1" x14ac:dyDescent="0.25">
      <c r="A305" s="1089"/>
      <c r="B305" s="1090"/>
      <c r="C305" s="1065">
        <f t="shared" ref="C305:L305" si="73">C$13</f>
        <v>2011</v>
      </c>
      <c r="D305" s="1065">
        <f t="shared" si="73"/>
        <v>2012</v>
      </c>
      <c r="E305" s="1065">
        <f t="shared" si="73"/>
        <v>2013</v>
      </c>
      <c r="F305" s="1065">
        <f t="shared" si="73"/>
        <v>2014</v>
      </c>
      <c r="G305" s="1065">
        <f t="shared" si="73"/>
        <v>2015</v>
      </c>
      <c r="H305" s="1065">
        <f t="shared" si="73"/>
        <v>2016</v>
      </c>
      <c r="I305" s="1065">
        <f t="shared" si="73"/>
        <v>2017</v>
      </c>
      <c r="J305" s="1065">
        <f t="shared" si="73"/>
        <v>2018</v>
      </c>
      <c r="K305" s="1065">
        <f t="shared" si="73"/>
        <v>2019</v>
      </c>
      <c r="L305" s="1088">
        <f t="shared" si="73"/>
        <v>2020</v>
      </c>
      <c r="N305" s="1423">
        <f>N$13</f>
        <v>2015</v>
      </c>
    </row>
    <row r="306" spans="1:14" hidden="1" x14ac:dyDescent="0.2">
      <c r="A306" s="2136" t="s">
        <v>90</v>
      </c>
      <c r="B306" s="2137"/>
      <c r="C306" s="1074" t="str">
        <f t="shared" ref="C306:L306" si="74">IF(C244=0, "", C244)</f>
        <v/>
      </c>
      <c r="D306" s="1074" t="str">
        <f t="shared" si="74"/>
        <v/>
      </c>
      <c r="E306" s="1074" t="str">
        <f t="shared" si="74"/>
        <v/>
      </c>
      <c r="F306" s="1074" t="str">
        <f t="shared" si="74"/>
        <v/>
      </c>
      <c r="G306" s="1074" t="str">
        <f t="shared" si="74"/>
        <v/>
      </c>
      <c r="H306" s="1074" t="str">
        <f t="shared" si="74"/>
        <v/>
      </c>
      <c r="I306" s="1074" t="str">
        <f t="shared" si="74"/>
        <v/>
      </c>
      <c r="J306" s="1074" t="str">
        <f t="shared" si="74"/>
        <v/>
      </c>
      <c r="K306" s="1074" t="str">
        <f t="shared" si="74"/>
        <v/>
      </c>
      <c r="L306" s="1421" t="str">
        <f t="shared" si="74"/>
        <v/>
      </c>
      <c r="N306" s="1424" t="str">
        <f>IF(N$14=0, "", N$14)</f>
        <v>CGAAP</v>
      </c>
    </row>
    <row r="307" spans="1:14" hidden="1" x14ac:dyDescent="0.2">
      <c r="A307" s="2102"/>
      <c r="B307" s="2103"/>
      <c r="C307" s="96"/>
      <c r="D307" s="96"/>
      <c r="E307" s="96"/>
      <c r="F307" s="96"/>
      <c r="G307" s="96"/>
      <c r="H307" s="96"/>
      <c r="I307" s="96"/>
      <c r="J307" s="96"/>
      <c r="K307" s="96"/>
      <c r="L307" s="212"/>
      <c r="N307" s="1427"/>
    </row>
    <row r="308" spans="1:14" hidden="1" x14ac:dyDescent="0.2">
      <c r="A308" s="2102"/>
      <c r="B308" s="2103"/>
      <c r="C308" s="96"/>
      <c r="D308" s="96"/>
      <c r="E308" s="96"/>
      <c r="F308" s="96"/>
      <c r="G308" s="96"/>
      <c r="H308" s="96"/>
      <c r="I308" s="96"/>
      <c r="J308" s="96"/>
      <c r="K308" s="217"/>
      <c r="L308" s="212"/>
      <c r="N308" s="1427"/>
    </row>
    <row r="309" spans="1:14" hidden="1" x14ac:dyDescent="0.2">
      <c r="A309" s="2131"/>
      <c r="B309" s="2132"/>
      <c r="C309" s="96"/>
      <c r="D309" s="96"/>
      <c r="E309" s="96"/>
      <c r="F309" s="98"/>
      <c r="G309" s="98"/>
      <c r="H309" s="98"/>
      <c r="I309" s="98"/>
      <c r="J309" s="98"/>
      <c r="K309" s="217"/>
      <c r="L309" s="212"/>
      <c r="N309" s="1427"/>
    </row>
    <row r="310" spans="1:14" hidden="1" x14ac:dyDescent="0.2">
      <c r="A310" s="2131"/>
      <c r="B310" s="2132"/>
      <c r="C310" s="96"/>
      <c r="D310" s="96"/>
      <c r="E310" s="96"/>
      <c r="F310" s="98"/>
      <c r="G310" s="98"/>
      <c r="H310" s="98"/>
      <c r="I310" s="98"/>
      <c r="J310" s="98"/>
      <c r="K310" s="217"/>
      <c r="L310" s="212"/>
      <c r="N310" s="1427"/>
    </row>
    <row r="311" spans="1:14" hidden="1" x14ac:dyDescent="0.2">
      <c r="A311" s="2102"/>
      <c r="B311" s="2103"/>
      <c r="C311" s="96"/>
      <c r="D311" s="96"/>
      <c r="E311" s="96"/>
      <c r="F311" s="98"/>
      <c r="G311" s="98"/>
      <c r="H311" s="98"/>
      <c r="I311" s="98"/>
      <c r="J311" s="98"/>
      <c r="K311" s="98"/>
      <c r="L311" s="212"/>
      <c r="N311" s="1427"/>
    </row>
    <row r="312" spans="1:14" hidden="1" x14ac:dyDescent="0.2">
      <c r="A312" s="2102"/>
      <c r="B312" s="2103"/>
      <c r="C312" s="98"/>
      <c r="D312" s="98"/>
      <c r="E312" s="98"/>
      <c r="F312" s="98"/>
      <c r="G312" s="98"/>
      <c r="H312" s="98"/>
      <c r="I312" s="98"/>
      <c r="J312" s="98"/>
      <c r="K312" s="98"/>
      <c r="L312" s="212"/>
      <c r="N312" s="1427"/>
    </row>
    <row r="313" spans="1:14" hidden="1" x14ac:dyDescent="0.2">
      <c r="A313" s="2133"/>
      <c r="B313" s="2134"/>
      <c r="C313" s="98"/>
      <c r="D313" s="98"/>
      <c r="E313" s="98"/>
      <c r="F313" s="98"/>
      <c r="G313" s="98"/>
      <c r="H313" s="98"/>
      <c r="I313" s="98"/>
      <c r="J313" s="98"/>
      <c r="K313" s="98"/>
      <c r="L313" s="212"/>
      <c r="N313" s="1427"/>
    </row>
    <row r="314" spans="1:14" ht="13.5" hidden="1" thickBot="1" x14ac:dyDescent="0.25">
      <c r="A314" s="2102"/>
      <c r="B314" s="2103"/>
      <c r="C314" s="831"/>
      <c r="D314" s="831"/>
      <c r="E314" s="831"/>
      <c r="F314" s="831"/>
      <c r="G314" s="123"/>
      <c r="H314" s="123"/>
      <c r="I314" s="123"/>
      <c r="J314" s="123"/>
      <c r="K314" s="218"/>
      <c r="L314" s="219"/>
      <c r="N314" s="1430"/>
    </row>
    <row r="315" spans="1:14" ht="14.25" hidden="1" thickTop="1" thickBot="1" x14ac:dyDescent="0.25">
      <c r="A315" s="2139" t="s">
        <v>259</v>
      </c>
      <c r="B315" s="2140"/>
      <c r="C315" s="1080">
        <f t="shared" ref="C315:L315" si="75">SUM(C307:C314)</f>
        <v>0</v>
      </c>
      <c r="D315" s="1080">
        <f t="shared" si="75"/>
        <v>0</v>
      </c>
      <c r="E315" s="1080">
        <f t="shared" si="75"/>
        <v>0</v>
      </c>
      <c r="F315" s="1080">
        <f t="shared" si="75"/>
        <v>0</v>
      </c>
      <c r="G315" s="1080">
        <f t="shared" si="75"/>
        <v>0</v>
      </c>
      <c r="H315" s="1080">
        <f t="shared" si="75"/>
        <v>0</v>
      </c>
      <c r="I315" s="1080">
        <f t="shared" si="75"/>
        <v>0</v>
      </c>
      <c r="J315" s="1080">
        <f t="shared" si="75"/>
        <v>0</v>
      </c>
      <c r="K315" s="1080">
        <f t="shared" si="75"/>
        <v>0</v>
      </c>
      <c r="L315" s="1093">
        <f t="shared" si="75"/>
        <v>0</v>
      </c>
      <c r="N315" s="1082">
        <f>SUM(N307:N314)</f>
        <v>0</v>
      </c>
    </row>
    <row r="316" spans="1:14" hidden="1" x14ac:dyDescent="0.2"/>
    <row r="317" spans="1:14" ht="13.5" hidden="1" thickBot="1" x14ac:dyDescent="0.25">
      <c r="A317" s="2141"/>
      <c r="B317" s="2141"/>
      <c r="C317" s="2141"/>
    </row>
    <row r="318" spans="1:14" ht="13.5" hidden="1" thickBot="1" x14ac:dyDescent="0.25">
      <c r="A318" s="1089"/>
      <c r="B318" s="1090"/>
      <c r="C318" s="1434" t="str">
        <f t="shared" ref="C318:L318" si="76">C$12</f>
        <v>2011 Actual²</v>
      </c>
      <c r="D318" s="1065" t="str">
        <f t="shared" si="76"/>
        <v>2012 Actual²</v>
      </c>
      <c r="E318" s="1065" t="str">
        <f t="shared" si="76"/>
        <v>2013 Actual²</v>
      </c>
      <c r="F318" s="1065" t="str">
        <f t="shared" si="76"/>
        <v>2014 Actual²</v>
      </c>
      <c r="G318" s="1065" t="str">
        <f t="shared" si="76"/>
        <v>2015 Actual²</v>
      </c>
      <c r="H318" s="1065" t="str">
        <f t="shared" si="76"/>
        <v>2016 Actual²</v>
      </c>
      <c r="I318" s="1065" t="str">
        <f t="shared" si="76"/>
        <v>2017 Actual²</v>
      </c>
      <c r="J318" s="1065" t="str">
        <f t="shared" si="76"/>
        <v>2018 Actual</v>
      </c>
      <c r="K318" s="1065" t="str">
        <f t="shared" si="76"/>
        <v>Bridge Year</v>
      </c>
      <c r="L318" s="1088" t="str">
        <f t="shared" si="76"/>
        <v>Test Year</v>
      </c>
      <c r="N318" s="1422" t="str">
        <f>N$12</f>
        <v>CGAAP</v>
      </c>
    </row>
    <row r="319" spans="1:14" ht="13.5" hidden="1" thickBot="1" x14ac:dyDescent="0.25">
      <c r="A319" s="1089"/>
      <c r="B319" s="1090"/>
      <c r="C319" s="1065">
        <f t="shared" ref="C319:L319" si="77">C$13</f>
        <v>2011</v>
      </c>
      <c r="D319" s="1065">
        <f t="shared" si="77"/>
        <v>2012</v>
      </c>
      <c r="E319" s="1065">
        <f t="shared" si="77"/>
        <v>2013</v>
      </c>
      <c r="F319" s="1065">
        <f t="shared" si="77"/>
        <v>2014</v>
      </c>
      <c r="G319" s="1065">
        <f t="shared" si="77"/>
        <v>2015</v>
      </c>
      <c r="H319" s="1065">
        <f t="shared" si="77"/>
        <v>2016</v>
      </c>
      <c r="I319" s="1065">
        <f t="shared" si="77"/>
        <v>2017</v>
      </c>
      <c r="J319" s="1065">
        <f t="shared" si="77"/>
        <v>2018</v>
      </c>
      <c r="K319" s="1065">
        <f t="shared" si="77"/>
        <v>2019</v>
      </c>
      <c r="L319" s="1088">
        <f t="shared" si="77"/>
        <v>2020</v>
      </c>
      <c r="N319" s="1423">
        <f>N$13</f>
        <v>2015</v>
      </c>
    </row>
    <row r="320" spans="1:14" hidden="1" x14ac:dyDescent="0.2">
      <c r="A320" s="2136" t="s">
        <v>90</v>
      </c>
      <c r="B320" s="2137"/>
      <c r="C320" s="1074" t="str">
        <f t="shared" ref="C320:L320" si="78">IF(C258=0, "", C258)</f>
        <v/>
      </c>
      <c r="D320" s="1074" t="str">
        <f t="shared" si="78"/>
        <v/>
      </c>
      <c r="E320" s="1074" t="str">
        <f t="shared" si="78"/>
        <v/>
      </c>
      <c r="F320" s="1074" t="str">
        <f t="shared" si="78"/>
        <v/>
      </c>
      <c r="G320" s="1074" t="str">
        <f t="shared" si="78"/>
        <v/>
      </c>
      <c r="H320" s="1074" t="str">
        <f t="shared" si="78"/>
        <v/>
      </c>
      <c r="I320" s="1074" t="str">
        <f t="shared" si="78"/>
        <v/>
      </c>
      <c r="J320" s="1074" t="str">
        <f t="shared" si="78"/>
        <v/>
      </c>
      <c r="K320" s="1074" t="str">
        <f t="shared" si="78"/>
        <v/>
      </c>
      <c r="L320" s="1421" t="str">
        <f t="shared" si="78"/>
        <v/>
      </c>
      <c r="N320" s="1424" t="str">
        <f>IF(N$14=0, "", N$14)</f>
        <v>CGAAP</v>
      </c>
    </row>
    <row r="321" spans="1:14" hidden="1" x14ac:dyDescent="0.2">
      <c r="A321" s="2102"/>
      <c r="B321" s="2103"/>
      <c r="C321" s="96"/>
      <c r="D321" s="96"/>
      <c r="E321" s="96"/>
      <c r="F321" s="96"/>
      <c r="G321" s="96"/>
      <c r="H321" s="96"/>
      <c r="I321" s="96"/>
      <c r="J321" s="96"/>
      <c r="K321" s="96"/>
      <c r="L321" s="212"/>
      <c r="N321" s="1427"/>
    </row>
    <row r="322" spans="1:14" hidden="1" x14ac:dyDescent="0.2">
      <c r="A322" s="2102"/>
      <c r="B322" s="2103"/>
      <c r="C322" s="96"/>
      <c r="D322" s="96"/>
      <c r="E322" s="96"/>
      <c r="F322" s="96"/>
      <c r="G322" s="96"/>
      <c r="H322" s="96"/>
      <c r="I322" s="96"/>
      <c r="J322" s="96"/>
      <c r="K322" s="217"/>
      <c r="L322" s="212"/>
      <c r="N322" s="1427"/>
    </row>
    <row r="323" spans="1:14" hidden="1" x14ac:dyDescent="0.2">
      <c r="A323" s="2131"/>
      <c r="B323" s="2132"/>
      <c r="C323" s="96"/>
      <c r="D323" s="96"/>
      <c r="E323" s="96"/>
      <c r="F323" s="98"/>
      <c r="G323" s="98"/>
      <c r="H323" s="98"/>
      <c r="I323" s="98"/>
      <c r="J323" s="98"/>
      <c r="K323" s="217"/>
      <c r="L323" s="212"/>
      <c r="N323" s="1427"/>
    </row>
    <row r="324" spans="1:14" hidden="1" x14ac:dyDescent="0.2">
      <c r="A324" s="2131"/>
      <c r="B324" s="2132"/>
      <c r="C324" s="96"/>
      <c r="D324" s="96"/>
      <c r="E324" s="96"/>
      <c r="F324" s="98"/>
      <c r="G324" s="98"/>
      <c r="H324" s="98"/>
      <c r="I324" s="98"/>
      <c r="J324" s="98"/>
      <c r="K324" s="217"/>
      <c r="L324" s="212"/>
      <c r="N324" s="1427"/>
    </row>
    <row r="325" spans="1:14" hidden="1" x14ac:dyDescent="0.2">
      <c r="A325" s="2102"/>
      <c r="B325" s="2103"/>
      <c r="C325" s="96"/>
      <c r="D325" s="96"/>
      <c r="E325" s="96"/>
      <c r="F325" s="98"/>
      <c r="G325" s="98"/>
      <c r="H325" s="98"/>
      <c r="I325" s="98"/>
      <c r="J325" s="98"/>
      <c r="K325" s="98"/>
      <c r="L325" s="212"/>
      <c r="N325" s="1427"/>
    </row>
    <row r="326" spans="1:14" hidden="1" x14ac:dyDescent="0.2">
      <c r="A326" s="2102"/>
      <c r="B326" s="2103"/>
      <c r="C326" s="98"/>
      <c r="D326" s="98"/>
      <c r="E326" s="98"/>
      <c r="F326" s="98"/>
      <c r="G326" s="98"/>
      <c r="H326" s="98"/>
      <c r="I326" s="98"/>
      <c r="J326" s="98"/>
      <c r="K326" s="98"/>
      <c r="L326" s="212"/>
      <c r="N326" s="1427"/>
    </row>
    <row r="327" spans="1:14" hidden="1" x14ac:dyDescent="0.2">
      <c r="A327" s="2133"/>
      <c r="B327" s="2134"/>
      <c r="C327" s="98"/>
      <c r="D327" s="98"/>
      <c r="E327" s="98"/>
      <c r="F327" s="98"/>
      <c r="G327" s="98"/>
      <c r="H327" s="98"/>
      <c r="I327" s="98"/>
      <c r="J327" s="98"/>
      <c r="K327" s="98"/>
      <c r="L327" s="212"/>
      <c r="N327" s="1427"/>
    </row>
    <row r="328" spans="1:14" ht="13.5" hidden="1" thickBot="1" x14ac:dyDescent="0.25">
      <c r="A328" s="2102"/>
      <c r="B328" s="2103"/>
      <c r="C328" s="831"/>
      <c r="D328" s="831"/>
      <c r="E328" s="831"/>
      <c r="F328" s="831"/>
      <c r="G328" s="123"/>
      <c r="H328" s="123"/>
      <c r="I328" s="123"/>
      <c r="J328" s="123"/>
      <c r="K328" s="218"/>
      <c r="L328" s="219"/>
      <c r="N328" s="1430"/>
    </row>
    <row r="329" spans="1:14" ht="14.25" hidden="1" thickTop="1" thickBot="1" x14ac:dyDescent="0.25">
      <c r="A329" s="2139" t="s">
        <v>259</v>
      </c>
      <c r="B329" s="2140"/>
      <c r="C329" s="1080">
        <f t="shared" ref="C329:L329" si="79">SUM(C321:C328)</f>
        <v>0</v>
      </c>
      <c r="D329" s="1080">
        <f t="shared" si="79"/>
        <v>0</v>
      </c>
      <c r="E329" s="1080">
        <f t="shared" si="79"/>
        <v>0</v>
      </c>
      <c r="F329" s="1080">
        <f t="shared" si="79"/>
        <v>0</v>
      </c>
      <c r="G329" s="1080">
        <f t="shared" si="79"/>
        <v>0</v>
      </c>
      <c r="H329" s="1080">
        <f t="shared" si="79"/>
        <v>0</v>
      </c>
      <c r="I329" s="1080">
        <f t="shared" si="79"/>
        <v>0</v>
      </c>
      <c r="J329" s="1080">
        <f t="shared" si="79"/>
        <v>0</v>
      </c>
      <c r="K329" s="1080">
        <f t="shared" si="79"/>
        <v>0</v>
      </c>
      <c r="L329" s="1093">
        <f t="shared" si="79"/>
        <v>0</v>
      </c>
      <c r="N329" s="1082">
        <f>SUM(N321:N328)</f>
        <v>0</v>
      </c>
    </row>
    <row r="330" spans="1:14" hidden="1" x14ac:dyDescent="0.2"/>
    <row r="331" spans="1:14" ht="13.5" hidden="1" thickBot="1" x14ac:dyDescent="0.25">
      <c r="A331" s="2141"/>
      <c r="B331" s="2141"/>
      <c r="C331" s="2141"/>
    </row>
    <row r="332" spans="1:14" ht="13.5" hidden="1" thickBot="1" x14ac:dyDescent="0.25">
      <c r="A332" s="1089"/>
      <c r="B332" s="1090"/>
      <c r="C332" s="1434" t="str">
        <f t="shared" ref="C332:L332" si="80">C$12</f>
        <v>2011 Actual²</v>
      </c>
      <c r="D332" s="1065" t="str">
        <f t="shared" si="80"/>
        <v>2012 Actual²</v>
      </c>
      <c r="E332" s="1065" t="str">
        <f t="shared" si="80"/>
        <v>2013 Actual²</v>
      </c>
      <c r="F332" s="1065" t="str">
        <f t="shared" si="80"/>
        <v>2014 Actual²</v>
      </c>
      <c r="G332" s="1065" t="str">
        <f t="shared" si="80"/>
        <v>2015 Actual²</v>
      </c>
      <c r="H332" s="1065" t="str">
        <f t="shared" si="80"/>
        <v>2016 Actual²</v>
      </c>
      <c r="I332" s="1065" t="str">
        <f t="shared" si="80"/>
        <v>2017 Actual²</v>
      </c>
      <c r="J332" s="1065" t="str">
        <f t="shared" si="80"/>
        <v>2018 Actual</v>
      </c>
      <c r="K332" s="1065" t="str">
        <f t="shared" si="80"/>
        <v>Bridge Year</v>
      </c>
      <c r="L332" s="1088" t="str">
        <f t="shared" si="80"/>
        <v>Test Year</v>
      </c>
      <c r="N332" s="1422" t="str">
        <f>N$12</f>
        <v>CGAAP</v>
      </c>
    </row>
    <row r="333" spans="1:14" ht="13.5" hidden="1" thickBot="1" x14ac:dyDescent="0.25">
      <c r="A333" s="1089"/>
      <c r="B333" s="1090"/>
      <c r="C333" s="1065">
        <f t="shared" ref="C333:L333" si="81">C$13</f>
        <v>2011</v>
      </c>
      <c r="D333" s="1065">
        <f t="shared" si="81"/>
        <v>2012</v>
      </c>
      <c r="E333" s="1065">
        <f t="shared" si="81"/>
        <v>2013</v>
      </c>
      <c r="F333" s="1065">
        <f t="shared" si="81"/>
        <v>2014</v>
      </c>
      <c r="G333" s="1065">
        <f t="shared" si="81"/>
        <v>2015</v>
      </c>
      <c r="H333" s="1065">
        <f t="shared" si="81"/>
        <v>2016</v>
      </c>
      <c r="I333" s="1065">
        <f t="shared" si="81"/>
        <v>2017</v>
      </c>
      <c r="J333" s="1065">
        <f t="shared" si="81"/>
        <v>2018</v>
      </c>
      <c r="K333" s="1065">
        <f t="shared" si="81"/>
        <v>2019</v>
      </c>
      <c r="L333" s="1088">
        <f t="shared" si="81"/>
        <v>2020</v>
      </c>
      <c r="N333" s="1423">
        <f>N$13</f>
        <v>2015</v>
      </c>
    </row>
    <row r="334" spans="1:14" hidden="1" x14ac:dyDescent="0.2">
      <c r="A334" s="2136" t="s">
        <v>90</v>
      </c>
      <c r="B334" s="2137"/>
      <c r="C334" s="1074" t="str">
        <f t="shared" ref="C334:L334" si="82">IF(C272=0, "", C272)</f>
        <v/>
      </c>
      <c r="D334" s="1074" t="str">
        <f t="shared" si="82"/>
        <v/>
      </c>
      <c r="E334" s="1074" t="str">
        <f t="shared" si="82"/>
        <v/>
      </c>
      <c r="F334" s="1074" t="str">
        <f t="shared" si="82"/>
        <v/>
      </c>
      <c r="G334" s="1074" t="str">
        <f t="shared" si="82"/>
        <v/>
      </c>
      <c r="H334" s="1074" t="str">
        <f t="shared" si="82"/>
        <v/>
      </c>
      <c r="I334" s="1074" t="str">
        <f t="shared" si="82"/>
        <v/>
      </c>
      <c r="J334" s="1074" t="str">
        <f t="shared" si="82"/>
        <v/>
      </c>
      <c r="K334" s="1074" t="str">
        <f t="shared" si="82"/>
        <v/>
      </c>
      <c r="L334" s="1421" t="str">
        <f t="shared" si="82"/>
        <v/>
      </c>
      <c r="N334" s="1424" t="str">
        <f>IF(N$14=0, "", N$14)</f>
        <v>CGAAP</v>
      </c>
    </row>
    <row r="335" spans="1:14" hidden="1" x14ac:dyDescent="0.2">
      <c r="A335" s="2102"/>
      <c r="B335" s="2103"/>
      <c r="C335" s="96"/>
      <c r="D335" s="96"/>
      <c r="E335" s="96"/>
      <c r="F335" s="96"/>
      <c r="G335" s="96"/>
      <c r="H335" s="96"/>
      <c r="I335" s="96"/>
      <c r="J335" s="96"/>
      <c r="K335" s="96"/>
      <c r="L335" s="212"/>
      <c r="N335" s="1427"/>
    </row>
    <row r="336" spans="1:14" hidden="1" x14ac:dyDescent="0.2">
      <c r="A336" s="2102"/>
      <c r="B336" s="2103"/>
      <c r="C336" s="96"/>
      <c r="D336" s="96"/>
      <c r="E336" s="96"/>
      <c r="F336" s="96"/>
      <c r="G336" s="96"/>
      <c r="H336" s="96"/>
      <c r="I336" s="96"/>
      <c r="J336" s="96"/>
      <c r="K336" s="217"/>
      <c r="L336" s="212"/>
      <c r="N336" s="1427"/>
    </row>
    <row r="337" spans="1:14" hidden="1" x14ac:dyDescent="0.2">
      <c r="A337" s="2131"/>
      <c r="B337" s="2132"/>
      <c r="C337" s="96"/>
      <c r="D337" s="96"/>
      <c r="E337" s="96"/>
      <c r="F337" s="98"/>
      <c r="G337" s="98"/>
      <c r="H337" s="98"/>
      <c r="I337" s="98"/>
      <c r="J337" s="98"/>
      <c r="K337" s="217"/>
      <c r="L337" s="212"/>
      <c r="N337" s="1427"/>
    </row>
    <row r="338" spans="1:14" hidden="1" x14ac:dyDescent="0.2">
      <c r="A338" s="2131"/>
      <c r="B338" s="2132"/>
      <c r="C338" s="96"/>
      <c r="D338" s="96"/>
      <c r="E338" s="96"/>
      <c r="F338" s="98"/>
      <c r="G338" s="98"/>
      <c r="H338" s="98"/>
      <c r="I338" s="98"/>
      <c r="J338" s="98"/>
      <c r="K338" s="217"/>
      <c r="L338" s="212"/>
      <c r="N338" s="1427"/>
    </row>
    <row r="339" spans="1:14" hidden="1" x14ac:dyDescent="0.2">
      <c r="A339" s="2102"/>
      <c r="B339" s="2103"/>
      <c r="C339" s="96"/>
      <c r="D339" s="96"/>
      <c r="E339" s="96"/>
      <c r="F339" s="98"/>
      <c r="G339" s="98"/>
      <c r="H339" s="98"/>
      <c r="I339" s="98"/>
      <c r="J339" s="98"/>
      <c r="K339" s="98"/>
      <c r="L339" s="212"/>
      <c r="N339" s="1427"/>
    </row>
    <row r="340" spans="1:14" hidden="1" x14ac:dyDescent="0.2">
      <c r="A340" s="2102"/>
      <c r="B340" s="2103"/>
      <c r="C340" s="98"/>
      <c r="D340" s="98"/>
      <c r="E340" s="98"/>
      <c r="F340" s="98"/>
      <c r="G340" s="98"/>
      <c r="H340" s="98"/>
      <c r="I340" s="98"/>
      <c r="J340" s="98"/>
      <c r="K340" s="98"/>
      <c r="L340" s="212"/>
      <c r="N340" s="1427"/>
    </row>
    <row r="341" spans="1:14" hidden="1" x14ac:dyDescent="0.2">
      <c r="A341" s="2133"/>
      <c r="B341" s="2134"/>
      <c r="C341" s="98"/>
      <c r="D341" s="98"/>
      <c r="E341" s="98"/>
      <c r="F341" s="98"/>
      <c r="G341" s="98"/>
      <c r="H341" s="98"/>
      <c r="I341" s="98"/>
      <c r="J341" s="98"/>
      <c r="K341" s="98"/>
      <c r="L341" s="212"/>
      <c r="N341" s="1427"/>
    </row>
    <row r="342" spans="1:14" ht="13.5" hidden="1" thickBot="1" x14ac:dyDescent="0.25">
      <c r="A342" s="2102"/>
      <c r="B342" s="2103"/>
      <c r="C342" s="831"/>
      <c r="D342" s="831"/>
      <c r="E342" s="831"/>
      <c r="F342" s="831"/>
      <c r="G342" s="123"/>
      <c r="H342" s="123"/>
      <c r="I342" s="123"/>
      <c r="J342" s="123"/>
      <c r="K342" s="218"/>
      <c r="L342" s="219"/>
      <c r="N342" s="1430"/>
    </row>
    <row r="343" spans="1:14" ht="14.25" hidden="1" thickTop="1" thickBot="1" x14ac:dyDescent="0.25">
      <c r="A343" s="2139" t="s">
        <v>259</v>
      </c>
      <c r="B343" s="2140"/>
      <c r="C343" s="1080">
        <f t="shared" ref="C343:L343" si="83">SUM(C335:C342)</f>
        <v>0</v>
      </c>
      <c r="D343" s="1080">
        <f t="shared" si="83"/>
        <v>0</v>
      </c>
      <c r="E343" s="1080">
        <f t="shared" si="83"/>
        <v>0</v>
      </c>
      <c r="F343" s="1080">
        <f t="shared" si="83"/>
        <v>0</v>
      </c>
      <c r="G343" s="1080">
        <f t="shared" si="83"/>
        <v>0</v>
      </c>
      <c r="H343" s="1080">
        <f t="shared" si="83"/>
        <v>0</v>
      </c>
      <c r="I343" s="1080">
        <f t="shared" si="83"/>
        <v>0</v>
      </c>
      <c r="J343" s="1080">
        <f t="shared" si="83"/>
        <v>0</v>
      </c>
      <c r="K343" s="1080">
        <f t="shared" si="83"/>
        <v>0</v>
      </c>
      <c r="L343" s="1093">
        <f t="shared" si="83"/>
        <v>0</v>
      </c>
      <c r="N343" s="1082">
        <f>SUM(N335:N342)</f>
        <v>0</v>
      </c>
    </row>
    <row r="344" spans="1:14" hidden="1" x14ac:dyDescent="0.2"/>
    <row r="345" spans="1:14" ht="13.5" hidden="1" thickBot="1" x14ac:dyDescent="0.25">
      <c r="A345" s="2141"/>
      <c r="B345" s="2141"/>
      <c r="C345" s="2141"/>
    </row>
    <row r="346" spans="1:14" ht="13.5" hidden="1" thickBot="1" x14ac:dyDescent="0.25">
      <c r="A346" s="1089"/>
      <c r="B346" s="1090"/>
      <c r="C346" s="1434" t="str">
        <f t="shared" ref="C346:L346" si="84">C$12</f>
        <v>2011 Actual²</v>
      </c>
      <c r="D346" s="1065" t="str">
        <f t="shared" si="84"/>
        <v>2012 Actual²</v>
      </c>
      <c r="E346" s="1065" t="str">
        <f t="shared" si="84"/>
        <v>2013 Actual²</v>
      </c>
      <c r="F346" s="1065" t="str">
        <f t="shared" si="84"/>
        <v>2014 Actual²</v>
      </c>
      <c r="G346" s="1065" t="str">
        <f t="shared" si="84"/>
        <v>2015 Actual²</v>
      </c>
      <c r="H346" s="1065" t="str">
        <f t="shared" si="84"/>
        <v>2016 Actual²</v>
      </c>
      <c r="I346" s="1065" t="str">
        <f t="shared" si="84"/>
        <v>2017 Actual²</v>
      </c>
      <c r="J346" s="1065" t="str">
        <f t="shared" si="84"/>
        <v>2018 Actual</v>
      </c>
      <c r="K346" s="1065" t="str">
        <f t="shared" si="84"/>
        <v>Bridge Year</v>
      </c>
      <c r="L346" s="1088" t="str">
        <f t="shared" si="84"/>
        <v>Test Year</v>
      </c>
      <c r="N346" s="1422" t="str">
        <f>N$12</f>
        <v>CGAAP</v>
      </c>
    </row>
    <row r="347" spans="1:14" ht="13.5" hidden="1" thickBot="1" x14ac:dyDescent="0.25">
      <c r="A347" s="1089"/>
      <c r="B347" s="1090"/>
      <c r="C347" s="1065">
        <f t="shared" ref="C347:L347" si="85">C$13</f>
        <v>2011</v>
      </c>
      <c r="D347" s="1065">
        <f t="shared" si="85"/>
        <v>2012</v>
      </c>
      <c r="E347" s="1065">
        <f t="shared" si="85"/>
        <v>2013</v>
      </c>
      <c r="F347" s="1065">
        <f t="shared" si="85"/>
        <v>2014</v>
      </c>
      <c r="G347" s="1065">
        <f t="shared" si="85"/>
        <v>2015</v>
      </c>
      <c r="H347" s="1065">
        <f t="shared" si="85"/>
        <v>2016</v>
      </c>
      <c r="I347" s="1065">
        <f t="shared" si="85"/>
        <v>2017</v>
      </c>
      <c r="J347" s="1065">
        <f t="shared" si="85"/>
        <v>2018</v>
      </c>
      <c r="K347" s="1065">
        <f t="shared" si="85"/>
        <v>2019</v>
      </c>
      <c r="L347" s="1088">
        <f t="shared" si="85"/>
        <v>2020</v>
      </c>
      <c r="N347" s="1423">
        <f>N$13</f>
        <v>2015</v>
      </c>
    </row>
    <row r="348" spans="1:14" hidden="1" x14ac:dyDescent="0.2">
      <c r="A348" s="2136" t="s">
        <v>90</v>
      </c>
      <c r="B348" s="2137"/>
      <c r="C348" s="1074" t="str">
        <f t="shared" ref="C348:L348" si="86">IF(C286=0, "", C286)</f>
        <v/>
      </c>
      <c r="D348" s="1074" t="str">
        <f t="shared" si="86"/>
        <v/>
      </c>
      <c r="E348" s="1074" t="str">
        <f t="shared" si="86"/>
        <v/>
      </c>
      <c r="F348" s="1074" t="str">
        <f t="shared" si="86"/>
        <v/>
      </c>
      <c r="G348" s="1074" t="str">
        <f t="shared" si="86"/>
        <v/>
      </c>
      <c r="H348" s="1074" t="str">
        <f t="shared" si="86"/>
        <v/>
      </c>
      <c r="I348" s="1074" t="str">
        <f t="shared" si="86"/>
        <v/>
      </c>
      <c r="J348" s="1074" t="str">
        <f t="shared" si="86"/>
        <v/>
      </c>
      <c r="K348" s="1074" t="str">
        <f t="shared" si="86"/>
        <v/>
      </c>
      <c r="L348" s="1421" t="str">
        <f t="shared" si="86"/>
        <v/>
      </c>
      <c r="N348" s="1424" t="str">
        <f>IF(N$14=0, "", N$14)</f>
        <v>CGAAP</v>
      </c>
    </row>
    <row r="349" spans="1:14" hidden="1" x14ac:dyDescent="0.2">
      <c r="A349" s="2102"/>
      <c r="B349" s="2103"/>
      <c r="C349" s="96"/>
      <c r="D349" s="96"/>
      <c r="E349" s="96"/>
      <c r="F349" s="96"/>
      <c r="G349" s="96"/>
      <c r="H349" s="96"/>
      <c r="I349" s="96"/>
      <c r="J349" s="96"/>
      <c r="K349" s="96"/>
      <c r="L349" s="212"/>
      <c r="N349" s="1427"/>
    </row>
    <row r="350" spans="1:14" hidden="1" x14ac:dyDescent="0.2">
      <c r="A350" s="2102"/>
      <c r="B350" s="2103"/>
      <c r="C350" s="96"/>
      <c r="D350" s="96"/>
      <c r="E350" s="96"/>
      <c r="F350" s="96"/>
      <c r="G350" s="96"/>
      <c r="H350" s="96"/>
      <c r="I350" s="96"/>
      <c r="J350" s="96"/>
      <c r="K350" s="217"/>
      <c r="L350" s="212"/>
      <c r="N350" s="1427"/>
    </row>
    <row r="351" spans="1:14" hidden="1" x14ac:dyDescent="0.2">
      <c r="A351" s="2131"/>
      <c r="B351" s="2132"/>
      <c r="C351" s="96"/>
      <c r="D351" s="96"/>
      <c r="E351" s="96"/>
      <c r="F351" s="98"/>
      <c r="G351" s="98"/>
      <c r="H351" s="98"/>
      <c r="I351" s="98"/>
      <c r="J351" s="98"/>
      <c r="K351" s="217"/>
      <c r="L351" s="212"/>
      <c r="N351" s="1427"/>
    </row>
    <row r="352" spans="1:14" hidden="1" x14ac:dyDescent="0.2">
      <c r="A352" s="2131"/>
      <c r="B352" s="2132"/>
      <c r="C352" s="96"/>
      <c r="D352" s="96"/>
      <c r="E352" s="96"/>
      <c r="F352" s="98"/>
      <c r="G352" s="98"/>
      <c r="H352" s="98"/>
      <c r="I352" s="98"/>
      <c r="J352" s="98"/>
      <c r="K352" s="217"/>
      <c r="L352" s="212"/>
      <c r="N352" s="1427"/>
    </row>
    <row r="353" spans="1:14" hidden="1" x14ac:dyDescent="0.2">
      <c r="A353" s="2102"/>
      <c r="B353" s="2103"/>
      <c r="C353" s="96"/>
      <c r="D353" s="96"/>
      <c r="E353" s="96"/>
      <c r="F353" s="98"/>
      <c r="G353" s="98"/>
      <c r="H353" s="98"/>
      <c r="I353" s="98"/>
      <c r="J353" s="98"/>
      <c r="K353" s="98"/>
      <c r="L353" s="212"/>
      <c r="N353" s="1427"/>
    </row>
    <row r="354" spans="1:14" hidden="1" x14ac:dyDescent="0.2">
      <c r="A354" s="2102"/>
      <c r="B354" s="2103"/>
      <c r="C354" s="98"/>
      <c r="D354" s="98"/>
      <c r="E354" s="98"/>
      <c r="F354" s="98"/>
      <c r="G354" s="98"/>
      <c r="H354" s="98"/>
      <c r="I354" s="98"/>
      <c r="J354" s="98"/>
      <c r="K354" s="98"/>
      <c r="L354" s="212"/>
      <c r="N354" s="1427"/>
    </row>
    <row r="355" spans="1:14" hidden="1" x14ac:dyDescent="0.2">
      <c r="A355" s="2133"/>
      <c r="B355" s="2134"/>
      <c r="C355" s="98"/>
      <c r="D355" s="98"/>
      <c r="E355" s="98"/>
      <c r="F355" s="98"/>
      <c r="G355" s="98"/>
      <c r="H355" s="98"/>
      <c r="I355" s="98"/>
      <c r="J355" s="98"/>
      <c r="K355" s="98"/>
      <c r="L355" s="212"/>
      <c r="N355" s="1427"/>
    </row>
    <row r="356" spans="1:14" ht="13.5" hidden="1" thickBot="1" x14ac:dyDescent="0.25">
      <c r="A356" s="2102"/>
      <c r="B356" s="2103"/>
      <c r="C356" s="831"/>
      <c r="D356" s="831"/>
      <c r="E356" s="831"/>
      <c r="F356" s="831"/>
      <c r="G356" s="123"/>
      <c r="H356" s="123"/>
      <c r="I356" s="123"/>
      <c r="J356" s="123"/>
      <c r="K356" s="218"/>
      <c r="L356" s="219"/>
      <c r="N356" s="1430"/>
    </row>
    <row r="357" spans="1:14" ht="14.25" hidden="1" thickTop="1" thickBot="1" x14ac:dyDescent="0.25">
      <c r="A357" s="2139" t="s">
        <v>259</v>
      </c>
      <c r="B357" s="2140"/>
      <c r="C357" s="1080">
        <f t="shared" ref="C357:L357" si="87">SUM(C349:C356)</f>
        <v>0</v>
      </c>
      <c r="D357" s="1080">
        <f t="shared" si="87"/>
        <v>0</v>
      </c>
      <c r="E357" s="1080">
        <f t="shared" si="87"/>
        <v>0</v>
      </c>
      <c r="F357" s="1080">
        <f t="shared" si="87"/>
        <v>0</v>
      </c>
      <c r="G357" s="1080">
        <f t="shared" si="87"/>
        <v>0</v>
      </c>
      <c r="H357" s="1080">
        <f t="shared" si="87"/>
        <v>0</v>
      </c>
      <c r="I357" s="1080">
        <f t="shared" si="87"/>
        <v>0</v>
      </c>
      <c r="J357" s="1080">
        <f t="shared" si="87"/>
        <v>0</v>
      </c>
      <c r="K357" s="1080">
        <f t="shared" si="87"/>
        <v>0</v>
      </c>
      <c r="L357" s="1093">
        <f t="shared" si="87"/>
        <v>0</v>
      </c>
      <c r="N357" s="1082">
        <f>SUM(N349:N356)</f>
        <v>0</v>
      </c>
    </row>
    <row r="358" spans="1:14" hidden="1" x14ac:dyDescent="0.2"/>
    <row r="359" spans="1:14" ht="13.5" hidden="1" thickBot="1" x14ac:dyDescent="0.25">
      <c r="A359" s="2141"/>
      <c r="B359" s="2141"/>
      <c r="C359" s="2141"/>
    </row>
    <row r="360" spans="1:14" ht="13.5" hidden="1" thickBot="1" x14ac:dyDescent="0.25">
      <c r="A360" s="1089"/>
      <c r="B360" s="1090"/>
      <c r="C360" s="1434" t="str">
        <f t="shared" ref="C360:L360" si="88">C$12</f>
        <v>2011 Actual²</v>
      </c>
      <c r="D360" s="1065" t="str">
        <f t="shared" si="88"/>
        <v>2012 Actual²</v>
      </c>
      <c r="E360" s="1065" t="str">
        <f t="shared" si="88"/>
        <v>2013 Actual²</v>
      </c>
      <c r="F360" s="1065" t="str">
        <f t="shared" si="88"/>
        <v>2014 Actual²</v>
      </c>
      <c r="G360" s="1065" t="str">
        <f t="shared" si="88"/>
        <v>2015 Actual²</v>
      </c>
      <c r="H360" s="1065" t="str">
        <f t="shared" si="88"/>
        <v>2016 Actual²</v>
      </c>
      <c r="I360" s="1065" t="str">
        <f t="shared" si="88"/>
        <v>2017 Actual²</v>
      </c>
      <c r="J360" s="1065" t="str">
        <f t="shared" si="88"/>
        <v>2018 Actual</v>
      </c>
      <c r="K360" s="1065" t="str">
        <f t="shared" si="88"/>
        <v>Bridge Year</v>
      </c>
      <c r="L360" s="1088" t="str">
        <f t="shared" si="88"/>
        <v>Test Year</v>
      </c>
      <c r="N360" s="1422" t="str">
        <f>N$12</f>
        <v>CGAAP</v>
      </c>
    </row>
    <row r="361" spans="1:14" ht="13.5" hidden="1" thickBot="1" x14ac:dyDescent="0.25">
      <c r="A361" s="1089"/>
      <c r="B361" s="1090"/>
      <c r="C361" s="1065">
        <f t="shared" ref="C361:L361" si="89">C$13</f>
        <v>2011</v>
      </c>
      <c r="D361" s="1065">
        <f t="shared" si="89"/>
        <v>2012</v>
      </c>
      <c r="E361" s="1065">
        <f t="shared" si="89"/>
        <v>2013</v>
      </c>
      <c r="F361" s="1065">
        <f t="shared" si="89"/>
        <v>2014</v>
      </c>
      <c r="G361" s="1065">
        <f t="shared" si="89"/>
        <v>2015</v>
      </c>
      <c r="H361" s="1065">
        <f t="shared" si="89"/>
        <v>2016</v>
      </c>
      <c r="I361" s="1065">
        <f t="shared" si="89"/>
        <v>2017</v>
      </c>
      <c r="J361" s="1065">
        <f t="shared" si="89"/>
        <v>2018</v>
      </c>
      <c r="K361" s="1065">
        <f t="shared" si="89"/>
        <v>2019</v>
      </c>
      <c r="L361" s="1088">
        <f t="shared" si="89"/>
        <v>2020</v>
      </c>
      <c r="N361" s="1423">
        <f>N$13</f>
        <v>2015</v>
      </c>
    </row>
    <row r="362" spans="1:14" hidden="1" x14ac:dyDescent="0.2">
      <c r="A362" s="2136" t="s">
        <v>90</v>
      </c>
      <c r="B362" s="2137"/>
      <c r="C362" s="1074" t="str">
        <f t="shared" ref="C362:L362" si="90">IF(C300=0, "", C300)</f>
        <v/>
      </c>
      <c r="D362" s="1074" t="str">
        <f t="shared" si="90"/>
        <v/>
      </c>
      <c r="E362" s="1074" t="str">
        <f t="shared" si="90"/>
        <v/>
      </c>
      <c r="F362" s="1074" t="str">
        <f t="shared" si="90"/>
        <v/>
      </c>
      <c r="G362" s="1074" t="str">
        <f t="shared" si="90"/>
        <v/>
      </c>
      <c r="H362" s="1074" t="str">
        <f t="shared" si="90"/>
        <v/>
      </c>
      <c r="I362" s="1074" t="str">
        <f t="shared" si="90"/>
        <v/>
      </c>
      <c r="J362" s="1074" t="str">
        <f t="shared" si="90"/>
        <v/>
      </c>
      <c r="K362" s="1074" t="str">
        <f t="shared" si="90"/>
        <v/>
      </c>
      <c r="L362" s="1421" t="str">
        <f t="shared" si="90"/>
        <v/>
      </c>
      <c r="N362" s="1424" t="str">
        <f>IF(N$14=0, "", N$14)</f>
        <v>CGAAP</v>
      </c>
    </row>
    <row r="363" spans="1:14" hidden="1" x14ac:dyDescent="0.2">
      <c r="A363" s="2102"/>
      <c r="B363" s="2103"/>
      <c r="C363" s="96"/>
      <c r="D363" s="96"/>
      <c r="E363" s="96"/>
      <c r="F363" s="96"/>
      <c r="G363" s="96"/>
      <c r="H363" s="96"/>
      <c r="I363" s="96"/>
      <c r="J363" s="96"/>
      <c r="K363" s="96"/>
      <c r="L363" s="212"/>
      <c r="N363" s="1427"/>
    </row>
    <row r="364" spans="1:14" hidden="1" x14ac:dyDescent="0.2">
      <c r="A364" s="2102"/>
      <c r="B364" s="2103"/>
      <c r="C364" s="96"/>
      <c r="D364" s="96"/>
      <c r="E364" s="96"/>
      <c r="F364" s="96"/>
      <c r="G364" s="96"/>
      <c r="H364" s="96"/>
      <c r="I364" s="96"/>
      <c r="J364" s="96"/>
      <c r="K364" s="217"/>
      <c r="L364" s="212"/>
      <c r="N364" s="1427"/>
    </row>
    <row r="365" spans="1:14" hidden="1" x14ac:dyDescent="0.2">
      <c r="A365" s="2131"/>
      <c r="B365" s="2132"/>
      <c r="C365" s="96"/>
      <c r="D365" s="96"/>
      <c r="E365" s="96"/>
      <c r="F365" s="98"/>
      <c r="G365" s="98"/>
      <c r="H365" s="98"/>
      <c r="I365" s="98"/>
      <c r="J365" s="98"/>
      <c r="K365" s="217"/>
      <c r="L365" s="212"/>
      <c r="N365" s="1427"/>
    </row>
    <row r="366" spans="1:14" hidden="1" x14ac:dyDescent="0.2">
      <c r="A366" s="2131"/>
      <c r="B366" s="2132"/>
      <c r="C366" s="96"/>
      <c r="D366" s="96"/>
      <c r="E366" s="96"/>
      <c r="F366" s="98"/>
      <c r="G366" s="98"/>
      <c r="H366" s="98"/>
      <c r="I366" s="98"/>
      <c r="J366" s="98"/>
      <c r="K366" s="217"/>
      <c r="L366" s="212"/>
      <c r="N366" s="1427"/>
    </row>
    <row r="367" spans="1:14" hidden="1" x14ac:dyDescent="0.2">
      <c r="A367" s="2102"/>
      <c r="B367" s="2103"/>
      <c r="C367" s="96"/>
      <c r="D367" s="96"/>
      <c r="E367" s="96"/>
      <c r="F367" s="98"/>
      <c r="G367" s="98"/>
      <c r="H367" s="98"/>
      <c r="I367" s="98"/>
      <c r="J367" s="98"/>
      <c r="K367" s="98"/>
      <c r="L367" s="212"/>
      <c r="N367" s="1427"/>
    </row>
    <row r="368" spans="1:14" hidden="1" x14ac:dyDescent="0.2">
      <c r="A368" s="2102"/>
      <c r="B368" s="2103"/>
      <c r="C368" s="98"/>
      <c r="D368" s="98"/>
      <c r="E368" s="98"/>
      <c r="F368" s="98"/>
      <c r="G368" s="98"/>
      <c r="H368" s="98"/>
      <c r="I368" s="98"/>
      <c r="J368" s="98"/>
      <c r="K368" s="98"/>
      <c r="L368" s="212"/>
      <c r="N368" s="1427"/>
    </row>
    <row r="369" spans="1:14" hidden="1" x14ac:dyDescent="0.2">
      <c r="A369" s="2133"/>
      <c r="B369" s="2134"/>
      <c r="C369" s="98"/>
      <c r="D369" s="98"/>
      <c r="E369" s="98"/>
      <c r="F369" s="98"/>
      <c r="G369" s="98"/>
      <c r="H369" s="98"/>
      <c r="I369" s="98"/>
      <c r="J369" s="98"/>
      <c r="K369" s="98"/>
      <c r="L369" s="212"/>
      <c r="N369" s="1427"/>
    </row>
    <row r="370" spans="1:14" ht="13.5" hidden="1" thickBot="1" x14ac:dyDescent="0.25">
      <c r="A370" s="2102"/>
      <c r="B370" s="2103"/>
      <c r="C370" s="831"/>
      <c r="D370" s="831"/>
      <c r="E370" s="831"/>
      <c r="F370" s="831"/>
      <c r="G370" s="123"/>
      <c r="H370" s="123"/>
      <c r="I370" s="123"/>
      <c r="J370" s="123"/>
      <c r="K370" s="218"/>
      <c r="L370" s="219"/>
      <c r="N370" s="1430"/>
    </row>
    <row r="371" spans="1:14" ht="14.25" hidden="1" thickTop="1" thickBot="1" x14ac:dyDescent="0.25">
      <c r="A371" s="2139" t="s">
        <v>259</v>
      </c>
      <c r="B371" s="2140"/>
      <c r="C371" s="1080">
        <f t="shared" ref="C371:L371" si="91">SUM(C363:C370)</f>
        <v>0</v>
      </c>
      <c r="D371" s="1080">
        <f t="shared" si="91"/>
        <v>0</v>
      </c>
      <c r="E371" s="1080">
        <f t="shared" si="91"/>
        <v>0</v>
      </c>
      <c r="F371" s="1080">
        <f t="shared" si="91"/>
        <v>0</v>
      </c>
      <c r="G371" s="1080">
        <f t="shared" si="91"/>
        <v>0</v>
      </c>
      <c r="H371" s="1080">
        <f t="shared" si="91"/>
        <v>0</v>
      </c>
      <c r="I371" s="1080">
        <f t="shared" si="91"/>
        <v>0</v>
      </c>
      <c r="J371" s="1080">
        <f t="shared" si="91"/>
        <v>0</v>
      </c>
      <c r="K371" s="1080">
        <f t="shared" si="91"/>
        <v>0</v>
      </c>
      <c r="L371" s="1093">
        <f t="shared" si="91"/>
        <v>0</v>
      </c>
      <c r="N371" s="1082">
        <f>SUM(N363:N370)</f>
        <v>0</v>
      </c>
    </row>
    <row r="372" spans="1:14" hidden="1" x14ac:dyDescent="0.2"/>
    <row r="373" spans="1:14" ht="13.5" hidden="1" thickBot="1" x14ac:dyDescent="0.25">
      <c r="A373" s="2141"/>
      <c r="B373" s="2141"/>
      <c r="C373" s="2141"/>
    </row>
    <row r="374" spans="1:14" ht="13.5" hidden="1" thickBot="1" x14ac:dyDescent="0.25">
      <c r="A374" s="1089"/>
      <c r="B374" s="1090"/>
      <c r="C374" s="1434" t="str">
        <f t="shared" ref="C374:L374" si="92">C$12</f>
        <v>2011 Actual²</v>
      </c>
      <c r="D374" s="1065" t="str">
        <f t="shared" si="92"/>
        <v>2012 Actual²</v>
      </c>
      <c r="E374" s="1065" t="str">
        <f t="shared" si="92"/>
        <v>2013 Actual²</v>
      </c>
      <c r="F374" s="1065" t="str">
        <f t="shared" si="92"/>
        <v>2014 Actual²</v>
      </c>
      <c r="G374" s="1065" t="str">
        <f t="shared" si="92"/>
        <v>2015 Actual²</v>
      </c>
      <c r="H374" s="1065" t="str">
        <f t="shared" si="92"/>
        <v>2016 Actual²</v>
      </c>
      <c r="I374" s="1065" t="str">
        <f t="shared" si="92"/>
        <v>2017 Actual²</v>
      </c>
      <c r="J374" s="1065" t="str">
        <f t="shared" si="92"/>
        <v>2018 Actual</v>
      </c>
      <c r="K374" s="1065" t="str">
        <f t="shared" si="92"/>
        <v>Bridge Year</v>
      </c>
      <c r="L374" s="1088" t="str">
        <f t="shared" si="92"/>
        <v>Test Year</v>
      </c>
      <c r="N374" s="1422" t="str">
        <f>N$12</f>
        <v>CGAAP</v>
      </c>
    </row>
    <row r="375" spans="1:14" ht="13.5" hidden="1" thickBot="1" x14ac:dyDescent="0.25">
      <c r="A375" s="1089"/>
      <c r="B375" s="1090"/>
      <c r="C375" s="1065">
        <f t="shared" ref="C375:L375" si="93">C$13</f>
        <v>2011</v>
      </c>
      <c r="D375" s="1065">
        <f t="shared" si="93"/>
        <v>2012</v>
      </c>
      <c r="E375" s="1065">
        <f t="shared" si="93"/>
        <v>2013</v>
      </c>
      <c r="F375" s="1065">
        <f t="shared" si="93"/>
        <v>2014</v>
      </c>
      <c r="G375" s="1065">
        <f t="shared" si="93"/>
        <v>2015</v>
      </c>
      <c r="H375" s="1065">
        <f t="shared" si="93"/>
        <v>2016</v>
      </c>
      <c r="I375" s="1065">
        <f t="shared" si="93"/>
        <v>2017</v>
      </c>
      <c r="J375" s="1065">
        <f t="shared" si="93"/>
        <v>2018</v>
      </c>
      <c r="K375" s="1065">
        <f t="shared" si="93"/>
        <v>2019</v>
      </c>
      <c r="L375" s="1088">
        <f t="shared" si="93"/>
        <v>2020</v>
      </c>
      <c r="N375" s="1423">
        <f>N$13</f>
        <v>2015</v>
      </c>
    </row>
    <row r="376" spans="1:14" hidden="1" x14ac:dyDescent="0.2">
      <c r="A376" s="2136" t="s">
        <v>90</v>
      </c>
      <c r="B376" s="2137"/>
      <c r="C376" s="1074" t="str">
        <f t="shared" ref="C376:L376" si="94">IF(C314=0, "", C314)</f>
        <v/>
      </c>
      <c r="D376" s="1074" t="str">
        <f t="shared" si="94"/>
        <v/>
      </c>
      <c r="E376" s="1074" t="str">
        <f t="shared" si="94"/>
        <v/>
      </c>
      <c r="F376" s="1074" t="str">
        <f t="shared" si="94"/>
        <v/>
      </c>
      <c r="G376" s="1074" t="str">
        <f t="shared" si="94"/>
        <v/>
      </c>
      <c r="H376" s="1074" t="str">
        <f t="shared" si="94"/>
        <v/>
      </c>
      <c r="I376" s="1074" t="str">
        <f t="shared" si="94"/>
        <v/>
      </c>
      <c r="J376" s="1074" t="str">
        <f t="shared" si="94"/>
        <v/>
      </c>
      <c r="K376" s="1074" t="str">
        <f t="shared" si="94"/>
        <v/>
      </c>
      <c r="L376" s="1421" t="str">
        <f t="shared" si="94"/>
        <v/>
      </c>
      <c r="N376" s="1424" t="str">
        <f>IF(N$14=0, "", N$14)</f>
        <v>CGAAP</v>
      </c>
    </row>
    <row r="377" spans="1:14" hidden="1" x14ac:dyDescent="0.2">
      <c r="A377" s="2102"/>
      <c r="B377" s="2103"/>
      <c r="C377" s="96"/>
      <c r="D377" s="96"/>
      <c r="E377" s="96"/>
      <c r="F377" s="96"/>
      <c r="G377" s="96"/>
      <c r="H377" s="96"/>
      <c r="I377" s="96"/>
      <c r="J377" s="96"/>
      <c r="K377" s="96"/>
      <c r="L377" s="212"/>
      <c r="N377" s="1427"/>
    </row>
    <row r="378" spans="1:14" hidden="1" x14ac:dyDescent="0.2">
      <c r="A378" s="2102"/>
      <c r="B378" s="2103"/>
      <c r="C378" s="96"/>
      <c r="D378" s="96"/>
      <c r="E378" s="96"/>
      <c r="F378" s="96"/>
      <c r="G378" s="96"/>
      <c r="H378" s="96"/>
      <c r="I378" s="96"/>
      <c r="J378" s="96"/>
      <c r="K378" s="217"/>
      <c r="L378" s="212"/>
      <c r="N378" s="1427"/>
    </row>
    <row r="379" spans="1:14" hidden="1" x14ac:dyDescent="0.2">
      <c r="A379" s="2131"/>
      <c r="B379" s="2132"/>
      <c r="C379" s="96"/>
      <c r="D379" s="96"/>
      <c r="E379" s="96"/>
      <c r="F379" s="98"/>
      <c r="G379" s="98"/>
      <c r="H379" s="98"/>
      <c r="I379" s="98"/>
      <c r="J379" s="98"/>
      <c r="K379" s="217"/>
      <c r="L379" s="212"/>
      <c r="N379" s="1427"/>
    </row>
    <row r="380" spans="1:14" hidden="1" x14ac:dyDescent="0.2">
      <c r="A380" s="2131"/>
      <c r="B380" s="2132"/>
      <c r="C380" s="96"/>
      <c r="D380" s="96"/>
      <c r="E380" s="96"/>
      <c r="F380" s="98"/>
      <c r="G380" s="98"/>
      <c r="H380" s="98"/>
      <c r="I380" s="98"/>
      <c r="J380" s="98"/>
      <c r="K380" s="217"/>
      <c r="L380" s="212"/>
      <c r="N380" s="1427"/>
    </row>
    <row r="381" spans="1:14" hidden="1" x14ac:dyDescent="0.2">
      <c r="A381" s="2102"/>
      <c r="B381" s="2103"/>
      <c r="C381" s="96"/>
      <c r="D381" s="96"/>
      <c r="E381" s="96"/>
      <c r="F381" s="98"/>
      <c r="G381" s="98"/>
      <c r="H381" s="98"/>
      <c r="I381" s="98"/>
      <c r="J381" s="98"/>
      <c r="K381" s="98"/>
      <c r="L381" s="212"/>
      <c r="N381" s="1427"/>
    </row>
    <row r="382" spans="1:14" hidden="1" x14ac:dyDescent="0.2">
      <c r="A382" s="2102"/>
      <c r="B382" s="2103"/>
      <c r="C382" s="98"/>
      <c r="D382" s="98"/>
      <c r="E382" s="98"/>
      <c r="F382" s="98"/>
      <c r="G382" s="98"/>
      <c r="H382" s="98"/>
      <c r="I382" s="98"/>
      <c r="J382" s="98"/>
      <c r="K382" s="98"/>
      <c r="L382" s="212"/>
      <c r="N382" s="1427"/>
    </row>
    <row r="383" spans="1:14" hidden="1" x14ac:dyDescent="0.2">
      <c r="A383" s="2133"/>
      <c r="B383" s="2134"/>
      <c r="C383" s="98"/>
      <c r="D383" s="98"/>
      <c r="E383" s="98"/>
      <c r="F383" s="98"/>
      <c r="G383" s="98"/>
      <c r="H383" s="98"/>
      <c r="I383" s="98"/>
      <c r="J383" s="98"/>
      <c r="K383" s="98"/>
      <c r="L383" s="212"/>
      <c r="N383" s="1427"/>
    </row>
    <row r="384" spans="1:14" ht="13.5" hidden="1" thickBot="1" x14ac:dyDescent="0.25">
      <c r="A384" s="2102"/>
      <c r="B384" s="2103"/>
      <c r="C384" s="831"/>
      <c r="D384" s="831"/>
      <c r="E384" s="831"/>
      <c r="F384" s="831"/>
      <c r="G384" s="123"/>
      <c r="H384" s="123"/>
      <c r="I384" s="123"/>
      <c r="J384" s="123"/>
      <c r="K384" s="218"/>
      <c r="L384" s="219"/>
      <c r="N384" s="1430"/>
    </row>
    <row r="385" spans="1:14" ht="14.25" hidden="1" thickTop="1" thickBot="1" x14ac:dyDescent="0.25">
      <c r="A385" s="2139" t="s">
        <v>259</v>
      </c>
      <c r="B385" s="2140"/>
      <c r="C385" s="1080">
        <f t="shared" ref="C385:L385" si="95">SUM(C377:C384)</f>
        <v>0</v>
      </c>
      <c r="D385" s="1080">
        <f t="shared" si="95"/>
        <v>0</v>
      </c>
      <c r="E385" s="1080">
        <f t="shared" si="95"/>
        <v>0</v>
      </c>
      <c r="F385" s="1080">
        <f t="shared" si="95"/>
        <v>0</v>
      </c>
      <c r="G385" s="1080">
        <f t="shared" si="95"/>
        <v>0</v>
      </c>
      <c r="H385" s="1080">
        <f t="shared" si="95"/>
        <v>0</v>
      </c>
      <c r="I385" s="1080">
        <f t="shared" si="95"/>
        <v>0</v>
      </c>
      <c r="J385" s="1080">
        <f t="shared" si="95"/>
        <v>0</v>
      </c>
      <c r="K385" s="1080">
        <f t="shared" si="95"/>
        <v>0</v>
      </c>
      <c r="L385" s="1093">
        <f t="shared" si="95"/>
        <v>0</v>
      </c>
      <c r="N385" s="1082">
        <f>SUM(N377:N384)</f>
        <v>0</v>
      </c>
    </row>
    <row r="386" spans="1:14" hidden="1" x14ac:dyDescent="0.2"/>
    <row r="387" spans="1:14" ht="13.5" hidden="1" thickBot="1" x14ac:dyDescent="0.25">
      <c r="A387" s="2141"/>
      <c r="B387" s="2141"/>
      <c r="C387" s="2141"/>
    </row>
    <row r="388" spans="1:14" ht="13.5" hidden="1" thickBot="1" x14ac:dyDescent="0.25">
      <c r="A388" s="1089"/>
      <c r="B388" s="1090"/>
      <c r="C388" s="1434" t="str">
        <f t="shared" ref="C388:L388" si="96">C$12</f>
        <v>2011 Actual²</v>
      </c>
      <c r="D388" s="1065" t="str">
        <f t="shared" si="96"/>
        <v>2012 Actual²</v>
      </c>
      <c r="E388" s="1065" t="str">
        <f t="shared" si="96"/>
        <v>2013 Actual²</v>
      </c>
      <c r="F388" s="1065" t="str">
        <f t="shared" si="96"/>
        <v>2014 Actual²</v>
      </c>
      <c r="G388" s="1065" t="str">
        <f t="shared" si="96"/>
        <v>2015 Actual²</v>
      </c>
      <c r="H388" s="1065" t="str">
        <f t="shared" si="96"/>
        <v>2016 Actual²</v>
      </c>
      <c r="I388" s="1065" t="str">
        <f t="shared" si="96"/>
        <v>2017 Actual²</v>
      </c>
      <c r="J388" s="1065" t="str">
        <f t="shared" si="96"/>
        <v>2018 Actual</v>
      </c>
      <c r="K388" s="1065" t="str">
        <f t="shared" si="96"/>
        <v>Bridge Year</v>
      </c>
      <c r="L388" s="1088" t="str">
        <f t="shared" si="96"/>
        <v>Test Year</v>
      </c>
      <c r="N388" s="1422" t="str">
        <f>N$12</f>
        <v>CGAAP</v>
      </c>
    </row>
    <row r="389" spans="1:14" ht="13.5" hidden="1" thickBot="1" x14ac:dyDescent="0.25">
      <c r="A389" s="1089"/>
      <c r="B389" s="1090"/>
      <c r="C389" s="1065">
        <f t="shared" ref="C389:L389" si="97">C$13</f>
        <v>2011</v>
      </c>
      <c r="D389" s="1065">
        <f t="shared" si="97"/>
        <v>2012</v>
      </c>
      <c r="E389" s="1065">
        <f t="shared" si="97"/>
        <v>2013</v>
      </c>
      <c r="F389" s="1065">
        <f t="shared" si="97"/>
        <v>2014</v>
      </c>
      <c r="G389" s="1065">
        <f t="shared" si="97"/>
        <v>2015</v>
      </c>
      <c r="H389" s="1065">
        <f t="shared" si="97"/>
        <v>2016</v>
      </c>
      <c r="I389" s="1065">
        <f t="shared" si="97"/>
        <v>2017</v>
      </c>
      <c r="J389" s="1065">
        <f t="shared" si="97"/>
        <v>2018</v>
      </c>
      <c r="K389" s="1065">
        <f t="shared" si="97"/>
        <v>2019</v>
      </c>
      <c r="L389" s="1088">
        <f t="shared" si="97"/>
        <v>2020</v>
      </c>
      <c r="N389" s="1423">
        <f>N$13</f>
        <v>2015</v>
      </c>
    </row>
    <row r="390" spans="1:14" hidden="1" x14ac:dyDescent="0.2">
      <c r="A390" s="2136" t="s">
        <v>90</v>
      </c>
      <c r="B390" s="2137"/>
      <c r="C390" s="1074" t="str">
        <f t="shared" ref="C390:L390" si="98">IF(C328=0, "", C328)</f>
        <v/>
      </c>
      <c r="D390" s="1074" t="str">
        <f t="shared" si="98"/>
        <v/>
      </c>
      <c r="E390" s="1074" t="str">
        <f t="shared" si="98"/>
        <v/>
      </c>
      <c r="F390" s="1074" t="str">
        <f t="shared" si="98"/>
        <v/>
      </c>
      <c r="G390" s="1074" t="str">
        <f t="shared" si="98"/>
        <v/>
      </c>
      <c r="H390" s="1074" t="str">
        <f t="shared" si="98"/>
        <v/>
      </c>
      <c r="I390" s="1074" t="str">
        <f t="shared" si="98"/>
        <v/>
      </c>
      <c r="J390" s="1074" t="str">
        <f t="shared" si="98"/>
        <v/>
      </c>
      <c r="K390" s="1074" t="str">
        <f t="shared" si="98"/>
        <v/>
      </c>
      <c r="L390" s="1421" t="str">
        <f t="shared" si="98"/>
        <v/>
      </c>
      <c r="N390" s="1424" t="str">
        <f>IF(N$14=0, "", N$14)</f>
        <v>CGAAP</v>
      </c>
    </row>
    <row r="391" spans="1:14" hidden="1" x14ac:dyDescent="0.2">
      <c r="A391" s="2102"/>
      <c r="B391" s="2103"/>
      <c r="C391" s="96"/>
      <c r="D391" s="96"/>
      <c r="E391" s="96"/>
      <c r="F391" s="96"/>
      <c r="G391" s="96"/>
      <c r="H391" s="96"/>
      <c r="I391" s="96"/>
      <c r="J391" s="96"/>
      <c r="K391" s="96"/>
      <c r="L391" s="212"/>
      <c r="N391" s="1427"/>
    </row>
    <row r="392" spans="1:14" hidden="1" x14ac:dyDescent="0.2">
      <c r="A392" s="2102"/>
      <c r="B392" s="2103"/>
      <c r="C392" s="96"/>
      <c r="D392" s="96"/>
      <c r="E392" s="96"/>
      <c r="F392" s="96"/>
      <c r="G392" s="96"/>
      <c r="H392" s="96"/>
      <c r="I392" s="96"/>
      <c r="J392" s="96"/>
      <c r="K392" s="217"/>
      <c r="L392" s="212"/>
      <c r="N392" s="1427"/>
    </row>
    <row r="393" spans="1:14" hidden="1" x14ac:dyDescent="0.2">
      <c r="A393" s="2131"/>
      <c r="B393" s="2132"/>
      <c r="C393" s="96"/>
      <c r="D393" s="96"/>
      <c r="E393" s="96"/>
      <c r="F393" s="98"/>
      <c r="G393" s="98"/>
      <c r="H393" s="98"/>
      <c r="I393" s="98"/>
      <c r="J393" s="98"/>
      <c r="K393" s="217"/>
      <c r="L393" s="212"/>
      <c r="N393" s="1427"/>
    </row>
    <row r="394" spans="1:14" hidden="1" x14ac:dyDescent="0.2">
      <c r="A394" s="2131"/>
      <c r="B394" s="2132"/>
      <c r="C394" s="96"/>
      <c r="D394" s="96"/>
      <c r="E394" s="96"/>
      <c r="F394" s="98"/>
      <c r="G394" s="98"/>
      <c r="H394" s="98"/>
      <c r="I394" s="98"/>
      <c r="J394" s="98"/>
      <c r="K394" s="217"/>
      <c r="L394" s="212"/>
      <c r="N394" s="1427"/>
    </row>
    <row r="395" spans="1:14" hidden="1" x14ac:dyDescent="0.2">
      <c r="A395" s="2102"/>
      <c r="B395" s="2103"/>
      <c r="C395" s="96"/>
      <c r="D395" s="96"/>
      <c r="E395" s="96"/>
      <c r="F395" s="98"/>
      <c r="G395" s="98"/>
      <c r="H395" s="98"/>
      <c r="I395" s="98"/>
      <c r="J395" s="98"/>
      <c r="K395" s="98"/>
      <c r="L395" s="212"/>
      <c r="N395" s="1427"/>
    </row>
    <row r="396" spans="1:14" hidden="1" x14ac:dyDescent="0.2">
      <c r="A396" s="2102"/>
      <c r="B396" s="2103"/>
      <c r="C396" s="98"/>
      <c r="D396" s="98"/>
      <c r="E396" s="98"/>
      <c r="F396" s="98"/>
      <c r="G396" s="98"/>
      <c r="H396" s="98"/>
      <c r="I396" s="98"/>
      <c r="J396" s="98"/>
      <c r="K396" s="98"/>
      <c r="L396" s="212"/>
      <c r="N396" s="1427"/>
    </row>
    <row r="397" spans="1:14" hidden="1" x14ac:dyDescent="0.2">
      <c r="A397" s="2133"/>
      <c r="B397" s="2134"/>
      <c r="C397" s="98"/>
      <c r="D397" s="98"/>
      <c r="E397" s="98"/>
      <c r="F397" s="98"/>
      <c r="G397" s="98"/>
      <c r="H397" s="98"/>
      <c r="I397" s="98"/>
      <c r="J397" s="98"/>
      <c r="K397" s="98"/>
      <c r="L397" s="212"/>
      <c r="N397" s="1427"/>
    </row>
    <row r="398" spans="1:14" ht="13.5" hidden="1" thickBot="1" x14ac:dyDescent="0.25">
      <c r="A398" s="2102"/>
      <c r="B398" s="2103"/>
      <c r="C398" s="831"/>
      <c r="D398" s="831"/>
      <c r="E398" s="831"/>
      <c r="F398" s="831"/>
      <c r="G398" s="123"/>
      <c r="H398" s="123"/>
      <c r="I398" s="123"/>
      <c r="J398" s="123"/>
      <c r="K398" s="218"/>
      <c r="L398" s="219"/>
      <c r="N398" s="1430"/>
    </row>
    <row r="399" spans="1:14" ht="14.25" hidden="1" thickTop="1" thickBot="1" x14ac:dyDescent="0.25">
      <c r="A399" s="2139" t="s">
        <v>259</v>
      </c>
      <c r="B399" s="2140"/>
      <c r="C399" s="1080">
        <f t="shared" ref="C399:L399" si="99">SUM(C391:C398)</f>
        <v>0</v>
      </c>
      <c r="D399" s="1080">
        <f t="shared" si="99"/>
        <v>0</v>
      </c>
      <c r="E399" s="1080">
        <f t="shared" si="99"/>
        <v>0</v>
      </c>
      <c r="F399" s="1080">
        <f t="shared" si="99"/>
        <v>0</v>
      </c>
      <c r="G399" s="1080">
        <f t="shared" si="99"/>
        <v>0</v>
      </c>
      <c r="H399" s="1080">
        <f t="shared" si="99"/>
        <v>0</v>
      </c>
      <c r="I399" s="1080">
        <f t="shared" si="99"/>
        <v>0</v>
      </c>
      <c r="J399" s="1080">
        <f t="shared" si="99"/>
        <v>0</v>
      </c>
      <c r="K399" s="1080">
        <f t="shared" si="99"/>
        <v>0</v>
      </c>
      <c r="L399" s="1093">
        <f t="shared" si="99"/>
        <v>0</v>
      </c>
      <c r="N399" s="1082">
        <f>SUM(N391:N398)</f>
        <v>0</v>
      </c>
    </row>
    <row r="400" spans="1:14" hidden="1" x14ac:dyDescent="0.2"/>
    <row r="401" spans="1:14" ht="13.5" hidden="1" thickBot="1" x14ac:dyDescent="0.25">
      <c r="A401" s="2141"/>
      <c r="B401" s="2141"/>
      <c r="C401" s="2141"/>
    </row>
    <row r="402" spans="1:14" ht="13.5" hidden="1" thickBot="1" x14ac:dyDescent="0.25">
      <c r="A402" s="1089"/>
      <c r="B402" s="1090"/>
      <c r="C402" s="1434" t="str">
        <f t="shared" ref="C402:L402" si="100">C$12</f>
        <v>2011 Actual²</v>
      </c>
      <c r="D402" s="1065" t="str">
        <f t="shared" si="100"/>
        <v>2012 Actual²</v>
      </c>
      <c r="E402" s="1065" t="str">
        <f t="shared" si="100"/>
        <v>2013 Actual²</v>
      </c>
      <c r="F402" s="1065" t="str">
        <f t="shared" si="100"/>
        <v>2014 Actual²</v>
      </c>
      <c r="G402" s="1065" t="str">
        <f t="shared" si="100"/>
        <v>2015 Actual²</v>
      </c>
      <c r="H402" s="1065" t="str">
        <f t="shared" si="100"/>
        <v>2016 Actual²</v>
      </c>
      <c r="I402" s="1065" t="str">
        <f t="shared" si="100"/>
        <v>2017 Actual²</v>
      </c>
      <c r="J402" s="1065" t="str">
        <f t="shared" si="100"/>
        <v>2018 Actual</v>
      </c>
      <c r="K402" s="1065" t="str">
        <f t="shared" si="100"/>
        <v>Bridge Year</v>
      </c>
      <c r="L402" s="1088" t="str">
        <f t="shared" si="100"/>
        <v>Test Year</v>
      </c>
      <c r="N402" s="1422" t="str">
        <f>N$12</f>
        <v>CGAAP</v>
      </c>
    </row>
    <row r="403" spans="1:14" ht="13.5" hidden="1" thickBot="1" x14ac:dyDescent="0.25">
      <c r="A403" s="1089"/>
      <c r="B403" s="1090"/>
      <c r="C403" s="1065">
        <f t="shared" ref="C403:L403" si="101">C$13</f>
        <v>2011</v>
      </c>
      <c r="D403" s="1065">
        <f t="shared" si="101"/>
        <v>2012</v>
      </c>
      <c r="E403" s="1065">
        <f t="shared" si="101"/>
        <v>2013</v>
      </c>
      <c r="F403" s="1065">
        <f t="shared" si="101"/>
        <v>2014</v>
      </c>
      <c r="G403" s="1065">
        <f t="shared" si="101"/>
        <v>2015</v>
      </c>
      <c r="H403" s="1065">
        <f t="shared" si="101"/>
        <v>2016</v>
      </c>
      <c r="I403" s="1065">
        <f t="shared" si="101"/>
        <v>2017</v>
      </c>
      <c r="J403" s="1065">
        <f t="shared" si="101"/>
        <v>2018</v>
      </c>
      <c r="K403" s="1065">
        <f t="shared" si="101"/>
        <v>2019</v>
      </c>
      <c r="L403" s="1088">
        <f t="shared" si="101"/>
        <v>2020</v>
      </c>
      <c r="N403" s="1423">
        <f>N$13</f>
        <v>2015</v>
      </c>
    </row>
    <row r="404" spans="1:14" hidden="1" x14ac:dyDescent="0.2">
      <c r="A404" s="2136" t="s">
        <v>90</v>
      </c>
      <c r="B404" s="2137"/>
      <c r="C404" s="1074" t="str">
        <f t="shared" ref="C404:L404" si="102">IF(C342=0, "", C342)</f>
        <v/>
      </c>
      <c r="D404" s="1074" t="str">
        <f t="shared" si="102"/>
        <v/>
      </c>
      <c r="E404" s="1074" t="str">
        <f t="shared" si="102"/>
        <v/>
      </c>
      <c r="F404" s="1074" t="str">
        <f t="shared" si="102"/>
        <v/>
      </c>
      <c r="G404" s="1074" t="str">
        <f t="shared" si="102"/>
        <v/>
      </c>
      <c r="H404" s="1074" t="str">
        <f t="shared" si="102"/>
        <v/>
      </c>
      <c r="I404" s="1074" t="str">
        <f t="shared" si="102"/>
        <v/>
      </c>
      <c r="J404" s="1074" t="str">
        <f t="shared" si="102"/>
        <v/>
      </c>
      <c r="K404" s="1074" t="str">
        <f t="shared" si="102"/>
        <v/>
      </c>
      <c r="L404" s="1421" t="str">
        <f t="shared" si="102"/>
        <v/>
      </c>
      <c r="N404" s="1424" t="str">
        <f>IF(N$14=0, "", N$14)</f>
        <v>CGAAP</v>
      </c>
    </row>
    <row r="405" spans="1:14" hidden="1" x14ac:dyDescent="0.2">
      <c r="A405" s="2102"/>
      <c r="B405" s="2103"/>
      <c r="C405" s="96"/>
      <c r="D405" s="96"/>
      <c r="E405" s="96"/>
      <c r="F405" s="96"/>
      <c r="G405" s="96"/>
      <c r="H405" s="96"/>
      <c r="I405" s="96"/>
      <c r="J405" s="96"/>
      <c r="K405" s="96"/>
      <c r="L405" s="212"/>
      <c r="N405" s="1427"/>
    </row>
    <row r="406" spans="1:14" hidden="1" x14ac:dyDescent="0.2">
      <c r="A406" s="2102"/>
      <c r="B406" s="2103"/>
      <c r="C406" s="96"/>
      <c r="D406" s="96"/>
      <c r="E406" s="96"/>
      <c r="F406" s="96"/>
      <c r="G406" s="96"/>
      <c r="H406" s="96"/>
      <c r="I406" s="96"/>
      <c r="J406" s="96"/>
      <c r="K406" s="217"/>
      <c r="L406" s="212"/>
      <c r="N406" s="1427"/>
    </row>
    <row r="407" spans="1:14" hidden="1" x14ac:dyDescent="0.2">
      <c r="A407" s="2131"/>
      <c r="B407" s="2132"/>
      <c r="C407" s="96"/>
      <c r="D407" s="96"/>
      <c r="E407" s="96"/>
      <c r="F407" s="98"/>
      <c r="G407" s="98"/>
      <c r="H407" s="98"/>
      <c r="I407" s="98"/>
      <c r="J407" s="98"/>
      <c r="K407" s="217"/>
      <c r="L407" s="212"/>
      <c r="N407" s="1427"/>
    </row>
    <row r="408" spans="1:14" hidden="1" x14ac:dyDescent="0.2">
      <c r="A408" s="2131"/>
      <c r="B408" s="2132"/>
      <c r="C408" s="96"/>
      <c r="D408" s="96"/>
      <c r="E408" s="96"/>
      <c r="F408" s="98"/>
      <c r="G408" s="98"/>
      <c r="H408" s="98"/>
      <c r="I408" s="98"/>
      <c r="J408" s="98"/>
      <c r="K408" s="217"/>
      <c r="L408" s="212"/>
      <c r="N408" s="1427"/>
    </row>
    <row r="409" spans="1:14" hidden="1" x14ac:dyDescent="0.2">
      <c r="A409" s="2102"/>
      <c r="B409" s="2103"/>
      <c r="C409" s="96"/>
      <c r="D409" s="96"/>
      <c r="E409" s="96"/>
      <c r="F409" s="98"/>
      <c r="G409" s="98"/>
      <c r="H409" s="98"/>
      <c r="I409" s="98"/>
      <c r="J409" s="98"/>
      <c r="K409" s="98"/>
      <c r="L409" s="212"/>
      <c r="N409" s="1427"/>
    </row>
    <row r="410" spans="1:14" hidden="1" x14ac:dyDescent="0.2">
      <c r="A410" s="2102"/>
      <c r="B410" s="2103"/>
      <c r="C410" s="98"/>
      <c r="D410" s="98"/>
      <c r="E410" s="98"/>
      <c r="F410" s="98"/>
      <c r="G410" s="98"/>
      <c r="H410" s="98"/>
      <c r="I410" s="98"/>
      <c r="J410" s="98"/>
      <c r="K410" s="98"/>
      <c r="L410" s="212"/>
      <c r="N410" s="1427"/>
    </row>
    <row r="411" spans="1:14" hidden="1" x14ac:dyDescent="0.2">
      <c r="A411" s="2133"/>
      <c r="B411" s="2134"/>
      <c r="C411" s="98"/>
      <c r="D411" s="98"/>
      <c r="E411" s="98"/>
      <c r="F411" s="98"/>
      <c r="G411" s="98"/>
      <c r="H411" s="98"/>
      <c r="I411" s="98"/>
      <c r="J411" s="98"/>
      <c r="K411" s="98"/>
      <c r="L411" s="212"/>
      <c r="N411" s="1427"/>
    </row>
    <row r="412" spans="1:14" ht="13.5" hidden="1" thickBot="1" x14ac:dyDescent="0.25">
      <c r="A412" s="2102"/>
      <c r="B412" s="2103"/>
      <c r="C412" s="831"/>
      <c r="D412" s="831"/>
      <c r="E412" s="831"/>
      <c r="F412" s="831"/>
      <c r="G412" s="123"/>
      <c r="H412" s="123"/>
      <c r="I412" s="123"/>
      <c r="J412" s="123"/>
      <c r="K412" s="218"/>
      <c r="L412" s="219"/>
      <c r="N412" s="1430"/>
    </row>
    <row r="413" spans="1:14" ht="14.25" hidden="1" thickTop="1" thickBot="1" x14ac:dyDescent="0.25">
      <c r="A413" s="2139" t="s">
        <v>259</v>
      </c>
      <c r="B413" s="2140"/>
      <c r="C413" s="1080">
        <f t="shared" ref="C413:L413" si="103">SUM(C405:C412)</f>
        <v>0</v>
      </c>
      <c r="D413" s="1080">
        <f t="shared" si="103"/>
        <v>0</v>
      </c>
      <c r="E413" s="1080">
        <f t="shared" si="103"/>
        <v>0</v>
      </c>
      <c r="F413" s="1080">
        <f t="shared" si="103"/>
        <v>0</v>
      </c>
      <c r="G413" s="1080">
        <f t="shared" si="103"/>
        <v>0</v>
      </c>
      <c r="H413" s="1080">
        <f t="shared" si="103"/>
        <v>0</v>
      </c>
      <c r="I413" s="1080">
        <f t="shared" si="103"/>
        <v>0</v>
      </c>
      <c r="J413" s="1080">
        <f t="shared" si="103"/>
        <v>0</v>
      </c>
      <c r="K413" s="1080">
        <f t="shared" si="103"/>
        <v>0</v>
      </c>
      <c r="L413" s="1093">
        <f t="shared" si="103"/>
        <v>0</v>
      </c>
      <c r="N413" s="1082">
        <f>SUM(N405:N412)</f>
        <v>0</v>
      </c>
    </row>
    <row r="414" spans="1:14" hidden="1" x14ac:dyDescent="0.2"/>
    <row r="415" spans="1:14" ht="13.5" hidden="1" thickBot="1" x14ac:dyDescent="0.25">
      <c r="A415" s="2141"/>
      <c r="B415" s="2141"/>
      <c r="C415" s="2141"/>
    </row>
    <row r="416" spans="1:14" ht="13.5" hidden="1" thickBot="1" x14ac:dyDescent="0.25">
      <c r="A416" s="1089"/>
      <c r="B416" s="1090"/>
      <c r="C416" s="1434" t="str">
        <f t="shared" ref="C416:L416" si="104">C$12</f>
        <v>2011 Actual²</v>
      </c>
      <c r="D416" s="1065" t="str">
        <f t="shared" si="104"/>
        <v>2012 Actual²</v>
      </c>
      <c r="E416" s="1065" t="str">
        <f t="shared" si="104"/>
        <v>2013 Actual²</v>
      </c>
      <c r="F416" s="1065" t="str">
        <f t="shared" si="104"/>
        <v>2014 Actual²</v>
      </c>
      <c r="G416" s="1065" t="str">
        <f t="shared" si="104"/>
        <v>2015 Actual²</v>
      </c>
      <c r="H416" s="1065" t="str">
        <f t="shared" si="104"/>
        <v>2016 Actual²</v>
      </c>
      <c r="I416" s="1065" t="str">
        <f t="shared" si="104"/>
        <v>2017 Actual²</v>
      </c>
      <c r="J416" s="1065" t="str">
        <f t="shared" si="104"/>
        <v>2018 Actual</v>
      </c>
      <c r="K416" s="1065" t="str">
        <f t="shared" si="104"/>
        <v>Bridge Year</v>
      </c>
      <c r="L416" s="1088" t="str">
        <f t="shared" si="104"/>
        <v>Test Year</v>
      </c>
      <c r="N416" s="1422" t="str">
        <f>N$12</f>
        <v>CGAAP</v>
      </c>
    </row>
    <row r="417" spans="1:14" ht="13.5" hidden="1" thickBot="1" x14ac:dyDescent="0.25">
      <c r="A417" s="1089"/>
      <c r="B417" s="1090"/>
      <c r="C417" s="1065">
        <f t="shared" ref="C417:L417" si="105">C$13</f>
        <v>2011</v>
      </c>
      <c r="D417" s="1065">
        <f t="shared" si="105"/>
        <v>2012</v>
      </c>
      <c r="E417" s="1065">
        <f t="shared" si="105"/>
        <v>2013</v>
      </c>
      <c r="F417" s="1065">
        <f t="shared" si="105"/>
        <v>2014</v>
      </c>
      <c r="G417" s="1065">
        <f t="shared" si="105"/>
        <v>2015</v>
      </c>
      <c r="H417" s="1065">
        <f t="shared" si="105"/>
        <v>2016</v>
      </c>
      <c r="I417" s="1065">
        <f t="shared" si="105"/>
        <v>2017</v>
      </c>
      <c r="J417" s="1065">
        <f t="shared" si="105"/>
        <v>2018</v>
      </c>
      <c r="K417" s="1065">
        <f t="shared" si="105"/>
        <v>2019</v>
      </c>
      <c r="L417" s="1088">
        <f t="shared" si="105"/>
        <v>2020</v>
      </c>
      <c r="N417" s="1423">
        <f>N$13</f>
        <v>2015</v>
      </c>
    </row>
    <row r="418" spans="1:14" hidden="1" x14ac:dyDescent="0.2">
      <c r="A418" s="2136" t="s">
        <v>90</v>
      </c>
      <c r="B418" s="2137"/>
      <c r="C418" s="1074" t="str">
        <f t="shared" ref="C418:L418" si="106">IF(C356=0, "", C356)</f>
        <v/>
      </c>
      <c r="D418" s="1074" t="str">
        <f t="shared" si="106"/>
        <v/>
      </c>
      <c r="E418" s="1074" t="str">
        <f t="shared" si="106"/>
        <v/>
      </c>
      <c r="F418" s="1074" t="str">
        <f t="shared" si="106"/>
        <v/>
      </c>
      <c r="G418" s="1074" t="str">
        <f t="shared" si="106"/>
        <v/>
      </c>
      <c r="H418" s="1074" t="str">
        <f t="shared" si="106"/>
        <v/>
      </c>
      <c r="I418" s="1074" t="str">
        <f t="shared" si="106"/>
        <v/>
      </c>
      <c r="J418" s="1074" t="str">
        <f t="shared" si="106"/>
        <v/>
      </c>
      <c r="K418" s="1074" t="str">
        <f t="shared" si="106"/>
        <v/>
      </c>
      <c r="L418" s="1421" t="str">
        <f t="shared" si="106"/>
        <v/>
      </c>
      <c r="N418" s="1424" t="str">
        <f>IF(N$14=0, "", N$14)</f>
        <v>CGAAP</v>
      </c>
    </row>
    <row r="419" spans="1:14" hidden="1" x14ac:dyDescent="0.2">
      <c r="A419" s="2102"/>
      <c r="B419" s="2103"/>
      <c r="C419" s="96"/>
      <c r="D419" s="96"/>
      <c r="E419" s="96"/>
      <c r="F419" s="96"/>
      <c r="G419" s="96"/>
      <c r="H419" s="96"/>
      <c r="I419" s="96"/>
      <c r="J419" s="96"/>
      <c r="K419" s="96"/>
      <c r="L419" s="212"/>
      <c r="N419" s="1427"/>
    </row>
    <row r="420" spans="1:14" hidden="1" x14ac:dyDescent="0.2">
      <c r="A420" s="2102"/>
      <c r="B420" s="2103"/>
      <c r="C420" s="96"/>
      <c r="D420" s="96"/>
      <c r="E420" s="96"/>
      <c r="F420" s="96"/>
      <c r="G420" s="96"/>
      <c r="H420" s="96"/>
      <c r="I420" s="96"/>
      <c r="J420" s="96"/>
      <c r="K420" s="217"/>
      <c r="L420" s="212"/>
      <c r="N420" s="1427"/>
    </row>
    <row r="421" spans="1:14" hidden="1" x14ac:dyDescent="0.2">
      <c r="A421" s="2131"/>
      <c r="B421" s="2132"/>
      <c r="C421" s="96"/>
      <c r="D421" s="96"/>
      <c r="E421" s="96"/>
      <c r="F421" s="98"/>
      <c r="G421" s="98"/>
      <c r="H421" s="98"/>
      <c r="I421" s="98"/>
      <c r="J421" s="98"/>
      <c r="K421" s="217"/>
      <c r="L421" s="212"/>
      <c r="N421" s="1427"/>
    </row>
    <row r="422" spans="1:14" hidden="1" x14ac:dyDescent="0.2">
      <c r="A422" s="2131"/>
      <c r="B422" s="2132"/>
      <c r="C422" s="96"/>
      <c r="D422" s="96"/>
      <c r="E422" s="96"/>
      <c r="F422" s="98"/>
      <c r="G422" s="98"/>
      <c r="H422" s="98"/>
      <c r="I422" s="98"/>
      <c r="J422" s="98"/>
      <c r="K422" s="217"/>
      <c r="L422" s="212"/>
      <c r="N422" s="1427"/>
    </row>
    <row r="423" spans="1:14" hidden="1" x14ac:dyDescent="0.2">
      <c r="A423" s="2102"/>
      <c r="B423" s="2103"/>
      <c r="C423" s="96"/>
      <c r="D423" s="96"/>
      <c r="E423" s="96"/>
      <c r="F423" s="98"/>
      <c r="G423" s="98"/>
      <c r="H423" s="98"/>
      <c r="I423" s="98"/>
      <c r="J423" s="98"/>
      <c r="K423" s="98"/>
      <c r="L423" s="212"/>
      <c r="N423" s="1427"/>
    </row>
    <row r="424" spans="1:14" hidden="1" x14ac:dyDescent="0.2">
      <c r="A424" s="2102"/>
      <c r="B424" s="2103"/>
      <c r="C424" s="98"/>
      <c r="D424" s="98"/>
      <c r="E424" s="98"/>
      <c r="F424" s="98"/>
      <c r="G424" s="98"/>
      <c r="H424" s="98"/>
      <c r="I424" s="98"/>
      <c r="J424" s="98"/>
      <c r="K424" s="98"/>
      <c r="L424" s="212"/>
      <c r="N424" s="1427"/>
    </row>
    <row r="425" spans="1:14" hidden="1" x14ac:dyDescent="0.2">
      <c r="A425" s="2133"/>
      <c r="B425" s="2134"/>
      <c r="C425" s="98"/>
      <c r="D425" s="98"/>
      <c r="E425" s="98"/>
      <c r="F425" s="98"/>
      <c r="G425" s="98"/>
      <c r="H425" s="98"/>
      <c r="I425" s="98"/>
      <c r="J425" s="98"/>
      <c r="K425" s="98"/>
      <c r="L425" s="212"/>
      <c r="N425" s="1427"/>
    </row>
    <row r="426" spans="1:14" ht="13.5" hidden="1" thickBot="1" x14ac:dyDescent="0.25">
      <c r="A426" s="2102"/>
      <c r="B426" s="2103"/>
      <c r="C426" s="831"/>
      <c r="D426" s="831"/>
      <c r="E426" s="831"/>
      <c r="F426" s="831"/>
      <c r="G426" s="123"/>
      <c r="H426" s="123"/>
      <c r="I426" s="123"/>
      <c r="J426" s="123"/>
      <c r="K426" s="218"/>
      <c r="L426" s="219"/>
      <c r="N426" s="1430"/>
    </row>
    <row r="427" spans="1:14" ht="14.25" hidden="1" thickTop="1" thickBot="1" x14ac:dyDescent="0.25">
      <c r="A427" s="2139" t="s">
        <v>259</v>
      </c>
      <c r="B427" s="2140"/>
      <c r="C427" s="1080">
        <f t="shared" ref="C427:L427" si="107">SUM(C419:C426)</f>
        <v>0</v>
      </c>
      <c r="D427" s="1080">
        <f t="shared" si="107"/>
        <v>0</v>
      </c>
      <c r="E427" s="1080">
        <f t="shared" si="107"/>
        <v>0</v>
      </c>
      <c r="F427" s="1080">
        <f t="shared" si="107"/>
        <v>0</v>
      </c>
      <c r="G427" s="1080">
        <f t="shared" si="107"/>
        <v>0</v>
      </c>
      <c r="H427" s="1080">
        <f t="shared" si="107"/>
        <v>0</v>
      </c>
      <c r="I427" s="1080">
        <f t="shared" si="107"/>
        <v>0</v>
      </c>
      <c r="J427" s="1080">
        <f t="shared" si="107"/>
        <v>0</v>
      </c>
      <c r="K427" s="1080">
        <f t="shared" si="107"/>
        <v>0</v>
      </c>
      <c r="L427" s="1093">
        <f t="shared" si="107"/>
        <v>0</v>
      </c>
      <c r="N427" s="1082">
        <f>SUM(N419:N426)</f>
        <v>0</v>
      </c>
    </row>
    <row r="428" spans="1:14" hidden="1" x14ac:dyDescent="0.2"/>
    <row r="429" spans="1:14" ht="13.5" hidden="1" thickBot="1" x14ac:dyDescent="0.25">
      <c r="A429" s="2141"/>
      <c r="B429" s="2141"/>
      <c r="C429" s="2141"/>
    </row>
    <row r="430" spans="1:14" ht="13.5" hidden="1" thickBot="1" x14ac:dyDescent="0.25">
      <c r="A430" s="1089"/>
      <c r="B430" s="1090"/>
      <c r="C430" s="1434" t="str">
        <f t="shared" ref="C430:L430" si="108">C$12</f>
        <v>2011 Actual²</v>
      </c>
      <c r="D430" s="1065" t="str">
        <f t="shared" si="108"/>
        <v>2012 Actual²</v>
      </c>
      <c r="E430" s="1065" t="str">
        <f t="shared" si="108"/>
        <v>2013 Actual²</v>
      </c>
      <c r="F430" s="1065" t="str">
        <f t="shared" si="108"/>
        <v>2014 Actual²</v>
      </c>
      <c r="G430" s="1065" t="str">
        <f t="shared" si="108"/>
        <v>2015 Actual²</v>
      </c>
      <c r="H430" s="1065" t="str">
        <f t="shared" si="108"/>
        <v>2016 Actual²</v>
      </c>
      <c r="I430" s="1065" t="str">
        <f t="shared" si="108"/>
        <v>2017 Actual²</v>
      </c>
      <c r="J430" s="1065" t="str">
        <f t="shared" si="108"/>
        <v>2018 Actual</v>
      </c>
      <c r="K430" s="1065" t="str">
        <f t="shared" si="108"/>
        <v>Bridge Year</v>
      </c>
      <c r="L430" s="1088" t="str">
        <f t="shared" si="108"/>
        <v>Test Year</v>
      </c>
      <c r="N430" s="1422" t="str">
        <f>N$12</f>
        <v>CGAAP</v>
      </c>
    </row>
    <row r="431" spans="1:14" ht="13.5" hidden="1" thickBot="1" x14ac:dyDescent="0.25">
      <c r="A431" s="1089"/>
      <c r="B431" s="1090"/>
      <c r="C431" s="1065">
        <f t="shared" ref="C431:L431" si="109">C$13</f>
        <v>2011</v>
      </c>
      <c r="D431" s="1065">
        <f t="shared" si="109"/>
        <v>2012</v>
      </c>
      <c r="E431" s="1065">
        <f t="shared" si="109"/>
        <v>2013</v>
      </c>
      <c r="F431" s="1065">
        <f t="shared" si="109"/>
        <v>2014</v>
      </c>
      <c r="G431" s="1065">
        <f t="shared" si="109"/>
        <v>2015</v>
      </c>
      <c r="H431" s="1065">
        <f t="shared" si="109"/>
        <v>2016</v>
      </c>
      <c r="I431" s="1065">
        <f t="shared" si="109"/>
        <v>2017</v>
      </c>
      <c r="J431" s="1065">
        <f t="shared" si="109"/>
        <v>2018</v>
      </c>
      <c r="K431" s="1065">
        <f t="shared" si="109"/>
        <v>2019</v>
      </c>
      <c r="L431" s="1088">
        <f t="shared" si="109"/>
        <v>2020</v>
      </c>
      <c r="N431" s="1423">
        <f>N$13</f>
        <v>2015</v>
      </c>
    </row>
    <row r="432" spans="1:14" hidden="1" x14ac:dyDescent="0.2">
      <c r="A432" s="2136" t="s">
        <v>90</v>
      </c>
      <c r="B432" s="2137"/>
      <c r="C432" s="1074" t="str">
        <f t="shared" ref="C432:L432" si="110">IF(C370=0, "", C370)</f>
        <v/>
      </c>
      <c r="D432" s="1074" t="str">
        <f t="shared" si="110"/>
        <v/>
      </c>
      <c r="E432" s="1074" t="str">
        <f t="shared" si="110"/>
        <v/>
      </c>
      <c r="F432" s="1074" t="str">
        <f t="shared" si="110"/>
        <v/>
      </c>
      <c r="G432" s="1074" t="str">
        <f t="shared" si="110"/>
        <v/>
      </c>
      <c r="H432" s="1074" t="str">
        <f t="shared" si="110"/>
        <v/>
      </c>
      <c r="I432" s="1074" t="str">
        <f t="shared" si="110"/>
        <v/>
      </c>
      <c r="J432" s="1074" t="str">
        <f t="shared" si="110"/>
        <v/>
      </c>
      <c r="K432" s="1074" t="str">
        <f t="shared" si="110"/>
        <v/>
      </c>
      <c r="L432" s="1421" t="str">
        <f t="shared" si="110"/>
        <v/>
      </c>
      <c r="N432" s="1424" t="str">
        <f>IF(N$14=0, "", N$14)</f>
        <v>CGAAP</v>
      </c>
    </row>
    <row r="433" spans="1:14" hidden="1" x14ac:dyDescent="0.2">
      <c r="A433" s="2102"/>
      <c r="B433" s="2103"/>
      <c r="C433" s="96"/>
      <c r="D433" s="96"/>
      <c r="E433" s="96"/>
      <c r="F433" s="96"/>
      <c r="G433" s="96"/>
      <c r="H433" s="96"/>
      <c r="I433" s="96"/>
      <c r="J433" s="96"/>
      <c r="K433" s="96"/>
      <c r="L433" s="212"/>
      <c r="N433" s="1427"/>
    </row>
    <row r="434" spans="1:14" hidden="1" x14ac:dyDescent="0.2">
      <c r="A434" s="2102"/>
      <c r="B434" s="2103"/>
      <c r="C434" s="96"/>
      <c r="D434" s="96"/>
      <c r="E434" s="96"/>
      <c r="F434" s="96"/>
      <c r="G434" s="96"/>
      <c r="H434" s="96"/>
      <c r="I434" s="96"/>
      <c r="J434" s="96"/>
      <c r="K434" s="217"/>
      <c r="L434" s="212"/>
      <c r="N434" s="1427"/>
    </row>
    <row r="435" spans="1:14" hidden="1" x14ac:dyDescent="0.2">
      <c r="A435" s="2131"/>
      <c r="B435" s="2132"/>
      <c r="C435" s="96"/>
      <c r="D435" s="96"/>
      <c r="E435" s="96"/>
      <c r="F435" s="98"/>
      <c r="G435" s="98"/>
      <c r="H435" s="98"/>
      <c r="I435" s="98"/>
      <c r="J435" s="98"/>
      <c r="K435" s="217"/>
      <c r="L435" s="212"/>
      <c r="N435" s="1427"/>
    </row>
    <row r="436" spans="1:14" hidden="1" x14ac:dyDescent="0.2">
      <c r="A436" s="2131"/>
      <c r="B436" s="2132"/>
      <c r="C436" s="96"/>
      <c r="D436" s="96"/>
      <c r="E436" s="96"/>
      <c r="F436" s="98"/>
      <c r="G436" s="98"/>
      <c r="H436" s="98"/>
      <c r="I436" s="98"/>
      <c r="J436" s="98"/>
      <c r="K436" s="217"/>
      <c r="L436" s="212"/>
      <c r="N436" s="1427"/>
    </row>
    <row r="437" spans="1:14" hidden="1" x14ac:dyDescent="0.2">
      <c r="A437" s="2102"/>
      <c r="B437" s="2103"/>
      <c r="C437" s="96"/>
      <c r="D437" s="96"/>
      <c r="E437" s="96"/>
      <c r="F437" s="98"/>
      <c r="G437" s="98"/>
      <c r="H437" s="98"/>
      <c r="I437" s="98"/>
      <c r="J437" s="98"/>
      <c r="K437" s="98"/>
      <c r="L437" s="212"/>
      <c r="N437" s="1427"/>
    </row>
    <row r="438" spans="1:14" hidden="1" x14ac:dyDescent="0.2">
      <c r="A438" s="2102"/>
      <c r="B438" s="2103"/>
      <c r="C438" s="98"/>
      <c r="D438" s="98"/>
      <c r="E438" s="98"/>
      <c r="F438" s="98"/>
      <c r="G438" s="98"/>
      <c r="H438" s="98"/>
      <c r="I438" s="98"/>
      <c r="J438" s="98"/>
      <c r="K438" s="98"/>
      <c r="L438" s="212"/>
      <c r="N438" s="1427"/>
    </row>
    <row r="439" spans="1:14" hidden="1" x14ac:dyDescent="0.2">
      <c r="A439" s="2133"/>
      <c r="B439" s="2134"/>
      <c r="C439" s="98"/>
      <c r="D439" s="98"/>
      <c r="E439" s="98"/>
      <c r="F439" s="98"/>
      <c r="G439" s="98"/>
      <c r="H439" s="98"/>
      <c r="I439" s="98"/>
      <c r="J439" s="98"/>
      <c r="K439" s="98"/>
      <c r="L439" s="212"/>
      <c r="N439" s="1427"/>
    </row>
    <row r="440" spans="1:14" ht="13.5" hidden="1" thickBot="1" x14ac:dyDescent="0.25">
      <c r="A440" s="2102"/>
      <c r="B440" s="2103"/>
      <c r="C440" s="831"/>
      <c r="D440" s="831"/>
      <c r="E440" s="831"/>
      <c r="F440" s="831"/>
      <c r="G440" s="123"/>
      <c r="H440" s="123"/>
      <c r="I440" s="123"/>
      <c r="J440" s="123"/>
      <c r="K440" s="218"/>
      <c r="L440" s="219"/>
      <c r="N440" s="1430"/>
    </row>
    <row r="441" spans="1:14" ht="14.25" hidden="1" thickTop="1" thickBot="1" x14ac:dyDescent="0.25">
      <c r="A441" s="2139" t="s">
        <v>259</v>
      </c>
      <c r="B441" s="2140"/>
      <c r="C441" s="1080">
        <f t="shared" ref="C441:L441" si="111">SUM(C433:C440)</f>
        <v>0</v>
      </c>
      <c r="D441" s="1080">
        <f t="shared" si="111"/>
        <v>0</v>
      </c>
      <c r="E441" s="1080">
        <f t="shared" si="111"/>
        <v>0</v>
      </c>
      <c r="F441" s="1080">
        <f t="shared" si="111"/>
        <v>0</v>
      </c>
      <c r="G441" s="1080">
        <f t="shared" si="111"/>
        <v>0</v>
      </c>
      <c r="H441" s="1080">
        <f t="shared" si="111"/>
        <v>0</v>
      </c>
      <c r="I441" s="1080">
        <f t="shared" si="111"/>
        <v>0</v>
      </c>
      <c r="J441" s="1080">
        <f t="shared" si="111"/>
        <v>0</v>
      </c>
      <c r="K441" s="1080">
        <f t="shared" si="111"/>
        <v>0</v>
      </c>
      <c r="L441" s="1093">
        <f t="shared" si="111"/>
        <v>0</v>
      </c>
      <c r="N441" s="1082">
        <f>SUM(N433:N440)</f>
        <v>0</v>
      </c>
    </row>
    <row r="442" spans="1:14" hidden="1" x14ac:dyDescent="0.2"/>
    <row r="443" spans="1:14" ht="13.5" hidden="1" thickBot="1" x14ac:dyDescent="0.25">
      <c r="A443" s="2141"/>
      <c r="B443" s="2141"/>
      <c r="C443" s="2141"/>
    </row>
    <row r="444" spans="1:14" ht="13.5" hidden="1" thickBot="1" x14ac:dyDescent="0.25">
      <c r="A444" s="1089"/>
      <c r="B444" s="1090"/>
      <c r="C444" s="1434" t="str">
        <f t="shared" ref="C444:L444" si="112">C$12</f>
        <v>2011 Actual²</v>
      </c>
      <c r="D444" s="1065" t="str">
        <f t="shared" si="112"/>
        <v>2012 Actual²</v>
      </c>
      <c r="E444" s="1065" t="str">
        <f t="shared" si="112"/>
        <v>2013 Actual²</v>
      </c>
      <c r="F444" s="1065" t="str">
        <f t="shared" si="112"/>
        <v>2014 Actual²</v>
      </c>
      <c r="G444" s="1065" t="str">
        <f t="shared" si="112"/>
        <v>2015 Actual²</v>
      </c>
      <c r="H444" s="1065" t="str">
        <f t="shared" si="112"/>
        <v>2016 Actual²</v>
      </c>
      <c r="I444" s="1065" t="str">
        <f t="shared" si="112"/>
        <v>2017 Actual²</v>
      </c>
      <c r="J444" s="1065" t="str">
        <f t="shared" si="112"/>
        <v>2018 Actual</v>
      </c>
      <c r="K444" s="1065" t="str">
        <f t="shared" si="112"/>
        <v>Bridge Year</v>
      </c>
      <c r="L444" s="1088" t="str">
        <f t="shared" si="112"/>
        <v>Test Year</v>
      </c>
      <c r="N444" s="1422" t="str">
        <f>N$12</f>
        <v>CGAAP</v>
      </c>
    </row>
    <row r="445" spans="1:14" ht="13.5" hidden="1" thickBot="1" x14ac:dyDescent="0.25">
      <c r="A445" s="1089"/>
      <c r="B445" s="1090"/>
      <c r="C445" s="1065">
        <f t="shared" ref="C445:L445" si="113">C$13</f>
        <v>2011</v>
      </c>
      <c r="D445" s="1065">
        <f t="shared" si="113"/>
        <v>2012</v>
      </c>
      <c r="E445" s="1065">
        <f t="shared" si="113"/>
        <v>2013</v>
      </c>
      <c r="F445" s="1065">
        <f t="shared" si="113"/>
        <v>2014</v>
      </c>
      <c r="G445" s="1065">
        <f t="shared" si="113"/>
        <v>2015</v>
      </c>
      <c r="H445" s="1065">
        <f t="shared" si="113"/>
        <v>2016</v>
      </c>
      <c r="I445" s="1065">
        <f t="shared" si="113"/>
        <v>2017</v>
      </c>
      <c r="J445" s="1065">
        <f t="shared" si="113"/>
        <v>2018</v>
      </c>
      <c r="K445" s="1065">
        <f t="shared" si="113"/>
        <v>2019</v>
      </c>
      <c r="L445" s="1088">
        <f t="shared" si="113"/>
        <v>2020</v>
      </c>
      <c r="N445" s="1423">
        <f>N$13</f>
        <v>2015</v>
      </c>
    </row>
    <row r="446" spans="1:14" hidden="1" x14ac:dyDescent="0.2">
      <c r="A446" s="2136" t="s">
        <v>90</v>
      </c>
      <c r="B446" s="2137"/>
      <c r="C446" s="1074" t="str">
        <f t="shared" ref="C446:L446" si="114">IF(C384=0, "", C384)</f>
        <v/>
      </c>
      <c r="D446" s="1074" t="str">
        <f t="shared" si="114"/>
        <v/>
      </c>
      <c r="E446" s="1074" t="str">
        <f t="shared" si="114"/>
        <v/>
      </c>
      <c r="F446" s="1074" t="str">
        <f t="shared" si="114"/>
        <v/>
      </c>
      <c r="G446" s="1074" t="str">
        <f t="shared" si="114"/>
        <v/>
      </c>
      <c r="H446" s="1074" t="str">
        <f t="shared" si="114"/>
        <v/>
      </c>
      <c r="I446" s="1074" t="str">
        <f t="shared" si="114"/>
        <v/>
      </c>
      <c r="J446" s="1074" t="str">
        <f t="shared" si="114"/>
        <v/>
      </c>
      <c r="K446" s="1074" t="str">
        <f t="shared" si="114"/>
        <v/>
      </c>
      <c r="L446" s="1421" t="str">
        <f t="shared" si="114"/>
        <v/>
      </c>
      <c r="N446" s="1424" t="str">
        <f>IF(N$14=0, "", N$14)</f>
        <v>CGAAP</v>
      </c>
    </row>
    <row r="447" spans="1:14" hidden="1" x14ac:dyDescent="0.2">
      <c r="A447" s="2102"/>
      <c r="B447" s="2103"/>
      <c r="C447" s="96"/>
      <c r="D447" s="96"/>
      <c r="E447" s="96"/>
      <c r="F447" s="96"/>
      <c r="G447" s="96"/>
      <c r="H447" s="96"/>
      <c r="I447" s="96"/>
      <c r="J447" s="96"/>
      <c r="K447" s="96"/>
      <c r="L447" s="212"/>
      <c r="N447" s="1427"/>
    </row>
    <row r="448" spans="1:14" hidden="1" x14ac:dyDescent="0.2">
      <c r="A448" s="2102"/>
      <c r="B448" s="2103"/>
      <c r="C448" s="96"/>
      <c r="D448" s="96"/>
      <c r="E448" s="96"/>
      <c r="F448" s="96"/>
      <c r="G448" s="96"/>
      <c r="H448" s="96"/>
      <c r="I448" s="96"/>
      <c r="J448" s="96"/>
      <c r="K448" s="217"/>
      <c r="L448" s="212"/>
      <c r="N448" s="1427"/>
    </row>
    <row r="449" spans="1:14" hidden="1" x14ac:dyDescent="0.2">
      <c r="A449" s="2131"/>
      <c r="B449" s="2132"/>
      <c r="C449" s="96"/>
      <c r="D449" s="96"/>
      <c r="E449" s="96"/>
      <c r="F449" s="98"/>
      <c r="G449" s="98"/>
      <c r="H449" s="98"/>
      <c r="I449" s="98"/>
      <c r="J449" s="98"/>
      <c r="K449" s="217"/>
      <c r="L449" s="212"/>
      <c r="N449" s="1427"/>
    </row>
    <row r="450" spans="1:14" hidden="1" x14ac:dyDescent="0.2">
      <c r="A450" s="2131"/>
      <c r="B450" s="2132"/>
      <c r="C450" s="96"/>
      <c r="D450" s="96"/>
      <c r="E450" s="96"/>
      <c r="F450" s="98"/>
      <c r="G450" s="98"/>
      <c r="H450" s="98"/>
      <c r="I450" s="98"/>
      <c r="J450" s="98"/>
      <c r="K450" s="217"/>
      <c r="L450" s="212"/>
      <c r="N450" s="1427"/>
    </row>
    <row r="451" spans="1:14" hidden="1" x14ac:dyDescent="0.2">
      <c r="A451" s="2102"/>
      <c r="B451" s="2103"/>
      <c r="C451" s="96"/>
      <c r="D451" s="96"/>
      <c r="E451" s="96"/>
      <c r="F451" s="98"/>
      <c r="G451" s="98"/>
      <c r="H451" s="98"/>
      <c r="I451" s="98"/>
      <c r="J451" s="98"/>
      <c r="K451" s="98"/>
      <c r="L451" s="212"/>
      <c r="N451" s="1427"/>
    </row>
    <row r="452" spans="1:14" hidden="1" x14ac:dyDescent="0.2">
      <c r="A452" s="2102"/>
      <c r="B452" s="2103"/>
      <c r="C452" s="98"/>
      <c r="D452" s="98"/>
      <c r="E452" s="98"/>
      <c r="F452" s="98"/>
      <c r="G452" s="98"/>
      <c r="H452" s="98"/>
      <c r="I452" s="98"/>
      <c r="J452" s="98"/>
      <c r="K452" s="98"/>
      <c r="L452" s="212"/>
      <c r="N452" s="1427"/>
    </row>
    <row r="453" spans="1:14" hidden="1" x14ac:dyDescent="0.2">
      <c r="A453" s="2133"/>
      <c r="B453" s="2134"/>
      <c r="C453" s="98"/>
      <c r="D453" s="98"/>
      <c r="E453" s="98"/>
      <c r="F453" s="98"/>
      <c r="G453" s="98"/>
      <c r="H453" s="98"/>
      <c r="I453" s="98"/>
      <c r="J453" s="98"/>
      <c r="K453" s="98"/>
      <c r="L453" s="212"/>
      <c r="N453" s="1427"/>
    </row>
    <row r="454" spans="1:14" ht="13.5" hidden="1" thickBot="1" x14ac:dyDescent="0.25">
      <c r="A454" s="2102"/>
      <c r="B454" s="2103"/>
      <c r="C454" s="831"/>
      <c r="D454" s="831"/>
      <c r="E454" s="831"/>
      <c r="F454" s="831"/>
      <c r="G454" s="123"/>
      <c r="H454" s="123"/>
      <c r="I454" s="123"/>
      <c r="J454" s="123"/>
      <c r="K454" s="218"/>
      <c r="L454" s="219"/>
      <c r="N454" s="1430"/>
    </row>
    <row r="455" spans="1:14" ht="14.25" hidden="1" thickTop="1" thickBot="1" x14ac:dyDescent="0.25">
      <c r="A455" s="2139" t="s">
        <v>259</v>
      </c>
      <c r="B455" s="2140"/>
      <c r="C455" s="1080">
        <f t="shared" ref="C455:L455" si="115">SUM(C447:C454)</f>
        <v>0</v>
      </c>
      <c r="D455" s="1080">
        <f t="shared" si="115"/>
        <v>0</v>
      </c>
      <c r="E455" s="1080">
        <f t="shared" si="115"/>
        <v>0</v>
      </c>
      <c r="F455" s="1080">
        <f t="shared" si="115"/>
        <v>0</v>
      </c>
      <c r="G455" s="1080">
        <f t="shared" si="115"/>
        <v>0</v>
      </c>
      <c r="H455" s="1080">
        <f t="shared" si="115"/>
        <v>0</v>
      </c>
      <c r="I455" s="1080">
        <f t="shared" si="115"/>
        <v>0</v>
      </c>
      <c r="J455" s="1080">
        <f t="shared" si="115"/>
        <v>0</v>
      </c>
      <c r="K455" s="1080">
        <f t="shared" si="115"/>
        <v>0</v>
      </c>
      <c r="L455" s="1093">
        <f t="shared" si="115"/>
        <v>0</v>
      </c>
      <c r="N455" s="1082">
        <f>SUM(N447:N454)</f>
        <v>0</v>
      </c>
    </row>
    <row r="456" spans="1:14" hidden="1" x14ac:dyDescent="0.2"/>
    <row r="457" spans="1:14" ht="13.5" hidden="1" thickBot="1" x14ac:dyDescent="0.25">
      <c r="A457" s="2141"/>
      <c r="B457" s="2141"/>
      <c r="C457" s="2141"/>
    </row>
    <row r="458" spans="1:14" ht="13.5" hidden="1" thickBot="1" x14ac:dyDescent="0.25">
      <c r="A458" s="1089"/>
      <c r="B458" s="1090"/>
      <c r="C458" s="1434" t="str">
        <f t="shared" ref="C458:L458" si="116">C$12</f>
        <v>2011 Actual²</v>
      </c>
      <c r="D458" s="1065" t="str">
        <f t="shared" si="116"/>
        <v>2012 Actual²</v>
      </c>
      <c r="E458" s="1065" t="str">
        <f t="shared" si="116"/>
        <v>2013 Actual²</v>
      </c>
      <c r="F458" s="1065" t="str">
        <f t="shared" si="116"/>
        <v>2014 Actual²</v>
      </c>
      <c r="G458" s="1065" t="str">
        <f t="shared" si="116"/>
        <v>2015 Actual²</v>
      </c>
      <c r="H458" s="1065" t="str">
        <f t="shared" si="116"/>
        <v>2016 Actual²</v>
      </c>
      <c r="I458" s="1065" t="str">
        <f t="shared" si="116"/>
        <v>2017 Actual²</v>
      </c>
      <c r="J458" s="1065" t="str">
        <f t="shared" si="116"/>
        <v>2018 Actual</v>
      </c>
      <c r="K458" s="1065" t="str">
        <f t="shared" si="116"/>
        <v>Bridge Year</v>
      </c>
      <c r="L458" s="1088" t="str">
        <f t="shared" si="116"/>
        <v>Test Year</v>
      </c>
      <c r="N458" s="1422" t="str">
        <f>N$12</f>
        <v>CGAAP</v>
      </c>
    </row>
    <row r="459" spans="1:14" ht="13.5" hidden="1" thickBot="1" x14ac:dyDescent="0.25">
      <c r="A459" s="1089"/>
      <c r="B459" s="1090"/>
      <c r="C459" s="1065">
        <f t="shared" ref="C459:L459" si="117">C$13</f>
        <v>2011</v>
      </c>
      <c r="D459" s="1065">
        <f t="shared" si="117"/>
        <v>2012</v>
      </c>
      <c r="E459" s="1065">
        <f t="shared" si="117"/>
        <v>2013</v>
      </c>
      <c r="F459" s="1065">
        <f t="shared" si="117"/>
        <v>2014</v>
      </c>
      <c r="G459" s="1065">
        <f t="shared" si="117"/>
        <v>2015</v>
      </c>
      <c r="H459" s="1065">
        <f t="shared" si="117"/>
        <v>2016</v>
      </c>
      <c r="I459" s="1065">
        <f t="shared" si="117"/>
        <v>2017</v>
      </c>
      <c r="J459" s="1065">
        <f t="shared" si="117"/>
        <v>2018</v>
      </c>
      <c r="K459" s="1065">
        <f t="shared" si="117"/>
        <v>2019</v>
      </c>
      <c r="L459" s="1088">
        <f t="shared" si="117"/>
        <v>2020</v>
      </c>
      <c r="N459" s="1423">
        <f>N$13</f>
        <v>2015</v>
      </c>
    </row>
    <row r="460" spans="1:14" hidden="1" x14ac:dyDescent="0.2">
      <c r="A460" s="2136" t="s">
        <v>90</v>
      </c>
      <c r="B460" s="2137"/>
      <c r="C460" s="1074" t="str">
        <f t="shared" ref="C460:L460" si="118">IF(C398=0, "", C398)</f>
        <v/>
      </c>
      <c r="D460" s="1074" t="str">
        <f t="shared" si="118"/>
        <v/>
      </c>
      <c r="E460" s="1074" t="str">
        <f t="shared" si="118"/>
        <v/>
      </c>
      <c r="F460" s="1074" t="str">
        <f t="shared" si="118"/>
        <v/>
      </c>
      <c r="G460" s="1074" t="str">
        <f t="shared" si="118"/>
        <v/>
      </c>
      <c r="H460" s="1074" t="str">
        <f t="shared" si="118"/>
        <v/>
      </c>
      <c r="I460" s="1074" t="str">
        <f t="shared" si="118"/>
        <v/>
      </c>
      <c r="J460" s="1074" t="str">
        <f t="shared" si="118"/>
        <v/>
      </c>
      <c r="K460" s="1074" t="str">
        <f t="shared" si="118"/>
        <v/>
      </c>
      <c r="L460" s="1421" t="str">
        <f t="shared" si="118"/>
        <v/>
      </c>
      <c r="N460" s="1424" t="str">
        <f>IF(N$14=0, "", N$14)</f>
        <v>CGAAP</v>
      </c>
    </row>
    <row r="461" spans="1:14" hidden="1" x14ac:dyDescent="0.2">
      <c r="A461" s="2102"/>
      <c r="B461" s="2103"/>
      <c r="C461" s="96"/>
      <c r="D461" s="96"/>
      <c r="E461" s="96"/>
      <c r="F461" s="96"/>
      <c r="G461" s="96"/>
      <c r="H461" s="96"/>
      <c r="I461" s="96"/>
      <c r="J461" s="96"/>
      <c r="K461" s="96"/>
      <c r="L461" s="212"/>
      <c r="N461" s="1427"/>
    </row>
    <row r="462" spans="1:14" hidden="1" x14ac:dyDescent="0.2">
      <c r="A462" s="2102"/>
      <c r="B462" s="2103"/>
      <c r="C462" s="96"/>
      <c r="D462" s="96"/>
      <c r="E462" s="96"/>
      <c r="F462" s="96"/>
      <c r="G462" s="96"/>
      <c r="H462" s="96"/>
      <c r="I462" s="96"/>
      <c r="J462" s="96"/>
      <c r="K462" s="217"/>
      <c r="L462" s="212"/>
      <c r="N462" s="1427"/>
    </row>
    <row r="463" spans="1:14" hidden="1" x14ac:dyDescent="0.2">
      <c r="A463" s="2131"/>
      <c r="B463" s="2132"/>
      <c r="C463" s="96"/>
      <c r="D463" s="96"/>
      <c r="E463" s="96"/>
      <c r="F463" s="98"/>
      <c r="G463" s="98"/>
      <c r="H463" s="98"/>
      <c r="I463" s="98"/>
      <c r="J463" s="98"/>
      <c r="K463" s="217"/>
      <c r="L463" s="212"/>
      <c r="N463" s="1427"/>
    </row>
    <row r="464" spans="1:14" hidden="1" x14ac:dyDescent="0.2">
      <c r="A464" s="2131"/>
      <c r="B464" s="2132"/>
      <c r="C464" s="96"/>
      <c r="D464" s="96"/>
      <c r="E464" s="96"/>
      <c r="F464" s="98"/>
      <c r="G464" s="98"/>
      <c r="H464" s="98"/>
      <c r="I464" s="98"/>
      <c r="J464" s="98"/>
      <c r="K464" s="217"/>
      <c r="L464" s="212"/>
      <c r="N464" s="1427"/>
    </row>
    <row r="465" spans="1:14" hidden="1" x14ac:dyDescent="0.2">
      <c r="A465" s="2102"/>
      <c r="B465" s="2103"/>
      <c r="C465" s="96"/>
      <c r="D465" s="96"/>
      <c r="E465" s="96"/>
      <c r="F465" s="98"/>
      <c r="G465" s="98"/>
      <c r="H465" s="98"/>
      <c r="I465" s="98"/>
      <c r="J465" s="98"/>
      <c r="K465" s="98"/>
      <c r="L465" s="212"/>
      <c r="N465" s="1427"/>
    </row>
    <row r="466" spans="1:14" hidden="1" x14ac:dyDescent="0.2">
      <c r="A466" s="2102"/>
      <c r="B466" s="2103"/>
      <c r="C466" s="98"/>
      <c r="D466" s="98"/>
      <c r="E466" s="98"/>
      <c r="F466" s="98"/>
      <c r="G466" s="98"/>
      <c r="H466" s="98"/>
      <c r="I466" s="98"/>
      <c r="J466" s="98"/>
      <c r="K466" s="98"/>
      <c r="L466" s="212"/>
      <c r="N466" s="1427"/>
    </row>
    <row r="467" spans="1:14" hidden="1" x14ac:dyDescent="0.2">
      <c r="A467" s="2133"/>
      <c r="B467" s="2134"/>
      <c r="C467" s="98"/>
      <c r="D467" s="98"/>
      <c r="E467" s="98"/>
      <c r="F467" s="98"/>
      <c r="G467" s="98"/>
      <c r="H467" s="98"/>
      <c r="I467" s="98"/>
      <c r="J467" s="98"/>
      <c r="K467" s="98"/>
      <c r="L467" s="212"/>
      <c r="N467" s="1427"/>
    </row>
    <row r="468" spans="1:14" ht="13.5" hidden="1" thickBot="1" x14ac:dyDescent="0.25">
      <c r="A468" s="2102"/>
      <c r="B468" s="2103"/>
      <c r="C468" s="831"/>
      <c r="D468" s="831"/>
      <c r="E468" s="831"/>
      <c r="F468" s="831"/>
      <c r="G468" s="123"/>
      <c r="H468" s="123"/>
      <c r="I468" s="123"/>
      <c r="J468" s="123"/>
      <c r="K468" s="218"/>
      <c r="L468" s="219"/>
      <c r="N468" s="1430"/>
    </row>
    <row r="469" spans="1:14" ht="14.25" hidden="1" thickTop="1" thickBot="1" x14ac:dyDescent="0.25">
      <c r="A469" s="2139" t="s">
        <v>259</v>
      </c>
      <c r="B469" s="2140"/>
      <c r="C469" s="1080">
        <f t="shared" ref="C469:L469" si="119">SUM(C461:C468)</f>
        <v>0</v>
      </c>
      <c r="D469" s="1080">
        <f t="shared" si="119"/>
        <v>0</v>
      </c>
      <c r="E469" s="1080">
        <f t="shared" si="119"/>
        <v>0</v>
      </c>
      <c r="F469" s="1080">
        <f t="shared" si="119"/>
        <v>0</v>
      </c>
      <c r="G469" s="1080">
        <f t="shared" si="119"/>
        <v>0</v>
      </c>
      <c r="H469" s="1080">
        <f t="shared" si="119"/>
        <v>0</v>
      </c>
      <c r="I469" s="1080">
        <f t="shared" si="119"/>
        <v>0</v>
      </c>
      <c r="J469" s="1080">
        <f t="shared" si="119"/>
        <v>0</v>
      </c>
      <c r="K469" s="1080">
        <f t="shared" si="119"/>
        <v>0</v>
      </c>
      <c r="L469" s="1093">
        <f t="shared" si="119"/>
        <v>0</v>
      </c>
      <c r="N469" s="1082">
        <f>SUM(N461:N468)</f>
        <v>0</v>
      </c>
    </row>
    <row r="470" spans="1:14" hidden="1" x14ac:dyDescent="0.2"/>
    <row r="471" spans="1:14" ht="13.5" hidden="1" thickBot="1" x14ac:dyDescent="0.25">
      <c r="A471" s="2141"/>
      <c r="B471" s="2141"/>
      <c r="C471" s="2141"/>
    </row>
    <row r="472" spans="1:14" ht="13.5" hidden="1" thickBot="1" x14ac:dyDescent="0.25">
      <c r="A472" s="1089"/>
      <c r="B472" s="1090"/>
      <c r="C472" s="1434" t="str">
        <f t="shared" ref="C472:L472" si="120">C$12</f>
        <v>2011 Actual²</v>
      </c>
      <c r="D472" s="1065" t="str">
        <f t="shared" si="120"/>
        <v>2012 Actual²</v>
      </c>
      <c r="E472" s="1065" t="str">
        <f t="shared" si="120"/>
        <v>2013 Actual²</v>
      </c>
      <c r="F472" s="1065" t="str">
        <f t="shared" si="120"/>
        <v>2014 Actual²</v>
      </c>
      <c r="G472" s="1065" t="str">
        <f t="shared" si="120"/>
        <v>2015 Actual²</v>
      </c>
      <c r="H472" s="1065" t="str">
        <f t="shared" si="120"/>
        <v>2016 Actual²</v>
      </c>
      <c r="I472" s="1065" t="str">
        <f t="shared" si="120"/>
        <v>2017 Actual²</v>
      </c>
      <c r="J472" s="1065" t="str">
        <f t="shared" si="120"/>
        <v>2018 Actual</v>
      </c>
      <c r="K472" s="1065" t="str">
        <f t="shared" si="120"/>
        <v>Bridge Year</v>
      </c>
      <c r="L472" s="1088" t="str">
        <f t="shared" si="120"/>
        <v>Test Year</v>
      </c>
      <c r="N472" s="1422" t="str">
        <f>N$12</f>
        <v>CGAAP</v>
      </c>
    </row>
    <row r="473" spans="1:14" ht="13.5" hidden="1" thickBot="1" x14ac:dyDescent="0.25">
      <c r="A473" s="1089"/>
      <c r="B473" s="1090"/>
      <c r="C473" s="1065">
        <f t="shared" ref="C473:L473" si="121">C$13</f>
        <v>2011</v>
      </c>
      <c r="D473" s="1065">
        <f t="shared" si="121"/>
        <v>2012</v>
      </c>
      <c r="E473" s="1065">
        <f t="shared" si="121"/>
        <v>2013</v>
      </c>
      <c r="F473" s="1065">
        <f t="shared" si="121"/>
        <v>2014</v>
      </c>
      <c r="G473" s="1065">
        <f t="shared" si="121"/>
        <v>2015</v>
      </c>
      <c r="H473" s="1065">
        <f t="shared" si="121"/>
        <v>2016</v>
      </c>
      <c r="I473" s="1065">
        <f t="shared" si="121"/>
        <v>2017</v>
      </c>
      <c r="J473" s="1065">
        <f t="shared" si="121"/>
        <v>2018</v>
      </c>
      <c r="K473" s="1065">
        <f t="shared" si="121"/>
        <v>2019</v>
      </c>
      <c r="L473" s="1088">
        <f t="shared" si="121"/>
        <v>2020</v>
      </c>
      <c r="N473" s="1423">
        <f>N$13</f>
        <v>2015</v>
      </c>
    </row>
    <row r="474" spans="1:14" hidden="1" x14ac:dyDescent="0.2">
      <c r="A474" s="2136" t="s">
        <v>90</v>
      </c>
      <c r="B474" s="2137"/>
      <c r="C474" s="1074" t="str">
        <f t="shared" ref="C474:L474" si="122">IF(C412=0, "", C412)</f>
        <v/>
      </c>
      <c r="D474" s="1074" t="str">
        <f t="shared" si="122"/>
        <v/>
      </c>
      <c r="E474" s="1074" t="str">
        <f t="shared" si="122"/>
        <v/>
      </c>
      <c r="F474" s="1074" t="str">
        <f t="shared" si="122"/>
        <v/>
      </c>
      <c r="G474" s="1074" t="str">
        <f t="shared" si="122"/>
        <v/>
      </c>
      <c r="H474" s="1074" t="str">
        <f t="shared" si="122"/>
        <v/>
      </c>
      <c r="I474" s="1074" t="str">
        <f t="shared" si="122"/>
        <v/>
      </c>
      <c r="J474" s="1074" t="str">
        <f t="shared" si="122"/>
        <v/>
      </c>
      <c r="K474" s="1074" t="str">
        <f t="shared" si="122"/>
        <v/>
      </c>
      <c r="L474" s="1421" t="str">
        <f t="shared" si="122"/>
        <v/>
      </c>
      <c r="N474" s="1424" t="str">
        <f>IF(N$14=0, "", N$14)</f>
        <v>CGAAP</v>
      </c>
    </row>
    <row r="475" spans="1:14" hidden="1" x14ac:dyDescent="0.2">
      <c r="A475" s="2102"/>
      <c r="B475" s="2103"/>
      <c r="C475" s="96"/>
      <c r="D475" s="96"/>
      <c r="E475" s="96"/>
      <c r="F475" s="96"/>
      <c r="G475" s="96"/>
      <c r="H475" s="96"/>
      <c r="I475" s="96"/>
      <c r="J475" s="96"/>
      <c r="K475" s="96"/>
      <c r="L475" s="212"/>
      <c r="N475" s="1427"/>
    </row>
    <row r="476" spans="1:14" hidden="1" x14ac:dyDescent="0.2">
      <c r="A476" s="2102"/>
      <c r="B476" s="2103"/>
      <c r="C476" s="96"/>
      <c r="D476" s="96"/>
      <c r="E476" s="96"/>
      <c r="F476" s="96"/>
      <c r="G476" s="96"/>
      <c r="H476" s="96"/>
      <c r="I476" s="96"/>
      <c r="J476" s="96"/>
      <c r="K476" s="217"/>
      <c r="L476" s="212"/>
      <c r="N476" s="1427"/>
    </row>
    <row r="477" spans="1:14" hidden="1" x14ac:dyDescent="0.2">
      <c r="A477" s="2131"/>
      <c r="B477" s="2132"/>
      <c r="C477" s="96"/>
      <c r="D477" s="96"/>
      <c r="E477" s="96"/>
      <c r="F477" s="98"/>
      <c r="G477" s="98"/>
      <c r="H477" s="98"/>
      <c r="I477" s="98"/>
      <c r="J477" s="98"/>
      <c r="K477" s="217"/>
      <c r="L477" s="212"/>
      <c r="N477" s="1427"/>
    </row>
    <row r="478" spans="1:14" hidden="1" x14ac:dyDescent="0.2">
      <c r="A478" s="2131"/>
      <c r="B478" s="2132"/>
      <c r="C478" s="96"/>
      <c r="D478" s="96"/>
      <c r="E478" s="96"/>
      <c r="F478" s="98"/>
      <c r="G478" s="98"/>
      <c r="H478" s="98"/>
      <c r="I478" s="98"/>
      <c r="J478" s="98"/>
      <c r="K478" s="217"/>
      <c r="L478" s="212"/>
      <c r="N478" s="1427"/>
    </row>
    <row r="479" spans="1:14" hidden="1" x14ac:dyDescent="0.2">
      <c r="A479" s="2102"/>
      <c r="B479" s="2103"/>
      <c r="C479" s="96"/>
      <c r="D479" s="96"/>
      <c r="E479" s="96"/>
      <c r="F479" s="98"/>
      <c r="G479" s="98"/>
      <c r="H479" s="98"/>
      <c r="I479" s="98"/>
      <c r="J479" s="98"/>
      <c r="K479" s="98"/>
      <c r="L479" s="212"/>
      <c r="N479" s="1427"/>
    </row>
    <row r="480" spans="1:14" hidden="1" x14ac:dyDescent="0.2">
      <c r="A480" s="2102"/>
      <c r="B480" s="2103"/>
      <c r="C480" s="98"/>
      <c r="D480" s="98"/>
      <c r="E480" s="98"/>
      <c r="F480" s="98"/>
      <c r="G480" s="98"/>
      <c r="H480" s="98"/>
      <c r="I480" s="98"/>
      <c r="J480" s="98"/>
      <c r="K480" s="98"/>
      <c r="L480" s="212"/>
      <c r="N480" s="1427"/>
    </row>
    <row r="481" spans="1:14" hidden="1" x14ac:dyDescent="0.2">
      <c r="A481" s="2133"/>
      <c r="B481" s="2134"/>
      <c r="C481" s="98"/>
      <c r="D481" s="98"/>
      <c r="E481" s="98"/>
      <c r="F481" s="98"/>
      <c r="G481" s="98"/>
      <c r="H481" s="98"/>
      <c r="I481" s="98"/>
      <c r="J481" s="98"/>
      <c r="K481" s="98"/>
      <c r="L481" s="212"/>
      <c r="N481" s="1427"/>
    </row>
    <row r="482" spans="1:14" ht="13.5" hidden="1" thickBot="1" x14ac:dyDescent="0.25">
      <c r="A482" s="2102"/>
      <c r="B482" s="2103"/>
      <c r="C482" s="831"/>
      <c r="D482" s="831"/>
      <c r="E482" s="831"/>
      <c r="F482" s="831"/>
      <c r="G482" s="123"/>
      <c r="H482" s="123"/>
      <c r="I482" s="123"/>
      <c r="J482" s="123"/>
      <c r="K482" s="218"/>
      <c r="L482" s="219"/>
      <c r="N482" s="1430"/>
    </row>
    <row r="483" spans="1:14" ht="14.25" hidden="1" thickTop="1" thickBot="1" x14ac:dyDescent="0.25">
      <c r="A483" s="2139" t="s">
        <v>259</v>
      </c>
      <c r="B483" s="2140"/>
      <c r="C483" s="1080">
        <f t="shared" ref="C483:L483" si="123">SUM(C475:C482)</f>
        <v>0</v>
      </c>
      <c r="D483" s="1080">
        <f t="shared" si="123"/>
        <v>0</v>
      </c>
      <c r="E483" s="1080">
        <f t="shared" si="123"/>
        <v>0</v>
      </c>
      <c r="F483" s="1080">
        <f t="shared" si="123"/>
        <v>0</v>
      </c>
      <c r="G483" s="1080">
        <f t="shared" si="123"/>
        <v>0</v>
      </c>
      <c r="H483" s="1080">
        <f t="shared" si="123"/>
        <v>0</v>
      </c>
      <c r="I483" s="1080">
        <f t="shared" si="123"/>
        <v>0</v>
      </c>
      <c r="J483" s="1080">
        <f t="shared" si="123"/>
        <v>0</v>
      </c>
      <c r="K483" s="1080">
        <f t="shared" si="123"/>
        <v>0</v>
      </c>
      <c r="L483" s="1093">
        <f t="shared" si="123"/>
        <v>0</v>
      </c>
      <c r="N483" s="1082">
        <f>SUM(N475:N482)</f>
        <v>0</v>
      </c>
    </row>
    <row r="484" spans="1:14" hidden="1" x14ac:dyDescent="0.2"/>
    <row r="485" spans="1:14" ht="13.5" hidden="1" thickBot="1" x14ac:dyDescent="0.25">
      <c r="A485" s="2141"/>
      <c r="B485" s="2141"/>
      <c r="C485" s="2141"/>
    </row>
    <row r="486" spans="1:14" ht="13.5" hidden="1" thickBot="1" x14ac:dyDescent="0.25">
      <c r="A486" s="1089"/>
      <c r="B486" s="1090"/>
      <c r="C486" s="1434" t="str">
        <f t="shared" ref="C486:L486" si="124">C$12</f>
        <v>2011 Actual²</v>
      </c>
      <c r="D486" s="1065" t="str">
        <f t="shared" si="124"/>
        <v>2012 Actual²</v>
      </c>
      <c r="E486" s="1065" t="str">
        <f t="shared" si="124"/>
        <v>2013 Actual²</v>
      </c>
      <c r="F486" s="1065" t="str">
        <f t="shared" si="124"/>
        <v>2014 Actual²</v>
      </c>
      <c r="G486" s="1065" t="str">
        <f t="shared" si="124"/>
        <v>2015 Actual²</v>
      </c>
      <c r="H486" s="1065" t="str">
        <f t="shared" si="124"/>
        <v>2016 Actual²</v>
      </c>
      <c r="I486" s="1065" t="str">
        <f t="shared" si="124"/>
        <v>2017 Actual²</v>
      </c>
      <c r="J486" s="1065" t="str">
        <f t="shared" si="124"/>
        <v>2018 Actual</v>
      </c>
      <c r="K486" s="1065" t="str">
        <f t="shared" si="124"/>
        <v>Bridge Year</v>
      </c>
      <c r="L486" s="1088" t="str">
        <f t="shared" si="124"/>
        <v>Test Year</v>
      </c>
      <c r="N486" s="1422" t="str">
        <f>N$12</f>
        <v>CGAAP</v>
      </c>
    </row>
    <row r="487" spans="1:14" ht="13.5" hidden="1" thickBot="1" x14ac:dyDescent="0.25">
      <c r="A487" s="1089"/>
      <c r="B487" s="1090"/>
      <c r="C487" s="1065">
        <f t="shared" ref="C487:L487" si="125">C$13</f>
        <v>2011</v>
      </c>
      <c r="D487" s="1065">
        <f t="shared" si="125"/>
        <v>2012</v>
      </c>
      <c r="E487" s="1065">
        <f t="shared" si="125"/>
        <v>2013</v>
      </c>
      <c r="F487" s="1065">
        <f t="shared" si="125"/>
        <v>2014</v>
      </c>
      <c r="G487" s="1065">
        <f t="shared" si="125"/>
        <v>2015</v>
      </c>
      <c r="H487" s="1065">
        <f t="shared" si="125"/>
        <v>2016</v>
      </c>
      <c r="I487" s="1065">
        <f t="shared" si="125"/>
        <v>2017</v>
      </c>
      <c r="J487" s="1065">
        <f t="shared" si="125"/>
        <v>2018</v>
      </c>
      <c r="K487" s="1065">
        <f t="shared" si="125"/>
        <v>2019</v>
      </c>
      <c r="L487" s="1088">
        <f t="shared" si="125"/>
        <v>2020</v>
      </c>
      <c r="N487" s="1423">
        <f>N$13</f>
        <v>2015</v>
      </c>
    </row>
    <row r="488" spans="1:14" hidden="1" x14ac:dyDescent="0.2">
      <c r="A488" s="2136" t="s">
        <v>90</v>
      </c>
      <c r="B488" s="2137"/>
      <c r="C488" s="1074" t="str">
        <f t="shared" ref="C488:L488" si="126">IF(C426=0, "", C426)</f>
        <v/>
      </c>
      <c r="D488" s="1074" t="str">
        <f t="shared" si="126"/>
        <v/>
      </c>
      <c r="E488" s="1074" t="str">
        <f t="shared" si="126"/>
        <v/>
      </c>
      <c r="F488" s="1074" t="str">
        <f t="shared" si="126"/>
        <v/>
      </c>
      <c r="G488" s="1074" t="str">
        <f t="shared" si="126"/>
        <v/>
      </c>
      <c r="H488" s="1074" t="str">
        <f t="shared" si="126"/>
        <v/>
      </c>
      <c r="I488" s="1074" t="str">
        <f t="shared" si="126"/>
        <v/>
      </c>
      <c r="J488" s="1074" t="str">
        <f t="shared" si="126"/>
        <v/>
      </c>
      <c r="K488" s="1074" t="str">
        <f t="shared" si="126"/>
        <v/>
      </c>
      <c r="L488" s="1421" t="str">
        <f t="shared" si="126"/>
        <v/>
      </c>
      <c r="N488" s="1424" t="str">
        <f>IF(N$14=0, "", N$14)</f>
        <v>CGAAP</v>
      </c>
    </row>
    <row r="489" spans="1:14" hidden="1" x14ac:dyDescent="0.2">
      <c r="A489" s="2102"/>
      <c r="B489" s="2103"/>
      <c r="C489" s="96"/>
      <c r="D489" s="96"/>
      <c r="E489" s="96"/>
      <c r="F489" s="96"/>
      <c r="G489" s="96"/>
      <c r="H489" s="96"/>
      <c r="I489" s="96"/>
      <c r="J489" s="96"/>
      <c r="K489" s="96"/>
      <c r="L489" s="212"/>
      <c r="N489" s="1427"/>
    </row>
    <row r="490" spans="1:14" hidden="1" x14ac:dyDescent="0.2">
      <c r="A490" s="2102"/>
      <c r="B490" s="2103"/>
      <c r="C490" s="96"/>
      <c r="D490" s="96"/>
      <c r="E490" s="96"/>
      <c r="F490" s="96"/>
      <c r="G490" s="96"/>
      <c r="H490" s="96"/>
      <c r="I490" s="96"/>
      <c r="J490" s="96"/>
      <c r="K490" s="217"/>
      <c r="L490" s="212"/>
      <c r="N490" s="1427"/>
    </row>
    <row r="491" spans="1:14" hidden="1" x14ac:dyDescent="0.2">
      <c r="A491" s="2131"/>
      <c r="B491" s="2132"/>
      <c r="C491" s="96"/>
      <c r="D491" s="96"/>
      <c r="E491" s="96"/>
      <c r="F491" s="98"/>
      <c r="G491" s="98"/>
      <c r="H491" s="98"/>
      <c r="I491" s="98"/>
      <c r="J491" s="98"/>
      <c r="K491" s="217"/>
      <c r="L491" s="212"/>
      <c r="N491" s="1427"/>
    </row>
    <row r="492" spans="1:14" hidden="1" x14ac:dyDescent="0.2">
      <c r="A492" s="2131"/>
      <c r="B492" s="2132"/>
      <c r="C492" s="96"/>
      <c r="D492" s="96"/>
      <c r="E492" s="96"/>
      <c r="F492" s="98"/>
      <c r="G492" s="98"/>
      <c r="H492" s="98"/>
      <c r="I492" s="98"/>
      <c r="J492" s="98"/>
      <c r="K492" s="217"/>
      <c r="L492" s="212"/>
      <c r="N492" s="1427"/>
    </row>
    <row r="493" spans="1:14" hidden="1" x14ac:dyDescent="0.2">
      <c r="A493" s="2102"/>
      <c r="B493" s="2103"/>
      <c r="C493" s="96"/>
      <c r="D493" s="96"/>
      <c r="E493" s="96"/>
      <c r="F493" s="98"/>
      <c r="G493" s="98"/>
      <c r="H493" s="98"/>
      <c r="I493" s="98"/>
      <c r="J493" s="98"/>
      <c r="K493" s="98"/>
      <c r="L493" s="212"/>
      <c r="N493" s="1427"/>
    </row>
    <row r="494" spans="1:14" hidden="1" x14ac:dyDescent="0.2">
      <c r="A494" s="2102"/>
      <c r="B494" s="2103"/>
      <c r="C494" s="98"/>
      <c r="D494" s="98"/>
      <c r="E494" s="98"/>
      <c r="F494" s="98"/>
      <c r="G494" s="98"/>
      <c r="H494" s="98"/>
      <c r="I494" s="98"/>
      <c r="J494" s="98"/>
      <c r="K494" s="98"/>
      <c r="L494" s="212"/>
      <c r="N494" s="1427"/>
    </row>
    <row r="495" spans="1:14" hidden="1" x14ac:dyDescent="0.2">
      <c r="A495" s="2133"/>
      <c r="B495" s="2134"/>
      <c r="C495" s="98"/>
      <c r="D495" s="98"/>
      <c r="E495" s="98"/>
      <c r="F495" s="98"/>
      <c r="G495" s="98"/>
      <c r="H495" s="98"/>
      <c r="I495" s="98"/>
      <c r="J495" s="98"/>
      <c r="K495" s="98"/>
      <c r="L495" s="212"/>
      <c r="N495" s="1427"/>
    </row>
    <row r="496" spans="1:14" ht="13.5" hidden="1" thickBot="1" x14ac:dyDescent="0.25">
      <c r="A496" s="2102"/>
      <c r="B496" s="2103"/>
      <c r="C496" s="831"/>
      <c r="D496" s="831"/>
      <c r="E496" s="831"/>
      <c r="F496" s="831"/>
      <c r="G496" s="123"/>
      <c r="H496" s="123"/>
      <c r="I496" s="123"/>
      <c r="J496" s="123"/>
      <c r="K496" s="218"/>
      <c r="L496" s="219"/>
      <c r="N496" s="1430"/>
    </row>
    <row r="497" spans="1:14" ht="14.25" hidden="1" thickTop="1" thickBot="1" x14ac:dyDescent="0.25">
      <c r="A497" s="2139" t="s">
        <v>259</v>
      </c>
      <c r="B497" s="2140"/>
      <c r="C497" s="1080">
        <f t="shared" ref="C497:L497" si="127">SUM(C489:C496)</f>
        <v>0</v>
      </c>
      <c r="D497" s="1080">
        <f t="shared" si="127"/>
        <v>0</v>
      </c>
      <c r="E497" s="1080">
        <f t="shared" si="127"/>
        <v>0</v>
      </c>
      <c r="F497" s="1080">
        <f t="shared" si="127"/>
        <v>0</v>
      </c>
      <c r="G497" s="1080">
        <f t="shared" si="127"/>
        <v>0</v>
      </c>
      <c r="H497" s="1080">
        <f t="shared" si="127"/>
        <v>0</v>
      </c>
      <c r="I497" s="1080">
        <f t="shared" si="127"/>
        <v>0</v>
      </c>
      <c r="J497" s="1080">
        <f t="shared" si="127"/>
        <v>0</v>
      </c>
      <c r="K497" s="1080">
        <f t="shared" si="127"/>
        <v>0</v>
      </c>
      <c r="L497" s="1093">
        <f t="shared" si="127"/>
        <v>0</v>
      </c>
      <c r="N497" s="1082">
        <f>SUM(N489:N496)</f>
        <v>0</v>
      </c>
    </row>
    <row r="498" spans="1:14" hidden="1" x14ac:dyDescent="0.2"/>
    <row r="499" spans="1:14" ht="13.5" hidden="1" thickBot="1" x14ac:dyDescent="0.25">
      <c r="A499" s="2141"/>
      <c r="B499" s="2141"/>
      <c r="C499" s="2141"/>
    </row>
    <row r="500" spans="1:14" ht="13.5" hidden="1" thickBot="1" x14ac:dyDescent="0.25">
      <c r="A500" s="1089"/>
      <c r="B500" s="1090"/>
      <c r="C500" s="1434" t="str">
        <f t="shared" ref="C500:L500" si="128">C$12</f>
        <v>2011 Actual²</v>
      </c>
      <c r="D500" s="1065" t="str">
        <f t="shared" si="128"/>
        <v>2012 Actual²</v>
      </c>
      <c r="E500" s="1065" t="str">
        <f t="shared" si="128"/>
        <v>2013 Actual²</v>
      </c>
      <c r="F500" s="1065" t="str">
        <f t="shared" si="128"/>
        <v>2014 Actual²</v>
      </c>
      <c r="G500" s="1065" t="str">
        <f t="shared" si="128"/>
        <v>2015 Actual²</v>
      </c>
      <c r="H500" s="1065" t="str">
        <f t="shared" si="128"/>
        <v>2016 Actual²</v>
      </c>
      <c r="I500" s="1065" t="str">
        <f t="shared" si="128"/>
        <v>2017 Actual²</v>
      </c>
      <c r="J500" s="1065" t="str">
        <f t="shared" si="128"/>
        <v>2018 Actual</v>
      </c>
      <c r="K500" s="1065" t="str">
        <f t="shared" si="128"/>
        <v>Bridge Year</v>
      </c>
      <c r="L500" s="1088" t="str">
        <f t="shared" si="128"/>
        <v>Test Year</v>
      </c>
      <c r="N500" s="1422" t="str">
        <f>N$12</f>
        <v>CGAAP</v>
      </c>
    </row>
    <row r="501" spans="1:14" ht="13.5" hidden="1" thickBot="1" x14ac:dyDescent="0.25">
      <c r="A501" s="1089"/>
      <c r="B501" s="1090"/>
      <c r="C501" s="1065">
        <f t="shared" ref="C501:L501" si="129">C$13</f>
        <v>2011</v>
      </c>
      <c r="D501" s="1065">
        <f t="shared" si="129"/>
        <v>2012</v>
      </c>
      <c r="E501" s="1065">
        <f t="shared" si="129"/>
        <v>2013</v>
      </c>
      <c r="F501" s="1065">
        <f t="shared" si="129"/>
        <v>2014</v>
      </c>
      <c r="G501" s="1065">
        <f t="shared" si="129"/>
        <v>2015</v>
      </c>
      <c r="H501" s="1065">
        <f t="shared" si="129"/>
        <v>2016</v>
      </c>
      <c r="I501" s="1065">
        <f t="shared" si="129"/>
        <v>2017</v>
      </c>
      <c r="J501" s="1065">
        <f t="shared" si="129"/>
        <v>2018</v>
      </c>
      <c r="K501" s="1065">
        <f t="shared" si="129"/>
        <v>2019</v>
      </c>
      <c r="L501" s="1088">
        <f t="shared" si="129"/>
        <v>2020</v>
      </c>
      <c r="N501" s="1423">
        <f>N$13</f>
        <v>2015</v>
      </c>
    </row>
    <row r="502" spans="1:14" hidden="1" x14ac:dyDescent="0.2">
      <c r="A502" s="2136" t="s">
        <v>90</v>
      </c>
      <c r="B502" s="2137"/>
      <c r="C502" s="1074" t="str">
        <f t="shared" ref="C502:L502" si="130">IF(C440=0, "", C440)</f>
        <v/>
      </c>
      <c r="D502" s="1074" t="str">
        <f t="shared" si="130"/>
        <v/>
      </c>
      <c r="E502" s="1074" t="str">
        <f t="shared" si="130"/>
        <v/>
      </c>
      <c r="F502" s="1074" t="str">
        <f t="shared" si="130"/>
        <v/>
      </c>
      <c r="G502" s="1074" t="str">
        <f t="shared" si="130"/>
        <v/>
      </c>
      <c r="H502" s="1074" t="str">
        <f t="shared" si="130"/>
        <v/>
      </c>
      <c r="I502" s="1074" t="str">
        <f t="shared" si="130"/>
        <v/>
      </c>
      <c r="J502" s="1074" t="str">
        <f t="shared" si="130"/>
        <v/>
      </c>
      <c r="K502" s="1074" t="str">
        <f t="shared" si="130"/>
        <v/>
      </c>
      <c r="L502" s="1421" t="str">
        <f t="shared" si="130"/>
        <v/>
      </c>
      <c r="N502" s="1424" t="str">
        <f>IF(N$14=0, "", N$14)</f>
        <v>CGAAP</v>
      </c>
    </row>
    <row r="503" spans="1:14" hidden="1" x14ac:dyDescent="0.2">
      <c r="A503" s="2102"/>
      <c r="B503" s="2103"/>
      <c r="C503" s="96"/>
      <c r="D503" s="96"/>
      <c r="E503" s="96"/>
      <c r="F503" s="96"/>
      <c r="G503" s="96"/>
      <c r="H503" s="96"/>
      <c r="I503" s="96"/>
      <c r="J503" s="96"/>
      <c r="K503" s="96"/>
      <c r="L503" s="212"/>
      <c r="N503" s="1427"/>
    </row>
    <row r="504" spans="1:14" hidden="1" x14ac:dyDescent="0.2">
      <c r="A504" s="2102"/>
      <c r="B504" s="2103"/>
      <c r="C504" s="96"/>
      <c r="D504" s="96"/>
      <c r="E504" s="96"/>
      <c r="F504" s="96"/>
      <c r="G504" s="96"/>
      <c r="H504" s="96"/>
      <c r="I504" s="96"/>
      <c r="J504" s="96"/>
      <c r="K504" s="217"/>
      <c r="L504" s="212"/>
      <c r="N504" s="1427"/>
    </row>
    <row r="505" spans="1:14" hidden="1" x14ac:dyDescent="0.2">
      <c r="A505" s="2131"/>
      <c r="B505" s="2132"/>
      <c r="C505" s="96"/>
      <c r="D505" s="96"/>
      <c r="E505" s="96"/>
      <c r="F505" s="98"/>
      <c r="G505" s="98"/>
      <c r="H505" s="98"/>
      <c r="I505" s="98"/>
      <c r="J505" s="98"/>
      <c r="K505" s="217"/>
      <c r="L505" s="212"/>
      <c r="N505" s="1427"/>
    </row>
    <row r="506" spans="1:14" hidden="1" x14ac:dyDescent="0.2">
      <c r="A506" s="2131"/>
      <c r="B506" s="2132"/>
      <c r="C506" s="96"/>
      <c r="D506" s="96"/>
      <c r="E506" s="96"/>
      <c r="F506" s="98"/>
      <c r="G506" s="98"/>
      <c r="H506" s="98"/>
      <c r="I506" s="98"/>
      <c r="J506" s="98"/>
      <c r="K506" s="217"/>
      <c r="L506" s="212"/>
      <c r="N506" s="1427"/>
    </row>
    <row r="507" spans="1:14" hidden="1" x14ac:dyDescent="0.2">
      <c r="A507" s="2102"/>
      <c r="B507" s="2103"/>
      <c r="C507" s="96"/>
      <c r="D507" s="96"/>
      <c r="E507" s="96"/>
      <c r="F507" s="98"/>
      <c r="G507" s="98"/>
      <c r="H507" s="98"/>
      <c r="I507" s="98"/>
      <c r="J507" s="98"/>
      <c r="K507" s="98"/>
      <c r="L507" s="212"/>
      <c r="N507" s="1427"/>
    </row>
    <row r="508" spans="1:14" hidden="1" x14ac:dyDescent="0.2">
      <c r="A508" s="2102"/>
      <c r="B508" s="2103"/>
      <c r="C508" s="98"/>
      <c r="D508" s="98"/>
      <c r="E508" s="98"/>
      <c r="F508" s="98"/>
      <c r="G508" s="98"/>
      <c r="H508" s="98"/>
      <c r="I508" s="98"/>
      <c r="J508" s="98"/>
      <c r="K508" s="98"/>
      <c r="L508" s="212"/>
      <c r="N508" s="1427"/>
    </row>
    <row r="509" spans="1:14" hidden="1" x14ac:dyDescent="0.2">
      <c r="A509" s="2133"/>
      <c r="B509" s="2134"/>
      <c r="C509" s="98"/>
      <c r="D509" s="98"/>
      <c r="E509" s="98"/>
      <c r="F509" s="98"/>
      <c r="G509" s="98"/>
      <c r="H509" s="98"/>
      <c r="I509" s="98"/>
      <c r="J509" s="98"/>
      <c r="K509" s="98"/>
      <c r="L509" s="212"/>
      <c r="N509" s="1427"/>
    </row>
    <row r="510" spans="1:14" ht="13.5" hidden="1" thickBot="1" x14ac:dyDescent="0.25">
      <c r="A510" s="2102"/>
      <c r="B510" s="2103"/>
      <c r="C510" s="831"/>
      <c r="D510" s="831"/>
      <c r="E510" s="831"/>
      <c r="F510" s="831"/>
      <c r="G510" s="123"/>
      <c r="H510" s="123"/>
      <c r="I510" s="123"/>
      <c r="J510" s="123"/>
      <c r="K510" s="218"/>
      <c r="L510" s="219"/>
      <c r="N510" s="1430"/>
    </row>
    <row r="511" spans="1:14" ht="14.25" hidden="1" thickTop="1" thickBot="1" x14ac:dyDescent="0.25">
      <c r="A511" s="2139" t="s">
        <v>259</v>
      </c>
      <c r="B511" s="2140"/>
      <c r="C511" s="1080">
        <f t="shared" ref="C511:L511" si="131">SUM(C503:C510)</f>
        <v>0</v>
      </c>
      <c r="D511" s="1080">
        <f t="shared" si="131"/>
        <v>0</v>
      </c>
      <c r="E511" s="1080">
        <f t="shared" si="131"/>
        <v>0</v>
      </c>
      <c r="F511" s="1080">
        <f t="shared" si="131"/>
        <v>0</v>
      </c>
      <c r="G511" s="1080">
        <f t="shared" si="131"/>
        <v>0</v>
      </c>
      <c r="H511" s="1080">
        <f t="shared" si="131"/>
        <v>0</v>
      </c>
      <c r="I511" s="1080">
        <f t="shared" si="131"/>
        <v>0</v>
      </c>
      <c r="J511" s="1080">
        <f t="shared" si="131"/>
        <v>0</v>
      </c>
      <c r="K511" s="1080">
        <f t="shared" si="131"/>
        <v>0</v>
      </c>
      <c r="L511" s="1093">
        <f t="shared" si="131"/>
        <v>0</v>
      </c>
      <c r="N511" s="1082">
        <f>SUM(N503:N510)</f>
        <v>0</v>
      </c>
    </row>
    <row r="512" spans="1:14" hidden="1" x14ac:dyDescent="0.2"/>
    <row r="513" spans="1:14" ht="13.5" hidden="1" thickBot="1" x14ac:dyDescent="0.25">
      <c r="A513" s="2141"/>
      <c r="B513" s="2141"/>
      <c r="C513" s="2141"/>
    </row>
    <row r="514" spans="1:14" ht="13.5" hidden="1" thickBot="1" x14ac:dyDescent="0.25">
      <c r="A514" s="1089"/>
      <c r="B514" s="1090"/>
      <c r="C514" s="1434" t="str">
        <f t="shared" ref="C514:L514" si="132">C$12</f>
        <v>2011 Actual²</v>
      </c>
      <c r="D514" s="1065" t="str">
        <f t="shared" si="132"/>
        <v>2012 Actual²</v>
      </c>
      <c r="E514" s="1065" t="str">
        <f t="shared" si="132"/>
        <v>2013 Actual²</v>
      </c>
      <c r="F514" s="1065" t="str">
        <f t="shared" si="132"/>
        <v>2014 Actual²</v>
      </c>
      <c r="G514" s="1065" t="str">
        <f t="shared" si="132"/>
        <v>2015 Actual²</v>
      </c>
      <c r="H514" s="1065" t="str">
        <f t="shared" si="132"/>
        <v>2016 Actual²</v>
      </c>
      <c r="I514" s="1065" t="str">
        <f t="shared" si="132"/>
        <v>2017 Actual²</v>
      </c>
      <c r="J514" s="1065" t="str">
        <f t="shared" si="132"/>
        <v>2018 Actual</v>
      </c>
      <c r="K514" s="1065" t="str">
        <f t="shared" si="132"/>
        <v>Bridge Year</v>
      </c>
      <c r="L514" s="1088" t="str">
        <f t="shared" si="132"/>
        <v>Test Year</v>
      </c>
      <c r="N514" s="1422" t="str">
        <f>N$12</f>
        <v>CGAAP</v>
      </c>
    </row>
    <row r="515" spans="1:14" ht="13.5" hidden="1" thickBot="1" x14ac:dyDescent="0.25">
      <c r="A515" s="1089"/>
      <c r="B515" s="1090"/>
      <c r="C515" s="1065">
        <f t="shared" ref="C515:L515" si="133">C$13</f>
        <v>2011</v>
      </c>
      <c r="D515" s="1065">
        <f t="shared" si="133"/>
        <v>2012</v>
      </c>
      <c r="E515" s="1065">
        <f t="shared" si="133"/>
        <v>2013</v>
      </c>
      <c r="F515" s="1065">
        <f t="shared" si="133"/>
        <v>2014</v>
      </c>
      <c r="G515" s="1065">
        <f t="shared" si="133"/>
        <v>2015</v>
      </c>
      <c r="H515" s="1065">
        <f t="shared" si="133"/>
        <v>2016</v>
      </c>
      <c r="I515" s="1065">
        <f t="shared" si="133"/>
        <v>2017</v>
      </c>
      <c r="J515" s="1065">
        <f t="shared" si="133"/>
        <v>2018</v>
      </c>
      <c r="K515" s="1065">
        <f t="shared" si="133"/>
        <v>2019</v>
      </c>
      <c r="L515" s="1088">
        <f t="shared" si="133"/>
        <v>2020</v>
      </c>
      <c r="N515" s="1423">
        <f>N$13</f>
        <v>2015</v>
      </c>
    </row>
    <row r="516" spans="1:14" hidden="1" x14ac:dyDescent="0.2">
      <c r="A516" s="2136" t="s">
        <v>90</v>
      </c>
      <c r="B516" s="2137"/>
      <c r="C516" s="1074" t="str">
        <f t="shared" ref="C516:L516" si="134">IF(C454=0, "", C454)</f>
        <v/>
      </c>
      <c r="D516" s="1074" t="str">
        <f t="shared" si="134"/>
        <v/>
      </c>
      <c r="E516" s="1074" t="str">
        <f t="shared" si="134"/>
        <v/>
      </c>
      <c r="F516" s="1074" t="str">
        <f t="shared" si="134"/>
        <v/>
      </c>
      <c r="G516" s="1074" t="str">
        <f t="shared" si="134"/>
        <v/>
      </c>
      <c r="H516" s="1074" t="str">
        <f t="shared" si="134"/>
        <v/>
      </c>
      <c r="I516" s="1074" t="str">
        <f t="shared" si="134"/>
        <v/>
      </c>
      <c r="J516" s="1074" t="str">
        <f t="shared" si="134"/>
        <v/>
      </c>
      <c r="K516" s="1074" t="str">
        <f t="shared" si="134"/>
        <v/>
      </c>
      <c r="L516" s="1421" t="str">
        <f t="shared" si="134"/>
        <v/>
      </c>
      <c r="N516" s="1424" t="str">
        <f>IF(N$14=0, "", N$14)</f>
        <v>CGAAP</v>
      </c>
    </row>
    <row r="517" spans="1:14" hidden="1" x14ac:dyDescent="0.2">
      <c r="A517" s="2102"/>
      <c r="B517" s="2103"/>
      <c r="C517" s="96"/>
      <c r="D517" s="96"/>
      <c r="E517" s="96"/>
      <c r="F517" s="96"/>
      <c r="G517" s="96"/>
      <c r="H517" s="96"/>
      <c r="I517" s="96"/>
      <c r="J517" s="96"/>
      <c r="K517" s="96"/>
      <c r="L517" s="212"/>
      <c r="N517" s="1427"/>
    </row>
    <row r="518" spans="1:14" hidden="1" x14ac:dyDescent="0.2">
      <c r="A518" s="2102"/>
      <c r="B518" s="2103"/>
      <c r="C518" s="96"/>
      <c r="D518" s="96"/>
      <c r="E518" s="96"/>
      <c r="F518" s="96"/>
      <c r="G518" s="96"/>
      <c r="H518" s="96"/>
      <c r="I518" s="96"/>
      <c r="J518" s="96"/>
      <c r="K518" s="217"/>
      <c r="L518" s="212"/>
      <c r="N518" s="1427"/>
    </row>
    <row r="519" spans="1:14" hidden="1" x14ac:dyDescent="0.2">
      <c r="A519" s="2131"/>
      <c r="B519" s="2132"/>
      <c r="C519" s="96"/>
      <c r="D519" s="96"/>
      <c r="E519" s="96"/>
      <c r="F519" s="98"/>
      <c r="G519" s="98"/>
      <c r="H519" s="98"/>
      <c r="I519" s="98"/>
      <c r="J519" s="98"/>
      <c r="K519" s="217"/>
      <c r="L519" s="212"/>
      <c r="N519" s="1427"/>
    </row>
    <row r="520" spans="1:14" hidden="1" x14ac:dyDescent="0.2">
      <c r="A520" s="2131"/>
      <c r="B520" s="2132"/>
      <c r="C520" s="96"/>
      <c r="D520" s="96"/>
      <c r="E520" s="96"/>
      <c r="F520" s="98"/>
      <c r="G520" s="98"/>
      <c r="H520" s="98"/>
      <c r="I520" s="98"/>
      <c r="J520" s="98"/>
      <c r="K520" s="217"/>
      <c r="L520" s="212"/>
      <c r="N520" s="1427"/>
    </row>
    <row r="521" spans="1:14" hidden="1" x14ac:dyDescent="0.2">
      <c r="A521" s="2102"/>
      <c r="B521" s="2103"/>
      <c r="C521" s="96"/>
      <c r="D521" s="96"/>
      <c r="E521" s="96"/>
      <c r="F521" s="98"/>
      <c r="G521" s="98"/>
      <c r="H521" s="98"/>
      <c r="I521" s="98"/>
      <c r="J521" s="98"/>
      <c r="K521" s="98"/>
      <c r="L521" s="212"/>
      <c r="N521" s="1427"/>
    </row>
    <row r="522" spans="1:14" hidden="1" x14ac:dyDescent="0.2">
      <c r="A522" s="2102"/>
      <c r="B522" s="2103"/>
      <c r="C522" s="98"/>
      <c r="D522" s="98"/>
      <c r="E522" s="98"/>
      <c r="F522" s="98"/>
      <c r="G522" s="98"/>
      <c r="H522" s="98"/>
      <c r="I522" s="98"/>
      <c r="J522" s="98"/>
      <c r="K522" s="98"/>
      <c r="L522" s="212"/>
      <c r="N522" s="1427"/>
    </row>
    <row r="523" spans="1:14" hidden="1" x14ac:dyDescent="0.2">
      <c r="A523" s="2133"/>
      <c r="B523" s="2134"/>
      <c r="C523" s="98"/>
      <c r="D523" s="98"/>
      <c r="E523" s="98"/>
      <c r="F523" s="98"/>
      <c r="G523" s="98"/>
      <c r="H523" s="98"/>
      <c r="I523" s="98"/>
      <c r="J523" s="98"/>
      <c r="K523" s="98"/>
      <c r="L523" s="212"/>
      <c r="N523" s="1427"/>
    </row>
    <row r="524" spans="1:14" ht="13.5" hidden="1" thickBot="1" x14ac:dyDescent="0.25">
      <c r="A524" s="2102"/>
      <c r="B524" s="2103"/>
      <c r="C524" s="831"/>
      <c r="D524" s="831"/>
      <c r="E524" s="831"/>
      <c r="F524" s="831"/>
      <c r="G524" s="123"/>
      <c r="H524" s="123"/>
      <c r="I524" s="123"/>
      <c r="J524" s="123"/>
      <c r="K524" s="218"/>
      <c r="L524" s="219"/>
      <c r="N524" s="1430"/>
    </row>
    <row r="525" spans="1:14" ht="14.25" hidden="1" thickTop="1" thickBot="1" x14ac:dyDescent="0.25">
      <c r="A525" s="2139" t="s">
        <v>259</v>
      </c>
      <c r="B525" s="2140"/>
      <c r="C525" s="1080">
        <f t="shared" ref="C525:L525" si="135">SUM(C517:C524)</f>
        <v>0</v>
      </c>
      <c r="D525" s="1080">
        <f t="shared" si="135"/>
        <v>0</v>
      </c>
      <c r="E525" s="1080">
        <f t="shared" si="135"/>
        <v>0</v>
      </c>
      <c r="F525" s="1080">
        <f t="shared" si="135"/>
        <v>0</v>
      </c>
      <c r="G525" s="1080">
        <f t="shared" si="135"/>
        <v>0</v>
      </c>
      <c r="H525" s="1080">
        <f t="shared" si="135"/>
        <v>0</v>
      </c>
      <c r="I525" s="1080">
        <f t="shared" si="135"/>
        <v>0</v>
      </c>
      <c r="J525" s="1080">
        <f t="shared" si="135"/>
        <v>0</v>
      </c>
      <c r="K525" s="1080">
        <f t="shared" si="135"/>
        <v>0</v>
      </c>
      <c r="L525" s="1093">
        <f t="shared" si="135"/>
        <v>0</v>
      </c>
      <c r="N525" s="1082">
        <f>SUM(N517:N524)</f>
        <v>0</v>
      </c>
    </row>
    <row r="526" spans="1:14" hidden="1" x14ac:dyDescent="0.2"/>
    <row r="527" spans="1:14" ht="13.5" hidden="1" thickBot="1" x14ac:dyDescent="0.25">
      <c r="A527" s="2141"/>
      <c r="B527" s="2141"/>
      <c r="C527" s="2141"/>
    </row>
    <row r="528" spans="1:14" ht="13.5" hidden="1" thickBot="1" x14ac:dyDescent="0.25">
      <c r="A528" s="1089"/>
      <c r="B528" s="1090"/>
      <c r="C528" s="1434" t="str">
        <f t="shared" ref="C528:L528" si="136">C$12</f>
        <v>2011 Actual²</v>
      </c>
      <c r="D528" s="1065" t="str">
        <f t="shared" si="136"/>
        <v>2012 Actual²</v>
      </c>
      <c r="E528" s="1065" t="str">
        <f t="shared" si="136"/>
        <v>2013 Actual²</v>
      </c>
      <c r="F528" s="1065" t="str">
        <f t="shared" si="136"/>
        <v>2014 Actual²</v>
      </c>
      <c r="G528" s="1065" t="str">
        <f t="shared" si="136"/>
        <v>2015 Actual²</v>
      </c>
      <c r="H528" s="1065" t="str">
        <f t="shared" si="136"/>
        <v>2016 Actual²</v>
      </c>
      <c r="I528" s="1065" t="str">
        <f t="shared" si="136"/>
        <v>2017 Actual²</v>
      </c>
      <c r="J528" s="1065" t="str">
        <f t="shared" si="136"/>
        <v>2018 Actual</v>
      </c>
      <c r="K528" s="1065" t="str">
        <f t="shared" si="136"/>
        <v>Bridge Year</v>
      </c>
      <c r="L528" s="1088" t="str">
        <f t="shared" si="136"/>
        <v>Test Year</v>
      </c>
      <c r="N528" s="1422" t="str">
        <f>N$12</f>
        <v>CGAAP</v>
      </c>
    </row>
    <row r="529" spans="1:14" ht="13.5" hidden="1" thickBot="1" x14ac:dyDescent="0.25">
      <c r="A529" s="1089"/>
      <c r="B529" s="1090"/>
      <c r="C529" s="1065">
        <f t="shared" ref="C529:L529" si="137">C$13</f>
        <v>2011</v>
      </c>
      <c r="D529" s="1065">
        <f t="shared" si="137"/>
        <v>2012</v>
      </c>
      <c r="E529" s="1065">
        <f t="shared" si="137"/>
        <v>2013</v>
      </c>
      <c r="F529" s="1065">
        <f t="shared" si="137"/>
        <v>2014</v>
      </c>
      <c r="G529" s="1065">
        <f t="shared" si="137"/>
        <v>2015</v>
      </c>
      <c r="H529" s="1065">
        <f t="shared" si="137"/>
        <v>2016</v>
      </c>
      <c r="I529" s="1065">
        <f t="shared" si="137"/>
        <v>2017</v>
      </c>
      <c r="J529" s="1065">
        <f t="shared" si="137"/>
        <v>2018</v>
      </c>
      <c r="K529" s="1065">
        <f t="shared" si="137"/>
        <v>2019</v>
      </c>
      <c r="L529" s="1088">
        <f t="shared" si="137"/>
        <v>2020</v>
      </c>
      <c r="N529" s="1423">
        <f>N$13</f>
        <v>2015</v>
      </c>
    </row>
    <row r="530" spans="1:14" hidden="1" x14ac:dyDescent="0.2">
      <c r="A530" s="2136" t="s">
        <v>90</v>
      </c>
      <c r="B530" s="2137"/>
      <c r="C530" s="1074" t="str">
        <f t="shared" ref="C530:L530" si="138">IF(C468=0, "", C468)</f>
        <v/>
      </c>
      <c r="D530" s="1074" t="str">
        <f t="shared" si="138"/>
        <v/>
      </c>
      <c r="E530" s="1074" t="str">
        <f t="shared" si="138"/>
        <v/>
      </c>
      <c r="F530" s="1074" t="str">
        <f t="shared" si="138"/>
        <v/>
      </c>
      <c r="G530" s="1074" t="str">
        <f t="shared" si="138"/>
        <v/>
      </c>
      <c r="H530" s="1074" t="str">
        <f t="shared" si="138"/>
        <v/>
      </c>
      <c r="I530" s="1074" t="str">
        <f t="shared" si="138"/>
        <v/>
      </c>
      <c r="J530" s="1074" t="str">
        <f t="shared" si="138"/>
        <v/>
      </c>
      <c r="K530" s="1074" t="str">
        <f t="shared" si="138"/>
        <v/>
      </c>
      <c r="L530" s="1421" t="str">
        <f t="shared" si="138"/>
        <v/>
      </c>
      <c r="N530" s="1424" t="str">
        <f>IF(N$14=0, "", N$14)</f>
        <v>CGAAP</v>
      </c>
    </row>
    <row r="531" spans="1:14" hidden="1" x14ac:dyDescent="0.2">
      <c r="A531" s="2102"/>
      <c r="B531" s="2103"/>
      <c r="C531" s="96"/>
      <c r="D531" s="96"/>
      <c r="E531" s="96"/>
      <c r="F531" s="96"/>
      <c r="G531" s="96"/>
      <c r="H531" s="96"/>
      <c r="I531" s="96"/>
      <c r="J531" s="96"/>
      <c r="K531" s="96"/>
      <c r="L531" s="212"/>
      <c r="N531" s="1427"/>
    </row>
    <row r="532" spans="1:14" hidden="1" x14ac:dyDescent="0.2">
      <c r="A532" s="2102"/>
      <c r="B532" s="2103"/>
      <c r="C532" s="96"/>
      <c r="D532" s="96"/>
      <c r="E532" s="96"/>
      <c r="F532" s="96"/>
      <c r="G532" s="96"/>
      <c r="H532" s="96"/>
      <c r="I532" s="96"/>
      <c r="J532" s="96"/>
      <c r="K532" s="217"/>
      <c r="L532" s="212"/>
      <c r="N532" s="1427"/>
    </row>
    <row r="533" spans="1:14" hidden="1" x14ac:dyDescent="0.2">
      <c r="A533" s="2131"/>
      <c r="B533" s="2132"/>
      <c r="C533" s="96"/>
      <c r="D533" s="96"/>
      <c r="E533" s="96"/>
      <c r="F533" s="98"/>
      <c r="G533" s="98"/>
      <c r="H533" s="98"/>
      <c r="I533" s="98"/>
      <c r="J533" s="98"/>
      <c r="K533" s="217"/>
      <c r="L533" s="212"/>
      <c r="N533" s="1427"/>
    </row>
    <row r="534" spans="1:14" hidden="1" x14ac:dyDescent="0.2">
      <c r="A534" s="2131"/>
      <c r="B534" s="2132"/>
      <c r="C534" s="96"/>
      <c r="D534" s="96"/>
      <c r="E534" s="96"/>
      <c r="F534" s="98"/>
      <c r="G534" s="98"/>
      <c r="H534" s="98"/>
      <c r="I534" s="98"/>
      <c r="J534" s="98"/>
      <c r="K534" s="217"/>
      <c r="L534" s="212"/>
      <c r="N534" s="1427"/>
    </row>
    <row r="535" spans="1:14" hidden="1" x14ac:dyDescent="0.2">
      <c r="A535" s="2102"/>
      <c r="B535" s="2103"/>
      <c r="C535" s="96"/>
      <c r="D535" s="96"/>
      <c r="E535" s="96"/>
      <c r="F535" s="98"/>
      <c r="G535" s="98"/>
      <c r="H535" s="98"/>
      <c r="I535" s="98"/>
      <c r="J535" s="98"/>
      <c r="K535" s="98"/>
      <c r="L535" s="212"/>
      <c r="N535" s="1427"/>
    </row>
    <row r="536" spans="1:14" hidden="1" x14ac:dyDescent="0.2">
      <c r="A536" s="2102"/>
      <c r="B536" s="2103"/>
      <c r="C536" s="98"/>
      <c r="D536" s="98"/>
      <c r="E536" s="98"/>
      <c r="F536" s="98"/>
      <c r="G536" s="98"/>
      <c r="H536" s="98"/>
      <c r="I536" s="98"/>
      <c r="J536" s="98"/>
      <c r="K536" s="98"/>
      <c r="L536" s="212"/>
      <c r="N536" s="1427"/>
    </row>
    <row r="537" spans="1:14" hidden="1" x14ac:dyDescent="0.2">
      <c r="A537" s="2133"/>
      <c r="B537" s="2134"/>
      <c r="C537" s="98"/>
      <c r="D537" s="98"/>
      <c r="E537" s="98"/>
      <c r="F537" s="98"/>
      <c r="G537" s="98"/>
      <c r="H537" s="98"/>
      <c r="I537" s="98"/>
      <c r="J537" s="98"/>
      <c r="K537" s="98"/>
      <c r="L537" s="212"/>
      <c r="N537" s="1427"/>
    </row>
    <row r="538" spans="1:14" ht="13.5" hidden="1" thickBot="1" x14ac:dyDescent="0.25">
      <c r="A538" s="2102"/>
      <c r="B538" s="2103"/>
      <c r="C538" s="831"/>
      <c r="D538" s="831"/>
      <c r="E538" s="831"/>
      <c r="F538" s="831"/>
      <c r="G538" s="123"/>
      <c r="H538" s="123"/>
      <c r="I538" s="123"/>
      <c r="J538" s="123"/>
      <c r="K538" s="218"/>
      <c r="L538" s="219"/>
      <c r="N538" s="1430"/>
    </row>
    <row r="539" spans="1:14" ht="14.25" hidden="1" thickTop="1" thickBot="1" x14ac:dyDescent="0.25">
      <c r="A539" s="2139" t="s">
        <v>259</v>
      </c>
      <c r="B539" s="2140"/>
      <c r="C539" s="1080">
        <f t="shared" ref="C539:L539" si="139">SUM(C531:C538)</f>
        <v>0</v>
      </c>
      <c r="D539" s="1080">
        <f t="shared" si="139"/>
        <v>0</v>
      </c>
      <c r="E539" s="1080">
        <f t="shared" si="139"/>
        <v>0</v>
      </c>
      <c r="F539" s="1080">
        <f t="shared" si="139"/>
        <v>0</v>
      </c>
      <c r="G539" s="1080">
        <f t="shared" si="139"/>
        <v>0</v>
      </c>
      <c r="H539" s="1080">
        <f t="shared" si="139"/>
        <v>0</v>
      </c>
      <c r="I539" s="1080">
        <f t="shared" si="139"/>
        <v>0</v>
      </c>
      <c r="J539" s="1080">
        <f t="shared" si="139"/>
        <v>0</v>
      </c>
      <c r="K539" s="1080">
        <f t="shared" si="139"/>
        <v>0</v>
      </c>
      <c r="L539" s="1093">
        <f t="shared" si="139"/>
        <v>0</v>
      </c>
      <c r="N539" s="1082">
        <f>SUM(N531:N538)</f>
        <v>0</v>
      </c>
    </row>
    <row r="540" spans="1:14" hidden="1" x14ac:dyDescent="0.2"/>
    <row r="541" spans="1:14" ht="13.5" hidden="1" thickBot="1" x14ac:dyDescent="0.25">
      <c r="A541" s="2141"/>
      <c r="B541" s="2141"/>
      <c r="C541" s="2141"/>
    </row>
    <row r="542" spans="1:14" ht="13.5" hidden="1" thickBot="1" x14ac:dyDescent="0.25">
      <c r="A542" s="1089"/>
      <c r="B542" s="1090"/>
      <c r="C542" s="1434" t="str">
        <f t="shared" ref="C542:L542" si="140">C$12</f>
        <v>2011 Actual²</v>
      </c>
      <c r="D542" s="1065" t="str">
        <f t="shared" si="140"/>
        <v>2012 Actual²</v>
      </c>
      <c r="E542" s="1065" t="str">
        <f t="shared" si="140"/>
        <v>2013 Actual²</v>
      </c>
      <c r="F542" s="1065" t="str">
        <f t="shared" si="140"/>
        <v>2014 Actual²</v>
      </c>
      <c r="G542" s="1065" t="str">
        <f t="shared" si="140"/>
        <v>2015 Actual²</v>
      </c>
      <c r="H542" s="1065" t="str">
        <f t="shared" si="140"/>
        <v>2016 Actual²</v>
      </c>
      <c r="I542" s="1065" t="str">
        <f t="shared" si="140"/>
        <v>2017 Actual²</v>
      </c>
      <c r="J542" s="1065" t="str">
        <f t="shared" si="140"/>
        <v>2018 Actual</v>
      </c>
      <c r="K542" s="1065" t="str">
        <f t="shared" si="140"/>
        <v>Bridge Year</v>
      </c>
      <c r="L542" s="1088" t="str">
        <f t="shared" si="140"/>
        <v>Test Year</v>
      </c>
      <c r="N542" s="1422" t="str">
        <f>N$12</f>
        <v>CGAAP</v>
      </c>
    </row>
    <row r="543" spans="1:14" ht="13.5" hidden="1" thickBot="1" x14ac:dyDescent="0.25">
      <c r="A543" s="1089"/>
      <c r="B543" s="1090"/>
      <c r="C543" s="1065">
        <f t="shared" ref="C543:L543" si="141">C$13</f>
        <v>2011</v>
      </c>
      <c r="D543" s="1065">
        <f t="shared" si="141"/>
        <v>2012</v>
      </c>
      <c r="E543" s="1065">
        <f t="shared" si="141"/>
        <v>2013</v>
      </c>
      <c r="F543" s="1065">
        <f t="shared" si="141"/>
        <v>2014</v>
      </c>
      <c r="G543" s="1065">
        <f t="shared" si="141"/>
        <v>2015</v>
      </c>
      <c r="H543" s="1065">
        <f t="shared" si="141"/>
        <v>2016</v>
      </c>
      <c r="I543" s="1065">
        <f t="shared" si="141"/>
        <v>2017</v>
      </c>
      <c r="J543" s="1065">
        <f t="shared" si="141"/>
        <v>2018</v>
      </c>
      <c r="K543" s="1065">
        <f t="shared" si="141"/>
        <v>2019</v>
      </c>
      <c r="L543" s="1088">
        <f t="shared" si="141"/>
        <v>2020</v>
      </c>
      <c r="N543" s="1423">
        <f>N$13</f>
        <v>2015</v>
      </c>
    </row>
    <row r="544" spans="1:14" hidden="1" x14ac:dyDescent="0.2">
      <c r="A544" s="2136" t="s">
        <v>90</v>
      </c>
      <c r="B544" s="2137"/>
      <c r="C544" s="1074" t="str">
        <f t="shared" ref="C544:L544" si="142">IF(C482=0, "", C482)</f>
        <v/>
      </c>
      <c r="D544" s="1074" t="str">
        <f t="shared" si="142"/>
        <v/>
      </c>
      <c r="E544" s="1074" t="str">
        <f t="shared" si="142"/>
        <v/>
      </c>
      <c r="F544" s="1074" t="str">
        <f t="shared" si="142"/>
        <v/>
      </c>
      <c r="G544" s="1074" t="str">
        <f t="shared" si="142"/>
        <v/>
      </c>
      <c r="H544" s="1074" t="str">
        <f t="shared" si="142"/>
        <v/>
      </c>
      <c r="I544" s="1074" t="str">
        <f t="shared" si="142"/>
        <v/>
      </c>
      <c r="J544" s="1074" t="str">
        <f t="shared" si="142"/>
        <v/>
      </c>
      <c r="K544" s="1074" t="str">
        <f t="shared" si="142"/>
        <v/>
      </c>
      <c r="L544" s="1421" t="str">
        <f t="shared" si="142"/>
        <v/>
      </c>
      <c r="N544" s="1424" t="str">
        <f>IF(N$14=0, "", N$14)</f>
        <v>CGAAP</v>
      </c>
    </row>
    <row r="545" spans="1:14" hidden="1" x14ac:dyDescent="0.2">
      <c r="A545" s="2102"/>
      <c r="B545" s="2103"/>
      <c r="C545" s="96"/>
      <c r="D545" s="96"/>
      <c r="E545" s="96"/>
      <c r="F545" s="96"/>
      <c r="G545" s="96"/>
      <c r="H545" s="96"/>
      <c r="I545" s="96"/>
      <c r="J545" s="96"/>
      <c r="K545" s="96"/>
      <c r="L545" s="212"/>
      <c r="N545" s="1427"/>
    </row>
    <row r="546" spans="1:14" hidden="1" x14ac:dyDescent="0.2">
      <c r="A546" s="2102"/>
      <c r="B546" s="2103"/>
      <c r="C546" s="96"/>
      <c r="D546" s="96"/>
      <c r="E546" s="96"/>
      <c r="F546" s="96"/>
      <c r="G546" s="96"/>
      <c r="H546" s="96"/>
      <c r="I546" s="96"/>
      <c r="J546" s="96"/>
      <c r="K546" s="217"/>
      <c r="L546" s="212"/>
      <c r="N546" s="1427"/>
    </row>
    <row r="547" spans="1:14" hidden="1" x14ac:dyDescent="0.2">
      <c r="A547" s="2131"/>
      <c r="B547" s="2132"/>
      <c r="C547" s="96"/>
      <c r="D547" s="96"/>
      <c r="E547" s="96"/>
      <c r="F547" s="98"/>
      <c r="G547" s="98"/>
      <c r="H547" s="98"/>
      <c r="I547" s="98"/>
      <c r="J547" s="98"/>
      <c r="K547" s="217"/>
      <c r="L547" s="212"/>
      <c r="N547" s="1427"/>
    </row>
    <row r="548" spans="1:14" hidden="1" x14ac:dyDescent="0.2">
      <c r="A548" s="2131"/>
      <c r="B548" s="2132"/>
      <c r="C548" s="96"/>
      <c r="D548" s="96"/>
      <c r="E548" s="96"/>
      <c r="F548" s="98"/>
      <c r="G548" s="98"/>
      <c r="H548" s="98"/>
      <c r="I548" s="98"/>
      <c r="J548" s="98"/>
      <c r="K548" s="217"/>
      <c r="L548" s="212"/>
      <c r="N548" s="1427"/>
    </row>
    <row r="549" spans="1:14" hidden="1" x14ac:dyDescent="0.2">
      <c r="A549" s="2102"/>
      <c r="B549" s="2103"/>
      <c r="C549" s="96"/>
      <c r="D549" s="96"/>
      <c r="E549" s="96"/>
      <c r="F549" s="98"/>
      <c r="G549" s="98"/>
      <c r="H549" s="98"/>
      <c r="I549" s="98"/>
      <c r="J549" s="98"/>
      <c r="K549" s="98"/>
      <c r="L549" s="212"/>
      <c r="N549" s="1427"/>
    </row>
    <row r="550" spans="1:14" hidden="1" x14ac:dyDescent="0.2">
      <c r="A550" s="2102"/>
      <c r="B550" s="2103"/>
      <c r="C550" s="98"/>
      <c r="D550" s="98"/>
      <c r="E550" s="98"/>
      <c r="F550" s="98"/>
      <c r="G550" s="98"/>
      <c r="H550" s="98"/>
      <c r="I550" s="98"/>
      <c r="J550" s="98"/>
      <c r="K550" s="98"/>
      <c r="L550" s="212"/>
      <c r="N550" s="1427"/>
    </row>
    <row r="551" spans="1:14" hidden="1" x14ac:dyDescent="0.2">
      <c r="A551" s="2133"/>
      <c r="B551" s="2134"/>
      <c r="C551" s="98"/>
      <c r="D551" s="98"/>
      <c r="E551" s="98"/>
      <c r="F551" s="98"/>
      <c r="G551" s="98"/>
      <c r="H551" s="98"/>
      <c r="I551" s="98"/>
      <c r="J551" s="98"/>
      <c r="K551" s="98"/>
      <c r="L551" s="212"/>
      <c r="N551" s="1427"/>
    </row>
    <row r="552" spans="1:14" ht="13.5" hidden="1" thickBot="1" x14ac:dyDescent="0.25">
      <c r="A552" s="2102"/>
      <c r="B552" s="2103"/>
      <c r="C552" s="831"/>
      <c r="D552" s="831"/>
      <c r="E552" s="831"/>
      <c r="F552" s="831"/>
      <c r="G552" s="123"/>
      <c r="H552" s="123"/>
      <c r="I552" s="123"/>
      <c r="J552" s="123"/>
      <c r="K552" s="218"/>
      <c r="L552" s="219"/>
      <c r="N552" s="1430"/>
    </row>
    <row r="553" spans="1:14" ht="14.25" hidden="1" thickTop="1" thickBot="1" x14ac:dyDescent="0.25">
      <c r="A553" s="2139" t="s">
        <v>259</v>
      </c>
      <c r="B553" s="2140"/>
      <c r="C553" s="1080">
        <f t="shared" ref="C553:L553" si="143">SUM(C545:C552)</f>
        <v>0</v>
      </c>
      <c r="D553" s="1080">
        <f t="shared" si="143"/>
        <v>0</v>
      </c>
      <c r="E553" s="1080">
        <f t="shared" si="143"/>
        <v>0</v>
      </c>
      <c r="F553" s="1080">
        <f t="shared" si="143"/>
        <v>0</v>
      </c>
      <c r="G553" s="1080">
        <f t="shared" si="143"/>
        <v>0</v>
      </c>
      <c r="H553" s="1080">
        <f t="shared" si="143"/>
        <v>0</v>
      </c>
      <c r="I553" s="1080">
        <f t="shared" si="143"/>
        <v>0</v>
      </c>
      <c r="J553" s="1080">
        <f t="shared" si="143"/>
        <v>0</v>
      </c>
      <c r="K553" s="1080">
        <f t="shared" si="143"/>
        <v>0</v>
      </c>
      <c r="L553" s="1093">
        <f t="shared" si="143"/>
        <v>0</v>
      </c>
      <c r="N553" s="1082">
        <f>SUM(N545:N552)</f>
        <v>0</v>
      </c>
    </row>
    <row r="554" spans="1:14" hidden="1" x14ac:dyDescent="0.2"/>
    <row r="555" spans="1:14" ht="13.5" hidden="1" thickBot="1" x14ac:dyDescent="0.25">
      <c r="A555" s="2141"/>
      <c r="B555" s="2141"/>
      <c r="C555" s="2141"/>
    </row>
    <row r="556" spans="1:14" ht="13.5" hidden="1" thickBot="1" x14ac:dyDescent="0.25">
      <c r="A556" s="1089"/>
      <c r="B556" s="1090"/>
      <c r="C556" s="1434" t="str">
        <f t="shared" ref="C556:L556" si="144">C$12</f>
        <v>2011 Actual²</v>
      </c>
      <c r="D556" s="1065" t="str">
        <f t="shared" si="144"/>
        <v>2012 Actual²</v>
      </c>
      <c r="E556" s="1065" t="str">
        <f t="shared" si="144"/>
        <v>2013 Actual²</v>
      </c>
      <c r="F556" s="1065" t="str">
        <f t="shared" si="144"/>
        <v>2014 Actual²</v>
      </c>
      <c r="G556" s="1065" t="str">
        <f t="shared" si="144"/>
        <v>2015 Actual²</v>
      </c>
      <c r="H556" s="1065" t="str">
        <f t="shared" si="144"/>
        <v>2016 Actual²</v>
      </c>
      <c r="I556" s="1065" t="str">
        <f t="shared" si="144"/>
        <v>2017 Actual²</v>
      </c>
      <c r="J556" s="1065" t="str">
        <f t="shared" si="144"/>
        <v>2018 Actual</v>
      </c>
      <c r="K556" s="1065" t="str">
        <f t="shared" si="144"/>
        <v>Bridge Year</v>
      </c>
      <c r="L556" s="1088" t="str">
        <f t="shared" si="144"/>
        <v>Test Year</v>
      </c>
      <c r="N556" s="1422" t="str">
        <f>N$12</f>
        <v>CGAAP</v>
      </c>
    </row>
    <row r="557" spans="1:14" ht="13.5" hidden="1" thickBot="1" x14ac:dyDescent="0.25">
      <c r="A557" s="1089"/>
      <c r="B557" s="1090"/>
      <c r="C557" s="1065">
        <f t="shared" ref="C557:L557" si="145">C$13</f>
        <v>2011</v>
      </c>
      <c r="D557" s="1065">
        <f t="shared" si="145"/>
        <v>2012</v>
      </c>
      <c r="E557" s="1065">
        <f t="shared" si="145"/>
        <v>2013</v>
      </c>
      <c r="F557" s="1065">
        <f t="shared" si="145"/>
        <v>2014</v>
      </c>
      <c r="G557" s="1065">
        <f t="shared" si="145"/>
        <v>2015</v>
      </c>
      <c r="H557" s="1065">
        <f t="shared" si="145"/>
        <v>2016</v>
      </c>
      <c r="I557" s="1065">
        <f t="shared" si="145"/>
        <v>2017</v>
      </c>
      <c r="J557" s="1065">
        <f t="shared" si="145"/>
        <v>2018</v>
      </c>
      <c r="K557" s="1065">
        <f t="shared" si="145"/>
        <v>2019</v>
      </c>
      <c r="L557" s="1088">
        <f t="shared" si="145"/>
        <v>2020</v>
      </c>
      <c r="N557" s="1423">
        <f>N$13</f>
        <v>2015</v>
      </c>
    </row>
    <row r="558" spans="1:14" hidden="1" x14ac:dyDescent="0.2">
      <c r="A558" s="2136" t="s">
        <v>90</v>
      </c>
      <c r="B558" s="2137"/>
      <c r="C558" s="1074" t="str">
        <f t="shared" ref="C558:L558" si="146">IF(C496=0, "", C496)</f>
        <v/>
      </c>
      <c r="D558" s="1074" t="str">
        <f t="shared" si="146"/>
        <v/>
      </c>
      <c r="E558" s="1074" t="str">
        <f t="shared" si="146"/>
        <v/>
      </c>
      <c r="F558" s="1074" t="str">
        <f t="shared" si="146"/>
        <v/>
      </c>
      <c r="G558" s="1074" t="str">
        <f t="shared" si="146"/>
        <v/>
      </c>
      <c r="H558" s="1074" t="str">
        <f t="shared" si="146"/>
        <v/>
      </c>
      <c r="I558" s="1074" t="str">
        <f t="shared" si="146"/>
        <v/>
      </c>
      <c r="J558" s="1074" t="str">
        <f t="shared" si="146"/>
        <v/>
      </c>
      <c r="K558" s="1074" t="str">
        <f t="shared" si="146"/>
        <v/>
      </c>
      <c r="L558" s="1421" t="str">
        <f t="shared" si="146"/>
        <v/>
      </c>
      <c r="N558" s="1424" t="str">
        <f>IF(N$14=0, "", N$14)</f>
        <v>CGAAP</v>
      </c>
    </row>
    <row r="559" spans="1:14" hidden="1" x14ac:dyDescent="0.2">
      <c r="A559" s="2102"/>
      <c r="B559" s="2103"/>
      <c r="C559" s="96"/>
      <c r="D559" s="96"/>
      <c r="E559" s="96"/>
      <c r="F559" s="96"/>
      <c r="G559" s="96"/>
      <c r="H559" s="96"/>
      <c r="I559" s="96"/>
      <c r="J559" s="96"/>
      <c r="K559" s="96"/>
      <c r="L559" s="212"/>
      <c r="N559" s="1427"/>
    </row>
    <row r="560" spans="1:14" hidden="1" x14ac:dyDescent="0.2">
      <c r="A560" s="2102"/>
      <c r="B560" s="2103"/>
      <c r="C560" s="96"/>
      <c r="D560" s="96"/>
      <c r="E560" s="96"/>
      <c r="F560" s="96"/>
      <c r="G560" s="96"/>
      <c r="H560" s="96"/>
      <c r="I560" s="96"/>
      <c r="J560" s="96"/>
      <c r="K560" s="217"/>
      <c r="L560" s="212"/>
      <c r="N560" s="1427"/>
    </row>
    <row r="561" spans="1:14" hidden="1" x14ac:dyDescent="0.2">
      <c r="A561" s="2131"/>
      <c r="B561" s="2132"/>
      <c r="C561" s="96"/>
      <c r="D561" s="96"/>
      <c r="E561" s="96"/>
      <c r="F561" s="98"/>
      <c r="G561" s="98"/>
      <c r="H561" s="98"/>
      <c r="I561" s="98"/>
      <c r="J561" s="98"/>
      <c r="K561" s="217"/>
      <c r="L561" s="212"/>
      <c r="N561" s="1427"/>
    </row>
    <row r="562" spans="1:14" hidden="1" x14ac:dyDescent="0.2">
      <c r="A562" s="2131"/>
      <c r="B562" s="2132"/>
      <c r="C562" s="96"/>
      <c r="D562" s="96"/>
      <c r="E562" s="96"/>
      <c r="F562" s="98"/>
      <c r="G562" s="98"/>
      <c r="H562" s="98"/>
      <c r="I562" s="98"/>
      <c r="J562" s="98"/>
      <c r="K562" s="217"/>
      <c r="L562" s="212"/>
      <c r="N562" s="1427"/>
    </row>
    <row r="563" spans="1:14" hidden="1" x14ac:dyDescent="0.2">
      <c r="A563" s="2102"/>
      <c r="B563" s="2103"/>
      <c r="C563" s="96"/>
      <c r="D563" s="96"/>
      <c r="E563" s="96"/>
      <c r="F563" s="98"/>
      <c r="G563" s="98"/>
      <c r="H563" s="98"/>
      <c r="I563" s="98"/>
      <c r="J563" s="98"/>
      <c r="K563" s="98"/>
      <c r="L563" s="212"/>
      <c r="N563" s="1427"/>
    </row>
    <row r="564" spans="1:14" hidden="1" x14ac:dyDescent="0.2">
      <c r="A564" s="2102"/>
      <c r="B564" s="2103"/>
      <c r="C564" s="98"/>
      <c r="D564" s="98"/>
      <c r="E564" s="98"/>
      <c r="F564" s="98"/>
      <c r="G564" s="98"/>
      <c r="H564" s="98"/>
      <c r="I564" s="98"/>
      <c r="J564" s="98"/>
      <c r="K564" s="98"/>
      <c r="L564" s="212"/>
      <c r="N564" s="1427"/>
    </row>
    <row r="565" spans="1:14" hidden="1" x14ac:dyDescent="0.2">
      <c r="A565" s="2133"/>
      <c r="B565" s="2134"/>
      <c r="C565" s="98"/>
      <c r="D565" s="98"/>
      <c r="E565" s="98"/>
      <c r="F565" s="98"/>
      <c r="G565" s="98"/>
      <c r="H565" s="98"/>
      <c r="I565" s="98"/>
      <c r="J565" s="98"/>
      <c r="K565" s="98"/>
      <c r="L565" s="212"/>
      <c r="N565" s="1427"/>
    </row>
    <row r="566" spans="1:14" ht="13.5" hidden="1" thickBot="1" x14ac:dyDescent="0.25">
      <c r="A566" s="2102"/>
      <c r="B566" s="2103"/>
      <c r="C566" s="831"/>
      <c r="D566" s="831"/>
      <c r="E566" s="831"/>
      <c r="F566" s="831"/>
      <c r="G566" s="123"/>
      <c r="H566" s="123"/>
      <c r="I566" s="123"/>
      <c r="J566" s="123"/>
      <c r="K566" s="218"/>
      <c r="L566" s="219"/>
      <c r="N566" s="1430"/>
    </row>
    <row r="567" spans="1:14" ht="14.25" hidden="1" thickTop="1" thickBot="1" x14ac:dyDescent="0.25">
      <c r="A567" s="2139" t="s">
        <v>259</v>
      </c>
      <c r="B567" s="2140"/>
      <c r="C567" s="1080">
        <f t="shared" ref="C567:L567" si="147">SUM(C559:C566)</f>
        <v>0</v>
      </c>
      <c r="D567" s="1080">
        <f t="shared" si="147"/>
        <v>0</v>
      </c>
      <c r="E567" s="1080">
        <f t="shared" si="147"/>
        <v>0</v>
      </c>
      <c r="F567" s="1080">
        <f t="shared" si="147"/>
        <v>0</v>
      </c>
      <c r="G567" s="1080">
        <f t="shared" si="147"/>
        <v>0</v>
      </c>
      <c r="H567" s="1080">
        <f t="shared" si="147"/>
        <v>0</v>
      </c>
      <c r="I567" s="1080">
        <f t="shared" si="147"/>
        <v>0</v>
      </c>
      <c r="J567" s="1080">
        <f t="shared" si="147"/>
        <v>0</v>
      </c>
      <c r="K567" s="1080">
        <f t="shared" si="147"/>
        <v>0</v>
      </c>
      <c r="L567" s="1093">
        <f t="shared" si="147"/>
        <v>0</v>
      </c>
      <c r="N567" s="1082">
        <f>SUM(N559:N566)</f>
        <v>0</v>
      </c>
    </row>
  </sheetData>
  <sheetProtection algorithmName="SHA-512" hashValue="EJFXhB9yeSStAxeOxnMwrDJgaISAc4+BWfd1Lx8JMlGo6X/s+jMsO+7ru/7WZFo4TeHawYn9ahJubZ3xo3TEpw==" saltValue="xN2W2XfPCd1TMhIxzX2nCQ==" spinCount="100000" sheet="1" objects="1" scenarios="1"/>
  <mergeCells count="380">
    <mergeCell ref="A536:B536"/>
    <mergeCell ref="A537:B537"/>
    <mergeCell ref="A538:B538"/>
    <mergeCell ref="A525:B525"/>
    <mergeCell ref="A530:B530"/>
    <mergeCell ref="A531:B531"/>
    <mergeCell ref="A532:B532"/>
    <mergeCell ref="A533:B533"/>
    <mergeCell ref="A520:B520"/>
    <mergeCell ref="A521:B521"/>
    <mergeCell ref="A522:B522"/>
    <mergeCell ref="A523:B523"/>
    <mergeCell ref="A524:B524"/>
    <mergeCell ref="A527:C527"/>
    <mergeCell ref="A534:B534"/>
    <mergeCell ref="A535:B535"/>
    <mergeCell ref="A548:B548"/>
    <mergeCell ref="A549:B549"/>
    <mergeCell ref="A550:B550"/>
    <mergeCell ref="A551:B551"/>
    <mergeCell ref="A552:B552"/>
    <mergeCell ref="A539:B539"/>
    <mergeCell ref="A544:B544"/>
    <mergeCell ref="A545:B545"/>
    <mergeCell ref="A546:B546"/>
    <mergeCell ref="A547:B547"/>
    <mergeCell ref="A541:C541"/>
    <mergeCell ref="A567:B567"/>
    <mergeCell ref="A562:B562"/>
    <mergeCell ref="A563:B563"/>
    <mergeCell ref="A564:B564"/>
    <mergeCell ref="A565:B565"/>
    <mergeCell ref="A566:B566"/>
    <mergeCell ref="A553:B553"/>
    <mergeCell ref="A558:B558"/>
    <mergeCell ref="A559:B559"/>
    <mergeCell ref="A560:B560"/>
    <mergeCell ref="A561:B561"/>
    <mergeCell ref="A555:C555"/>
    <mergeCell ref="A511:B511"/>
    <mergeCell ref="A516:B516"/>
    <mergeCell ref="A517:B517"/>
    <mergeCell ref="A518:B518"/>
    <mergeCell ref="A519:B519"/>
    <mergeCell ref="A506:B506"/>
    <mergeCell ref="A507:B507"/>
    <mergeCell ref="A508:B508"/>
    <mergeCell ref="A509:B509"/>
    <mergeCell ref="A510:B510"/>
    <mergeCell ref="A513:C513"/>
    <mergeCell ref="A497:B497"/>
    <mergeCell ref="A502:B502"/>
    <mergeCell ref="A503:B503"/>
    <mergeCell ref="A504:B504"/>
    <mergeCell ref="A505:B505"/>
    <mergeCell ref="A492:B492"/>
    <mergeCell ref="A493:B493"/>
    <mergeCell ref="A494:B494"/>
    <mergeCell ref="A495:B495"/>
    <mergeCell ref="A496:B496"/>
    <mergeCell ref="A499:C499"/>
    <mergeCell ref="A483:B483"/>
    <mergeCell ref="A488:B488"/>
    <mergeCell ref="A489:B489"/>
    <mergeCell ref="A490:B490"/>
    <mergeCell ref="A491:B491"/>
    <mergeCell ref="A478:B478"/>
    <mergeCell ref="A479:B479"/>
    <mergeCell ref="A480:B480"/>
    <mergeCell ref="A481:B481"/>
    <mergeCell ref="A482:B482"/>
    <mergeCell ref="A485:C485"/>
    <mergeCell ref="A469:B469"/>
    <mergeCell ref="A474:B474"/>
    <mergeCell ref="A475:B475"/>
    <mergeCell ref="A476:B476"/>
    <mergeCell ref="A477:B477"/>
    <mergeCell ref="A464:B464"/>
    <mergeCell ref="A465:B465"/>
    <mergeCell ref="A466:B466"/>
    <mergeCell ref="A467:B467"/>
    <mergeCell ref="A468:B468"/>
    <mergeCell ref="A471:C471"/>
    <mergeCell ref="A455:B455"/>
    <mergeCell ref="A460:B460"/>
    <mergeCell ref="A461:B461"/>
    <mergeCell ref="A462:B462"/>
    <mergeCell ref="A463:B463"/>
    <mergeCell ref="A450:B450"/>
    <mergeCell ref="A451:B451"/>
    <mergeCell ref="A452:B452"/>
    <mergeCell ref="A453:B453"/>
    <mergeCell ref="A454:B454"/>
    <mergeCell ref="A457:C457"/>
    <mergeCell ref="A441:B441"/>
    <mergeCell ref="A446:B446"/>
    <mergeCell ref="A447:B447"/>
    <mergeCell ref="A448:B448"/>
    <mergeCell ref="A449:B449"/>
    <mergeCell ref="A436:B436"/>
    <mergeCell ref="A437:B437"/>
    <mergeCell ref="A438:B438"/>
    <mergeCell ref="A439:B439"/>
    <mergeCell ref="A440:B440"/>
    <mergeCell ref="A443:C443"/>
    <mergeCell ref="A427:B427"/>
    <mergeCell ref="A432:B432"/>
    <mergeCell ref="A433:B433"/>
    <mergeCell ref="A434:B434"/>
    <mergeCell ref="A435:B435"/>
    <mergeCell ref="A422:B422"/>
    <mergeCell ref="A423:B423"/>
    <mergeCell ref="A424:B424"/>
    <mergeCell ref="A425:B425"/>
    <mergeCell ref="A426:B426"/>
    <mergeCell ref="A429:C429"/>
    <mergeCell ref="A413:B413"/>
    <mergeCell ref="A418:B418"/>
    <mergeCell ref="A419:B419"/>
    <mergeCell ref="A420:B420"/>
    <mergeCell ref="A421:B421"/>
    <mergeCell ref="A408:B408"/>
    <mergeCell ref="A409:B409"/>
    <mergeCell ref="A410:B410"/>
    <mergeCell ref="A411:B411"/>
    <mergeCell ref="A412:B412"/>
    <mergeCell ref="A415:C415"/>
    <mergeCell ref="A399:B399"/>
    <mergeCell ref="A404:B404"/>
    <mergeCell ref="A405:B405"/>
    <mergeCell ref="A406:B406"/>
    <mergeCell ref="A407:B407"/>
    <mergeCell ref="A394:B394"/>
    <mergeCell ref="A395:B395"/>
    <mergeCell ref="A396:B396"/>
    <mergeCell ref="A397:B397"/>
    <mergeCell ref="A398:B398"/>
    <mergeCell ref="A401:C401"/>
    <mergeCell ref="A385:B385"/>
    <mergeCell ref="A390:B390"/>
    <mergeCell ref="A391:B391"/>
    <mergeCell ref="A392:B392"/>
    <mergeCell ref="A393:B393"/>
    <mergeCell ref="A380:B380"/>
    <mergeCell ref="A381:B381"/>
    <mergeCell ref="A382:B382"/>
    <mergeCell ref="A383:B383"/>
    <mergeCell ref="A384:B384"/>
    <mergeCell ref="A387:C387"/>
    <mergeCell ref="A371:B371"/>
    <mergeCell ref="A376:B376"/>
    <mergeCell ref="A377:B377"/>
    <mergeCell ref="A378:B378"/>
    <mergeCell ref="A379:B379"/>
    <mergeCell ref="A366:B366"/>
    <mergeCell ref="A367:B367"/>
    <mergeCell ref="A368:B368"/>
    <mergeCell ref="A369:B369"/>
    <mergeCell ref="A370:B370"/>
    <mergeCell ref="A373:C373"/>
    <mergeCell ref="A357:B357"/>
    <mergeCell ref="A362:B362"/>
    <mergeCell ref="A363:B363"/>
    <mergeCell ref="A364:B364"/>
    <mergeCell ref="A365:B365"/>
    <mergeCell ref="A352:B352"/>
    <mergeCell ref="A353:B353"/>
    <mergeCell ref="A354:B354"/>
    <mergeCell ref="A355:B355"/>
    <mergeCell ref="A356:B356"/>
    <mergeCell ref="A359:C359"/>
    <mergeCell ref="A343:B343"/>
    <mergeCell ref="A348:B348"/>
    <mergeCell ref="A349:B349"/>
    <mergeCell ref="A350:B350"/>
    <mergeCell ref="A351:B351"/>
    <mergeCell ref="A338:B338"/>
    <mergeCell ref="A339:B339"/>
    <mergeCell ref="A340:B340"/>
    <mergeCell ref="A341:B341"/>
    <mergeCell ref="A342:B342"/>
    <mergeCell ref="A345:C345"/>
    <mergeCell ref="A329:B329"/>
    <mergeCell ref="A334:B334"/>
    <mergeCell ref="A335:B335"/>
    <mergeCell ref="A336:B336"/>
    <mergeCell ref="A337:B337"/>
    <mergeCell ref="A324:B324"/>
    <mergeCell ref="A325:B325"/>
    <mergeCell ref="A326:B326"/>
    <mergeCell ref="A327:B327"/>
    <mergeCell ref="A328:B328"/>
    <mergeCell ref="A331:C331"/>
    <mergeCell ref="A315:B315"/>
    <mergeCell ref="A320:B320"/>
    <mergeCell ref="A321:B321"/>
    <mergeCell ref="A322:B322"/>
    <mergeCell ref="A323:B323"/>
    <mergeCell ref="A310:B310"/>
    <mergeCell ref="A311:B311"/>
    <mergeCell ref="A312:B312"/>
    <mergeCell ref="A313:B313"/>
    <mergeCell ref="A314:B314"/>
    <mergeCell ref="A317:C317"/>
    <mergeCell ref="A301:B301"/>
    <mergeCell ref="A306:B306"/>
    <mergeCell ref="A307:B307"/>
    <mergeCell ref="A308:B308"/>
    <mergeCell ref="A309:B309"/>
    <mergeCell ref="A296:B296"/>
    <mergeCell ref="A297:B297"/>
    <mergeCell ref="A298:B298"/>
    <mergeCell ref="A299:B299"/>
    <mergeCell ref="A300:B300"/>
    <mergeCell ref="A303:C303"/>
    <mergeCell ref="A287:B287"/>
    <mergeCell ref="A292:B292"/>
    <mergeCell ref="A293:B293"/>
    <mergeCell ref="A294:B294"/>
    <mergeCell ref="A295:B295"/>
    <mergeCell ref="A282:B282"/>
    <mergeCell ref="A283:B283"/>
    <mergeCell ref="A284:B284"/>
    <mergeCell ref="A285:B285"/>
    <mergeCell ref="A286:B286"/>
    <mergeCell ref="A289:C289"/>
    <mergeCell ref="A273:B273"/>
    <mergeCell ref="A278:B278"/>
    <mergeCell ref="A279:B279"/>
    <mergeCell ref="A280:B280"/>
    <mergeCell ref="A281:B281"/>
    <mergeCell ref="A268:B268"/>
    <mergeCell ref="A269:B269"/>
    <mergeCell ref="A270:B270"/>
    <mergeCell ref="A271:B271"/>
    <mergeCell ref="A272:B272"/>
    <mergeCell ref="A275:C275"/>
    <mergeCell ref="A259:B259"/>
    <mergeCell ref="A264:B264"/>
    <mergeCell ref="A265:B265"/>
    <mergeCell ref="A266:B266"/>
    <mergeCell ref="A267:B267"/>
    <mergeCell ref="A254:B254"/>
    <mergeCell ref="A255:B255"/>
    <mergeCell ref="A256:B256"/>
    <mergeCell ref="A257:B257"/>
    <mergeCell ref="A258:B258"/>
    <mergeCell ref="A261:C261"/>
    <mergeCell ref="A245:B245"/>
    <mergeCell ref="A250:B250"/>
    <mergeCell ref="A251:B251"/>
    <mergeCell ref="A252:B252"/>
    <mergeCell ref="A253:B253"/>
    <mergeCell ref="A240:B240"/>
    <mergeCell ref="A241:B241"/>
    <mergeCell ref="A242:B242"/>
    <mergeCell ref="A243:B243"/>
    <mergeCell ref="A244:B244"/>
    <mergeCell ref="A247:C247"/>
    <mergeCell ref="A231:B231"/>
    <mergeCell ref="A236:B236"/>
    <mergeCell ref="A239:B239"/>
    <mergeCell ref="A238:B238"/>
    <mergeCell ref="A226:B226"/>
    <mergeCell ref="A227:B227"/>
    <mergeCell ref="A228:B228"/>
    <mergeCell ref="A229:B229"/>
    <mergeCell ref="A230:B230"/>
    <mergeCell ref="A233:C233"/>
    <mergeCell ref="A217:B217"/>
    <mergeCell ref="A222:B222"/>
    <mergeCell ref="A225:B225"/>
    <mergeCell ref="A212:B212"/>
    <mergeCell ref="A213:B213"/>
    <mergeCell ref="A214:B214"/>
    <mergeCell ref="A215:B215"/>
    <mergeCell ref="A216:B216"/>
    <mergeCell ref="A219:C219"/>
    <mergeCell ref="A203:B203"/>
    <mergeCell ref="A208:B208"/>
    <mergeCell ref="A199:B199"/>
    <mergeCell ref="A200:B200"/>
    <mergeCell ref="A201:B201"/>
    <mergeCell ref="A202:B202"/>
    <mergeCell ref="A205:C205"/>
    <mergeCell ref="A210:B210"/>
    <mergeCell ref="A211:B211"/>
    <mergeCell ref="A189:B189"/>
    <mergeCell ref="A194:B194"/>
    <mergeCell ref="A184:B184"/>
    <mergeCell ref="A185:B185"/>
    <mergeCell ref="A186:B186"/>
    <mergeCell ref="A187:B187"/>
    <mergeCell ref="A188:B188"/>
    <mergeCell ref="A191:C191"/>
    <mergeCell ref="A175:B175"/>
    <mergeCell ref="A180:B180"/>
    <mergeCell ref="A183:B183"/>
    <mergeCell ref="A170:B170"/>
    <mergeCell ref="A171:B171"/>
    <mergeCell ref="A172:B172"/>
    <mergeCell ref="A173:B173"/>
    <mergeCell ref="A174:B174"/>
    <mergeCell ref="A177:C177"/>
    <mergeCell ref="A161:B161"/>
    <mergeCell ref="A166:B166"/>
    <mergeCell ref="A156:B156"/>
    <mergeCell ref="A157:B157"/>
    <mergeCell ref="A158:B158"/>
    <mergeCell ref="A159:B159"/>
    <mergeCell ref="A160:B160"/>
    <mergeCell ref="A163:C163"/>
    <mergeCell ref="A169:B169"/>
    <mergeCell ref="A147:B147"/>
    <mergeCell ref="A152:B152"/>
    <mergeCell ref="A153:B153"/>
    <mergeCell ref="A154:B154"/>
    <mergeCell ref="A155:B155"/>
    <mergeCell ref="A142:B142"/>
    <mergeCell ref="A143:B143"/>
    <mergeCell ref="A144:B144"/>
    <mergeCell ref="A145:B145"/>
    <mergeCell ref="A146:B146"/>
    <mergeCell ref="A149:C149"/>
    <mergeCell ref="A133:B133"/>
    <mergeCell ref="A138:B138"/>
    <mergeCell ref="A139:B139"/>
    <mergeCell ref="A140:B140"/>
    <mergeCell ref="A141:B141"/>
    <mergeCell ref="A118:B118"/>
    <mergeCell ref="A119:B119"/>
    <mergeCell ref="A131:B131"/>
    <mergeCell ref="A132:B132"/>
    <mergeCell ref="A124:B124"/>
    <mergeCell ref="A121:C121"/>
    <mergeCell ref="A135:C135"/>
    <mergeCell ref="C89:J89"/>
    <mergeCell ref="A114:B114"/>
    <mergeCell ref="A115:B115"/>
    <mergeCell ref="A116:B116"/>
    <mergeCell ref="A117:B117"/>
    <mergeCell ref="A67:L67"/>
    <mergeCell ref="A104:B104"/>
    <mergeCell ref="A96:B96"/>
    <mergeCell ref="A97:B97"/>
    <mergeCell ref="A98:B98"/>
    <mergeCell ref="A101:B101"/>
    <mergeCell ref="A102:B102"/>
    <mergeCell ref="A103:B103"/>
    <mergeCell ref="A99:B99"/>
    <mergeCell ref="A100:B100"/>
    <mergeCell ref="A105:B105"/>
    <mergeCell ref="A110:B110"/>
    <mergeCell ref="A81:B81"/>
    <mergeCell ref="A93:C93"/>
    <mergeCell ref="A107:C107"/>
    <mergeCell ref="A198:B198"/>
    <mergeCell ref="A9:L9"/>
    <mergeCell ref="A10:L10"/>
    <mergeCell ref="A52:L52"/>
    <mergeCell ref="A53:B53"/>
    <mergeCell ref="B92:L92"/>
    <mergeCell ref="A77:B77"/>
    <mergeCell ref="A70:L71"/>
    <mergeCell ref="A76:B76"/>
    <mergeCell ref="A83:B83"/>
    <mergeCell ref="A78:B78"/>
    <mergeCell ref="A79:B79"/>
    <mergeCell ref="A80:B80"/>
    <mergeCell ref="A82:B82"/>
    <mergeCell ref="B88:L88"/>
    <mergeCell ref="A56:B56"/>
    <mergeCell ref="A57:B57"/>
    <mergeCell ref="A63:L63"/>
    <mergeCell ref="A54:B54"/>
    <mergeCell ref="A55:B55"/>
    <mergeCell ref="A62:L62"/>
    <mergeCell ref="A61:L61"/>
    <mergeCell ref="A60:L60"/>
    <mergeCell ref="A59:L59"/>
  </mergeCells>
  <phoneticPr fontId="13" type="noConversion"/>
  <dataValidations count="2">
    <dataValidation type="list" allowBlank="1" showInputMessage="1" showErrorMessage="1" sqref="C14:L14 N14" xr:uid="{00000000-0002-0000-1800-000000000000}">
      <formula1>"CGAAP, MIFRS, USGAAP, ASPE"</formula1>
    </dataValidation>
    <dataValidation type="whole" operator="greaterThanOrEqual" allowBlank="1" showInputMessage="1" showErrorMessage="1" sqref="B89" xr:uid="{00000000-0002-0000-1800-000001000000}">
      <formula1>0</formula1>
    </dataValidation>
  </dataValidations>
  <pageMargins left="0.74803149606299213" right="0.74803149606299213" top="0.98425196850393704" bottom="0.98425196850393704" header="0.51181102362204722" footer="0.51181102362204722"/>
  <pageSetup scale="50" fitToHeight="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theme="9" tint="0.39997558519241921"/>
  </sheetPr>
  <dimension ref="A1:H41"/>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24.28515625" bestFit="1" customWidth="1"/>
    <col min="12" max="15" width="8.85546875" customWidth="1"/>
  </cols>
  <sheetData>
    <row r="1" spans="1:8" x14ac:dyDescent="0.2">
      <c r="A1" t="s">
        <v>1081</v>
      </c>
      <c r="B1" t="s">
        <v>1082</v>
      </c>
      <c r="C1" t="s">
        <v>277</v>
      </c>
      <c r="D1" t="s">
        <v>276</v>
      </c>
      <c r="E1" t="s">
        <v>275</v>
      </c>
      <c r="F1" t="s">
        <v>1104</v>
      </c>
      <c r="G1" t="s">
        <v>10</v>
      </c>
      <c r="H1" t="s">
        <v>1105</v>
      </c>
    </row>
    <row r="2" spans="1:8" x14ac:dyDescent="0.2">
      <c r="A2" t="str">
        <f>'LDC Info'!$E$14</f>
        <v>Greater Sudbury Hydro Inc.</v>
      </c>
      <c r="B2" t="str">
        <f t="shared" ref="B2:B41" si="0">EBNUMBER</f>
        <v>EB-2019-0037</v>
      </c>
      <c r="C2">
        <f t="shared" ref="C2:C41" si="1">TestYear</f>
        <v>2020</v>
      </c>
      <c r="D2">
        <f t="shared" ref="D2:D41" si="2">BridgeYear</f>
        <v>2019</v>
      </c>
      <c r="E2">
        <f t="shared" ref="E2:E41" si="3">RebaseYear</f>
        <v>2013</v>
      </c>
      <c r="F2" t="s">
        <v>24</v>
      </c>
      <c r="G2">
        <f>'App.2-H_Other_Oper_Rev'!C13</f>
        <v>2011</v>
      </c>
      <c r="H2">
        <f>'App.2-H_Other_Oper_Rev'!C53</f>
        <v>0</v>
      </c>
    </row>
    <row r="3" spans="1:8" x14ac:dyDescent="0.2">
      <c r="A3" t="str">
        <f>'LDC Info'!$E$14</f>
        <v>Greater Sudbury Hydro Inc.</v>
      </c>
      <c r="B3" t="str">
        <f t="shared" si="0"/>
        <v>EB-2019-0037</v>
      </c>
      <c r="C3">
        <f t="shared" si="1"/>
        <v>2020</v>
      </c>
      <c r="D3">
        <f t="shared" si="2"/>
        <v>2019</v>
      </c>
      <c r="E3">
        <f t="shared" si="3"/>
        <v>2013</v>
      </c>
      <c r="F3" t="s">
        <v>25</v>
      </c>
      <c r="G3">
        <f>'App.2-H_Other_Oper_Rev'!C13</f>
        <v>2011</v>
      </c>
      <c r="H3">
        <f>'App.2-H_Other_Oper_Rev'!C54</f>
        <v>0</v>
      </c>
    </row>
    <row r="4" spans="1:8" x14ac:dyDescent="0.2">
      <c r="A4" t="str">
        <f>'LDC Info'!$E$14</f>
        <v>Greater Sudbury Hydro Inc.</v>
      </c>
      <c r="B4" t="str">
        <f t="shared" si="0"/>
        <v>EB-2019-0037</v>
      </c>
      <c r="C4">
        <f t="shared" si="1"/>
        <v>2020</v>
      </c>
      <c r="D4">
        <f t="shared" si="2"/>
        <v>2019</v>
      </c>
      <c r="E4">
        <f t="shared" si="3"/>
        <v>2013</v>
      </c>
      <c r="F4" t="s">
        <v>192</v>
      </c>
      <c r="G4">
        <f>'App.2-H_Other_Oper_Rev'!C13</f>
        <v>2011</v>
      </c>
      <c r="H4">
        <f>'App.2-H_Other_Oper_Rev'!C55</f>
        <v>0</v>
      </c>
    </row>
    <row r="5" spans="1:8" x14ac:dyDescent="0.2">
      <c r="A5" t="str">
        <f>'LDC Info'!$E$14</f>
        <v>Greater Sudbury Hydro Inc.</v>
      </c>
      <c r="B5" t="str">
        <f t="shared" si="0"/>
        <v>EB-2019-0037</v>
      </c>
      <c r="C5">
        <f t="shared" si="1"/>
        <v>2020</v>
      </c>
      <c r="D5">
        <f t="shared" si="2"/>
        <v>2019</v>
      </c>
      <c r="E5">
        <f t="shared" si="3"/>
        <v>2013</v>
      </c>
      <c r="F5" t="s">
        <v>193</v>
      </c>
      <c r="G5">
        <f>'App.2-H_Other_Oper_Rev'!C13</f>
        <v>2011</v>
      </c>
      <c r="H5">
        <f>'App.2-H_Other_Oper_Rev'!C56</f>
        <v>0</v>
      </c>
    </row>
    <row r="6" spans="1:8" x14ac:dyDescent="0.2">
      <c r="A6" t="str">
        <f>'LDC Info'!$E$14</f>
        <v>Greater Sudbury Hydro Inc.</v>
      </c>
      <c r="B6" t="str">
        <f t="shared" si="0"/>
        <v>EB-2019-0037</v>
      </c>
      <c r="C6">
        <f t="shared" si="1"/>
        <v>2020</v>
      </c>
      <c r="D6">
        <f t="shared" si="2"/>
        <v>2019</v>
      </c>
      <c r="E6">
        <f t="shared" si="3"/>
        <v>2013</v>
      </c>
      <c r="F6" t="s">
        <v>24</v>
      </c>
      <c r="G6">
        <f>'App.2-H_Other_Oper_Rev'!D13</f>
        <v>2012</v>
      </c>
      <c r="H6">
        <f>'App.2-H_Other_Oper_Rev'!D53</f>
        <v>0</v>
      </c>
    </row>
    <row r="7" spans="1:8" x14ac:dyDescent="0.2">
      <c r="A7" t="str">
        <f>'LDC Info'!$E$14</f>
        <v>Greater Sudbury Hydro Inc.</v>
      </c>
      <c r="B7" t="str">
        <f t="shared" si="0"/>
        <v>EB-2019-0037</v>
      </c>
      <c r="C7">
        <f t="shared" si="1"/>
        <v>2020</v>
      </c>
      <c r="D7">
        <f t="shared" si="2"/>
        <v>2019</v>
      </c>
      <c r="E7">
        <f t="shared" si="3"/>
        <v>2013</v>
      </c>
      <c r="F7" t="s">
        <v>25</v>
      </c>
      <c r="G7">
        <f>'App.2-H_Other_Oper_Rev'!D13</f>
        <v>2012</v>
      </c>
      <c r="H7">
        <f>'App.2-H_Other_Oper_Rev'!D54</f>
        <v>0</v>
      </c>
    </row>
    <row r="8" spans="1:8" x14ac:dyDescent="0.2">
      <c r="A8" t="str">
        <f>'LDC Info'!$E$14</f>
        <v>Greater Sudbury Hydro Inc.</v>
      </c>
      <c r="B8" t="str">
        <f t="shared" si="0"/>
        <v>EB-2019-0037</v>
      </c>
      <c r="C8">
        <f t="shared" si="1"/>
        <v>2020</v>
      </c>
      <c r="D8">
        <f t="shared" si="2"/>
        <v>2019</v>
      </c>
      <c r="E8">
        <f t="shared" si="3"/>
        <v>2013</v>
      </c>
      <c r="F8" t="s">
        <v>192</v>
      </c>
      <c r="G8">
        <f>'App.2-H_Other_Oper_Rev'!D13</f>
        <v>2012</v>
      </c>
      <c r="H8">
        <f>'App.2-H_Other_Oper_Rev'!D55</f>
        <v>0</v>
      </c>
    </row>
    <row r="9" spans="1:8" x14ac:dyDescent="0.2">
      <c r="A9" t="str">
        <f>'LDC Info'!$E$14</f>
        <v>Greater Sudbury Hydro Inc.</v>
      </c>
      <c r="B9" t="str">
        <f t="shared" si="0"/>
        <v>EB-2019-0037</v>
      </c>
      <c r="C9">
        <f t="shared" si="1"/>
        <v>2020</v>
      </c>
      <c r="D9">
        <f t="shared" si="2"/>
        <v>2019</v>
      </c>
      <c r="E9">
        <f t="shared" si="3"/>
        <v>2013</v>
      </c>
      <c r="F9" t="s">
        <v>193</v>
      </c>
      <c r="G9">
        <f>'App.2-H_Other_Oper_Rev'!D13</f>
        <v>2012</v>
      </c>
      <c r="H9">
        <f>'App.2-H_Other_Oper_Rev'!D56</f>
        <v>0</v>
      </c>
    </row>
    <row r="10" spans="1:8" x14ac:dyDescent="0.2">
      <c r="A10" t="str">
        <f>'LDC Info'!$E$14</f>
        <v>Greater Sudbury Hydro Inc.</v>
      </c>
      <c r="B10" t="str">
        <f t="shared" si="0"/>
        <v>EB-2019-0037</v>
      </c>
      <c r="C10">
        <f t="shared" si="1"/>
        <v>2020</v>
      </c>
      <c r="D10">
        <f t="shared" si="2"/>
        <v>2019</v>
      </c>
      <c r="E10">
        <f t="shared" si="3"/>
        <v>2013</v>
      </c>
      <c r="F10" t="s">
        <v>24</v>
      </c>
      <c r="G10">
        <f>'App.2-H_Other_Oper_Rev'!E13</f>
        <v>2013</v>
      </c>
      <c r="H10">
        <f>'App.2-H_Other_Oper_Rev'!E53</f>
        <v>-486032.68</v>
      </c>
    </row>
    <row r="11" spans="1:8" x14ac:dyDescent="0.2">
      <c r="A11" t="str">
        <f>'LDC Info'!$E$14</f>
        <v>Greater Sudbury Hydro Inc.</v>
      </c>
      <c r="B11" t="str">
        <f t="shared" si="0"/>
        <v>EB-2019-0037</v>
      </c>
      <c r="C11">
        <f t="shared" si="1"/>
        <v>2020</v>
      </c>
      <c r="D11">
        <f t="shared" si="2"/>
        <v>2019</v>
      </c>
      <c r="E11">
        <f t="shared" si="3"/>
        <v>2013</v>
      </c>
      <c r="F11" t="s">
        <v>25</v>
      </c>
      <c r="G11">
        <f>'App.2-H_Other_Oper_Rev'!E13</f>
        <v>2013</v>
      </c>
      <c r="H11">
        <f>'App.2-H_Other_Oper_Rev'!E54</f>
        <v>-144064.42000000007</v>
      </c>
    </row>
    <row r="12" spans="1:8" x14ac:dyDescent="0.2">
      <c r="A12" t="str">
        <f>'LDC Info'!$E$14</f>
        <v>Greater Sudbury Hydro Inc.</v>
      </c>
      <c r="B12" t="str">
        <f t="shared" si="0"/>
        <v>EB-2019-0037</v>
      </c>
      <c r="C12">
        <f t="shared" si="1"/>
        <v>2020</v>
      </c>
      <c r="D12">
        <f t="shared" si="2"/>
        <v>2019</v>
      </c>
      <c r="E12">
        <f t="shared" si="3"/>
        <v>2013</v>
      </c>
      <c r="F12" t="s">
        <v>192</v>
      </c>
      <c r="G12">
        <f>'App.2-H_Other_Oper_Rev'!E13</f>
        <v>2013</v>
      </c>
      <c r="H12">
        <f>'App.2-H_Other_Oper_Rev'!E55</f>
        <v>-723897.06000000017</v>
      </c>
    </row>
    <row r="13" spans="1:8" x14ac:dyDescent="0.2">
      <c r="A13" t="str">
        <f>'LDC Info'!$E$14</f>
        <v>Greater Sudbury Hydro Inc.</v>
      </c>
      <c r="B13" t="str">
        <f t="shared" si="0"/>
        <v>EB-2019-0037</v>
      </c>
      <c r="C13">
        <f t="shared" si="1"/>
        <v>2020</v>
      </c>
      <c r="D13">
        <f t="shared" si="2"/>
        <v>2019</v>
      </c>
      <c r="E13">
        <f t="shared" si="3"/>
        <v>2013</v>
      </c>
      <c r="F13" t="s">
        <v>193</v>
      </c>
      <c r="G13">
        <f>'App.2-H_Other_Oper_Rev'!E13</f>
        <v>2013</v>
      </c>
      <c r="H13">
        <f>'App.2-H_Other_Oper_Rev'!E56</f>
        <v>-607581.49</v>
      </c>
    </row>
    <row r="14" spans="1:8" x14ac:dyDescent="0.2">
      <c r="A14" t="str">
        <f>'LDC Info'!$E$14</f>
        <v>Greater Sudbury Hydro Inc.</v>
      </c>
      <c r="B14" t="str">
        <f t="shared" si="0"/>
        <v>EB-2019-0037</v>
      </c>
      <c r="C14">
        <f t="shared" si="1"/>
        <v>2020</v>
      </c>
      <c r="D14">
        <f t="shared" si="2"/>
        <v>2019</v>
      </c>
      <c r="E14">
        <f t="shared" si="3"/>
        <v>2013</v>
      </c>
      <c r="F14" t="s">
        <v>24</v>
      </c>
      <c r="G14">
        <f>'App.2-H_Other_Oper_Rev'!F13</f>
        <v>2014</v>
      </c>
      <c r="H14">
        <f>'App.2-H_Other_Oper_Rev'!F53</f>
        <v>-500019.58</v>
      </c>
    </row>
    <row r="15" spans="1:8" x14ac:dyDescent="0.2">
      <c r="A15" t="str">
        <f>'LDC Info'!$E$14</f>
        <v>Greater Sudbury Hydro Inc.</v>
      </c>
      <c r="B15" t="str">
        <f t="shared" si="0"/>
        <v>EB-2019-0037</v>
      </c>
      <c r="C15">
        <f t="shared" si="1"/>
        <v>2020</v>
      </c>
      <c r="D15">
        <f t="shared" si="2"/>
        <v>2019</v>
      </c>
      <c r="E15">
        <f t="shared" si="3"/>
        <v>2013</v>
      </c>
      <c r="F15" t="s">
        <v>25</v>
      </c>
      <c r="G15">
        <f>'App.2-H_Other_Oper_Rev'!F13</f>
        <v>2014</v>
      </c>
      <c r="H15">
        <f>'App.2-H_Other_Oper_Rev'!F54</f>
        <v>-175091.61999999997</v>
      </c>
    </row>
    <row r="16" spans="1:8" x14ac:dyDescent="0.2">
      <c r="A16" t="str">
        <f>'LDC Info'!$E$14</f>
        <v>Greater Sudbury Hydro Inc.</v>
      </c>
      <c r="B16" t="str">
        <f t="shared" si="0"/>
        <v>EB-2019-0037</v>
      </c>
      <c r="C16">
        <f t="shared" si="1"/>
        <v>2020</v>
      </c>
      <c r="D16">
        <f t="shared" si="2"/>
        <v>2019</v>
      </c>
      <c r="E16">
        <f t="shared" si="3"/>
        <v>2013</v>
      </c>
      <c r="F16" t="s">
        <v>192</v>
      </c>
      <c r="G16">
        <f>'App.2-H_Other_Oper_Rev'!F13</f>
        <v>2014</v>
      </c>
      <c r="H16">
        <f>'App.2-H_Other_Oper_Rev'!F55</f>
        <v>-683774.50999999978</v>
      </c>
    </row>
    <row r="17" spans="1:8" x14ac:dyDescent="0.2">
      <c r="A17" t="str">
        <f>'LDC Info'!$E$14</f>
        <v>Greater Sudbury Hydro Inc.</v>
      </c>
      <c r="B17" t="str">
        <f t="shared" si="0"/>
        <v>EB-2019-0037</v>
      </c>
      <c r="C17">
        <f t="shared" si="1"/>
        <v>2020</v>
      </c>
      <c r="D17">
        <f t="shared" si="2"/>
        <v>2019</v>
      </c>
      <c r="E17">
        <f t="shared" si="3"/>
        <v>2013</v>
      </c>
      <c r="F17" t="s">
        <v>193</v>
      </c>
      <c r="G17">
        <f>'App.2-H_Other_Oper_Rev'!F13</f>
        <v>2014</v>
      </c>
      <c r="H17">
        <f>'App.2-H_Other_Oper_Rev'!F56</f>
        <v>-496598.22999999975</v>
      </c>
    </row>
    <row r="18" spans="1:8" x14ac:dyDescent="0.2">
      <c r="A18" t="str">
        <f>'LDC Info'!$E$14</f>
        <v>Greater Sudbury Hydro Inc.</v>
      </c>
      <c r="B18" t="str">
        <f t="shared" si="0"/>
        <v>EB-2019-0037</v>
      </c>
      <c r="C18">
        <f t="shared" si="1"/>
        <v>2020</v>
      </c>
      <c r="D18">
        <f t="shared" si="2"/>
        <v>2019</v>
      </c>
      <c r="E18">
        <f t="shared" si="3"/>
        <v>2013</v>
      </c>
      <c r="F18" t="s">
        <v>24</v>
      </c>
      <c r="G18">
        <f>'App.2-H_Other_Oper_Rev'!G13</f>
        <v>2015</v>
      </c>
      <c r="H18">
        <f>'App.2-H_Other_Oper_Rev'!G53</f>
        <v>-477142.57999999996</v>
      </c>
    </row>
    <row r="19" spans="1:8" x14ac:dyDescent="0.2">
      <c r="A19" t="str">
        <f>'LDC Info'!$E$14</f>
        <v>Greater Sudbury Hydro Inc.</v>
      </c>
      <c r="B19" t="str">
        <f t="shared" si="0"/>
        <v>EB-2019-0037</v>
      </c>
      <c r="C19">
        <f t="shared" si="1"/>
        <v>2020</v>
      </c>
      <c r="D19">
        <f t="shared" si="2"/>
        <v>2019</v>
      </c>
      <c r="E19">
        <f t="shared" si="3"/>
        <v>2013</v>
      </c>
      <c r="F19" t="s">
        <v>25</v>
      </c>
      <c r="G19">
        <f>'App.2-H_Other_Oper_Rev'!G13</f>
        <v>2015</v>
      </c>
      <c r="H19">
        <f>'App.2-H_Other_Oper_Rev'!G54</f>
        <v>-182321.5400000001</v>
      </c>
    </row>
    <row r="20" spans="1:8" x14ac:dyDescent="0.2">
      <c r="A20" t="str">
        <f>'LDC Info'!$E$14</f>
        <v>Greater Sudbury Hydro Inc.</v>
      </c>
      <c r="B20" t="str">
        <f t="shared" si="0"/>
        <v>EB-2019-0037</v>
      </c>
      <c r="C20">
        <f t="shared" si="1"/>
        <v>2020</v>
      </c>
      <c r="D20">
        <f t="shared" si="2"/>
        <v>2019</v>
      </c>
      <c r="E20">
        <f t="shared" si="3"/>
        <v>2013</v>
      </c>
      <c r="F20" t="s">
        <v>192</v>
      </c>
      <c r="G20">
        <f>'App.2-H_Other_Oper_Rev'!G13</f>
        <v>2015</v>
      </c>
      <c r="H20">
        <f>'App.2-H_Other_Oper_Rev'!G55</f>
        <v>-995910.58000000007</v>
      </c>
    </row>
    <row r="21" spans="1:8" x14ac:dyDescent="0.2">
      <c r="A21" t="str">
        <f>'LDC Info'!$E$14</f>
        <v>Greater Sudbury Hydro Inc.</v>
      </c>
      <c r="B21" t="str">
        <f t="shared" si="0"/>
        <v>EB-2019-0037</v>
      </c>
      <c r="C21">
        <f t="shared" si="1"/>
        <v>2020</v>
      </c>
      <c r="D21">
        <f t="shared" si="2"/>
        <v>2019</v>
      </c>
      <c r="E21">
        <f t="shared" si="3"/>
        <v>2013</v>
      </c>
      <c r="F21" t="s">
        <v>193</v>
      </c>
      <c r="G21">
        <f>'App.2-H_Other_Oper_Rev'!G13</f>
        <v>2015</v>
      </c>
      <c r="H21">
        <f>'App.2-H_Other_Oper_Rev'!G56</f>
        <v>-238903.70000000007</v>
      </c>
    </row>
    <row r="22" spans="1:8" x14ac:dyDescent="0.2">
      <c r="A22" t="str">
        <f>'LDC Info'!$E$14</f>
        <v>Greater Sudbury Hydro Inc.</v>
      </c>
      <c r="B22" t="str">
        <f t="shared" si="0"/>
        <v>EB-2019-0037</v>
      </c>
      <c r="C22">
        <f t="shared" si="1"/>
        <v>2020</v>
      </c>
      <c r="D22">
        <f t="shared" si="2"/>
        <v>2019</v>
      </c>
      <c r="E22">
        <f t="shared" si="3"/>
        <v>2013</v>
      </c>
      <c r="F22" t="s">
        <v>24</v>
      </c>
      <c r="G22">
        <f>'App.2-H_Other_Oper_Rev'!H13</f>
        <v>2016</v>
      </c>
      <c r="H22">
        <f>'App.2-H_Other_Oper_Rev'!H53</f>
        <v>-516505.33999999997</v>
      </c>
    </row>
    <row r="23" spans="1:8" x14ac:dyDescent="0.2">
      <c r="A23" t="str">
        <f>'LDC Info'!$E$14</f>
        <v>Greater Sudbury Hydro Inc.</v>
      </c>
      <c r="B23" t="str">
        <f t="shared" si="0"/>
        <v>EB-2019-0037</v>
      </c>
      <c r="C23">
        <f t="shared" si="1"/>
        <v>2020</v>
      </c>
      <c r="D23">
        <f t="shared" si="2"/>
        <v>2019</v>
      </c>
      <c r="E23">
        <f t="shared" si="3"/>
        <v>2013</v>
      </c>
      <c r="F23" t="s">
        <v>25</v>
      </c>
      <c r="G23">
        <f>'App.2-H_Other_Oper_Rev'!H13</f>
        <v>2016</v>
      </c>
      <c r="H23">
        <f>'App.2-H_Other_Oper_Rev'!H54</f>
        <v>-195236.33000000019</v>
      </c>
    </row>
    <row r="24" spans="1:8" x14ac:dyDescent="0.2">
      <c r="A24" t="str">
        <f>'LDC Info'!$E$14</f>
        <v>Greater Sudbury Hydro Inc.</v>
      </c>
      <c r="B24" t="str">
        <f t="shared" si="0"/>
        <v>EB-2019-0037</v>
      </c>
      <c r="C24">
        <f t="shared" si="1"/>
        <v>2020</v>
      </c>
      <c r="D24">
        <f t="shared" si="2"/>
        <v>2019</v>
      </c>
      <c r="E24">
        <f t="shared" si="3"/>
        <v>2013</v>
      </c>
      <c r="F24" t="s">
        <v>192</v>
      </c>
      <c r="G24">
        <f>'App.2-H_Other_Oper_Rev'!H13</f>
        <v>2016</v>
      </c>
      <c r="H24">
        <f>'App.2-H_Other_Oper_Rev'!H55</f>
        <v>-848273.83000000019</v>
      </c>
    </row>
    <row r="25" spans="1:8" x14ac:dyDescent="0.2">
      <c r="A25" t="str">
        <f>'LDC Info'!$E$14</f>
        <v>Greater Sudbury Hydro Inc.</v>
      </c>
      <c r="B25" t="str">
        <f t="shared" si="0"/>
        <v>EB-2019-0037</v>
      </c>
      <c r="C25">
        <f t="shared" si="1"/>
        <v>2020</v>
      </c>
      <c r="D25">
        <f t="shared" si="2"/>
        <v>2019</v>
      </c>
      <c r="E25">
        <f t="shared" si="3"/>
        <v>2013</v>
      </c>
      <c r="F25" t="s">
        <v>193</v>
      </c>
      <c r="G25">
        <f>'App.2-H_Other_Oper_Rev'!H13</f>
        <v>2016</v>
      </c>
      <c r="H25">
        <f>'App.2-H_Other_Oper_Rev'!H56</f>
        <v>-1409220.1199999999</v>
      </c>
    </row>
    <row r="26" spans="1:8" x14ac:dyDescent="0.2">
      <c r="A26" t="str">
        <f>'LDC Info'!$E$14</f>
        <v>Greater Sudbury Hydro Inc.</v>
      </c>
      <c r="B26" t="str">
        <f t="shared" si="0"/>
        <v>EB-2019-0037</v>
      </c>
      <c r="C26">
        <f t="shared" si="1"/>
        <v>2020</v>
      </c>
      <c r="D26">
        <f t="shared" si="2"/>
        <v>2019</v>
      </c>
      <c r="E26">
        <f t="shared" si="3"/>
        <v>2013</v>
      </c>
      <c r="F26" t="s">
        <v>24</v>
      </c>
      <c r="G26">
        <f>'App.2-H_Other_Oper_Rev'!I13</f>
        <v>2017</v>
      </c>
      <c r="H26">
        <f>'App.2-H_Other_Oper_Rev'!I53</f>
        <v>-441433.92</v>
      </c>
    </row>
    <row r="27" spans="1:8" x14ac:dyDescent="0.2">
      <c r="A27" t="str">
        <f>'LDC Info'!$E$14</f>
        <v>Greater Sudbury Hydro Inc.</v>
      </c>
      <c r="B27" t="str">
        <f t="shared" si="0"/>
        <v>EB-2019-0037</v>
      </c>
      <c r="C27">
        <f t="shared" si="1"/>
        <v>2020</v>
      </c>
      <c r="D27">
        <f t="shared" si="2"/>
        <v>2019</v>
      </c>
      <c r="E27">
        <f t="shared" si="3"/>
        <v>2013</v>
      </c>
      <c r="F27" t="s">
        <v>25</v>
      </c>
      <c r="G27">
        <f>'App.2-H_Other_Oper_Rev'!I13</f>
        <v>2017</v>
      </c>
      <c r="H27">
        <f>'App.2-H_Other_Oper_Rev'!I54</f>
        <v>-166760.54000000033</v>
      </c>
    </row>
    <row r="28" spans="1:8" x14ac:dyDescent="0.2">
      <c r="A28" t="str">
        <f>'LDC Info'!$E$14</f>
        <v>Greater Sudbury Hydro Inc.</v>
      </c>
      <c r="B28" t="str">
        <f t="shared" si="0"/>
        <v>EB-2019-0037</v>
      </c>
      <c r="C28">
        <f t="shared" si="1"/>
        <v>2020</v>
      </c>
      <c r="D28">
        <f t="shared" si="2"/>
        <v>2019</v>
      </c>
      <c r="E28">
        <f t="shared" si="3"/>
        <v>2013</v>
      </c>
      <c r="F28" t="s">
        <v>192</v>
      </c>
      <c r="G28">
        <f>'App.2-H_Other_Oper_Rev'!I13</f>
        <v>2017</v>
      </c>
      <c r="H28">
        <f>'App.2-H_Other_Oper_Rev'!I55</f>
        <v>-952620.69000000018</v>
      </c>
    </row>
    <row r="29" spans="1:8" x14ac:dyDescent="0.2">
      <c r="A29" t="str">
        <f>'LDC Info'!$E$14</f>
        <v>Greater Sudbury Hydro Inc.</v>
      </c>
      <c r="B29" t="str">
        <f t="shared" si="0"/>
        <v>EB-2019-0037</v>
      </c>
      <c r="C29">
        <f t="shared" si="1"/>
        <v>2020</v>
      </c>
      <c r="D29">
        <f t="shared" si="2"/>
        <v>2019</v>
      </c>
      <c r="E29">
        <f t="shared" si="3"/>
        <v>2013</v>
      </c>
      <c r="F29" t="s">
        <v>193</v>
      </c>
      <c r="G29">
        <f>'App.2-H_Other_Oper_Rev'!I13</f>
        <v>2017</v>
      </c>
      <c r="H29">
        <f>'App.2-H_Other_Oper_Rev'!I56</f>
        <v>-448483.09000000008</v>
      </c>
    </row>
    <row r="30" spans="1:8" x14ac:dyDescent="0.2">
      <c r="A30" t="str">
        <f>'LDC Info'!$E$14</f>
        <v>Greater Sudbury Hydro Inc.</v>
      </c>
      <c r="B30" t="str">
        <f t="shared" si="0"/>
        <v>EB-2019-0037</v>
      </c>
      <c r="C30">
        <f t="shared" si="1"/>
        <v>2020</v>
      </c>
      <c r="D30">
        <f t="shared" si="2"/>
        <v>2019</v>
      </c>
      <c r="E30">
        <f t="shared" si="3"/>
        <v>2013</v>
      </c>
      <c r="F30" t="s">
        <v>24</v>
      </c>
      <c r="G30">
        <f>'App.2-H_Other_Oper_Rev'!J13</f>
        <v>2018</v>
      </c>
      <c r="H30">
        <f>'App.2-H_Other_Oper_Rev'!J53</f>
        <v>-320067.69000000006</v>
      </c>
    </row>
    <row r="31" spans="1:8" x14ac:dyDescent="0.2">
      <c r="A31" t="str">
        <f>'LDC Info'!$E$14</f>
        <v>Greater Sudbury Hydro Inc.</v>
      </c>
      <c r="B31" t="str">
        <f t="shared" si="0"/>
        <v>EB-2019-0037</v>
      </c>
      <c r="C31">
        <f t="shared" si="1"/>
        <v>2020</v>
      </c>
      <c r="D31">
        <f t="shared" si="2"/>
        <v>2019</v>
      </c>
      <c r="E31">
        <f t="shared" si="3"/>
        <v>2013</v>
      </c>
      <c r="F31" t="s">
        <v>25</v>
      </c>
      <c r="G31">
        <f>'App.2-H_Other_Oper_Rev'!J13</f>
        <v>2018</v>
      </c>
      <c r="H31">
        <f>'App.2-H_Other_Oper_Rev'!J54</f>
        <v>-148898.01000000018</v>
      </c>
    </row>
    <row r="32" spans="1:8" x14ac:dyDescent="0.2">
      <c r="A32" t="str">
        <f>'LDC Info'!$E$14</f>
        <v>Greater Sudbury Hydro Inc.</v>
      </c>
      <c r="B32" t="str">
        <f t="shared" si="0"/>
        <v>EB-2019-0037</v>
      </c>
      <c r="C32">
        <f t="shared" si="1"/>
        <v>2020</v>
      </c>
      <c r="D32">
        <f t="shared" si="2"/>
        <v>2019</v>
      </c>
      <c r="E32">
        <f t="shared" si="3"/>
        <v>2013</v>
      </c>
      <c r="F32" t="s">
        <v>192</v>
      </c>
      <c r="G32">
        <f>'App.2-H_Other_Oper_Rev'!J13</f>
        <v>2018</v>
      </c>
      <c r="H32">
        <f>'App.2-H_Other_Oper_Rev'!J55</f>
        <v>-897214.77000000025</v>
      </c>
    </row>
    <row r="33" spans="1:8" x14ac:dyDescent="0.2">
      <c r="A33" t="str">
        <f>'LDC Info'!$E$14</f>
        <v>Greater Sudbury Hydro Inc.</v>
      </c>
      <c r="B33" t="str">
        <f t="shared" si="0"/>
        <v>EB-2019-0037</v>
      </c>
      <c r="C33">
        <f t="shared" si="1"/>
        <v>2020</v>
      </c>
      <c r="D33">
        <f t="shared" si="2"/>
        <v>2019</v>
      </c>
      <c r="E33">
        <f t="shared" si="3"/>
        <v>2013</v>
      </c>
      <c r="F33" t="s">
        <v>193</v>
      </c>
      <c r="G33">
        <f>'App.2-H_Other_Oper_Rev'!J13</f>
        <v>2018</v>
      </c>
      <c r="H33">
        <f>'App.2-H_Other_Oper_Rev'!J56</f>
        <v>-824889.23999999987</v>
      </c>
    </row>
    <row r="34" spans="1:8" x14ac:dyDescent="0.2">
      <c r="A34" t="str">
        <f>'LDC Info'!$E$14</f>
        <v>Greater Sudbury Hydro Inc.</v>
      </c>
      <c r="B34" t="str">
        <f t="shared" si="0"/>
        <v>EB-2019-0037</v>
      </c>
      <c r="C34">
        <f t="shared" si="1"/>
        <v>2020</v>
      </c>
      <c r="D34">
        <f t="shared" si="2"/>
        <v>2019</v>
      </c>
      <c r="E34">
        <f t="shared" si="3"/>
        <v>2013</v>
      </c>
      <c r="F34" t="s">
        <v>24</v>
      </c>
      <c r="G34">
        <f>'App.2-H_Other_Oper_Rev'!K13</f>
        <v>2019</v>
      </c>
      <c r="H34">
        <f>'App.2-H_Other_Oper_Rev'!K53</f>
        <v>-299383.06</v>
      </c>
    </row>
    <row r="35" spans="1:8" x14ac:dyDescent="0.2">
      <c r="A35" t="str">
        <f>'LDC Info'!$E$14</f>
        <v>Greater Sudbury Hydro Inc.</v>
      </c>
      <c r="B35" t="str">
        <f t="shared" si="0"/>
        <v>EB-2019-0037</v>
      </c>
      <c r="C35">
        <f t="shared" si="1"/>
        <v>2020</v>
      </c>
      <c r="D35">
        <f t="shared" si="2"/>
        <v>2019</v>
      </c>
      <c r="E35">
        <f t="shared" si="3"/>
        <v>2013</v>
      </c>
      <c r="F35" t="s">
        <v>25</v>
      </c>
      <c r="G35">
        <f>'App.2-H_Other_Oper_Rev'!K13</f>
        <v>2019</v>
      </c>
      <c r="H35">
        <f>'App.2-H_Other_Oper_Rev'!K54</f>
        <v>-155234.51999999999</v>
      </c>
    </row>
    <row r="36" spans="1:8" x14ac:dyDescent="0.2">
      <c r="A36" t="str">
        <f>'LDC Info'!$E$14</f>
        <v>Greater Sudbury Hydro Inc.</v>
      </c>
      <c r="B36" t="str">
        <f t="shared" si="0"/>
        <v>EB-2019-0037</v>
      </c>
      <c r="C36">
        <f t="shared" si="1"/>
        <v>2020</v>
      </c>
      <c r="D36">
        <f t="shared" si="2"/>
        <v>2019</v>
      </c>
      <c r="E36">
        <f t="shared" si="3"/>
        <v>2013</v>
      </c>
      <c r="F36" t="s">
        <v>192</v>
      </c>
      <c r="G36">
        <f>'App.2-H_Other_Oper_Rev'!K13</f>
        <v>2019</v>
      </c>
      <c r="H36">
        <f>'App.2-H_Other_Oper_Rev'!K55</f>
        <v>-1466372.7814500001</v>
      </c>
    </row>
    <row r="37" spans="1:8" x14ac:dyDescent="0.2">
      <c r="A37" t="str">
        <f>'LDC Info'!$E$14</f>
        <v>Greater Sudbury Hydro Inc.</v>
      </c>
      <c r="B37" t="str">
        <f t="shared" si="0"/>
        <v>EB-2019-0037</v>
      </c>
      <c r="C37">
        <f t="shared" si="1"/>
        <v>2020</v>
      </c>
      <c r="D37">
        <f t="shared" si="2"/>
        <v>2019</v>
      </c>
      <c r="E37">
        <f t="shared" si="3"/>
        <v>2013</v>
      </c>
      <c r="F37" t="s">
        <v>193</v>
      </c>
      <c r="G37">
        <f>'App.2-H_Other_Oper_Rev'!K13</f>
        <v>2019</v>
      </c>
      <c r="H37">
        <f>'App.2-H_Other_Oper_Rev'!K56</f>
        <v>168625.57333333342</v>
      </c>
    </row>
    <row r="38" spans="1:8" x14ac:dyDescent="0.2">
      <c r="A38" t="str">
        <f>'LDC Info'!$E$14</f>
        <v>Greater Sudbury Hydro Inc.</v>
      </c>
      <c r="B38" t="str">
        <f t="shared" si="0"/>
        <v>EB-2019-0037</v>
      </c>
      <c r="C38">
        <f t="shared" si="1"/>
        <v>2020</v>
      </c>
      <c r="D38">
        <f t="shared" si="2"/>
        <v>2019</v>
      </c>
      <c r="E38">
        <f t="shared" si="3"/>
        <v>2013</v>
      </c>
      <c r="F38" t="s">
        <v>24</v>
      </c>
      <c r="G38">
        <f>'App.2-H_Other_Oper_Rev'!L13</f>
        <v>2020</v>
      </c>
      <c r="H38">
        <f>'App.2-H_Other_Oper_Rev'!L53</f>
        <v>-218602</v>
      </c>
    </row>
    <row r="39" spans="1:8" x14ac:dyDescent="0.2">
      <c r="A39" t="str">
        <f>'LDC Info'!$E$14</f>
        <v>Greater Sudbury Hydro Inc.</v>
      </c>
      <c r="B39" t="str">
        <f t="shared" si="0"/>
        <v>EB-2019-0037</v>
      </c>
      <c r="C39">
        <f t="shared" si="1"/>
        <v>2020</v>
      </c>
      <c r="D39">
        <f t="shared" si="2"/>
        <v>2019</v>
      </c>
      <c r="E39">
        <f t="shared" si="3"/>
        <v>2013</v>
      </c>
      <c r="F39" t="s">
        <v>25</v>
      </c>
      <c r="G39">
        <f>'App.2-H_Other_Oper_Rev'!L13</f>
        <v>2020</v>
      </c>
      <c r="H39">
        <f>'App.2-H_Other_Oper_Rev'!L54</f>
        <v>-156800</v>
      </c>
    </row>
    <row r="40" spans="1:8" x14ac:dyDescent="0.2">
      <c r="A40" t="str">
        <f>'LDC Info'!$E$14</f>
        <v>Greater Sudbury Hydro Inc.</v>
      </c>
      <c r="B40" t="str">
        <f t="shared" si="0"/>
        <v>EB-2019-0037</v>
      </c>
      <c r="C40">
        <f t="shared" si="1"/>
        <v>2020</v>
      </c>
      <c r="D40">
        <f t="shared" si="2"/>
        <v>2019</v>
      </c>
      <c r="E40">
        <f t="shared" si="3"/>
        <v>2013</v>
      </c>
      <c r="F40" t="s">
        <v>192</v>
      </c>
      <c r="G40">
        <f>'App.2-H_Other_Oper_Rev'!L13</f>
        <v>2020</v>
      </c>
      <c r="H40">
        <f>'App.2-H_Other_Oper_Rev'!L55</f>
        <v>-1496074.76535</v>
      </c>
    </row>
    <row r="41" spans="1:8" x14ac:dyDescent="0.2">
      <c r="A41" t="str">
        <f>'LDC Info'!$E$14</f>
        <v>Greater Sudbury Hydro Inc.</v>
      </c>
      <c r="B41" t="str">
        <f t="shared" si="0"/>
        <v>EB-2019-0037</v>
      </c>
      <c r="C41">
        <f t="shared" si="1"/>
        <v>2020</v>
      </c>
      <c r="D41">
        <f t="shared" si="2"/>
        <v>2019</v>
      </c>
      <c r="E41">
        <f t="shared" si="3"/>
        <v>2013</v>
      </c>
      <c r="F41" t="s">
        <v>193</v>
      </c>
      <c r="G41">
        <f>'App.2-H_Other_Oper_Rev'!L13</f>
        <v>2020</v>
      </c>
      <c r="H41">
        <f>'App.2-H_Other_Oper_Rev'!L56</f>
        <v>318690</v>
      </c>
    </row>
  </sheetData>
  <sheetProtection algorithmName="SHA-512" hashValue="KlQHaGW8rheg/DgIVNm+K7pYNs795aJ4cfc4IOe1lFnw29xeJzDTX9p836978p7OpA8XwFrGKItCYtrN7Isisw==" saltValue="JwbMrmcczeFrCdRJNRlENg==" spinCount="100000" sheet="1" objects="1" scenarios="1"/>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9" tint="0.39997558519241921"/>
    <pageSetUpPr fitToPage="1"/>
  </sheetPr>
  <dimension ref="A1:N135"/>
  <sheetViews>
    <sheetView showGridLines="0" topLeftCell="A46" zoomScale="110" zoomScaleNormal="110" zoomScaleSheetLayoutView="40" workbookViewId="0">
      <selection activeCell="C58" sqref="C58"/>
    </sheetView>
  </sheetViews>
  <sheetFormatPr defaultColWidth="9.28515625" defaultRowHeight="15" x14ac:dyDescent="0.25"/>
  <cols>
    <col min="1" max="1" width="30.42578125" style="606" customWidth="1"/>
    <col min="2" max="2" width="22.7109375" style="606" customWidth="1"/>
    <col min="3" max="6" width="18.7109375" style="606" customWidth="1"/>
    <col min="7" max="7" width="15.28515625" style="606" customWidth="1"/>
    <col min="8" max="8" width="16" style="606" customWidth="1"/>
    <col min="9" max="9" width="12.42578125" style="606" customWidth="1"/>
    <col min="10" max="12" width="9.28515625" style="606" hidden="1" customWidth="1"/>
    <col min="13" max="14" width="0" style="606" hidden="1" customWidth="1"/>
    <col min="15" max="16384" width="9.28515625" style="606"/>
  </cols>
  <sheetData>
    <row r="1" spans="1:10" s="1528" customFormat="1" x14ac:dyDescent="0.25">
      <c r="G1" s="1529" t="s">
        <v>264</v>
      </c>
      <c r="H1" s="1530" t="str">
        <f>EBNUMBER</f>
        <v>EB-2019-0037</v>
      </c>
      <c r="I1" s="606"/>
      <c r="J1" s="1531"/>
    </row>
    <row r="2" spans="1:10" s="1528" customFormat="1" x14ac:dyDescent="0.25">
      <c r="G2" s="1529" t="s">
        <v>265</v>
      </c>
      <c r="H2" s="1532"/>
      <c r="I2" s="606"/>
      <c r="J2" s="1530"/>
    </row>
    <row r="3" spans="1:10" s="1528" customFormat="1" x14ac:dyDescent="0.25">
      <c r="G3" s="1529" t="s">
        <v>266</v>
      </c>
      <c r="H3" s="1532"/>
      <c r="I3" s="606"/>
      <c r="J3" s="1530"/>
    </row>
    <row r="4" spans="1:10" s="1528" customFormat="1" x14ac:dyDescent="0.25">
      <c r="G4" s="1529" t="s">
        <v>267</v>
      </c>
      <c r="H4" s="1532"/>
      <c r="I4" s="606"/>
      <c r="J4" s="1530"/>
    </row>
    <row r="5" spans="1:10" s="1528" customFormat="1" x14ac:dyDescent="0.25">
      <c r="G5" s="1529" t="s">
        <v>268</v>
      </c>
      <c r="H5" s="1533"/>
      <c r="I5" s="606"/>
      <c r="J5" s="1531"/>
    </row>
    <row r="6" spans="1:10" s="1528" customFormat="1" x14ac:dyDescent="0.25">
      <c r="G6" s="1529"/>
      <c r="H6" s="1531"/>
      <c r="I6" s="606"/>
      <c r="J6" s="1531"/>
    </row>
    <row r="7" spans="1:10" s="1528" customFormat="1" x14ac:dyDescent="0.25">
      <c r="G7" s="1529" t="s">
        <v>269</v>
      </c>
      <c r="H7" s="1533"/>
      <c r="I7" s="606"/>
      <c r="J7" s="1531"/>
    </row>
    <row r="8" spans="1:10" s="1528" customFormat="1" ht="12.75" x14ac:dyDescent="0.2">
      <c r="G8" s="1534"/>
    </row>
    <row r="9" spans="1:10" s="1528" customFormat="1" ht="18.75" x14ac:dyDescent="0.3">
      <c r="A9" s="2165" t="s">
        <v>150</v>
      </c>
      <c r="B9" s="2165"/>
      <c r="C9" s="2165"/>
      <c r="D9" s="2165"/>
      <c r="E9" s="2165"/>
      <c r="F9" s="2165"/>
      <c r="G9" s="2165"/>
      <c r="H9" s="2165"/>
    </row>
    <row r="10" spans="1:10" s="1528" customFormat="1" ht="18.75" x14ac:dyDescent="0.3">
      <c r="A10" s="2165" t="s">
        <v>1304</v>
      </c>
      <c r="B10" s="2165"/>
      <c r="C10" s="2165"/>
      <c r="D10" s="2165"/>
      <c r="E10" s="2165"/>
      <c r="F10" s="2165"/>
      <c r="G10" s="2165"/>
      <c r="H10" s="2165"/>
    </row>
    <row r="12" spans="1:10" ht="132.75" customHeight="1" x14ac:dyDescent="0.25">
      <c r="A12" s="2144" t="s">
        <v>1378</v>
      </c>
      <c r="B12" s="2154"/>
      <c r="C12" s="2154"/>
      <c r="D12" s="2154"/>
      <c r="E12" s="2154"/>
      <c r="F12" s="2154"/>
      <c r="G12" s="2154"/>
      <c r="H12" s="2154"/>
    </row>
    <row r="13" spans="1:10" ht="20.25" customHeight="1" x14ac:dyDescent="0.25">
      <c r="A13" s="1524"/>
      <c r="B13" s="1524"/>
      <c r="C13" s="1524"/>
      <c r="D13" s="1524"/>
      <c r="E13" s="1524"/>
      <c r="F13" s="1524"/>
      <c r="G13" s="1524"/>
      <c r="H13" s="1524"/>
    </row>
    <row r="14" spans="1:10" ht="17.649999999999999" customHeight="1" x14ac:dyDescent="0.25">
      <c r="A14" s="2166" t="s">
        <v>1359</v>
      </c>
      <c r="B14" s="2166"/>
      <c r="C14" s="2166"/>
      <c r="D14" s="2166"/>
      <c r="E14" s="2166"/>
      <c r="F14" s="2166"/>
      <c r="G14" s="2166"/>
      <c r="H14" s="2166"/>
    </row>
    <row r="15" spans="1:10" x14ac:dyDescent="0.25">
      <c r="A15" s="608"/>
      <c r="B15" s="609"/>
      <c r="C15" s="609"/>
      <c r="D15" s="609"/>
      <c r="E15" s="609"/>
      <c r="F15" s="609"/>
    </row>
    <row r="16" spans="1:10" ht="106.5" customHeight="1" x14ac:dyDescent="0.25">
      <c r="A16" s="2144" t="s">
        <v>1360</v>
      </c>
      <c r="B16" s="2144"/>
      <c r="C16" s="2144"/>
      <c r="D16" s="2144"/>
      <c r="E16" s="2144"/>
      <c r="F16" s="2144"/>
      <c r="G16" s="2144"/>
      <c r="H16" s="2144"/>
    </row>
    <row r="17" spans="1:14" ht="15.75" thickBot="1" x14ac:dyDescent="0.3">
      <c r="A17" s="607"/>
      <c r="B17" s="607"/>
      <c r="C17" s="607"/>
      <c r="D17" s="607"/>
      <c r="E17" s="607"/>
      <c r="F17" s="607"/>
      <c r="G17" s="607"/>
      <c r="H17" s="607"/>
    </row>
    <row r="18" spans="1:14" x14ac:dyDescent="0.25">
      <c r="A18" s="2159" t="s">
        <v>1361</v>
      </c>
      <c r="B18" s="2160"/>
      <c r="C18" s="2160"/>
      <c r="D18" s="2160"/>
      <c r="E18" s="2160"/>
      <c r="F18" s="2160"/>
      <c r="G18" s="2160"/>
      <c r="H18" s="2161"/>
    </row>
    <row r="19" spans="1:14" x14ac:dyDescent="0.25">
      <c r="A19" s="2162">
        <v>37762708.600000001</v>
      </c>
      <c r="B19" s="2163"/>
      <c r="C19" s="2163"/>
      <c r="D19" s="2163"/>
      <c r="E19" s="2163"/>
      <c r="F19" s="2163"/>
      <c r="G19" s="2163"/>
      <c r="H19" s="2164"/>
    </row>
    <row r="20" spans="1:14" x14ac:dyDescent="0.25">
      <c r="A20" s="610"/>
      <c r="B20" s="611">
        <v>2015</v>
      </c>
      <c r="C20" s="611">
        <v>2016</v>
      </c>
      <c r="D20" s="611">
        <v>2017</v>
      </c>
      <c r="E20" s="611">
        <v>2018</v>
      </c>
      <c r="F20" s="611">
        <v>2019</v>
      </c>
      <c r="G20" s="611">
        <v>2020</v>
      </c>
      <c r="H20" s="612" t="s">
        <v>259</v>
      </c>
    </row>
    <row r="21" spans="1:14" x14ac:dyDescent="0.25">
      <c r="A21" s="2145" t="s">
        <v>149</v>
      </c>
      <c r="B21" s="2146"/>
      <c r="C21" s="2146"/>
      <c r="D21" s="2146"/>
      <c r="E21" s="2146"/>
      <c r="F21" s="2146"/>
      <c r="G21" s="2146"/>
      <c r="H21" s="2147"/>
    </row>
    <row r="22" spans="1:14" x14ac:dyDescent="0.25">
      <c r="A22" s="613" t="s">
        <v>825</v>
      </c>
      <c r="B22" s="614"/>
      <c r="C22" s="614"/>
      <c r="D22" s="614"/>
      <c r="E22" s="614"/>
      <c r="F22" s="614"/>
      <c r="G22" s="615">
        <f>G30/G36</f>
        <v>0.22494293640312876</v>
      </c>
      <c r="H22" s="616">
        <f>H30/H36</f>
        <v>0.26964739494348666</v>
      </c>
    </row>
    <row r="23" spans="1:14" x14ac:dyDescent="0.25">
      <c r="A23" s="613" t="s">
        <v>826</v>
      </c>
      <c r="B23" s="617"/>
      <c r="C23" s="614"/>
      <c r="D23" s="614"/>
      <c r="E23" s="614"/>
      <c r="F23" s="614"/>
      <c r="G23" s="615">
        <f>G31/G36</f>
        <v>0.23332920837635984</v>
      </c>
      <c r="H23" s="616">
        <f>H31/H36</f>
        <v>0.27970032848755982</v>
      </c>
    </row>
    <row r="24" spans="1:14" x14ac:dyDescent="0.25">
      <c r="A24" s="613" t="s">
        <v>827</v>
      </c>
      <c r="B24" s="617"/>
      <c r="C24" s="617"/>
      <c r="D24" s="614"/>
      <c r="E24" s="614"/>
      <c r="F24" s="614"/>
      <c r="G24" s="615">
        <f>G32/$H$36</f>
        <v>0.31657286892815734</v>
      </c>
      <c r="H24" s="616">
        <f>H32/H36</f>
        <v>0.31657286892815734</v>
      </c>
    </row>
    <row r="25" spans="1:14" x14ac:dyDescent="0.25">
      <c r="A25" s="613" t="s">
        <v>828</v>
      </c>
      <c r="B25" s="617"/>
      <c r="C25" s="617"/>
      <c r="D25" s="618"/>
      <c r="E25" s="614"/>
      <c r="F25" s="614"/>
      <c r="G25" s="615">
        <f>G33/$H$36</f>
        <v>0.1732508138995093</v>
      </c>
      <c r="H25" s="616">
        <f>H33/H36</f>
        <v>0.1732508138995093</v>
      </c>
    </row>
    <row r="26" spans="1:14" x14ac:dyDescent="0.25">
      <c r="A26" s="613" t="s">
        <v>829</v>
      </c>
      <c r="B26" s="617"/>
      <c r="C26" s="617"/>
      <c r="D26" s="618"/>
      <c r="E26" s="618"/>
      <c r="F26" s="614"/>
      <c r="G26" s="615">
        <f>G34/$H$36</f>
        <v>7.0184936254016478E-2</v>
      </c>
      <c r="H26" s="616">
        <f>H34/H36</f>
        <v>7.0184936254016478E-2</v>
      </c>
    </row>
    <row r="27" spans="1:14" ht="15.75" thickBot="1" x14ac:dyDescent="0.3">
      <c r="A27" s="619" t="s">
        <v>830</v>
      </c>
      <c r="B27" s="620"/>
      <c r="C27" s="620"/>
      <c r="D27" s="620"/>
      <c r="E27" s="620"/>
      <c r="F27" s="620"/>
      <c r="G27" s="621">
        <f>G35/$H$36</f>
        <v>8.9380542739987662E-2</v>
      </c>
      <c r="H27" s="622">
        <f>H35/H36</f>
        <v>8.9380542739987662E-2</v>
      </c>
    </row>
    <row r="28" spans="1:14" ht="15.75" thickTop="1" x14ac:dyDescent="0.25">
      <c r="A28" s="623" t="s">
        <v>394</v>
      </c>
      <c r="B28" s="624">
        <f>SUM(B22:B27)</f>
        <v>0</v>
      </c>
      <c r="C28" s="624">
        <f>SUM(C22:C27)</f>
        <v>0</v>
      </c>
      <c r="D28" s="624">
        <f>SUM(D22:D27)</f>
        <v>0</v>
      </c>
      <c r="E28" s="624">
        <f>SUM(E22:E25)</f>
        <v>0</v>
      </c>
      <c r="F28" s="624">
        <f>SUM(F22:F26)</f>
        <v>0</v>
      </c>
      <c r="G28" s="625">
        <f>SUM(G22:G27)</f>
        <v>1.1076613066011594</v>
      </c>
      <c r="H28" s="626">
        <f>SUM(H22:H27)</f>
        <v>1.1987368852527172</v>
      </c>
    </row>
    <row r="29" spans="1:14" x14ac:dyDescent="0.25">
      <c r="A29" s="2148" t="s">
        <v>70</v>
      </c>
      <c r="B29" s="2149"/>
      <c r="C29" s="2149"/>
      <c r="D29" s="2149"/>
      <c r="E29" s="2149"/>
      <c r="F29" s="2149"/>
      <c r="G29" s="2149"/>
      <c r="H29" s="2150"/>
    </row>
    <row r="30" spans="1:14" x14ac:dyDescent="0.25">
      <c r="A30" s="613" t="str">
        <f t="shared" ref="A30:A35" si="0">A22</f>
        <v>2015 CDM Programs</v>
      </c>
      <c r="B30" s="1712">
        <v>10761443</v>
      </c>
      <c r="C30" s="1712">
        <v>10688938</v>
      </c>
      <c r="D30" s="1712">
        <v>10680695</v>
      </c>
      <c r="E30" s="1712">
        <v>10658428</v>
      </c>
      <c r="F30" s="1712">
        <v>10516336</v>
      </c>
      <c r="G30" s="1713">
        <v>10182616</v>
      </c>
      <c r="H30" s="627">
        <f t="shared" ref="H30:H35" si="1">G30</f>
        <v>10182616</v>
      </c>
    </row>
    <row r="31" spans="1:14" x14ac:dyDescent="0.25">
      <c r="A31" s="613" t="str">
        <f t="shared" si="0"/>
        <v>2016 CDM Programs</v>
      </c>
      <c r="B31" s="628"/>
      <c r="C31" s="1714">
        <v>10562776</v>
      </c>
      <c r="D31" s="1715">
        <v>10562775</v>
      </c>
      <c r="E31" s="1715">
        <v>10563913</v>
      </c>
      <c r="F31" s="1715">
        <v>10562242</v>
      </c>
      <c r="G31" s="1713">
        <v>10562242</v>
      </c>
      <c r="H31" s="627">
        <f t="shared" si="1"/>
        <v>10562242</v>
      </c>
      <c r="K31" s="606">
        <v>2011</v>
      </c>
      <c r="L31" s="606">
        <v>2012</v>
      </c>
      <c r="M31" s="606">
        <v>2013</v>
      </c>
      <c r="N31" s="606">
        <v>2014</v>
      </c>
    </row>
    <row r="32" spans="1:14" x14ac:dyDescent="0.25">
      <c r="A32" s="613" t="str">
        <f t="shared" si="0"/>
        <v>2017 CDM Programs</v>
      </c>
      <c r="B32" s="628"/>
      <c r="C32" s="629"/>
      <c r="D32" s="1716">
        <v>13670929</v>
      </c>
      <c r="E32" s="1717">
        <v>11959243.666666668</v>
      </c>
      <c r="F32" s="1717">
        <v>11956946.333333332</v>
      </c>
      <c r="G32" s="1718">
        <v>11954649</v>
      </c>
      <c r="H32" s="627">
        <f t="shared" si="1"/>
        <v>11954649</v>
      </c>
      <c r="J32" s="606" t="s">
        <v>997</v>
      </c>
      <c r="K32" s="1535">
        <f>50%</f>
        <v>0.5</v>
      </c>
      <c r="L32" s="630">
        <v>1</v>
      </c>
      <c r="M32" s="631">
        <v>1</v>
      </c>
      <c r="N32" s="631">
        <v>1</v>
      </c>
    </row>
    <row r="33" spans="1:14" x14ac:dyDescent="0.25">
      <c r="A33" s="613" t="str">
        <f t="shared" si="0"/>
        <v>2018 CDM Programs</v>
      </c>
      <c r="B33" s="628"/>
      <c r="C33" s="629"/>
      <c r="D33" s="629"/>
      <c r="E33" s="1719">
        <v>6588275</v>
      </c>
      <c r="F33" s="1719">
        <v>6565347.5</v>
      </c>
      <c r="G33" s="1720">
        <v>6542420</v>
      </c>
      <c r="H33" s="627">
        <f t="shared" si="1"/>
        <v>6542420</v>
      </c>
      <c r="J33" s="606" t="s">
        <v>998</v>
      </c>
      <c r="L33" s="630">
        <v>0.5</v>
      </c>
      <c r="M33" s="631">
        <v>1</v>
      </c>
      <c r="N33" s="631">
        <v>1</v>
      </c>
    </row>
    <row r="34" spans="1:14" x14ac:dyDescent="0.25">
      <c r="A34" s="613" t="str">
        <f t="shared" si="0"/>
        <v>2019 CDM Programs</v>
      </c>
      <c r="B34" s="628"/>
      <c r="C34" s="629"/>
      <c r="D34" s="629"/>
      <c r="E34" s="629"/>
      <c r="F34" s="1719">
        <v>2653572.7620000001</v>
      </c>
      <c r="G34" s="1720">
        <v>2650373.29587</v>
      </c>
      <c r="H34" s="627">
        <f t="shared" si="1"/>
        <v>2650373.29587</v>
      </c>
      <c r="J34" s="606" t="s">
        <v>999</v>
      </c>
      <c r="M34" s="631">
        <v>0.5</v>
      </c>
      <c r="N34" s="631">
        <v>1</v>
      </c>
    </row>
    <row r="35" spans="1:14" ht="15.75" thickBot="1" x14ac:dyDescent="0.3">
      <c r="A35" s="619" t="str">
        <f t="shared" si="0"/>
        <v>2020 CDM Programs</v>
      </c>
      <c r="B35" s="632"/>
      <c r="C35" s="633"/>
      <c r="D35" s="633"/>
      <c r="E35" s="633"/>
      <c r="F35" s="633"/>
      <c r="G35" s="1721">
        <v>3375251.3899999997</v>
      </c>
      <c r="H35" s="634">
        <f t="shared" si="1"/>
        <v>3375251.3899999997</v>
      </c>
      <c r="J35" s="606" t="s">
        <v>1000</v>
      </c>
      <c r="N35" s="631">
        <v>0.5</v>
      </c>
    </row>
    <row r="36" spans="1:14" ht="16.5" thickTop="1" thickBot="1" x14ac:dyDescent="0.3">
      <c r="A36" s="635" t="s">
        <v>394</v>
      </c>
      <c r="B36" s="636">
        <f>SUM(B30:B35)</f>
        <v>10761443</v>
      </c>
      <c r="C36" s="636">
        <f>SUM(C30:C35)</f>
        <v>21251714</v>
      </c>
      <c r="D36" s="636">
        <f>SUM(D30:D35)</f>
        <v>34914399</v>
      </c>
      <c r="E36" s="636">
        <f>SUM(E30:E33)</f>
        <v>39769859.666666672</v>
      </c>
      <c r="F36" s="636">
        <f>SUM(F30:F34)</f>
        <v>42254444.59533333</v>
      </c>
      <c r="G36" s="637">
        <f>SUM(G30:G35)</f>
        <v>45267551.685869999</v>
      </c>
      <c r="H36" s="638">
        <f>A19</f>
        <v>37762708.600000001</v>
      </c>
    </row>
    <row r="37" spans="1:14" ht="14.25" customHeight="1" x14ac:dyDescent="0.25">
      <c r="A37" s="608"/>
      <c r="B37" s="609"/>
      <c r="C37" s="609"/>
      <c r="D37" s="609"/>
      <c r="E37" s="609"/>
      <c r="F37" s="609"/>
      <c r="G37" s="2157" t="str">
        <f>IF(G36-H36&lt;&gt;0,"Inputs do no match 2015-20 CDM target","")</f>
        <v>Inputs do no match 2015-20 CDM target</v>
      </c>
      <c r="H37" s="2157"/>
    </row>
    <row r="38" spans="1:14" x14ac:dyDescent="0.25">
      <c r="A38" s="608"/>
      <c r="B38" s="609"/>
      <c r="C38" s="609"/>
      <c r="D38" s="609"/>
      <c r="E38" s="609"/>
      <c r="F38" s="609"/>
      <c r="G38" s="2158"/>
      <c r="H38" s="2158"/>
    </row>
    <row r="39" spans="1:14" ht="27.95" customHeight="1" x14ac:dyDescent="0.25">
      <c r="A39" s="2144" t="s">
        <v>1362</v>
      </c>
      <c r="B39" s="2144"/>
      <c r="C39" s="2144"/>
      <c r="D39" s="2144"/>
      <c r="E39" s="2144"/>
      <c r="F39" s="2144"/>
      <c r="G39" s="2144"/>
      <c r="H39" s="2144"/>
    </row>
    <row r="40" spans="1:14" ht="13.9" customHeight="1" x14ac:dyDescent="0.25">
      <c r="A40" s="1536"/>
      <c r="B40" s="1536"/>
      <c r="C40" s="1536"/>
      <c r="D40" s="1536"/>
      <c r="E40" s="1536"/>
      <c r="F40" s="1536"/>
      <c r="G40" s="1536"/>
      <c r="H40" s="1536"/>
    </row>
    <row r="41" spans="1:14" ht="53.65" customHeight="1" x14ac:dyDescent="0.25">
      <c r="A41" s="2144" t="s">
        <v>1363</v>
      </c>
      <c r="B41" s="2144"/>
      <c r="C41" s="2144"/>
      <c r="D41" s="2144"/>
      <c r="E41" s="2144"/>
      <c r="F41" s="2144"/>
      <c r="G41" s="2144"/>
      <c r="H41" s="2144"/>
    </row>
    <row r="42" spans="1:14" x14ac:dyDescent="0.25">
      <c r="A42" s="1536"/>
      <c r="B42" s="1536"/>
      <c r="C42" s="1536"/>
      <c r="D42" s="1536"/>
      <c r="E42" s="1536"/>
      <c r="F42" s="1536"/>
      <c r="G42" s="1536"/>
      <c r="H42" s="1536"/>
    </row>
    <row r="43" spans="1:14" ht="18.75" x14ac:dyDescent="0.3">
      <c r="A43" s="2155" t="s">
        <v>1306</v>
      </c>
      <c r="B43" s="2155"/>
      <c r="C43" s="2155"/>
      <c r="D43" s="2155"/>
      <c r="E43" s="2155"/>
      <c r="F43" s="2155"/>
      <c r="G43" s="2155"/>
      <c r="H43" s="2155"/>
    </row>
    <row r="44" spans="1:14" x14ac:dyDescent="0.25">
      <c r="A44" s="608"/>
      <c r="B44" s="609"/>
      <c r="C44" s="609"/>
      <c r="D44" s="609"/>
      <c r="E44" s="609"/>
      <c r="F44" s="609"/>
    </row>
    <row r="45" spans="1:14" ht="55.5" customHeight="1" x14ac:dyDescent="0.25">
      <c r="A45" s="2144" t="s">
        <v>1324</v>
      </c>
      <c r="B45" s="2152"/>
      <c r="C45" s="2152"/>
      <c r="D45" s="2152"/>
      <c r="E45" s="2152"/>
      <c r="F45" s="2152"/>
      <c r="G45" s="2152"/>
      <c r="H45" s="2152"/>
    </row>
    <row r="47" spans="1:14" ht="42.4" customHeight="1" x14ac:dyDescent="0.25">
      <c r="A47" s="2144" t="s">
        <v>1364</v>
      </c>
      <c r="B47" s="2144"/>
      <c r="C47" s="2144"/>
      <c r="D47" s="2144"/>
      <c r="E47" s="2144"/>
      <c r="F47" s="2144"/>
      <c r="G47" s="2144"/>
      <c r="H47" s="2144"/>
    </row>
    <row r="48" spans="1:14" ht="15.75" thickBot="1" x14ac:dyDescent="0.3">
      <c r="A48" s="639"/>
      <c r="B48" s="639"/>
      <c r="C48" s="639"/>
      <c r="D48" s="639"/>
      <c r="E48" s="639"/>
      <c r="F48" s="639"/>
    </row>
    <row r="49" spans="1:6" x14ac:dyDescent="0.25">
      <c r="A49" s="2168" t="s">
        <v>395</v>
      </c>
      <c r="B49" s="2169"/>
      <c r="C49" s="2169"/>
      <c r="D49" s="2169"/>
      <c r="E49" s="2169"/>
      <c r="F49" s="2170"/>
    </row>
    <row r="50" spans="1:6" x14ac:dyDescent="0.25">
      <c r="A50" s="640"/>
      <c r="B50" s="641"/>
      <c r="C50" s="641"/>
      <c r="D50" s="641"/>
      <c r="E50" s="641"/>
      <c r="F50" s="642"/>
    </row>
    <row r="51" spans="1:6" x14ac:dyDescent="0.25">
      <c r="A51" s="2171" t="s">
        <v>524</v>
      </c>
      <c r="B51" s="2172"/>
      <c r="C51" s="2172"/>
      <c r="D51" s="2172"/>
      <c r="E51" s="2172"/>
      <c r="F51" s="643" t="s">
        <v>525</v>
      </c>
    </row>
    <row r="52" spans="1:6" x14ac:dyDescent="0.25">
      <c r="A52" s="644"/>
      <c r="B52" s="645"/>
      <c r="C52" s="645"/>
      <c r="D52" s="645"/>
      <c r="E52" s="645"/>
      <c r="F52" s="646"/>
    </row>
    <row r="53" spans="1:6" ht="30" x14ac:dyDescent="0.25">
      <c r="A53" s="647"/>
      <c r="B53" s="648"/>
      <c r="C53" s="641" t="s">
        <v>401</v>
      </c>
      <c r="D53" s="641" t="s">
        <v>402</v>
      </c>
      <c r="E53" s="641" t="s">
        <v>69</v>
      </c>
      <c r="F53" s="649" t="s">
        <v>403</v>
      </c>
    </row>
    <row r="54" spans="1:6" x14ac:dyDescent="0.25">
      <c r="A54" s="2173" t="s">
        <v>909</v>
      </c>
      <c r="B54" s="2174"/>
      <c r="C54" s="650" t="s">
        <v>70</v>
      </c>
      <c r="D54" s="650" t="s">
        <v>70</v>
      </c>
      <c r="E54" s="650" t="s">
        <v>70</v>
      </c>
      <c r="F54" s="651" t="s">
        <v>404</v>
      </c>
    </row>
    <row r="55" spans="1:6" x14ac:dyDescent="0.25">
      <c r="A55" s="652" t="s">
        <v>405</v>
      </c>
      <c r="B55" s="653"/>
      <c r="C55" s="1722">
        <v>14505198.341189699</v>
      </c>
      <c r="D55" s="1722">
        <v>8601643.1829413306</v>
      </c>
      <c r="E55" s="1726">
        <f t="shared" ref="E55:E60" si="2">C55-D55</f>
        <v>5903555.1582483687</v>
      </c>
      <c r="F55" s="654"/>
    </row>
    <row r="56" spans="1:6" x14ac:dyDescent="0.25">
      <c r="A56" s="652" t="s">
        <v>406</v>
      </c>
      <c r="B56" s="653"/>
      <c r="C56" s="1723">
        <v>4379430.4570000004</v>
      </c>
      <c r="D56" s="1723">
        <v>3054629.7650000001</v>
      </c>
      <c r="E56" s="1726">
        <f t="shared" si="2"/>
        <v>1324800.6920000003</v>
      </c>
      <c r="F56" s="654"/>
    </row>
    <row r="57" spans="1:6" x14ac:dyDescent="0.25">
      <c r="A57" s="652" t="s">
        <v>407</v>
      </c>
      <c r="B57" s="653"/>
      <c r="C57" s="1722">
        <v>4186315.24</v>
      </c>
      <c r="D57" s="1722">
        <v>3571606.2769999998</v>
      </c>
      <c r="E57" s="1726">
        <f t="shared" si="2"/>
        <v>614708.96300000045</v>
      </c>
      <c r="F57" s="654"/>
    </row>
    <row r="58" spans="1:6" x14ac:dyDescent="0.25">
      <c r="A58" s="652" t="s">
        <v>831</v>
      </c>
      <c r="B58" s="653"/>
      <c r="C58" s="1722">
        <v>6747193.3700000001</v>
      </c>
      <c r="D58" s="1722">
        <v>4739399.8530000001</v>
      </c>
      <c r="E58" s="1726">
        <f t="shared" si="2"/>
        <v>2007793.517</v>
      </c>
      <c r="F58" s="654"/>
    </row>
    <row r="59" spans="1:6" x14ac:dyDescent="0.25">
      <c r="A59" s="652" t="s">
        <v>885</v>
      </c>
      <c r="B59" s="653"/>
      <c r="C59" s="1722">
        <v>11823008.182</v>
      </c>
      <c r="D59" s="1722">
        <v>9426938.693</v>
      </c>
      <c r="E59" s="1726">
        <f t="shared" si="2"/>
        <v>2396069.4890000001</v>
      </c>
      <c r="F59" s="654"/>
    </row>
    <row r="60" spans="1:6" x14ac:dyDescent="0.25">
      <c r="A60" s="652" t="s">
        <v>910</v>
      </c>
      <c r="B60" s="653"/>
      <c r="C60" s="1722">
        <v>12046527</v>
      </c>
      <c r="D60" s="1722">
        <v>10182616</v>
      </c>
      <c r="E60" s="1726">
        <f t="shared" si="2"/>
        <v>1863911</v>
      </c>
      <c r="F60" s="654"/>
    </row>
    <row r="61" spans="1:6" x14ac:dyDescent="0.25">
      <c r="A61" s="652" t="s">
        <v>1013</v>
      </c>
      <c r="B61" s="653"/>
      <c r="C61" s="1828">
        <v>10241554</v>
      </c>
      <c r="D61" s="1722">
        <v>10712611.113141626</v>
      </c>
      <c r="E61" s="1726">
        <f>C61-D61</f>
        <v>-471057.11314162612</v>
      </c>
      <c r="F61" s="654"/>
    </row>
    <row r="62" spans="1:6" x14ac:dyDescent="0.25">
      <c r="A62" s="652" t="s">
        <v>1365</v>
      </c>
      <c r="B62" s="653"/>
      <c r="C62" s="1722">
        <f>11449672+1371502</f>
        <v>12821174</v>
      </c>
      <c r="D62" s="1722">
        <v>11954648.890739486</v>
      </c>
      <c r="E62" s="1726">
        <f>C62-D62</f>
        <v>866525.10926051438</v>
      </c>
      <c r="F62" s="654"/>
    </row>
    <row r="63" spans="1:6" ht="15.75" thickBot="1" x14ac:dyDescent="0.3">
      <c r="A63" s="655" t="s">
        <v>1366</v>
      </c>
      <c r="B63" s="656"/>
      <c r="C63" s="1724">
        <f>SUM(C56:C62)/SUM(D56:D62)*D63</f>
        <v>7591640.9493831219</v>
      </c>
      <c r="D63" s="1724">
        <v>6542419.4929839429</v>
      </c>
      <c r="E63" s="1727">
        <f>C63-D63</f>
        <v>1049221.4563991791</v>
      </c>
      <c r="F63" s="657"/>
    </row>
    <row r="64" spans="1:6" ht="16.5" thickTop="1" thickBot="1" x14ac:dyDescent="0.3">
      <c r="A64" s="2175" t="s">
        <v>1367</v>
      </c>
      <c r="B64" s="2176"/>
      <c r="C64" s="1725">
        <f>SUM(C55:C63)</f>
        <v>84342041.53957282</v>
      </c>
      <c r="D64" s="1725">
        <f>SUM(D55:D63)</f>
        <v>68786513.267806381</v>
      </c>
      <c r="E64" s="1725">
        <f>C64-D64</f>
        <v>15555528.271766439</v>
      </c>
      <c r="F64" s="658">
        <f>IF(D64=0,0,IF(F51="net",0,E64/D64))</f>
        <v>0</v>
      </c>
    </row>
    <row r="65" spans="1:8" x14ac:dyDescent="0.25">
      <c r="A65" s="1537" t="s">
        <v>1368</v>
      </c>
      <c r="B65" s="659"/>
      <c r="F65" s="660"/>
    </row>
    <row r="66" spans="1:8" x14ac:dyDescent="0.25">
      <c r="A66" s="1537"/>
      <c r="B66" s="659"/>
      <c r="F66" s="660"/>
    </row>
    <row r="67" spans="1:8" ht="28.15" customHeight="1" x14ac:dyDescent="0.25">
      <c r="A67" s="2152" t="s">
        <v>1002</v>
      </c>
      <c r="B67" s="2152"/>
      <c r="C67" s="2152"/>
      <c r="D67" s="2152"/>
      <c r="E67" s="2152"/>
      <c r="F67" s="2152"/>
      <c r="G67" s="2152"/>
      <c r="H67" s="2152"/>
    </row>
    <row r="68" spans="1:8" x14ac:dyDescent="0.25">
      <c r="A68" s="1524"/>
      <c r="B68" s="1524"/>
      <c r="C68" s="1524"/>
      <c r="D68" s="1524"/>
      <c r="E68" s="1524"/>
      <c r="F68" s="1524"/>
      <c r="G68" s="1524"/>
      <c r="H68" s="1524"/>
    </row>
    <row r="69" spans="1:8" ht="14.45" customHeight="1" x14ac:dyDescent="0.25">
      <c r="A69" s="2144" t="s">
        <v>1308</v>
      </c>
      <c r="B69" s="2144"/>
      <c r="C69" s="2144"/>
      <c r="D69" s="2144"/>
      <c r="E69" s="2144"/>
      <c r="F69" s="2144"/>
      <c r="G69" s="2144"/>
      <c r="H69" s="2144"/>
    </row>
    <row r="70" spans="1:8" ht="15.4" customHeight="1" x14ac:dyDescent="0.25">
      <c r="A70" s="2144"/>
      <c r="B70" s="2144"/>
      <c r="C70" s="2144"/>
      <c r="D70" s="2144"/>
      <c r="E70" s="2144"/>
      <c r="F70" s="2144"/>
      <c r="G70" s="2144"/>
      <c r="H70" s="2144"/>
    </row>
    <row r="71" spans="1:8" x14ac:dyDescent="0.25">
      <c r="A71" s="1526"/>
      <c r="B71" s="1526"/>
      <c r="C71" s="1526"/>
      <c r="D71" s="1526"/>
      <c r="E71" s="1526"/>
      <c r="F71" s="1526"/>
      <c r="G71" s="1526"/>
      <c r="H71" s="1526"/>
    </row>
    <row r="72" spans="1:8" ht="15.75" thickBot="1" x14ac:dyDescent="0.3">
      <c r="A72" s="2156" t="s">
        <v>1309</v>
      </c>
      <c r="B72" s="2156"/>
      <c r="C72" s="2156"/>
      <c r="D72" s="2156"/>
      <c r="E72" s="2156"/>
      <c r="F72" s="2156"/>
    </row>
    <row r="73" spans="1:8" x14ac:dyDescent="0.25">
      <c r="A73" s="661"/>
      <c r="B73" s="662">
        <v>2015</v>
      </c>
      <c r="C73" s="662">
        <v>2016</v>
      </c>
      <c r="D73" s="662">
        <v>2017</v>
      </c>
      <c r="E73" s="662" t="s">
        <v>1372</v>
      </c>
      <c r="F73" s="663" t="s">
        <v>1373</v>
      </c>
      <c r="G73" s="663" t="s">
        <v>1374</v>
      </c>
      <c r="H73" s="664"/>
    </row>
    <row r="74" spans="1:8" ht="51" x14ac:dyDescent="0.25">
      <c r="A74" s="665" t="s">
        <v>1307</v>
      </c>
      <c r="B74" s="666">
        <v>0</v>
      </c>
      <c r="C74" s="666">
        <v>0</v>
      </c>
      <c r="D74" s="666">
        <v>0</v>
      </c>
      <c r="E74" s="667">
        <v>0</v>
      </c>
      <c r="F74" s="667">
        <v>0.5</v>
      </c>
      <c r="G74" s="667">
        <v>0.5</v>
      </c>
      <c r="H74" s="668" t="s">
        <v>832</v>
      </c>
    </row>
    <row r="75" spans="1:8" ht="225.75" thickBot="1" x14ac:dyDescent="0.3">
      <c r="A75" s="669" t="s">
        <v>396</v>
      </c>
      <c r="B75" s="670" t="s">
        <v>1369</v>
      </c>
      <c r="C75" s="670" t="s">
        <v>1370</v>
      </c>
      <c r="D75" s="670" t="s">
        <v>1337</v>
      </c>
      <c r="E75" s="671" t="s">
        <v>1338</v>
      </c>
      <c r="F75" s="672" t="s">
        <v>1371</v>
      </c>
      <c r="G75" s="673" t="s">
        <v>1319</v>
      </c>
      <c r="H75" s="658"/>
    </row>
    <row r="76" spans="1:8" x14ac:dyDescent="0.25">
      <c r="A76" s="1537" t="s">
        <v>1375</v>
      </c>
      <c r="B76" s="675"/>
      <c r="C76" s="675"/>
      <c r="D76" s="675"/>
      <c r="E76" s="675"/>
      <c r="F76" s="675"/>
      <c r="G76" s="660"/>
    </row>
    <row r="77" spans="1:8" x14ac:dyDescent="0.25">
      <c r="A77" s="1538" t="s">
        <v>1376</v>
      </c>
      <c r="B77" s="675"/>
      <c r="C77" s="675"/>
      <c r="D77" s="675"/>
      <c r="E77" s="675"/>
      <c r="F77" s="675"/>
      <c r="G77" s="660"/>
    </row>
    <row r="78" spans="1:8" x14ac:dyDescent="0.25">
      <c r="A78" s="674"/>
      <c r="B78" s="675"/>
      <c r="C78" s="675"/>
      <c r="D78" s="675"/>
      <c r="E78" s="675"/>
      <c r="F78" s="675"/>
      <c r="G78" s="660"/>
    </row>
    <row r="79" spans="1:8" ht="18.75" x14ac:dyDescent="0.25">
      <c r="A79" s="2153" t="s">
        <v>1310</v>
      </c>
      <c r="B79" s="2153"/>
      <c r="C79" s="2153"/>
      <c r="D79" s="2153"/>
      <c r="E79" s="2153"/>
      <c r="F79" s="2153"/>
      <c r="G79" s="2153"/>
      <c r="H79" s="2153"/>
    </row>
    <row r="80" spans="1:8" ht="18.75" x14ac:dyDescent="0.25">
      <c r="A80" s="1525"/>
      <c r="B80" s="1525"/>
      <c r="C80" s="1525"/>
      <c r="D80" s="1525"/>
      <c r="E80" s="1525"/>
      <c r="F80" s="1525"/>
      <c r="G80" s="1525"/>
      <c r="H80" s="1525"/>
    </row>
    <row r="81" spans="1:8" ht="30" customHeight="1" x14ac:dyDescent="0.25">
      <c r="A81" s="2154" t="s">
        <v>1311</v>
      </c>
      <c r="B81" s="2154"/>
      <c r="C81" s="2154"/>
      <c r="D81" s="2154"/>
      <c r="E81" s="2154"/>
      <c r="F81" s="2154"/>
      <c r="G81" s="2154"/>
      <c r="H81" s="2154"/>
    </row>
    <row r="82" spans="1:8" ht="9" customHeight="1" x14ac:dyDescent="0.25">
      <c r="A82" s="659"/>
      <c r="B82" s="675"/>
      <c r="C82" s="675"/>
      <c r="D82" s="675"/>
      <c r="E82" s="675"/>
      <c r="F82" s="660"/>
    </row>
    <row r="83" spans="1:8" ht="32.25" customHeight="1" x14ac:dyDescent="0.25">
      <c r="A83" s="2151" t="s">
        <v>1377</v>
      </c>
      <c r="B83" s="2151"/>
      <c r="C83" s="2151"/>
      <c r="D83" s="2151"/>
      <c r="E83" s="2151"/>
      <c r="F83" s="2151"/>
      <c r="G83" s="2151"/>
      <c r="H83" s="2151"/>
    </row>
    <row r="84" spans="1:8" ht="9" customHeight="1" x14ac:dyDescent="0.25"/>
    <row r="85" spans="1:8" ht="30.75" customHeight="1" x14ac:dyDescent="0.25">
      <c r="A85" s="2154" t="s">
        <v>1014</v>
      </c>
      <c r="B85" s="2154"/>
      <c r="C85" s="2154"/>
      <c r="D85" s="2154"/>
      <c r="E85" s="2154"/>
      <c r="F85" s="2154"/>
      <c r="G85" s="2154"/>
      <c r="H85" s="2154"/>
    </row>
    <row r="86" spans="1:8" ht="9" customHeight="1" x14ac:dyDescent="0.25"/>
    <row r="87" spans="1:8" ht="59.25" customHeight="1" x14ac:dyDescent="0.25">
      <c r="A87" s="2151" t="s">
        <v>1312</v>
      </c>
      <c r="B87" s="2151"/>
      <c r="C87" s="2151"/>
      <c r="D87" s="2151"/>
      <c r="E87" s="2151"/>
      <c r="F87" s="2151"/>
      <c r="G87" s="2151"/>
      <c r="H87" s="2151"/>
    </row>
    <row r="89" spans="1:8" ht="31.5" customHeight="1" x14ac:dyDescent="0.25">
      <c r="A89" s="2151" t="s">
        <v>911</v>
      </c>
      <c r="B89" s="2151"/>
      <c r="C89" s="2151"/>
      <c r="D89" s="2151"/>
      <c r="E89" s="2151"/>
      <c r="F89" s="2151"/>
      <c r="G89" s="2151"/>
      <c r="H89" s="2151"/>
    </row>
    <row r="90" spans="1:8" ht="15.75" thickBot="1" x14ac:dyDescent="0.3">
      <c r="A90" s="659"/>
      <c r="B90" s="659"/>
      <c r="F90" s="660"/>
    </row>
    <row r="91" spans="1:8" x14ac:dyDescent="0.25">
      <c r="A91" s="676"/>
      <c r="B91" s="677">
        <v>2015</v>
      </c>
      <c r="C91" s="677">
        <v>2016</v>
      </c>
      <c r="D91" s="1527">
        <v>2017</v>
      </c>
      <c r="E91" s="678">
        <v>2018</v>
      </c>
      <c r="F91" s="678">
        <v>2019</v>
      </c>
      <c r="G91" s="677">
        <v>2020</v>
      </c>
      <c r="H91" s="679" t="s">
        <v>1314</v>
      </c>
    </row>
    <row r="92" spans="1:8" x14ac:dyDescent="0.25">
      <c r="A92" s="680"/>
      <c r="B92" s="681"/>
      <c r="C92" s="681"/>
      <c r="D92" s="681"/>
      <c r="E92" s="681"/>
      <c r="F92" s="681"/>
      <c r="G92" s="681"/>
      <c r="H92" s="682"/>
    </row>
    <row r="93" spans="1:8" ht="42" customHeight="1" thickBot="1" x14ac:dyDescent="0.3">
      <c r="A93" s="1539" t="s">
        <v>1313</v>
      </c>
      <c r="B93" s="683"/>
      <c r="C93" s="683"/>
      <c r="D93" s="683"/>
      <c r="E93" s="683"/>
      <c r="F93" s="683">
        <f>G34</f>
        <v>2650373.29587</v>
      </c>
      <c r="G93" s="683">
        <f>G35</f>
        <v>3375251.3899999997</v>
      </c>
      <c r="H93" s="684">
        <f>SUM(B93:G93)</f>
        <v>6025624.6858699992</v>
      </c>
    </row>
    <row r="94" spans="1:8" ht="16.5" thickTop="1" thickBot="1" x14ac:dyDescent="0.3">
      <c r="A94" s="685"/>
      <c r="B94" s="686"/>
      <c r="C94" s="687"/>
      <c r="D94" s="687"/>
      <c r="E94" s="687"/>
      <c r="F94" s="688"/>
      <c r="G94" s="688"/>
      <c r="H94" s="689"/>
    </row>
    <row r="95" spans="1:8" ht="27" thickTop="1" x14ac:dyDescent="0.25">
      <c r="A95" s="1540" t="s">
        <v>1315</v>
      </c>
      <c r="B95" s="690">
        <f>B93*(1+F64)*B74</f>
        <v>0</v>
      </c>
      <c r="C95" s="691">
        <f>C93*(1+F64)*C74</f>
        <v>0</v>
      </c>
      <c r="D95" s="691">
        <f>D93*(1+F64)*D74</f>
        <v>0</v>
      </c>
      <c r="E95" s="691">
        <f>E93*(1+F64)*E74</f>
        <v>0</v>
      </c>
      <c r="F95" s="691">
        <f>F93*(1+F64)*F74</f>
        <v>1325186.647935</v>
      </c>
      <c r="G95" s="691">
        <f>G93*(1+F64)*G74</f>
        <v>1687625.6949999998</v>
      </c>
      <c r="H95" s="692">
        <f>SUM(B95:G95)</f>
        <v>3012812.3429349996</v>
      </c>
    </row>
    <row r="96" spans="1:8" ht="26.25" x14ac:dyDescent="0.25">
      <c r="A96" s="1541" t="s">
        <v>1316</v>
      </c>
      <c r="B96" s="693"/>
      <c r="C96" s="694"/>
      <c r="D96" s="694"/>
      <c r="E96" s="694"/>
      <c r="F96" s="696"/>
      <c r="G96" s="695"/>
      <c r="H96" s="697"/>
    </row>
    <row r="97" spans="1:8" ht="26.25" x14ac:dyDescent="0.25">
      <c r="A97" s="1542" t="s">
        <v>1015</v>
      </c>
      <c r="B97" s="698">
        <f t="shared" ref="B97:G97" si="3">B95+B96</f>
        <v>0</v>
      </c>
      <c r="C97" s="699">
        <f t="shared" si="3"/>
        <v>0</v>
      </c>
      <c r="D97" s="699">
        <f t="shared" si="3"/>
        <v>0</v>
      </c>
      <c r="E97" s="699">
        <f t="shared" si="3"/>
        <v>0</v>
      </c>
      <c r="F97" s="699">
        <f t="shared" si="3"/>
        <v>1325186.647935</v>
      </c>
      <c r="G97" s="699">
        <f t="shared" si="3"/>
        <v>1687625.6949999998</v>
      </c>
      <c r="H97" s="700">
        <f>SUM(B97:G97)</f>
        <v>3012812.3429349996</v>
      </c>
    </row>
    <row r="98" spans="1:8" x14ac:dyDescent="0.25">
      <c r="A98" s="680"/>
      <c r="B98" s="701"/>
      <c r="C98" s="701"/>
      <c r="D98" s="701"/>
      <c r="E98" s="701"/>
      <c r="F98" s="702"/>
      <c r="G98" s="701"/>
      <c r="H98" s="703"/>
    </row>
    <row r="99" spans="1:8" x14ac:dyDescent="0.25">
      <c r="A99" s="704" t="s">
        <v>408</v>
      </c>
      <c r="B99" s="705">
        <v>5.3999999999999999E-2</v>
      </c>
      <c r="C99" s="706" t="s">
        <v>409</v>
      </c>
      <c r="D99" s="707"/>
      <c r="E99" s="706"/>
      <c r="F99" s="706"/>
      <c r="G99" s="708"/>
      <c r="H99" s="709"/>
    </row>
    <row r="100" spans="1:8" ht="27" thickBot="1" x14ac:dyDescent="0.3">
      <c r="A100" s="1543" t="s">
        <v>1317</v>
      </c>
      <c r="B100" s="710">
        <f t="shared" ref="B100:G100" si="4">B97*(1+$B99)</f>
        <v>0</v>
      </c>
      <c r="C100" s="710">
        <f t="shared" si="4"/>
        <v>0</v>
      </c>
      <c r="D100" s="710">
        <f t="shared" si="4"/>
        <v>0</v>
      </c>
      <c r="E100" s="710">
        <f t="shared" si="4"/>
        <v>0</v>
      </c>
      <c r="F100" s="710">
        <f>F97*(1+$B99)</f>
        <v>1396746.7269234902</v>
      </c>
      <c r="G100" s="710">
        <f t="shared" si="4"/>
        <v>1778757.4825299999</v>
      </c>
      <c r="H100" s="711">
        <f>SUM(B100:G100)</f>
        <v>3175504.2094534901</v>
      </c>
    </row>
    <row r="101" spans="1:8" x14ac:dyDescent="0.25">
      <c r="A101" s="607"/>
      <c r="B101" s="712"/>
      <c r="C101" s="712"/>
      <c r="D101" s="712"/>
      <c r="E101" s="712"/>
      <c r="F101" s="712"/>
      <c r="G101" s="712"/>
      <c r="H101" s="712"/>
    </row>
    <row r="102" spans="1:8" x14ac:dyDescent="0.25">
      <c r="A102" s="2167" t="s">
        <v>1318</v>
      </c>
      <c r="B102" s="2167"/>
      <c r="C102" s="2167"/>
      <c r="D102" s="2167"/>
      <c r="E102" s="2167"/>
      <c r="F102" s="2167"/>
      <c r="G102" s="2167"/>
      <c r="H102" s="2167"/>
    </row>
    <row r="135" spans="1:1" x14ac:dyDescent="0.25">
      <c r="A135" s="608"/>
    </row>
  </sheetData>
  <mergeCells count="29">
    <mergeCell ref="A102:H102"/>
    <mergeCell ref="A49:F49"/>
    <mergeCell ref="A51:E51"/>
    <mergeCell ref="A54:B54"/>
    <mergeCell ref="A64:B64"/>
    <mergeCell ref="A69:H70"/>
    <mergeCell ref="A18:H18"/>
    <mergeCell ref="A19:H19"/>
    <mergeCell ref="A9:H9"/>
    <mergeCell ref="A10:H10"/>
    <mergeCell ref="A12:H12"/>
    <mergeCell ref="A14:H14"/>
    <mergeCell ref="A16:H16"/>
    <mergeCell ref="A41:H41"/>
    <mergeCell ref="A47:H47"/>
    <mergeCell ref="A21:H21"/>
    <mergeCell ref="A29:H29"/>
    <mergeCell ref="A89:H89"/>
    <mergeCell ref="A67:H67"/>
    <mergeCell ref="A79:H79"/>
    <mergeCell ref="A81:H81"/>
    <mergeCell ref="A83:H83"/>
    <mergeCell ref="A85:H85"/>
    <mergeCell ref="A87:H87"/>
    <mergeCell ref="A39:H39"/>
    <mergeCell ref="A43:H43"/>
    <mergeCell ref="A45:H45"/>
    <mergeCell ref="A72:F72"/>
    <mergeCell ref="G37:H38"/>
  </mergeCells>
  <conditionalFormatting sqref="H36">
    <cfRule type="expression" dxfId="316" priority="2">
      <formula>$H$36=$A$19</formula>
    </cfRule>
  </conditionalFormatting>
  <conditionalFormatting sqref="G37">
    <cfRule type="expression" dxfId="315" priority="1">
      <formula>$G$36&lt;&gt;$H$36</formula>
    </cfRule>
  </conditionalFormatting>
  <dataValidations count="2">
    <dataValidation type="list" allowBlank="1" showInputMessage="1" showErrorMessage="1" sqref="F51" xr:uid="{00000000-0002-0000-1A00-000000000000}">
      <formula1>"net,gross"</formula1>
    </dataValidation>
    <dataValidation type="list" allowBlank="1" showInputMessage="1" showErrorMessage="1" sqref="E74:G74" xr:uid="{00000000-0002-0000-1A00-000001000000}">
      <formula1>"0, 0.5, 1"</formula1>
    </dataValidation>
  </dataValidations>
  <pageMargins left="0.70866141732283472" right="0.70866141732283472" top="0.74803149606299213" bottom="0.74803149606299213" header="0.31496062992125984" footer="0.31496062992125984"/>
  <pageSetup scale="56" fitToHeight="0" orientation="portrait" r:id="rId1"/>
  <rowBreaks count="3" manualBreakCount="3">
    <brk id="45" max="16383" man="1"/>
    <brk id="93" max="16383" man="1"/>
    <brk id="103"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0">
    <tabColor theme="9" tint="0.39997558519241921"/>
  </sheetPr>
  <dimension ref="A1:A50"/>
  <sheetViews>
    <sheetView workbookViewId="0">
      <selection activeCell="O13" sqref="O13"/>
    </sheetView>
  </sheetViews>
  <sheetFormatPr defaultRowHeight="12.75" x14ac:dyDescent="0.2"/>
  <sheetData>
    <row r="1" spans="1:1" x14ac:dyDescent="0.2">
      <c r="A1" t="s">
        <v>1241</v>
      </c>
    </row>
    <row r="2" spans="1:1" x14ac:dyDescent="0.2">
      <c r="A2" t="s">
        <v>1242</v>
      </c>
    </row>
    <row r="3" spans="1:1" x14ac:dyDescent="0.2">
      <c r="A3" t="s">
        <v>1243</v>
      </c>
    </row>
    <row r="4" spans="1:1" x14ac:dyDescent="0.2">
      <c r="A4" t="s">
        <v>1244</v>
      </c>
    </row>
    <row r="5" spans="1:1" x14ac:dyDescent="0.2">
      <c r="A5" t="s">
        <v>1245</v>
      </c>
    </row>
    <row r="6" spans="1:1" x14ac:dyDescent="0.2">
      <c r="A6" t="s">
        <v>1246</v>
      </c>
    </row>
    <row r="7" spans="1:1" x14ac:dyDescent="0.2">
      <c r="A7" t="s">
        <v>1247</v>
      </c>
    </row>
    <row r="8" spans="1:1" x14ac:dyDescent="0.2">
      <c r="A8" t="s">
        <v>1248</v>
      </c>
    </row>
    <row r="9" spans="1:1" x14ac:dyDescent="0.2">
      <c r="A9" t="s">
        <v>1249</v>
      </c>
    </row>
    <row r="10" spans="1:1" x14ac:dyDescent="0.2">
      <c r="A10" t="s">
        <v>1250</v>
      </c>
    </row>
    <row r="11" spans="1:1" x14ac:dyDescent="0.2">
      <c r="A11" t="s">
        <v>1251</v>
      </c>
    </row>
    <row r="12" spans="1:1" x14ac:dyDescent="0.2">
      <c r="A12" t="s">
        <v>1252</v>
      </c>
    </row>
    <row r="13" spans="1:1" x14ac:dyDescent="0.2">
      <c r="A13" t="s">
        <v>1253</v>
      </c>
    </row>
    <row r="14" spans="1:1" x14ac:dyDescent="0.2">
      <c r="A14" t="s">
        <v>1254</v>
      </c>
    </row>
    <row r="15" spans="1:1" x14ac:dyDescent="0.2">
      <c r="A15" t="s">
        <v>1255</v>
      </c>
    </row>
    <row r="16" spans="1:1" x14ac:dyDescent="0.2">
      <c r="A16" t="s">
        <v>1256</v>
      </c>
    </row>
    <row r="17" spans="1:1" x14ac:dyDescent="0.2">
      <c r="A17" t="s">
        <v>1257</v>
      </c>
    </row>
    <row r="18" spans="1:1" x14ac:dyDescent="0.2">
      <c r="A18" t="s">
        <v>1258</v>
      </c>
    </row>
    <row r="19" spans="1:1" x14ac:dyDescent="0.2">
      <c r="A19" t="s">
        <v>1259</v>
      </c>
    </row>
    <row r="20" spans="1:1" x14ac:dyDescent="0.2">
      <c r="A20" t="s">
        <v>1260</v>
      </c>
    </row>
    <row r="21" spans="1:1" x14ac:dyDescent="0.2">
      <c r="A21" t="s">
        <v>1261</v>
      </c>
    </row>
    <row r="22" spans="1:1" x14ac:dyDescent="0.2">
      <c r="A22" t="s">
        <v>1262</v>
      </c>
    </row>
    <row r="23" spans="1:1" x14ac:dyDescent="0.2">
      <c r="A23" t="s">
        <v>1263</v>
      </c>
    </row>
    <row r="24" spans="1:1" x14ac:dyDescent="0.2">
      <c r="A24" t="s">
        <v>1264</v>
      </c>
    </row>
    <row r="25" spans="1:1" x14ac:dyDescent="0.2">
      <c r="A25" t="s">
        <v>1265</v>
      </c>
    </row>
    <row r="26" spans="1:1" x14ac:dyDescent="0.2">
      <c r="A26" t="s">
        <v>1266</v>
      </c>
    </row>
    <row r="27" spans="1:1" x14ac:dyDescent="0.2">
      <c r="A27" t="s">
        <v>1267</v>
      </c>
    </row>
    <row r="28" spans="1:1" x14ac:dyDescent="0.2">
      <c r="A28" t="s">
        <v>1268</v>
      </c>
    </row>
    <row r="29" spans="1:1" x14ac:dyDescent="0.2">
      <c r="A29" t="s">
        <v>1269</v>
      </c>
    </row>
    <row r="30" spans="1:1" x14ac:dyDescent="0.2">
      <c r="A30" t="s">
        <v>1270</v>
      </c>
    </row>
    <row r="31" spans="1:1" x14ac:dyDescent="0.2">
      <c r="A31" t="s">
        <v>1271</v>
      </c>
    </row>
    <row r="32" spans="1:1" x14ac:dyDescent="0.2">
      <c r="A32" t="s">
        <v>1272</v>
      </c>
    </row>
    <row r="33" spans="1:1" x14ac:dyDescent="0.2">
      <c r="A33" t="s">
        <v>1273</v>
      </c>
    </row>
    <row r="34" spans="1:1" x14ac:dyDescent="0.2">
      <c r="A34" t="s">
        <v>1274</v>
      </c>
    </row>
    <row r="35" spans="1:1" x14ac:dyDescent="0.2">
      <c r="A35" t="s">
        <v>1275</v>
      </c>
    </row>
    <row r="36" spans="1:1" x14ac:dyDescent="0.2">
      <c r="A36" t="s">
        <v>1276</v>
      </c>
    </row>
    <row r="37" spans="1:1" x14ac:dyDescent="0.2">
      <c r="A37" t="s">
        <v>1277</v>
      </c>
    </row>
    <row r="38" spans="1:1" x14ac:dyDescent="0.2">
      <c r="A38" t="s">
        <v>1278</v>
      </c>
    </row>
    <row r="39" spans="1:1" x14ac:dyDescent="0.2">
      <c r="A39" t="s">
        <v>1279</v>
      </c>
    </row>
    <row r="40" spans="1:1" x14ac:dyDescent="0.2">
      <c r="A40" t="s">
        <v>1280</v>
      </c>
    </row>
    <row r="41" spans="1:1" x14ac:dyDescent="0.2">
      <c r="A41" t="s">
        <v>1281</v>
      </c>
    </row>
    <row r="42" spans="1:1" x14ac:dyDescent="0.2">
      <c r="A42" t="s">
        <v>1282</v>
      </c>
    </row>
    <row r="43" spans="1:1" x14ac:dyDescent="0.2">
      <c r="A43" t="s">
        <v>1283</v>
      </c>
    </row>
    <row r="44" spans="1:1" x14ac:dyDescent="0.2">
      <c r="A44" t="s">
        <v>1284</v>
      </c>
    </row>
    <row r="45" spans="1:1" x14ac:dyDescent="0.2">
      <c r="A45" t="s">
        <v>1285</v>
      </c>
    </row>
    <row r="46" spans="1:1" x14ac:dyDescent="0.2">
      <c r="A46" t="s">
        <v>1286</v>
      </c>
    </row>
    <row r="47" spans="1:1" x14ac:dyDescent="0.2">
      <c r="A47" t="s">
        <v>1287</v>
      </c>
    </row>
    <row r="48" spans="1:1" x14ac:dyDescent="0.2">
      <c r="A48" t="s">
        <v>1288</v>
      </c>
    </row>
    <row r="49" spans="1:1" x14ac:dyDescent="0.2">
      <c r="A49" t="s">
        <v>1289</v>
      </c>
    </row>
    <row r="50" spans="1:1" x14ac:dyDescent="0.2">
      <c r="A50" t="s">
        <v>1290</v>
      </c>
    </row>
  </sheetData>
  <sheetProtection algorithmName="SHA-512" hashValue="W/PkS2K8TEG/UqLv8/Is8JrZT1gCQ8i2XwwvhbeHVyoTfsOe08OqctzwhoNNCJlwMiWoF56z2XRlN9Knm9C/Mg==" saltValue="52oQln/4O/KenMVZMpw8bg==" spinCount="100000" sheet="1" objects="1" scenarios="1"/>
  <sortState ref="A1:A55">
    <sortCondition ref="A25"/>
  </sortState>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
    <tabColor theme="9" tint="0.39997558519241921"/>
    <pageSetUpPr fitToPage="1"/>
  </sheetPr>
  <dimension ref="B1:R45"/>
  <sheetViews>
    <sheetView showGridLines="0" topLeftCell="A55" zoomScaleNormal="100" workbookViewId="0">
      <selection activeCell="B27" sqref="B27:R27"/>
    </sheetView>
  </sheetViews>
  <sheetFormatPr defaultColWidth="9.140625" defaultRowHeight="12.75" x14ac:dyDescent="0.2"/>
  <cols>
    <col min="1" max="1" width="2.5703125" style="1" customWidth="1"/>
    <col min="2" max="2" width="4.5703125" style="1" customWidth="1"/>
    <col min="3" max="3" width="24" style="1" customWidth="1"/>
    <col min="4" max="4" width="14.7109375" style="1" customWidth="1"/>
    <col min="5" max="5" width="2.28515625" style="1" customWidth="1"/>
    <col min="6" max="6" width="8.7109375" style="1" customWidth="1"/>
    <col min="7" max="7" width="16.42578125" style="1" customWidth="1"/>
    <col min="8" max="8" width="2.28515625" style="1" customWidth="1"/>
    <col min="9" max="9" width="13.7109375" style="1" customWidth="1"/>
    <col min="10" max="10" width="9.140625" style="1"/>
    <col min="11" max="11" width="15.42578125" style="1" customWidth="1"/>
    <col min="12" max="12" width="3.42578125" style="1" customWidth="1"/>
    <col min="13" max="13" width="12.28515625" style="1" customWidth="1"/>
    <col min="14" max="14" width="10.7109375" style="1" customWidth="1"/>
    <col min="15" max="15" width="15.28515625" style="1" customWidth="1"/>
    <col min="16" max="16" width="3.28515625" style="1" customWidth="1"/>
    <col min="17" max="17" width="13.5703125" style="1" customWidth="1"/>
    <col min="18" max="18" width="18" style="1" customWidth="1"/>
    <col min="19" max="16384" width="9.140625" style="1"/>
  </cols>
  <sheetData>
    <row r="1" spans="2:18" x14ac:dyDescent="0.2">
      <c r="Q1" s="920" t="s">
        <v>264</v>
      </c>
      <c r="R1" s="1097" t="str">
        <f>EBNUMBER</f>
        <v>EB-2019-0037</v>
      </c>
    </row>
    <row r="2" spans="2:18" x14ac:dyDescent="0.2">
      <c r="Q2" s="920" t="s">
        <v>265</v>
      </c>
      <c r="R2" s="72"/>
    </row>
    <row r="3" spans="2:18" x14ac:dyDescent="0.2">
      <c r="Q3" s="920" t="s">
        <v>266</v>
      </c>
      <c r="R3" s="72"/>
    </row>
    <row r="4" spans="2:18" x14ac:dyDescent="0.2">
      <c r="Q4" s="920" t="s">
        <v>267</v>
      </c>
      <c r="R4" s="72"/>
    </row>
    <row r="5" spans="2:18" x14ac:dyDescent="0.2">
      <c r="Q5" s="920" t="s">
        <v>268</v>
      </c>
      <c r="R5" s="73"/>
    </row>
    <row r="6" spans="2:18" x14ac:dyDescent="0.2">
      <c r="Q6" s="920"/>
      <c r="R6" s="930"/>
    </row>
    <row r="7" spans="2:18" x14ac:dyDescent="0.2">
      <c r="Q7" s="920" t="s">
        <v>269</v>
      </c>
      <c r="R7" s="73"/>
    </row>
    <row r="9" spans="2:18" ht="18" x14ac:dyDescent="0.25">
      <c r="B9" s="1916" t="s">
        <v>839</v>
      </c>
      <c r="C9" s="1916"/>
      <c r="D9" s="1916"/>
      <c r="E9" s="1916"/>
      <c r="F9" s="1916"/>
      <c r="G9" s="1916"/>
      <c r="H9" s="1916"/>
      <c r="I9" s="1916"/>
      <c r="J9" s="1916"/>
      <c r="K9" s="1916"/>
      <c r="L9" s="1916"/>
      <c r="M9" s="1916"/>
      <c r="N9" s="1916"/>
      <c r="O9" s="1916"/>
      <c r="P9" s="1916"/>
      <c r="Q9" s="1916"/>
      <c r="R9" s="1916"/>
    </row>
    <row r="10" spans="2:18" ht="18" x14ac:dyDescent="0.2">
      <c r="B10" s="2190" t="s">
        <v>930</v>
      </c>
      <c r="C10" s="2190"/>
      <c r="D10" s="2190"/>
      <c r="E10" s="2190"/>
      <c r="F10" s="2190"/>
      <c r="G10" s="2190"/>
      <c r="H10" s="2190"/>
      <c r="I10" s="2190"/>
      <c r="J10" s="2190"/>
      <c r="K10" s="2190"/>
      <c r="L10" s="2190"/>
      <c r="M10" s="2190"/>
      <c r="N10" s="2190"/>
      <c r="O10" s="2190"/>
      <c r="P10" s="2190"/>
      <c r="Q10" s="2190"/>
      <c r="R10" s="2190"/>
    </row>
    <row r="12" spans="2:18" x14ac:dyDescent="0.2">
      <c r="B12" s="860" t="s">
        <v>931</v>
      </c>
    </row>
    <row r="14" spans="2:18" x14ac:dyDescent="0.2">
      <c r="B14" s="860" t="s">
        <v>932</v>
      </c>
      <c r="C14" s="860" t="s">
        <v>933</v>
      </c>
    </row>
    <row r="15" spans="2:18" x14ac:dyDescent="0.2">
      <c r="B15" s="860" t="s">
        <v>934</v>
      </c>
      <c r="C15" s="860" t="s">
        <v>884</v>
      </c>
    </row>
    <row r="16" spans="2:18" x14ac:dyDescent="0.2">
      <c r="B16" s="860" t="s">
        <v>935</v>
      </c>
      <c r="C16" s="860" t="s">
        <v>936</v>
      </c>
    </row>
    <row r="17" spans="2:18" x14ac:dyDescent="0.2">
      <c r="B17" s="860" t="s">
        <v>937</v>
      </c>
      <c r="C17" s="860" t="s">
        <v>938</v>
      </c>
    </row>
    <row r="19" spans="2:18" ht="27" customHeight="1" x14ac:dyDescent="0.2">
      <c r="B19" s="1905" t="s">
        <v>946</v>
      </c>
      <c r="C19" s="1905"/>
      <c r="D19" s="1905"/>
      <c r="E19" s="1905"/>
      <c r="F19" s="1905"/>
      <c r="G19" s="1905"/>
      <c r="H19" s="1905"/>
      <c r="I19" s="1905"/>
      <c r="J19" s="1905"/>
      <c r="K19" s="1905"/>
      <c r="L19" s="1905"/>
      <c r="M19" s="1905"/>
      <c r="N19" s="1905"/>
      <c r="O19" s="1905"/>
      <c r="P19" s="1905"/>
      <c r="Q19" s="1905"/>
      <c r="R19" s="1905"/>
    </row>
    <row r="21" spans="2:18" ht="27.75" customHeight="1" x14ac:dyDescent="0.2">
      <c r="B21" s="1905" t="s">
        <v>939</v>
      </c>
      <c r="C21" s="1905"/>
      <c r="D21" s="1905"/>
      <c r="E21" s="1905"/>
      <c r="F21" s="1905"/>
      <c r="G21" s="1905"/>
      <c r="H21" s="1905"/>
      <c r="I21" s="1905"/>
      <c r="J21" s="1905"/>
      <c r="K21" s="1905"/>
      <c r="L21" s="1905"/>
      <c r="M21" s="1905"/>
      <c r="N21" s="1905"/>
      <c r="O21" s="1905"/>
      <c r="P21" s="1905"/>
      <c r="Q21" s="1905"/>
      <c r="R21" s="1905"/>
    </row>
    <row r="23" spans="2:18" ht="24.75" customHeight="1" x14ac:dyDescent="0.2">
      <c r="B23" s="1905" t="s">
        <v>940</v>
      </c>
      <c r="C23" s="1905"/>
      <c r="D23" s="1905"/>
      <c r="E23" s="1905"/>
      <c r="F23" s="1905"/>
      <c r="G23" s="1905"/>
      <c r="H23" s="1905"/>
      <c r="I23" s="1905"/>
      <c r="J23" s="1905"/>
      <c r="K23" s="1905"/>
      <c r="L23" s="1905"/>
      <c r="M23" s="1905"/>
      <c r="N23" s="1905"/>
      <c r="O23" s="1905"/>
      <c r="P23" s="1905"/>
      <c r="Q23" s="1905"/>
      <c r="R23" s="1905"/>
    </row>
    <row r="25" spans="2:18" ht="26.25" customHeight="1" x14ac:dyDescent="0.2">
      <c r="B25" s="1905" t="s">
        <v>941</v>
      </c>
      <c r="C25" s="1905"/>
      <c r="D25" s="1905"/>
      <c r="E25" s="1905"/>
      <c r="F25" s="1905"/>
      <c r="G25" s="1905"/>
      <c r="H25" s="1905"/>
      <c r="I25" s="1905"/>
      <c r="J25" s="1905"/>
      <c r="K25" s="1905"/>
      <c r="L25" s="1905"/>
      <c r="M25" s="1905"/>
      <c r="N25" s="1905"/>
      <c r="O25" s="1905"/>
      <c r="P25" s="1905"/>
      <c r="Q25" s="1905"/>
      <c r="R25" s="1905"/>
    </row>
    <row r="27" spans="2:18" ht="30.75" customHeight="1" x14ac:dyDescent="0.2">
      <c r="B27" s="2177" t="s">
        <v>942</v>
      </c>
      <c r="C27" s="2177"/>
      <c r="D27" s="2177"/>
      <c r="E27" s="2177"/>
      <c r="F27" s="2177"/>
      <c r="G27" s="2177"/>
      <c r="H27" s="2177"/>
      <c r="I27" s="2177"/>
      <c r="J27" s="2177"/>
      <c r="K27" s="2177"/>
      <c r="L27" s="2177"/>
      <c r="M27" s="2177"/>
      <c r="N27" s="2177"/>
      <c r="O27" s="2177"/>
      <c r="P27" s="2177"/>
      <c r="Q27" s="2177"/>
      <c r="R27" s="2177"/>
    </row>
    <row r="28" spans="2:18" ht="13.5" thickBot="1" x14ac:dyDescent="0.25"/>
    <row r="29" spans="2:18" x14ac:dyDescent="0.2">
      <c r="C29" s="1098"/>
      <c r="D29" s="1099" t="s">
        <v>945</v>
      </c>
      <c r="E29" s="1099"/>
      <c r="F29" s="1100" t="s">
        <v>822</v>
      </c>
      <c r="G29" s="1101"/>
      <c r="H29" s="1099"/>
      <c r="I29" s="2178" t="s">
        <v>951</v>
      </c>
      <c r="J29" s="2179"/>
      <c r="K29" s="2180"/>
      <c r="L29" s="1102"/>
      <c r="M29" s="2181" t="s">
        <v>950</v>
      </c>
      <c r="N29" s="2182"/>
      <c r="O29" s="2183"/>
      <c r="P29" s="1101"/>
      <c r="Q29" s="2188" t="s">
        <v>938</v>
      </c>
      <c r="R29" s="2189"/>
    </row>
    <row r="30" spans="2:18" ht="38.25" customHeight="1" thickBot="1" x14ac:dyDescent="0.25">
      <c r="C30" s="1103"/>
      <c r="D30" s="1104" t="str">
        <f>"(for "&amp;TestYear&amp;" Cost of Service)"</f>
        <v>(for 2020 Cost of Service)</v>
      </c>
      <c r="E30" s="1105"/>
      <c r="F30" s="1106"/>
      <c r="G30" s="1107"/>
      <c r="H30" s="1105"/>
      <c r="I30" s="1108" t="s">
        <v>947</v>
      </c>
      <c r="J30" s="2186" t="s">
        <v>948</v>
      </c>
      <c r="K30" s="2187"/>
      <c r="L30" s="1105"/>
      <c r="M30" s="1108" t="s">
        <v>947</v>
      </c>
      <c r="N30" s="2184" t="s">
        <v>948</v>
      </c>
      <c r="O30" s="2185"/>
      <c r="P30" s="1105"/>
      <c r="Q30" s="1108" t="s">
        <v>947</v>
      </c>
      <c r="R30" s="1109" t="s">
        <v>948</v>
      </c>
    </row>
    <row r="31" spans="2:18" ht="14.25" x14ac:dyDescent="0.2">
      <c r="C31" s="1105" t="s">
        <v>786</v>
      </c>
      <c r="D31" s="1110">
        <f t="shared" ref="D31:D36" si="0">D32-1</f>
        <v>2014</v>
      </c>
      <c r="E31" s="1111"/>
      <c r="F31" s="1112" t="s">
        <v>334</v>
      </c>
      <c r="G31" s="1113"/>
      <c r="H31" s="1111"/>
      <c r="I31" s="1114" t="s">
        <v>334</v>
      </c>
      <c r="J31" s="1115" t="s">
        <v>949</v>
      </c>
      <c r="K31" s="1116"/>
      <c r="L31" s="1111"/>
      <c r="M31" s="1114" t="s">
        <v>334</v>
      </c>
      <c r="N31" s="1117" t="s">
        <v>949</v>
      </c>
      <c r="O31" s="1116"/>
      <c r="P31" s="1111"/>
      <c r="Q31" s="1114" t="s">
        <v>334</v>
      </c>
      <c r="R31" s="1113"/>
    </row>
    <row r="32" spans="2:18" ht="14.25" x14ac:dyDescent="0.2">
      <c r="C32" s="1105" t="s">
        <v>786</v>
      </c>
      <c r="D32" s="1110">
        <f t="shared" si="0"/>
        <v>2015</v>
      </c>
      <c r="E32" s="1111"/>
      <c r="F32" s="1114" t="s">
        <v>334</v>
      </c>
      <c r="G32" s="1113"/>
      <c r="H32" s="1111"/>
      <c r="I32" s="1114" t="s">
        <v>334</v>
      </c>
      <c r="J32" s="1115" t="s">
        <v>949</v>
      </c>
      <c r="K32" s="1113"/>
      <c r="L32" s="1111"/>
      <c r="M32" s="1114" t="s">
        <v>334</v>
      </c>
      <c r="N32" s="1117" t="s">
        <v>949</v>
      </c>
      <c r="O32" s="1113"/>
      <c r="P32" s="1111"/>
      <c r="Q32" s="1114" t="s">
        <v>334</v>
      </c>
      <c r="R32" s="1113"/>
    </row>
    <row r="33" spans="2:18" ht="14.25" x14ac:dyDescent="0.2">
      <c r="C33" s="1105" t="s">
        <v>786</v>
      </c>
      <c r="D33" s="1110">
        <f t="shared" si="0"/>
        <v>2016</v>
      </c>
      <c r="E33" s="1111"/>
      <c r="F33" s="1114" t="s">
        <v>334</v>
      </c>
      <c r="G33" s="1118" t="s">
        <v>1325</v>
      </c>
      <c r="H33" s="1111"/>
      <c r="I33" s="1114" t="s">
        <v>334</v>
      </c>
      <c r="J33" s="1115" t="s">
        <v>949</v>
      </c>
      <c r="K33" s="1118" t="s">
        <v>1325</v>
      </c>
      <c r="L33" s="1111"/>
      <c r="M33" s="1114" t="s">
        <v>334</v>
      </c>
      <c r="N33" s="1117" t="s">
        <v>949</v>
      </c>
      <c r="O33" s="1118" t="s">
        <v>1325</v>
      </c>
      <c r="P33" s="1111"/>
      <c r="Q33" s="1114" t="s">
        <v>334</v>
      </c>
      <c r="R33" s="1113"/>
    </row>
    <row r="34" spans="2:18" ht="14.25" x14ac:dyDescent="0.2">
      <c r="C34" s="1105" t="s">
        <v>786</v>
      </c>
      <c r="D34" s="1110">
        <f t="shared" si="0"/>
        <v>2017</v>
      </c>
      <c r="E34" s="1111"/>
      <c r="F34" s="1114" t="s">
        <v>334</v>
      </c>
      <c r="G34" s="1113"/>
      <c r="H34" s="1111"/>
      <c r="I34" s="1114" t="s">
        <v>334</v>
      </c>
      <c r="J34" s="1115" t="s">
        <v>949</v>
      </c>
      <c r="K34" s="1113"/>
      <c r="L34" s="1111"/>
      <c r="M34" s="1114" t="s">
        <v>334</v>
      </c>
      <c r="N34" s="1117" t="s">
        <v>949</v>
      </c>
      <c r="O34" s="1113"/>
      <c r="P34" s="1111"/>
      <c r="Q34" s="1114" t="s">
        <v>334</v>
      </c>
      <c r="R34" s="1113"/>
    </row>
    <row r="35" spans="2:18" ht="14.25" x14ac:dyDescent="0.2">
      <c r="C35" s="1105" t="s">
        <v>786</v>
      </c>
      <c r="D35" s="1110">
        <f t="shared" si="0"/>
        <v>2018</v>
      </c>
      <c r="E35" s="1111"/>
      <c r="F35" s="1114" t="s">
        <v>334</v>
      </c>
      <c r="G35" s="1113"/>
      <c r="H35" s="1111"/>
      <c r="I35" s="1114" t="s">
        <v>334</v>
      </c>
      <c r="J35" s="1115" t="s">
        <v>949</v>
      </c>
      <c r="K35" s="1113"/>
      <c r="L35" s="1111"/>
      <c r="M35" s="1114" t="s">
        <v>334</v>
      </c>
      <c r="N35" s="1117" t="s">
        <v>949</v>
      </c>
      <c r="O35" s="1113"/>
      <c r="P35" s="1111"/>
      <c r="Q35" s="1114" t="s">
        <v>334</v>
      </c>
      <c r="R35" s="1113"/>
    </row>
    <row r="36" spans="2:18" x14ac:dyDescent="0.2">
      <c r="C36" s="1105" t="s">
        <v>943</v>
      </c>
      <c r="D36" s="1110">
        <f t="shared" si="0"/>
        <v>2019</v>
      </c>
      <c r="E36" s="1111"/>
      <c r="F36" s="1114" t="s">
        <v>77</v>
      </c>
      <c r="G36" s="1113"/>
      <c r="H36" s="1111"/>
      <c r="I36" s="1119"/>
      <c r="J36" s="1115" t="s">
        <v>77</v>
      </c>
      <c r="K36" s="1113"/>
      <c r="L36" s="1111"/>
      <c r="M36" s="1119"/>
      <c r="N36" s="1117" t="s">
        <v>77</v>
      </c>
      <c r="O36" s="1113"/>
      <c r="P36" s="1111"/>
      <c r="Q36" s="1119"/>
      <c r="R36" s="1118" t="s">
        <v>77</v>
      </c>
    </row>
    <row r="37" spans="2:18" ht="13.5" thickBot="1" x14ac:dyDescent="0.25">
      <c r="C37" s="1120" t="s">
        <v>944</v>
      </c>
      <c r="D37" s="1121">
        <f>TestYear</f>
        <v>2020</v>
      </c>
      <c r="E37" s="1103"/>
      <c r="F37" s="1122" t="s">
        <v>77</v>
      </c>
      <c r="G37" s="1123"/>
      <c r="H37" s="1103"/>
      <c r="I37" s="1124"/>
      <c r="J37" s="1125" t="s">
        <v>77</v>
      </c>
      <c r="K37" s="1123"/>
      <c r="L37" s="1103"/>
      <c r="M37" s="1124"/>
      <c r="N37" s="1126" t="s">
        <v>77</v>
      </c>
      <c r="O37" s="1123"/>
      <c r="P37" s="1103"/>
      <c r="Q37" s="1124"/>
      <c r="R37" s="1127" t="s">
        <v>77</v>
      </c>
    </row>
    <row r="40" spans="2:18" x14ac:dyDescent="0.2">
      <c r="B40" s="874" t="s">
        <v>6</v>
      </c>
    </row>
    <row r="41" spans="2:18" ht="6" customHeight="1" x14ac:dyDescent="0.2"/>
    <row r="42" spans="2:18" ht="31.5" customHeight="1" x14ac:dyDescent="0.2">
      <c r="B42" s="1128" t="s">
        <v>273</v>
      </c>
      <c r="C42" s="2177" t="s">
        <v>955</v>
      </c>
      <c r="D42" s="2177"/>
      <c r="E42" s="2177"/>
      <c r="F42" s="2177"/>
      <c r="G42" s="2177"/>
      <c r="H42" s="2177"/>
      <c r="I42" s="2177"/>
      <c r="J42" s="2177"/>
      <c r="K42" s="2177"/>
      <c r="L42" s="2177"/>
      <c r="M42" s="2177"/>
      <c r="N42" s="2177"/>
      <c r="O42" s="2177"/>
      <c r="P42" s="2177"/>
      <c r="Q42" s="2177"/>
      <c r="R42" s="2177"/>
    </row>
    <row r="43" spans="2:18" ht="30.75" customHeight="1" x14ac:dyDescent="0.2">
      <c r="B43" s="1128" t="s">
        <v>5</v>
      </c>
      <c r="C43" s="2177" t="str">
        <f>"For "&amp;TestYear&amp;" Cost of Service rebasers, the typical situation is that "&amp; TestYear - 4 &amp; " would have been the most recent cost of service rebasing application. If the most recent rebasing application was for a rate year other than "&amp; TestYear - 4&amp; ", that year should be used."&amp;" An applicant must provide historical information back to the greater of: a) at least five (5) historical actual years; or b) to its last cost of service application."</f>
        <v>For 2020 Cost of Service rebasers, the typical situation is that 2016 would have been the most recent cost of service rebasing application. If the most recent rebasing application was for a rate year other than 2016, that year should be used. An applicant must provide historical information back to the greater of: a) at least five (5) historical actual years; or b) to its last cost of service application.</v>
      </c>
      <c r="D43" s="2177"/>
      <c r="E43" s="2177"/>
      <c r="F43" s="2177"/>
      <c r="G43" s="2177"/>
      <c r="H43" s="2177"/>
      <c r="I43" s="2177"/>
      <c r="J43" s="2177"/>
      <c r="K43" s="2177"/>
      <c r="L43" s="2177"/>
      <c r="M43" s="2177"/>
      <c r="N43" s="2177"/>
      <c r="O43" s="2177"/>
      <c r="P43" s="2177"/>
      <c r="Q43" s="2177"/>
      <c r="R43" s="2177"/>
    </row>
    <row r="44" spans="2:18" ht="15" x14ac:dyDescent="0.2">
      <c r="B44" s="1128" t="s">
        <v>30</v>
      </c>
      <c r="C44" s="2177" t="s">
        <v>956</v>
      </c>
      <c r="D44" s="2177"/>
      <c r="E44" s="2177"/>
      <c r="F44" s="2177"/>
      <c r="G44" s="2177"/>
      <c r="H44" s="2177"/>
      <c r="I44" s="2177"/>
      <c r="J44" s="2177"/>
      <c r="K44" s="2177"/>
      <c r="L44" s="2177"/>
      <c r="M44" s="2177"/>
      <c r="N44" s="2177"/>
      <c r="O44" s="2177"/>
      <c r="P44" s="2177"/>
      <c r="Q44" s="2177"/>
      <c r="R44" s="2177"/>
    </row>
    <row r="45" spans="2:18" ht="15" x14ac:dyDescent="0.2">
      <c r="B45" s="1128" t="s">
        <v>31</v>
      </c>
      <c r="C45" s="2177" t="s">
        <v>957</v>
      </c>
      <c r="D45" s="2177"/>
      <c r="E45" s="2177"/>
      <c r="F45" s="2177"/>
      <c r="G45" s="2177"/>
      <c r="H45" s="2177"/>
      <c r="I45" s="2177"/>
      <c r="J45" s="2177"/>
      <c r="K45" s="2177"/>
      <c r="L45" s="2177"/>
      <c r="M45" s="2177"/>
      <c r="N45" s="2177"/>
      <c r="O45" s="2177"/>
      <c r="P45" s="2177"/>
      <c r="Q45" s="2177"/>
      <c r="R45" s="2177"/>
    </row>
  </sheetData>
  <sheetProtection algorithmName="SHA-512" hashValue="cyrZ312jjspV7oVK3IDsNGu6mvX10e0XizlmQ7yWskkSZSESS5M/8HJCUMGJWvuxtq4g6YIYDxTidtQlC14hnw==" saltValue="S71ZJyFBeGjWsE+qGOUmRA==" spinCount="100000" sheet="1" objects="1" scenarios="1"/>
  <mergeCells count="16">
    <mergeCell ref="B10:R10"/>
    <mergeCell ref="B9:R9"/>
    <mergeCell ref="B19:R19"/>
    <mergeCell ref="B21:R21"/>
    <mergeCell ref="B23:R23"/>
    <mergeCell ref="B25:R25"/>
    <mergeCell ref="B27:R27"/>
    <mergeCell ref="C44:R44"/>
    <mergeCell ref="C45:R45"/>
    <mergeCell ref="I29:K29"/>
    <mergeCell ref="M29:O29"/>
    <mergeCell ref="N30:O30"/>
    <mergeCell ref="J30:K30"/>
    <mergeCell ref="C42:R42"/>
    <mergeCell ref="C43:R43"/>
    <mergeCell ref="Q29:R29"/>
  </mergeCells>
  <pageMargins left="0.7" right="0.7" top="0.75" bottom="0.75" header="0.3" footer="0.3"/>
  <pageSetup scale="6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tabColor rgb="FFFFFF00"/>
    <pageSetUpPr fitToPage="1"/>
  </sheetPr>
  <dimension ref="B3:J6"/>
  <sheetViews>
    <sheetView showGridLines="0" topLeftCell="A7" zoomScaleNormal="100" workbookViewId="0">
      <selection activeCell="I5" sqref="I5"/>
    </sheetView>
  </sheetViews>
  <sheetFormatPr defaultColWidth="9.28515625" defaultRowHeight="12.75" x14ac:dyDescent="0.2"/>
  <cols>
    <col min="1" max="1" width="2.7109375" style="1" customWidth="1"/>
    <col min="2" max="2" width="81.7109375" style="1" customWidth="1"/>
    <col min="3" max="5" width="9.28515625" style="1"/>
    <col min="6" max="6" width="12.7109375" style="1" bestFit="1" customWidth="1"/>
    <col min="7" max="7" width="10.7109375" style="1" customWidth="1"/>
    <col min="8" max="16384" width="9.28515625" style="1"/>
  </cols>
  <sheetData>
    <row r="3" spans="2:10" ht="18" x14ac:dyDescent="0.25">
      <c r="B3" s="1856"/>
      <c r="C3" s="1856"/>
      <c r="D3" s="1856"/>
      <c r="E3" s="1856"/>
      <c r="F3" s="1856"/>
      <c r="G3" s="1856"/>
    </row>
    <row r="4" spans="2:10" ht="18" x14ac:dyDescent="0.25">
      <c r="B4" s="1856" t="s">
        <v>94</v>
      </c>
      <c r="C4" s="1856"/>
      <c r="D4" s="1856"/>
      <c r="E4" s="1856"/>
      <c r="F4" s="1856"/>
      <c r="G4" s="1856"/>
    </row>
    <row r="6" spans="2:10" ht="51" customHeight="1" x14ac:dyDescent="0.2">
      <c r="B6" s="1854" t="s">
        <v>994</v>
      </c>
      <c r="C6" s="1855"/>
      <c r="D6" s="1855"/>
      <c r="E6" s="1855"/>
      <c r="F6" s="1855"/>
      <c r="G6" s="1855"/>
      <c r="J6" s="871"/>
    </row>
  </sheetData>
  <sheetProtection algorithmName="SHA-512" hashValue="RYKNHM/6l8TEyyDHNywx8gxrjvMqPwj1p8bsv/Ok8oLogRxXUBU+s1nU8X209voC857iWUXKw/MOadesWFPAiQ==" saltValue="DHqcVKPJef4GI18dMKiXjw==" spinCount="100000" sheet="1" objects="1" scenarios="1"/>
  <mergeCells count="3">
    <mergeCell ref="B6:G6"/>
    <mergeCell ref="B3:G3"/>
    <mergeCell ref="B4:G4"/>
  </mergeCells>
  <phoneticPr fontId="13" type="noConversion"/>
  <pageMargins left="0.75" right="0.75" top="1" bottom="1" header="0.5" footer="0.5"/>
  <pageSetup scale="8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
    <tabColor theme="9" tint="0.39997558519241921"/>
    <pageSetUpPr fitToPage="1"/>
  </sheetPr>
  <dimension ref="B1:W344"/>
  <sheetViews>
    <sheetView showGridLines="0" topLeftCell="A166" zoomScaleNormal="100" zoomScaleSheetLayoutView="10" workbookViewId="0">
      <selection activeCell="N183" sqref="N183"/>
    </sheetView>
  </sheetViews>
  <sheetFormatPr defaultRowHeight="12.75" x14ac:dyDescent="0.2"/>
  <cols>
    <col min="1" max="1" width="1.7109375" customWidth="1"/>
    <col min="2" max="2" width="3.7109375" customWidth="1"/>
    <col min="3" max="3" width="17.5703125" customWidth="1"/>
    <col min="4" max="4" width="14.7109375" customWidth="1"/>
    <col min="5" max="5" width="2.28515625" customWidth="1"/>
    <col min="6" max="6" width="9.7109375" customWidth="1"/>
    <col min="7" max="8" width="14.7109375" customWidth="1"/>
    <col min="9" max="9" width="14.42578125" customWidth="1"/>
    <col min="10" max="10" width="2.7109375" customWidth="1"/>
    <col min="11" max="11" width="9.7109375" customWidth="1"/>
    <col min="12" max="13" width="13.7109375" customWidth="1"/>
    <col min="14" max="14" width="14.5703125" customWidth="1"/>
    <col min="15" max="15" width="15.42578125" customWidth="1"/>
    <col min="16" max="16" width="2.28515625" customWidth="1"/>
    <col min="17" max="17" width="12.7109375" customWidth="1"/>
    <col min="18" max="18" width="10.5703125" customWidth="1"/>
    <col min="19" max="19" width="11.42578125" customWidth="1"/>
    <col min="20" max="20" width="14" customWidth="1"/>
    <col min="21" max="21" width="13.7109375" customWidth="1"/>
    <col min="22" max="22" width="3.28515625" customWidth="1"/>
  </cols>
  <sheetData>
    <row r="1" spans="2:22" x14ac:dyDescent="0.2">
      <c r="B1" s="27"/>
      <c r="C1" s="27"/>
      <c r="D1" s="27"/>
      <c r="E1" s="27"/>
      <c r="F1" s="27"/>
      <c r="G1" s="27"/>
      <c r="H1" s="27"/>
      <c r="I1" s="27"/>
      <c r="J1" s="27"/>
      <c r="K1" s="27"/>
      <c r="L1" s="27"/>
      <c r="M1" s="27"/>
      <c r="N1" s="27"/>
      <c r="O1" s="27"/>
      <c r="P1" s="27"/>
      <c r="Q1" s="27"/>
      <c r="R1" s="27"/>
      <c r="S1" s="27"/>
      <c r="T1" s="79" t="s">
        <v>264</v>
      </c>
      <c r="U1" s="71" t="str">
        <f>EBNUMBER</f>
        <v>EB-2019-0037</v>
      </c>
    </row>
    <row r="2" spans="2:22" x14ac:dyDescent="0.2">
      <c r="B2" s="27"/>
      <c r="C2" s="27"/>
      <c r="D2" s="27"/>
      <c r="E2" s="27"/>
      <c r="F2" s="27"/>
      <c r="G2" s="27"/>
      <c r="H2" s="27"/>
      <c r="I2" s="27"/>
      <c r="J2" s="27"/>
      <c r="K2" s="27"/>
      <c r="L2" s="27"/>
      <c r="M2" s="27"/>
      <c r="N2" s="27"/>
      <c r="O2" s="27"/>
      <c r="P2" s="27"/>
      <c r="Q2" s="27"/>
      <c r="R2" s="27"/>
      <c r="S2" s="27"/>
      <c r="T2" s="79" t="s">
        <v>265</v>
      </c>
      <c r="U2" s="72">
        <v>3</v>
      </c>
    </row>
    <row r="3" spans="2:22" x14ac:dyDescent="0.2">
      <c r="B3" s="27"/>
      <c r="C3" s="27"/>
      <c r="D3" s="27"/>
      <c r="E3" s="27"/>
      <c r="F3" s="27"/>
      <c r="G3" s="27"/>
      <c r="H3" s="27"/>
      <c r="I3" s="27"/>
      <c r="J3" s="27"/>
      <c r="K3" s="27"/>
      <c r="L3" s="27"/>
      <c r="M3" s="27"/>
      <c r="N3" s="27"/>
      <c r="O3" s="27"/>
      <c r="P3" s="27"/>
      <c r="Q3" s="27"/>
      <c r="R3" s="27"/>
      <c r="S3" s="27"/>
      <c r="T3" s="79" t="s">
        <v>266</v>
      </c>
      <c r="U3" s="72">
        <v>2</v>
      </c>
    </row>
    <row r="4" spans="2:22" x14ac:dyDescent="0.2">
      <c r="B4" s="27"/>
      <c r="C4" s="27"/>
      <c r="D4" s="27"/>
      <c r="E4" s="27"/>
      <c r="F4" s="27"/>
      <c r="G4" s="27"/>
      <c r="H4" s="27"/>
      <c r="I4" s="27"/>
      <c r="J4" s="27"/>
      <c r="K4" s="27"/>
      <c r="L4" s="27"/>
      <c r="M4" s="27"/>
      <c r="N4" s="27"/>
      <c r="O4" s="27"/>
      <c r="P4" s="27"/>
      <c r="Q4" s="27"/>
      <c r="R4" s="27"/>
      <c r="S4" s="27"/>
      <c r="T4" s="79" t="s">
        <v>267</v>
      </c>
      <c r="U4" s="72">
        <v>1</v>
      </c>
    </row>
    <row r="5" spans="2:22" x14ac:dyDescent="0.2">
      <c r="B5" s="27"/>
      <c r="C5" s="27"/>
      <c r="D5" s="27"/>
      <c r="E5" s="27"/>
      <c r="F5" s="27"/>
      <c r="G5" s="27"/>
      <c r="H5" s="27"/>
      <c r="I5" s="27"/>
      <c r="J5" s="27"/>
      <c r="K5" s="27"/>
      <c r="L5" s="27"/>
      <c r="M5" s="27"/>
      <c r="N5" s="27"/>
      <c r="O5" s="27"/>
      <c r="P5" s="27"/>
      <c r="Q5" s="27"/>
      <c r="R5" s="27"/>
      <c r="S5" s="27"/>
      <c r="T5" s="79" t="s">
        <v>268</v>
      </c>
      <c r="U5" s="73">
        <v>1</v>
      </c>
    </row>
    <row r="6" spans="2:22" x14ac:dyDescent="0.2">
      <c r="B6" s="27"/>
      <c r="C6" s="27"/>
      <c r="D6" s="27"/>
      <c r="E6" s="27"/>
      <c r="F6" s="27"/>
      <c r="G6" s="27"/>
      <c r="H6" s="27"/>
      <c r="I6" s="27"/>
      <c r="J6" s="27"/>
      <c r="K6" s="27"/>
      <c r="L6" s="27"/>
      <c r="M6" s="27"/>
      <c r="N6" s="27"/>
      <c r="O6" s="27"/>
      <c r="P6" s="27"/>
      <c r="Q6" s="27"/>
      <c r="R6" s="27"/>
      <c r="S6" s="27"/>
      <c r="T6" s="79"/>
      <c r="U6" s="457"/>
    </row>
    <row r="7" spans="2:22" x14ac:dyDescent="0.2">
      <c r="B7" s="27"/>
      <c r="C7" s="27"/>
      <c r="D7" s="27"/>
      <c r="E7" s="27"/>
      <c r="F7" s="27"/>
      <c r="G7" s="27"/>
      <c r="H7" s="27"/>
      <c r="I7" s="27"/>
      <c r="J7" s="27"/>
      <c r="K7" s="27"/>
      <c r="L7" s="27"/>
      <c r="M7" s="27"/>
      <c r="N7" s="27"/>
      <c r="O7" s="27"/>
      <c r="P7" s="27"/>
      <c r="Q7" s="27"/>
      <c r="R7" s="27"/>
      <c r="S7" s="27"/>
      <c r="T7" s="79" t="s">
        <v>269</v>
      </c>
      <c r="U7" s="1447"/>
    </row>
    <row r="8" spans="2:22" x14ac:dyDescent="0.2">
      <c r="B8" s="27"/>
      <c r="C8" s="27"/>
      <c r="D8" s="27"/>
      <c r="E8" s="27"/>
      <c r="F8" s="27"/>
      <c r="G8" s="27"/>
      <c r="H8" s="27"/>
      <c r="I8" s="27"/>
      <c r="J8" s="27"/>
      <c r="K8" s="27"/>
      <c r="L8" s="27"/>
      <c r="M8" s="27"/>
    </row>
    <row r="9" spans="2:22" ht="18" x14ac:dyDescent="0.25">
      <c r="B9" s="2015" t="s">
        <v>952</v>
      </c>
      <c r="C9" s="2015"/>
      <c r="D9" s="2015"/>
      <c r="E9" s="2015"/>
      <c r="F9" s="2015"/>
      <c r="G9" s="2015"/>
      <c r="H9" s="2015"/>
      <c r="I9" s="2015"/>
      <c r="J9" s="2015"/>
      <c r="K9" s="2015"/>
      <c r="L9" s="2015"/>
      <c r="M9" s="2015"/>
      <c r="N9" s="2015"/>
      <c r="O9" s="2015"/>
      <c r="P9" s="2015"/>
      <c r="Q9" s="2015"/>
      <c r="R9" s="2015"/>
      <c r="S9" s="2015"/>
      <c r="T9" s="2015"/>
      <c r="U9" s="2015"/>
      <c r="V9" s="2015"/>
    </row>
    <row r="10" spans="2:22" ht="18" x14ac:dyDescent="0.2">
      <c r="B10" s="2211" t="s">
        <v>961</v>
      </c>
      <c r="C10" s="2211"/>
      <c r="D10" s="2211"/>
      <c r="E10" s="2211"/>
      <c r="F10" s="2211"/>
      <c r="G10" s="2211"/>
      <c r="H10" s="2211"/>
      <c r="I10" s="2211"/>
      <c r="J10" s="2211"/>
      <c r="K10" s="2211"/>
      <c r="L10" s="2211"/>
      <c r="M10" s="2211"/>
      <c r="N10" s="2211"/>
      <c r="O10" s="2211"/>
      <c r="P10" s="2211"/>
      <c r="Q10" s="2211"/>
      <c r="R10" s="2211"/>
      <c r="S10" s="2211"/>
      <c r="T10" s="2211"/>
      <c r="U10" s="2211"/>
      <c r="V10" s="2211"/>
    </row>
    <row r="12" spans="2:22" hidden="1" x14ac:dyDescent="0.2">
      <c r="B12" s="474" t="s">
        <v>931</v>
      </c>
      <c r="C12" s="475"/>
      <c r="D12" s="475"/>
      <c r="E12" s="475"/>
      <c r="F12" s="475"/>
      <c r="G12" s="475"/>
      <c r="H12" s="475"/>
      <c r="I12" s="475"/>
      <c r="J12" s="475"/>
      <c r="K12" s="475"/>
      <c r="L12" s="475"/>
      <c r="M12" s="475"/>
      <c r="N12" s="475"/>
      <c r="O12" s="475"/>
      <c r="P12" s="475"/>
      <c r="Q12" s="475"/>
      <c r="R12" s="475"/>
      <c r="S12" s="475"/>
      <c r="T12" s="475"/>
      <c r="U12" s="475"/>
      <c r="V12" s="475"/>
    </row>
    <row r="13" spans="2:22" hidden="1" x14ac:dyDescent="0.2">
      <c r="B13" s="475"/>
      <c r="C13" s="475"/>
      <c r="D13" s="475"/>
      <c r="E13" s="475"/>
      <c r="F13" s="475"/>
      <c r="G13" s="475"/>
      <c r="H13" s="475"/>
      <c r="I13" s="475"/>
      <c r="J13" s="475"/>
      <c r="K13" s="475"/>
      <c r="L13" s="475"/>
      <c r="M13" s="475"/>
      <c r="N13" s="475"/>
      <c r="O13" s="475"/>
      <c r="P13" s="475"/>
      <c r="Q13" s="475"/>
      <c r="R13" s="475"/>
      <c r="S13" s="475"/>
      <c r="T13" s="475"/>
      <c r="U13" s="475"/>
      <c r="V13" s="475"/>
    </row>
    <row r="14" spans="2:22" hidden="1" x14ac:dyDescent="0.2">
      <c r="B14" s="474" t="s">
        <v>932</v>
      </c>
      <c r="C14" s="474" t="s">
        <v>933</v>
      </c>
      <c r="D14" s="475"/>
      <c r="E14" s="475"/>
      <c r="F14" s="475"/>
      <c r="G14" s="475"/>
      <c r="H14" s="475"/>
      <c r="I14" s="475"/>
      <c r="J14" s="475"/>
      <c r="K14" s="475"/>
      <c r="L14" s="475"/>
      <c r="M14" s="475"/>
      <c r="N14" s="475"/>
      <c r="O14" s="475"/>
      <c r="P14" s="475"/>
      <c r="Q14" s="475"/>
      <c r="R14" s="475"/>
      <c r="S14" s="475"/>
      <c r="T14" s="475"/>
      <c r="U14" s="475"/>
      <c r="V14" s="475"/>
    </row>
    <row r="15" spans="2:22" hidden="1" x14ac:dyDescent="0.2">
      <c r="B15" s="474" t="s">
        <v>934</v>
      </c>
      <c r="C15" s="474" t="s">
        <v>884</v>
      </c>
      <c r="D15" s="475"/>
      <c r="E15" s="475"/>
      <c r="F15" s="475"/>
      <c r="G15" s="475"/>
      <c r="H15" s="475"/>
      <c r="I15" s="475"/>
      <c r="J15" s="475"/>
      <c r="K15" s="475"/>
      <c r="L15" s="475"/>
      <c r="M15" s="475"/>
      <c r="N15" s="475"/>
      <c r="O15" s="475"/>
      <c r="P15" s="475"/>
      <c r="Q15" s="475"/>
      <c r="R15" s="475"/>
      <c r="S15" s="475"/>
      <c r="T15" s="475"/>
      <c r="U15" s="475"/>
      <c r="V15" s="475"/>
    </row>
    <row r="16" spans="2:22" hidden="1" x14ac:dyDescent="0.2">
      <c r="B16" s="474" t="s">
        <v>935</v>
      </c>
      <c r="C16" s="474" t="s">
        <v>936</v>
      </c>
      <c r="D16" s="475"/>
      <c r="E16" s="475"/>
      <c r="F16" s="475"/>
      <c r="G16" s="475"/>
      <c r="H16" s="475"/>
      <c r="I16" s="475"/>
      <c r="J16" s="475"/>
      <c r="K16" s="475"/>
      <c r="L16" s="475"/>
      <c r="M16" s="475"/>
      <c r="N16" s="475"/>
      <c r="O16" s="475"/>
      <c r="P16" s="475"/>
      <c r="Q16" s="475"/>
      <c r="R16" s="475"/>
      <c r="S16" s="475"/>
      <c r="T16" s="475"/>
      <c r="U16" s="475"/>
      <c r="V16" s="475"/>
    </row>
    <row r="17" spans="2:22" hidden="1" x14ac:dyDescent="0.2">
      <c r="B17" s="474" t="s">
        <v>937</v>
      </c>
      <c r="C17" s="474" t="s">
        <v>938</v>
      </c>
      <c r="D17" s="475"/>
      <c r="E17" s="475"/>
      <c r="F17" s="475"/>
      <c r="G17" s="475"/>
      <c r="H17" s="475"/>
      <c r="I17" s="475"/>
      <c r="J17" s="475"/>
      <c r="K17" s="475"/>
      <c r="L17" s="475"/>
      <c r="M17" s="475"/>
      <c r="N17" s="475"/>
      <c r="O17" s="475"/>
      <c r="P17" s="475"/>
      <c r="Q17" s="475"/>
      <c r="R17" s="475"/>
      <c r="S17" s="475"/>
      <c r="T17" s="475"/>
      <c r="U17" s="475"/>
      <c r="V17" s="475"/>
    </row>
    <row r="18" spans="2:22" hidden="1" x14ac:dyDescent="0.2">
      <c r="B18" s="475"/>
      <c r="C18" s="475"/>
      <c r="D18" s="475"/>
      <c r="E18" s="475"/>
      <c r="F18" s="475"/>
      <c r="G18" s="475"/>
      <c r="H18" s="475"/>
      <c r="I18" s="475"/>
      <c r="J18" s="475"/>
      <c r="K18" s="475"/>
      <c r="L18" s="475"/>
      <c r="M18" s="475"/>
      <c r="N18" s="475"/>
      <c r="O18" s="475"/>
      <c r="P18" s="475"/>
      <c r="Q18" s="475"/>
      <c r="R18" s="475"/>
      <c r="S18" s="475"/>
      <c r="T18" s="475"/>
      <c r="U18" s="475"/>
      <c r="V18" s="475"/>
    </row>
    <row r="19" spans="2:22" ht="27" hidden="1" customHeight="1" x14ac:dyDescent="0.2">
      <c r="B19" s="2210" t="s">
        <v>946</v>
      </c>
      <c r="C19" s="2210"/>
      <c r="D19" s="2210"/>
      <c r="E19" s="2210"/>
      <c r="F19" s="2210"/>
      <c r="G19" s="2210"/>
      <c r="H19" s="2210"/>
      <c r="I19" s="2210"/>
      <c r="J19" s="2210"/>
      <c r="K19" s="2210"/>
      <c r="L19" s="2210"/>
      <c r="M19" s="2210"/>
      <c r="N19" s="2210"/>
      <c r="O19" s="2210"/>
      <c r="P19" s="2210"/>
      <c r="Q19" s="2210"/>
      <c r="R19" s="2210"/>
      <c r="S19" s="2210"/>
      <c r="T19" s="2210"/>
      <c r="U19" s="2210"/>
      <c r="V19" s="2210"/>
    </row>
    <row r="20" spans="2:22" hidden="1" x14ac:dyDescent="0.2">
      <c r="B20" s="475"/>
      <c r="C20" s="475"/>
      <c r="D20" s="475"/>
      <c r="E20" s="475"/>
      <c r="F20" s="475"/>
      <c r="G20" s="475"/>
      <c r="H20" s="475"/>
      <c r="I20" s="475"/>
      <c r="J20" s="475"/>
      <c r="K20" s="475"/>
      <c r="L20" s="475"/>
      <c r="M20" s="475"/>
      <c r="N20" s="475"/>
      <c r="O20" s="475"/>
      <c r="P20" s="475"/>
      <c r="Q20" s="475"/>
      <c r="R20" s="475"/>
      <c r="S20" s="475"/>
      <c r="T20" s="475"/>
      <c r="U20" s="475"/>
      <c r="V20" s="475"/>
    </row>
    <row r="21" spans="2:22" ht="27.75" hidden="1" customHeight="1" x14ac:dyDescent="0.2">
      <c r="B21" s="2210" t="s">
        <v>939</v>
      </c>
      <c r="C21" s="2210"/>
      <c r="D21" s="2210"/>
      <c r="E21" s="2210"/>
      <c r="F21" s="2210"/>
      <c r="G21" s="2210"/>
      <c r="H21" s="2210"/>
      <c r="I21" s="2210"/>
      <c r="J21" s="2210"/>
      <c r="K21" s="2210"/>
      <c r="L21" s="2210"/>
      <c r="M21" s="2210"/>
      <c r="N21" s="2210"/>
      <c r="O21" s="2210"/>
      <c r="P21" s="2210"/>
      <c r="Q21" s="2210"/>
      <c r="R21" s="2210"/>
      <c r="S21" s="2210"/>
      <c r="T21" s="2210"/>
      <c r="U21" s="2210"/>
      <c r="V21" s="2210"/>
    </row>
    <row r="22" spans="2:22" hidden="1" x14ac:dyDescent="0.2">
      <c r="B22" s="475"/>
      <c r="C22" s="475"/>
      <c r="D22" s="475"/>
      <c r="E22" s="475"/>
      <c r="F22" s="475"/>
      <c r="G22" s="475"/>
      <c r="H22" s="475"/>
      <c r="I22" s="475"/>
      <c r="J22" s="475"/>
      <c r="K22" s="475"/>
      <c r="L22" s="475"/>
      <c r="M22" s="475"/>
      <c r="N22" s="475"/>
      <c r="O22" s="475"/>
      <c r="P22" s="475"/>
      <c r="Q22" s="475"/>
      <c r="R22" s="475"/>
      <c r="S22" s="475"/>
      <c r="T22" s="475"/>
      <c r="U22" s="475"/>
      <c r="V22" s="475"/>
    </row>
    <row r="23" spans="2:22" ht="24.75" hidden="1" customHeight="1" x14ac:dyDescent="0.2">
      <c r="B23" s="2210" t="s">
        <v>940</v>
      </c>
      <c r="C23" s="2210"/>
      <c r="D23" s="2210"/>
      <c r="E23" s="2210"/>
      <c r="F23" s="2210"/>
      <c r="G23" s="2210"/>
      <c r="H23" s="2210"/>
      <c r="I23" s="2210"/>
      <c r="J23" s="2210"/>
      <c r="K23" s="2210"/>
      <c r="L23" s="2210"/>
      <c r="M23" s="2210"/>
      <c r="N23" s="2210"/>
      <c r="O23" s="2210"/>
      <c r="P23" s="2210"/>
      <c r="Q23" s="2210"/>
      <c r="R23" s="2210"/>
      <c r="S23" s="2210"/>
      <c r="T23" s="2210"/>
      <c r="U23" s="2210"/>
      <c r="V23" s="2210"/>
    </row>
    <row r="24" spans="2:22" hidden="1" x14ac:dyDescent="0.2">
      <c r="B24" s="475"/>
      <c r="C24" s="475"/>
      <c r="D24" s="475"/>
      <c r="E24" s="475"/>
      <c r="F24" s="475"/>
      <c r="G24" s="475"/>
      <c r="H24" s="475"/>
      <c r="I24" s="475"/>
      <c r="J24" s="475"/>
      <c r="K24" s="475"/>
      <c r="L24" s="475"/>
      <c r="M24" s="475"/>
      <c r="N24" s="475"/>
      <c r="O24" s="475"/>
      <c r="P24" s="475"/>
      <c r="Q24" s="475"/>
      <c r="R24" s="475"/>
      <c r="S24" s="475"/>
      <c r="T24" s="475"/>
      <c r="U24" s="475"/>
      <c r="V24" s="475"/>
    </row>
    <row r="25" spans="2:22" ht="26.25" hidden="1" customHeight="1" x14ac:dyDescent="0.2">
      <c r="B25" s="2210" t="s">
        <v>941</v>
      </c>
      <c r="C25" s="2210"/>
      <c r="D25" s="2210"/>
      <c r="E25" s="2210"/>
      <c r="F25" s="2210"/>
      <c r="G25" s="2210"/>
      <c r="H25" s="2210"/>
      <c r="I25" s="2210"/>
      <c r="J25" s="2210"/>
      <c r="K25" s="2210"/>
      <c r="L25" s="2210"/>
      <c r="M25" s="2210"/>
      <c r="N25" s="2210"/>
      <c r="O25" s="2210"/>
      <c r="P25" s="2210"/>
      <c r="Q25" s="2210"/>
      <c r="R25" s="2210"/>
      <c r="S25" s="2210"/>
      <c r="T25" s="2210"/>
      <c r="U25" s="2210"/>
      <c r="V25" s="2210"/>
    </row>
    <row r="26" spans="2:22" hidden="1" x14ac:dyDescent="0.2">
      <c r="B26" s="475"/>
      <c r="C26" s="475"/>
      <c r="D26" s="475"/>
      <c r="E26" s="475"/>
      <c r="F26" s="475"/>
      <c r="G26" s="475"/>
      <c r="H26" s="475"/>
      <c r="I26" s="475"/>
      <c r="J26" s="475"/>
      <c r="K26" s="475"/>
      <c r="L26" s="475"/>
      <c r="M26" s="475"/>
      <c r="N26" s="475"/>
      <c r="O26" s="475"/>
      <c r="P26" s="475"/>
      <c r="Q26" s="475"/>
      <c r="R26" s="475"/>
      <c r="S26" s="475"/>
      <c r="T26" s="475"/>
      <c r="U26" s="475"/>
      <c r="V26" s="475"/>
    </row>
    <row r="27" spans="2:22" ht="30.75" hidden="1" customHeight="1" x14ac:dyDescent="0.2">
      <c r="B27" s="2212" t="s">
        <v>942</v>
      </c>
      <c r="C27" s="2212"/>
      <c r="D27" s="2212"/>
      <c r="E27" s="2212"/>
      <c r="F27" s="2212"/>
      <c r="G27" s="2212"/>
      <c r="H27" s="2212"/>
      <c r="I27" s="2212"/>
      <c r="J27" s="2212"/>
      <c r="K27" s="2212"/>
      <c r="L27" s="2212"/>
      <c r="M27" s="2212"/>
      <c r="N27" s="2212"/>
      <c r="O27" s="2212"/>
      <c r="P27" s="2212"/>
      <c r="Q27" s="2212"/>
      <c r="R27" s="2212"/>
      <c r="S27" s="2212"/>
      <c r="T27" s="2212"/>
      <c r="U27" s="2212"/>
      <c r="V27" s="2212"/>
    </row>
    <row r="28" spans="2:22" ht="13.5" customHeight="1" x14ac:dyDescent="0.2">
      <c r="B28" s="458"/>
      <c r="C28" s="458"/>
      <c r="D28" s="458"/>
      <c r="E28" s="458"/>
      <c r="F28" s="458"/>
      <c r="G28" s="458"/>
      <c r="H28" s="458"/>
      <c r="I28" s="458"/>
      <c r="J28" s="458"/>
      <c r="K28" s="458"/>
      <c r="L28" s="458"/>
      <c r="M28" s="458"/>
      <c r="N28" s="458"/>
      <c r="O28" s="458"/>
      <c r="P28" s="458"/>
      <c r="Q28" s="458"/>
      <c r="R28" s="458"/>
      <c r="S28" s="458"/>
      <c r="T28" s="458"/>
      <c r="U28" s="458"/>
      <c r="V28" s="458"/>
    </row>
    <row r="29" spans="2:22" ht="15.75" customHeight="1" x14ac:dyDescent="0.2">
      <c r="B29" s="2214" t="s">
        <v>963</v>
      </c>
      <c r="C29" s="2214"/>
      <c r="D29" s="2214"/>
      <c r="E29" s="2214"/>
      <c r="F29" s="2214"/>
      <c r="G29" s="2214"/>
      <c r="H29" s="2214"/>
      <c r="I29" s="2214"/>
      <c r="J29" s="2214"/>
      <c r="K29" s="2214"/>
      <c r="L29" s="2214"/>
      <c r="M29" s="2214"/>
      <c r="N29" s="2214"/>
      <c r="O29" s="2214"/>
      <c r="P29" s="2214"/>
      <c r="Q29" s="2214"/>
      <c r="R29" s="2214"/>
      <c r="S29" s="2214"/>
      <c r="T29" s="2214"/>
      <c r="U29" s="2214"/>
      <c r="V29" s="2214"/>
    </row>
    <row r="30" spans="2:22" ht="15.75" customHeight="1" x14ac:dyDescent="0.2">
      <c r="B30" s="476"/>
      <c r="C30" s="476"/>
      <c r="D30" s="476"/>
      <c r="E30" s="476"/>
      <c r="F30" s="476"/>
      <c r="G30" s="476"/>
      <c r="H30" s="476"/>
      <c r="I30" s="476"/>
      <c r="J30" s="476"/>
      <c r="K30" s="476"/>
      <c r="L30" s="476"/>
      <c r="M30" s="476"/>
      <c r="N30" s="476"/>
      <c r="O30" s="476"/>
      <c r="P30" s="476"/>
      <c r="Q30" s="476"/>
      <c r="R30" s="476"/>
      <c r="S30" s="476"/>
      <c r="T30" s="476"/>
      <c r="U30" s="476"/>
      <c r="V30" s="476"/>
    </row>
    <row r="31" spans="2:22" ht="15.75" customHeight="1" x14ac:dyDescent="0.2">
      <c r="B31" s="476" t="s">
        <v>964</v>
      </c>
      <c r="C31" s="476"/>
      <c r="D31" s="505"/>
      <c r="E31" s="476"/>
      <c r="F31" s="476" t="s">
        <v>965</v>
      </c>
      <c r="G31" s="476"/>
      <c r="H31" s="507"/>
      <c r="I31" s="506"/>
      <c r="J31" s="476"/>
      <c r="K31" s="476" t="s">
        <v>966</v>
      </c>
      <c r="L31" s="476"/>
      <c r="M31" s="476"/>
      <c r="N31" s="476"/>
      <c r="O31" s="476"/>
      <c r="P31" s="476"/>
      <c r="Q31" s="476"/>
      <c r="R31" s="476"/>
      <c r="S31" s="476"/>
      <c r="T31" s="476"/>
      <c r="U31" s="476"/>
      <c r="V31" s="476"/>
    </row>
    <row r="32" spans="2:22" ht="15.75" customHeight="1" x14ac:dyDescent="0.2">
      <c r="B32" s="476"/>
      <c r="C32" s="476"/>
      <c r="D32" s="476"/>
      <c r="E32" s="476"/>
      <c r="F32" s="476"/>
      <c r="G32" s="476"/>
      <c r="H32" s="476"/>
      <c r="I32" s="476"/>
      <c r="J32" s="476"/>
      <c r="K32" s="476"/>
      <c r="L32" s="476"/>
      <c r="M32" s="476"/>
      <c r="N32" s="476"/>
      <c r="O32" s="476"/>
      <c r="P32" s="476"/>
      <c r="Q32" s="476"/>
      <c r="R32" s="476"/>
      <c r="S32" s="476"/>
      <c r="T32" s="476"/>
      <c r="U32" s="476"/>
      <c r="V32" s="476"/>
    </row>
    <row r="33" spans="2:23" ht="15.75" customHeight="1" x14ac:dyDescent="0.2">
      <c r="B33" s="476"/>
      <c r="C33" s="476"/>
      <c r="D33" s="508"/>
      <c r="E33" s="476"/>
      <c r="F33" s="476" t="s">
        <v>967</v>
      </c>
      <c r="G33" s="476"/>
      <c r="H33" s="476"/>
      <c r="I33" s="512"/>
      <c r="J33" s="476"/>
      <c r="K33" s="476" t="s">
        <v>968</v>
      </c>
      <c r="L33" s="476"/>
      <c r="M33" s="476"/>
      <c r="N33" s="476"/>
      <c r="O33" s="476"/>
      <c r="P33" s="476"/>
      <c r="Q33" s="476"/>
      <c r="R33" s="476"/>
      <c r="S33" s="476"/>
      <c r="T33" s="476"/>
      <c r="U33" s="476"/>
      <c r="V33" s="476"/>
    </row>
    <row r="34" spans="2:23" ht="15.75" customHeight="1" x14ac:dyDescent="0.2">
      <c r="B34" s="476"/>
      <c r="C34" s="476"/>
      <c r="D34" s="476"/>
      <c r="E34" s="476"/>
      <c r="F34" s="476"/>
      <c r="G34" s="476"/>
      <c r="H34" s="476"/>
      <c r="I34" s="476"/>
      <c r="J34" s="476"/>
      <c r="K34" s="476"/>
      <c r="L34" s="476"/>
      <c r="M34" s="476"/>
      <c r="N34" s="476"/>
      <c r="O34" s="476"/>
      <c r="P34" s="476"/>
      <c r="Q34" s="476"/>
      <c r="R34" s="476"/>
      <c r="S34" s="476"/>
      <c r="T34" s="476"/>
      <c r="U34" s="476"/>
      <c r="V34" s="476"/>
    </row>
    <row r="35" spans="2:23" ht="15.75" customHeight="1" x14ac:dyDescent="0.2">
      <c r="B35" s="519" t="s">
        <v>969</v>
      </c>
      <c r="C35" s="507"/>
      <c r="D35" s="507"/>
      <c r="E35" s="476"/>
      <c r="F35" s="476"/>
      <c r="G35" s="476"/>
      <c r="H35" s="476"/>
      <c r="I35" s="476"/>
      <c r="J35" s="476"/>
      <c r="K35" s="476"/>
      <c r="L35" s="476"/>
      <c r="M35" s="476"/>
      <c r="N35" s="476"/>
      <c r="O35" s="476"/>
      <c r="P35" s="476"/>
      <c r="Q35" s="476"/>
      <c r="R35" s="476"/>
      <c r="S35" s="476"/>
      <c r="T35" s="476"/>
      <c r="U35" s="476"/>
      <c r="V35" s="476"/>
    </row>
    <row r="36" spans="2:23" ht="15.75" customHeight="1" thickBot="1" x14ac:dyDescent="0.25">
      <c r="B36" s="507"/>
      <c r="C36" s="507"/>
      <c r="D36" s="507"/>
      <c r="E36" s="476"/>
      <c r="F36" s="524"/>
      <c r="G36" s="524"/>
      <c r="H36" s="524"/>
      <c r="I36" s="524"/>
      <c r="J36" s="476"/>
      <c r="K36" s="476"/>
      <c r="L36" s="476"/>
      <c r="M36" s="476"/>
      <c r="N36" s="476"/>
      <c r="O36" s="476"/>
      <c r="P36" s="476"/>
      <c r="Q36" s="476"/>
      <c r="R36" s="476"/>
      <c r="S36" s="476"/>
      <c r="T36" s="476"/>
      <c r="U36" s="476"/>
      <c r="V36" s="476"/>
    </row>
    <row r="37" spans="2:23" ht="15.75" customHeight="1" x14ac:dyDescent="0.2">
      <c r="C37" s="461"/>
      <c r="D37" s="465" t="s">
        <v>945</v>
      </c>
      <c r="E37" s="473"/>
      <c r="F37" s="523"/>
      <c r="G37" s="523"/>
      <c r="H37" s="523"/>
      <c r="I37" s="523"/>
      <c r="J37" s="522"/>
      <c r="K37" s="2201" t="s">
        <v>951</v>
      </c>
      <c r="L37" s="2202"/>
      <c r="M37" s="2202"/>
      <c r="N37" s="2202"/>
      <c r="O37" s="2203"/>
      <c r="P37" s="476"/>
      <c r="Q37" s="476"/>
      <c r="R37" s="476"/>
      <c r="S37" s="476"/>
      <c r="T37" s="476"/>
      <c r="U37" s="476"/>
      <c r="V37" s="476"/>
      <c r="W37" s="476"/>
    </row>
    <row r="38" spans="2:23" ht="39.75" customHeight="1" thickBot="1" x14ac:dyDescent="0.25">
      <c r="C38" s="466"/>
      <c r="D38" s="468" t="str">
        <f>CONCATENATE("(for ",TestYear," Cost of Service")</f>
        <v>(for 2020 Cost of Service</v>
      </c>
      <c r="E38" s="526"/>
      <c r="F38" s="2213"/>
      <c r="G38" s="2213"/>
      <c r="H38" s="2213"/>
      <c r="I38" s="480"/>
      <c r="J38" s="525"/>
      <c r="K38" s="472"/>
      <c r="L38" s="467" t="s">
        <v>962</v>
      </c>
      <c r="M38" s="467" t="s">
        <v>948</v>
      </c>
      <c r="N38" s="490"/>
      <c r="O38" s="491" t="s">
        <v>948</v>
      </c>
      <c r="P38" s="476"/>
      <c r="Q38" s="476"/>
      <c r="R38" s="476"/>
      <c r="S38" s="476"/>
      <c r="T38" s="476"/>
      <c r="U38" s="476"/>
      <c r="V38" s="476"/>
      <c r="W38" s="476"/>
    </row>
    <row r="39" spans="2:23" ht="20.45" customHeight="1" x14ac:dyDescent="0.2">
      <c r="C39" s="463" t="s">
        <v>786</v>
      </c>
      <c r="D39" s="545">
        <f t="shared" ref="D39:D45" si="0">D40-1</f>
        <v>2013</v>
      </c>
      <c r="E39" s="493"/>
      <c r="F39" s="1728"/>
      <c r="G39" s="1728"/>
      <c r="H39" s="1728"/>
      <c r="I39" s="1728"/>
      <c r="J39" s="1729"/>
      <c r="K39" s="485" t="s">
        <v>334</v>
      </c>
      <c r="L39" s="1734">
        <v>927397086.8505435</v>
      </c>
      <c r="M39" s="1734">
        <v>922574996.73332667</v>
      </c>
      <c r="N39" s="1732" t="s">
        <v>1589</v>
      </c>
      <c r="O39" s="1474">
        <v>943516400</v>
      </c>
      <c r="P39" s="1711"/>
      <c r="Q39" s="1711"/>
      <c r="R39" s="1711"/>
      <c r="S39" s="1711"/>
      <c r="T39" s="1711"/>
      <c r="U39" s="1711"/>
      <c r="V39" s="1711"/>
      <c r="W39" s="1711"/>
    </row>
    <row r="40" spans="2:23" ht="15.75" customHeight="1" x14ac:dyDescent="0.2">
      <c r="C40" s="463" t="s">
        <v>786</v>
      </c>
      <c r="D40" s="545">
        <f t="shared" si="0"/>
        <v>2014</v>
      </c>
      <c r="E40" s="494"/>
      <c r="F40" s="477"/>
      <c r="G40" s="515"/>
      <c r="H40" s="2"/>
      <c r="I40" s="2"/>
      <c r="J40" s="482"/>
      <c r="K40" s="485" t="s">
        <v>334</v>
      </c>
      <c r="L40" s="1734">
        <v>932817018.9900136</v>
      </c>
      <c r="M40" s="1734">
        <v>906570298.4324677</v>
      </c>
      <c r="N40" s="482" t="str">
        <f t="shared" ref="N40:N46" si="1">IF(D40=RebaseYear,"OEB-approved","")</f>
        <v/>
      </c>
      <c r="O40" s="1474"/>
      <c r="P40" s="476"/>
      <c r="Q40" s="476"/>
      <c r="R40" s="476"/>
      <c r="S40" s="476"/>
      <c r="T40" s="476"/>
      <c r="U40" s="476"/>
      <c r="V40" s="476"/>
      <c r="W40" s="476"/>
    </row>
    <row r="41" spans="2:23" ht="15.75" customHeight="1" x14ac:dyDescent="0.2">
      <c r="C41" s="463" t="s">
        <v>786</v>
      </c>
      <c r="D41" s="545">
        <f t="shared" si="0"/>
        <v>2015</v>
      </c>
      <c r="E41" s="494"/>
      <c r="F41" s="477"/>
      <c r="G41" s="515"/>
      <c r="H41" s="2"/>
      <c r="I41" s="2"/>
      <c r="J41" s="482"/>
      <c r="K41" s="485" t="s">
        <v>334</v>
      </c>
      <c r="L41" s="1734">
        <v>889605630.09308612</v>
      </c>
      <c r="M41" s="1734">
        <v>889519932.23767698</v>
      </c>
      <c r="N41" s="482" t="str">
        <f t="shared" si="1"/>
        <v/>
      </c>
      <c r="O41" s="1474"/>
      <c r="P41" s="476"/>
      <c r="Q41" s="476"/>
      <c r="R41" s="476"/>
      <c r="S41" s="476"/>
      <c r="T41" s="476"/>
      <c r="U41" s="476"/>
      <c r="V41" s="476"/>
      <c r="W41" s="476"/>
    </row>
    <row r="42" spans="2:23" ht="15.75" customHeight="1" x14ac:dyDescent="0.2">
      <c r="C42" s="463" t="s">
        <v>786</v>
      </c>
      <c r="D42" s="545">
        <f t="shared" si="0"/>
        <v>2016</v>
      </c>
      <c r="E42" s="494"/>
      <c r="F42" s="477"/>
      <c r="G42" s="515"/>
      <c r="H42" s="2"/>
      <c r="I42" s="477"/>
      <c r="J42" s="482"/>
      <c r="K42" s="485" t="s">
        <v>334</v>
      </c>
      <c r="L42" s="1734">
        <v>858582968.56745219</v>
      </c>
      <c r="M42" s="1734">
        <v>874215758.97309852</v>
      </c>
      <c r="N42" s="482" t="str">
        <f t="shared" si="1"/>
        <v/>
      </c>
      <c r="O42" s="1474"/>
      <c r="P42" s="476"/>
      <c r="Q42" s="476"/>
      <c r="R42" s="476"/>
      <c r="S42" s="476"/>
      <c r="T42" s="476"/>
      <c r="U42" s="476"/>
      <c r="V42" s="476"/>
      <c r="W42" s="476"/>
    </row>
    <row r="43" spans="2:23" ht="15.75" customHeight="1" x14ac:dyDescent="0.2">
      <c r="C43" s="463" t="s">
        <v>786</v>
      </c>
      <c r="D43" s="545">
        <f t="shared" si="0"/>
        <v>2017</v>
      </c>
      <c r="E43" s="494"/>
      <c r="F43" s="477"/>
      <c r="G43" s="515"/>
      <c r="H43" s="2"/>
      <c r="I43" s="2"/>
      <c r="J43" s="482"/>
      <c r="K43" s="485" t="s">
        <v>334</v>
      </c>
      <c r="L43" s="1734">
        <v>848284136.46810269</v>
      </c>
      <c r="M43" s="1734">
        <v>860953243.55150652</v>
      </c>
      <c r="N43" s="482" t="str">
        <f t="shared" si="1"/>
        <v/>
      </c>
      <c r="O43" s="1474"/>
      <c r="P43" s="476"/>
      <c r="Q43" s="476"/>
      <c r="R43" s="476"/>
      <c r="S43" s="476"/>
      <c r="T43" s="476"/>
      <c r="U43" s="476"/>
      <c r="V43" s="476"/>
      <c r="W43" s="476"/>
    </row>
    <row r="44" spans="2:23" ht="15.75" customHeight="1" x14ac:dyDescent="0.2">
      <c r="C44" s="463" t="s">
        <v>786</v>
      </c>
      <c r="D44" s="545">
        <f t="shared" si="0"/>
        <v>2018</v>
      </c>
      <c r="E44" s="494"/>
      <c r="F44" s="477"/>
      <c r="G44" s="515"/>
      <c r="H44" s="2"/>
      <c r="I44" s="2"/>
      <c r="J44" s="482"/>
      <c r="K44" s="485" t="s">
        <v>334</v>
      </c>
      <c r="L44" s="1734">
        <v>883531329.51662755</v>
      </c>
      <c r="M44" s="1734">
        <v>850891333.80894959</v>
      </c>
      <c r="N44" s="482" t="str">
        <f t="shared" si="1"/>
        <v/>
      </c>
      <c r="O44" s="1474"/>
      <c r="P44" s="476"/>
      <c r="Q44" s="476"/>
      <c r="R44" s="476"/>
      <c r="S44" s="476"/>
      <c r="T44" s="476"/>
      <c r="U44" s="476"/>
      <c r="V44" s="476"/>
      <c r="W44" s="476"/>
    </row>
    <row r="45" spans="2:23" ht="15.75" customHeight="1" x14ac:dyDescent="0.2">
      <c r="C45" s="463" t="s">
        <v>276</v>
      </c>
      <c r="D45" s="545">
        <f t="shared" si="0"/>
        <v>2019</v>
      </c>
      <c r="E45" s="494"/>
      <c r="F45" s="477"/>
      <c r="G45" s="515"/>
      <c r="H45" s="2"/>
      <c r="I45" s="2"/>
      <c r="J45" s="482"/>
      <c r="K45" s="485" t="s">
        <v>334</v>
      </c>
      <c r="L45" s="1734">
        <v>867602831.11000001</v>
      </c>
      <c r="M45" s="1735">
        <v>854850391.71725786</v>
      </c>
      <c r="N45" s="482" t="str">
        <f t="shared" si="1"/>
        <v/>
      </c>
      <c r="O45" s="1474"/>
      <c r="P45" s="476"/>
      <c r="Q45" s="476"/>
      <c r="R45" s="476"/>
      <c r="S45" s="476"/>
      <c r="T45" s="476"/>
      <c r="U45" s="476"/>
      <c r="V45" s="476"/>
      <c r="W45" s="476"/>
    </row>
    <row r="46" spans="2:23" ht="15.75" customHeight="1" thickBot="1" x14ac:dyDescent="0.25">
      <c r="C46" s="464" t="s">
        <v>277</v>
      </c>
      <c r="D46" s="546">
        <f>TestYear</f>
        <v>2020</v>
      </c>
      <c r="E46" s="495"/>
      <c r="F46" s="478"/>
      <c r="G46" s="520"/>
      <c r="H46" s="492"/>
      <c r="I46" s="492"/>
      <c r="J46" s="483"/>
      <c r="K46" s="485" t="s">
        <v>77</v>
      </c>
      <c r="L46" s="1459"/>
      <c r="M46" s="1736">
        <v>857428931.11805141</v>
      </c>
      <c r="N46" s="483" t="str">
        <f t="shared" si="1"/>
        <v/>
      </c>
      <c r="O46" s="1474"/>
      <c r="P46" s="476"/>
      <c r="Q46" s="476"/>
      <c r="R46" s="476"/>
      <c r="S46" s="476"/>
      <c r="T46" s="476"/>
      <c r="U46" s="476"/>
      <c r="V46" s="476"/>
      <c r="W46" s="476"/>
    </row>
    <row r="47" spans="2:23" ht="15.75" customHeight="1" thickBot="1" x14ac:dyDescent="0.25">
      <c r="C47" s="544"/>
      <c r="D47" s="543"/>
      <c r="F47" s="484"/>
      <c r="G47" s="484"/>
      <c r="H47" s="484"/>
      <c r="I47" s="521"/>
      <c r="J47" s="484"/>
      <c r="K47" s="527"/>
      <c r="O47" s="1804">
        <f>SUM(O39:O45)</f>
        <v>943516400</v>
      </c>
      <c r="P47" s="476"/>
      <c r="Q47" s="476"/>
      <c r="R47" s="476"/>
      <c r="S47" s="476"/>
      <c r="T47" s="476"/>
      <c r="U47" s="476"/>
      <c r="V47" s="476"/>
      <c r="W47" s="476"/>
    </row>
    <row r="48" spans="2:23" ht="33" customHeight="1" thickBot="1" x14ac:dyDescent="0.25">
      <c r="C48" s="528" t="s">
        <v>837</v>
      </c>
      <c r="D48" s="527"/>
      <c r="E48" s="527"/>
      <c r="F48" s="529"/>
      <c r="G48" s="530"/>
      <c r="H48" s="529"/>
      <c r="I48" s="531"/>
      <c r="J48" s="541"/>
      <c r="K48" s="574" t="s">
        <v>10</v>
      </c>
      <c r="L48" s="2196" t="s">
        <v>959</v>
      </c>
      <c r="M48" s="2196"/>
      <c r="N48" s="572"/>
      <c r="O48" s="573" t="s">
        <v>1326</v>
      </c>
      <c r="P48" s="476"/>
      <c r="Q48" s="476"/>
      <c r="R48" s="476"/>
      <c r="S48" s="476"/>
      <c r="T48" s="476"/>
      <c r="U48" s="476"/>
      <c r="V48" s="476"/>
      <c r="W48" s="476"/>
    </row>
    <row r="49" spans="2:23" ht="22.15" customHeight="1" x14ac:dyDescent="0.2">
      <c r="C49" s="1737"/>
      <c r="D49" s="513"/>
      <c r="E49" s="513"/>
      <c r="F49" s="2"/>
      <c r="G49" s="477"/>
      <c r="H49" s="2"/>
      <c r="I49" s="1738"/>
      <c r="J49" s="482"/>
      <c r="K49" s="545">
        <v>2013</v>
      </c>
      <c r="L49" s="533"/>
      <c r="M49" s="533"/>
      <c r="N49" s="1740"/>
      <c r="O49" s="1741"/>
      <c r="P49" s="1711"/>
      <c r="Q49" s="1711"/>
      <c r="R49" s="1711"/>
      <c r="S49" s="1711"/>
      <c r="T49" s="1711"/>
      <c r="U49" s="1711"/>
      <c r="V49" s="1711"/>
      <c r="W49" s="1711"/>
    </row>
    <row r="50" spans="2:23" ht="15.75" customHeight="1" x14ac:dyDescent="0.2">
      <c r="C50" s="549"/>
      <c r="D50" s="550">
        <f t="shared" ref="D50:D56" si="2">D40</f>
        <v>2014</v>
      </c>
      <c r="E50" s="513"/>
      <c r="F50" s="2"/>
      <c r="G50" s="532"/>
      <c r="H50" s="2"/>
      <c r="I50" s="532"/>
      <c r="J50" s="482"/>
      <c r="K50" s="545">
        <f>D50</f>
        <v>2014</v>
      </c>
      <c r="L50" s="535">
        <f t="shared" ref="L50:M54" si="3">IF(L39=0,"",L40/L39-1)</f>
        <v>5.8442410660102251E-3</v>
      </c>
      <c r="M50" s="535">
        <f t="shared" si="3"/>
        <v>-1.7347856117419957E-2</v>
      </c>
      <c r="N50" s="513"/>
      <c r="O50" s="509"/>
      <c r="P50" s="476"/>
      <c r="Q50" s="476"/>
      <c r="R50" s="476"/>
      <c r="S50" s="476"/>
      <c r="T50" s="476"/>
      <c r="U50" s="476"/>
      <c r="V50" s="476"/>
      <c r="W50" s="476"/>
    </row>
    <row r="51" spans="2:23" ht="15.75" customHeight="1" x14ac:dyDescent="0.2">
      <c r="C51" s="549"/>
      <c r="D51" s="550">
        <f t="shared" si="2"/>
        <v>2015</v>
      </c>
      <c r="E51" s="513"/>
      <c r="F51" s="2"/>
      <c r="G51" s="534"/>
      <c r="H51" s="2"/>
      <c r="I51" s="532"/>
      <c r="J51" s="482"/>
      <c r="K51" s="545">
        <f t="shared" ref="K51:K57" si="4">D51</f>
        <v>2015</v>
      </c>
      <c r="L51" s="535">
        <f t="shared" si="3"/>
        <v>-4.6323542578279309E-2</v>
      </c>
      <c r="M51" s="535">
        <f t="shared" si="3"/>
        <v>-1.8807549976292193E-2</v>
      </c>
      <c r="N51" s="513"/>
      <c r="O51" s="509"/>
      <c r="P51" s="476"/>
      <c r="Q51" s="476"/>
      <c r="R51" s="476"/>
      <c r="S51" s="476"/>
      <c r="T51" s="476"/>
      <c r="U51" s="476"/>
      <c r="V51" s="476"/>
      <c r="W51" s="476"/>
    </row>
    <row r="52" spans="2:23" ht="15.75" customHeight="1" x14ac:dyDescent="0.2">
      <c r="C52" s="549"/>
      <c r="D52" s="550">
        <f t="shared" si="2"/>
        <v>2016</v>
      </c>
      <c r="E52" s="513"/>
      <c r="F52" s="2"/>
      <c r="G52" s="534"/>
      <c r="H52" s="2"/>
      <c r="I52" s="532"/>
      <c r="J52" s="482"/>
      <c r="K52" s="545">
        <f t="shared" si="4"/>
        <v>2016</v>
      </c>
      <c r="L52" s="535">
        <f t="shared" si="3"/>
        <v>-3.4872375439426784E-2</v>
      </c>
      <c r="M52" s="535">
        <f t="shared" si="3"/>
        <v>-1.7204980697935857E-2</v>
      </c>
      <c r="N52" s="513"/>
      <c r="O52" s="509"/>
      <c r="P52" s="476"/>
      <c r="Q52" s="476"/>
      <c r="R52" s="476"/>
      <c r="S52" s="476"/>
      <c r="T52" s="476"/>
      <c r="U52" s="476"/>
      <c r="V52" s="476"/>
      <c r="W52" s="476"/>
    </row>
    <row r="53" spans="2:23" ht="15.75" customHeight="1" x14ac:dyDescent="0.2">
      <c r="C53" s="549"/>
      <c r="D53" s="550">
        <f t="shared" si="2"/>
        <v>2017</v>
      </c>
      <c r="E53" s="513"/>
      <c r="F53" s="2"/>
      <c r="G53" s="534"/>
      <c r="H53" s="2"/>
      <c r="I53" s="532"/>
      <c r="J53" s="482"/>
      <c r="K53" s="545">
        <f t="shared" si="4"/>
        <v>2017</v>
      </c>
      <c r="L53" s="535">
        <f t="shared" si="3"/>
        <v>-1.1995150703412061E-2</v>
      </c>
      <c r="M53" s="535">
        <f t="shared" si="3"/>
        <v>-1.5170757659608958E-2</v>
      </c>
      <c r="N53" s="513"/>
      <c r="O53" s="509"/>
      <c r="P53" s="476"/>
      <c r="Q53" s="476"/>
      <c r="R53" s="476"/>
      <c r="S53" s="476"/>
      <c r="T53" s="476"/>
      <c r="U53" s="476"/>
      <c r="V53" s="476"/>
      <c r="W53" s="476"/>
    </row>
    <row r="54" spans="2:23" ht="15.75" customHeight="1" x14ac:dyDescent="0.2">
      <c r="C54" s="549"/>
      <c r="D54" s="550">
        <f t="shared" si="2"/>
        <v>2018</v>
      </c>
      <c r="E54" s="513"/>
      <c r="F54" s="2"/>
      <c r="G54" s="534"/>
      <c r="H54" s="2"/>
      <c r="I54" s="532"/>
      <c r="J54" s="482"/>
      <c r="K54" s="545">
        <f t="shared" si="4"/>
        <v>2018</v>
      </c>
      <c r="L54" s="535">
        <f t="shared" si="3"/>
        <v>4.155116373539558E-2</v>
      </c>
      <c r="M54" s="535">
        <f t="shared" si="3"/>
        <v>-1.1686940978409832E-2</v>
      </c>
      <c r="N54" s="513"/>
      <c r="O54" s="509"/>
      <c r="P54" s="476"/>
      <c r="Q54" s="476"/>
      <c r="R54" s="476"/>
      <c r="S54" s="476"/>
      <c r="T54" s="476"/>
      <c r="U54" s="476"/>
      <c r="V54" s="476"/>
      <c r="W54" s="476"/>
    </row>
    <row r="55" spans="2:23" ht="15.75" customHeight="1" x14ac:dyDescent="0.2">
      <c r="C55" s="549"/>
      <c r="D55" s="550">
        <f t="shared" si="2"/>
        <v>2019</v>
      </c>
      <c r="E55" s="513"/>
      <c r="F55" s="2"/>
      <c r="G55" s="534"/>
      <c r="H55" s="2"/>
      <c r="I55" s="532"/>
      <c r="J55" s="482"/>
      <c r="K55" s="545">
        <f t="shared" si="4"/>
        <v>2019</v>
      </c>
      <c r="L55" s="535">
        <f>IF(K45="Forecast","",IF(L44=0,"",L45/L44-1))</f>
        <v>-1.802822138219129E-2</v>
      </c>
      <c r="M55" s="535">
        <f>IF(M44=0,"",M45/M44-1)</f>
        <v>4.6528360919906309E-3</v>
      </c>
      <c r="N55" s="513"/>
      <c r="O55" s="509"/>
      <c r="P55" s="476"/>
      <c r="Q55" s="476"/>
      <c r="R55" s="476"/>
      <c r="S55" s="476"/>
      <c r="T55" s="476"/>
      <c r="U55" s="476"/>
      <c r="V55" s="476"/>
      <c r="W55" s="476"/>
    </row>
    <row r="56" spans="2:23" ht="15.75" customHeight="1" x14ac:dyDescent="0.2">
      <c r="C56" s="549"/>
      <c r="D56" s="550">
        <f t="shared" si="2"/>
        <v>2020</v>
      </c>
      <c r="E56" s="513"/>
      <c r="F56" s="2"/>
      <c r="G56" s="534"/>
      <c r="H56" s="2"/>
      <c r="I56" s="534"/>
      <c r="J56" s="482"/>
      <c r="K56" s="545">
        <f t="shared" si="4"/>
        <v>2020</v>
      </c>
      <c r="L56" s="535" t="str">
        <f>IF(K46="Forecast","",IF(L45=0,"",L46/L45-1))</f>
        <v/>
      </c>
      <c r="M56" s="535">
        <f>IF(M45=0,"",M46/M45-1)</f>
        <v>3.0163633610948981E-3</v>
      </c>
      <c r="N56" s="513"/>
      <c r="O56" s="536">
        <f>IF(O47=0,"",M46/O47-1)</f>
        <v>-9.1241094359301611E-2</v>
      </c>
      <c r="P56" s="476"/>
      <c r="Q56" s="476"/>
      <c r="R56" s="476"/>
      <c r="S56" s="476"/>
      <c r="T56" s="476"/>
      <c r="U56" s="476"/>
      <c r="V56" s="476"/>
      <c r="W56" s="476"/>
    </row>
    <row r="57" spans="2:23" ht="31.5" customHeight="1" thickBot="1" x14ac:dyDescent="0.25">
      <c r="C57" s="551"/>
      <c r="D57" s="552" t="s">
        <v>958</v>
      </c>
      <c r="E57" s="537"/>
      <c r="F57" s="492"/>
      <c r="G57" s="538"/>
      <c r="H57" s="492"/>
      <c r="I57" s="539"/>
      <c r="J57" s="542"/>
      <c r="K57" s="583" t="str">
        <f t="shared" si="4"/>
        <v>Geometric Mean</v>
      </c>
      <c r="L57" s="540">
        <f>IF(L39=0,"",(L44/L39)^(1/($D44-$D39-1))-1)</f>
        <v>-1.2040693399221425E-2</v>
      </c>
      <c r="M57" s="540">
        <f>IF(M39=0,"",(M46/M39)^(1/($D46-$D39-1))-1)</f>
        <v>-1.2130882563633705E-2</v>
      </c>
      <c r="N57" s="537"/>
      <c r="O57" s="553">
        <f>IF(O47=0,"",(M46/O47)^(1/(TestYear-RebaseYear-1))-1)</f>
        <v>-1.5819445467654236E-2</v>
      </c>
      <c r="P57" s="476"/>
      <c r="Q57" s="476"/>
      <c r="R57" s="476"/>
      <c r="S57" s="476"/>
      <c r="T57" s="476"/>
      <c r="U57" s="476"/>
      <c r="V57" s="476"/>
      <c r="W57" s="476"/>
    </row>
    <row r="58" spans="2:23" ht="15.75" customHeight="1" x14ac:dyDescent="0.2">
      <c r="B58" s="476"/>
      <c r="C58" s="476"/>
      <c r="D58" s="476"/>
      <c r="E58" s="476"/>
      <c r="F58" s="476"/>
      <c r="G58" s="476"/>
      <c r="H58" s="476"/>
      <c r="I58" s="476"/>
      <c r="J58" s="476"/>
      <c r="K58" s="476"/>
      <c r="L58" s="476"/>
      <c r="M58" s="476"/>
      <c r="N58" s="476"/>
      <c r="O58" s="476"/>
      <c r="P58" s="476"/>
      <c r="Q58" s="476"/>
      <c r="R58" s="476"/>
      <c r="S58" s="476"/>
      <c r="T58" s="476"/>
      <c r="U58" s="476"/>
      <c r="V58" s="476"/>
    </row>
    <row r="59" spans="2:23" ht="20.25" customHeight="1" x14ac:dyDescent="0.2">
      <c r="B59" s="518" t="s">
        <v>970</v>
      </c>
      <c r="C59" s="476"/>
      <c r="D59" s="476"/>
      <c r="E59" s="476"/>
      <c r="F59" s="476"/>
      <c r="G59" s="476"/>
      <c r="H59" s="476"/>
      <c r="I59" s="476"/>
      <c r="J59" s="476"/>
      <c r="K59" s="476"/>
      <c r="L59" s="476"/>
      <c r="M59" s="476"/>
      <c r="N59" s="476"/>
      <c r="O59" s="476"/>
      <c r="P59" s="476"/>
      <c r="Q59" s="476"/>
      <c r="R59" s="476"/>
      <c r="S59" s="476"/>
      <c r="T59" s="476"/>
      <c r="U59" s="476"/>
      <c r="V59" s="476"/>
    </row>
    <row r="60" spans="2:23" ht="14.25" customHeight="1" thickBot="1" x14ac:dyDescent="0.25">
      <c r="B60" s="476"/>
      <c r="C60" s="476"/>
      <c r="D60" s="476"/>
      <c r="E60" s="476"/>
      <c r="F60" s="476"/>
      <c r="G60" s="476"/>
      <c r="H60" s="476"/>
      <c r="I60" s="476"/>
      <c r="J60" s="476"/>
      <c r="K60" s="476"/>
      <c r="L60" s="476"/>
      <c r="M60" s="476"/>
      <c r="N60" s="476"/>
      <c r="O60" s="476"/>
      <c r="P60" s="476"/>
      <c r="Q60" s="476"/>
      <c r="R60" s="476"/>
      <c r="S60" s="476"/>
      <c r="T60" s="476"/>
      <c r="U60" s="476"/>
      <c r="V60" s="476"/>
    </row>
    <row r="61" spans="2:23" ht="13.5" thickBot="1" x14ac:dyDescent="0.25">
      <c r="B61" s="503">
        <v>1</v>
      </c>
      <c r="C61" s="3" t="s">
        <v>9</v>
      </c>
      <c r="D61" s="2191" t="s">
        <v>71</v>
      </c>
      <c r="E61" s="2192"/>
      <c r="F61" s="2192"/>
      <c r="G61" s="2192"/>
      <c r="H61" s="2192"/>
      <c r="I61" s="2193"/>
      <c r="K61" s="9" t="s">
        <v>960</v>
      </c>
      <c r="Q61" s="502" t="s">
        <v>70</v>
      </c>
      <c r="R61" s="501"/>
      <c r="S61" s="501"/>
      <c r="T61" s="501"/>
      <c r="U61" s="501"/>
    </row>
    <row r="62" spans="2:23" ht="13.5" thickBot="1" x14ac:dyDescent="0.25">
      <c r="Q62" s="537"/>
      <c r="R62" s="537"/>
      <c r="S62" s="537"/>
      <c r="T62" s="537"/>
      <c r="U62" s="537"/>
    </row>
    <row r="63" spans="2:23" ht="17.45" customHeight="1" x14ac:dyDescent="0.2">
      <c r="C63" s="461"/>
      <c r="D63" s="465" t="s">
        <v>945</v>
      </c>
      <c r="E63" s="465"/>
      <c r="F63" s="2207" t="s">
        <v>888</v>
      </c>
      <c r="G63" s="2208"/>
      <c r="H63" s="2208"/>
      <c r="I63" s="2209"/>
      <c r="J63" s="465"/>
      <c r="K63" s="2201" t="s">
        <v>951</v>
      </c>
      <c r="L63" s="2202"/>
      <c r="M63" s="2202"/>
      <c r="N63" s="2202"/>
      <c r="O63" s="2203"/>
      <c r="P63" s="473"/>
      <c r="Q63" s="2204" t="str">
        <f>CONCATENATE("Consumption (kWh) per ",LEFT(F63,LEN(F63)-1))</f>
        <v>Consumption (kWh) per Customer</v>
      </c>
      <c r="R63" s="2205"/>
      <c r="S63" s="2205"/>
      <c r="T63" s="2205"/>
      <c r="U63" s="2206"/>
      <c r="V63" s="493"/>
    </row>
    <row r="64" spans="2:23" ht="45.6" customHeight="1" thickBot="1" x14ac:dyDescent="0.25">
      <c r="C64" s="466"/>
      <c r="D64" s="468" t="str">
        <f>CONCATENATE("(for ",TestYear," Cost of Service")</f>
        <v>(for 2020 Cost of Service</v>
      </c>
      <c r="E64" s="463"/>
      <c r="F64" s="2194"/>
      <c r="G64" s="2195"/>
      <c r="H64" s="2197"/>
      <c r="I64" s="1477"/>
      <c r="J64" s="463"/>
      <c r="K64" s="472"/>
      <c r="L64" s="467" t="s">
        <v>962</v>
      </c>
      <c r="M64" s="467" t="s">
        <v>948</v>
      </c>
      <c r="N64" s="490"/>
      <c r="O64" s="491" t="s">
        <v>948</v>
      </c>
      <c r="P64" s="463"/>
      <c r="Q64" s="568"/>
      <c r="R64" s="569" t="str">
        <f>L64</f>
        <v>Actual (Weather actual)</v>
      </c>
      <c r="S64" s="570" t="str">
        <f>M64</f>
        <v>Weather-normalized</v>
      </c>
      <c r="T64" s="570"/>
      <c r="U64" s="571" t="str">
        <f>O64</f>
        <v>Weather-normalized</v>
      </c>
      <c r="V64" s="493"/>
    </row>
    <row r="65" spans="2:22" ht="13.5" thickBot="1" x14ac:dyDescent="0.25">
      <c r="C65" s="463" t="s">
        <v>786</v>
      </c>
      <c r="D65" s="545">
        <f t="shared" ref="D65:D70" si="5">D66-1</f>
        <v>2013</v>
      </c>
      <c r="E65" s="463"/>
      <c r="F65" s="498" t="str">
        <f>$K$40</f>
        <v>Actual</v>
      </c>
      <c r="G65" s="486">
        <v>42526</v>
      </c>
      <c r="H65" s="482" t="str">
        <f t="shared" ref="H65:H72" si="6">IF(D65=RebaseYear,"OEB-approved","")</f>
        <v>OEB-approved</v>
      </c>
      <c r="I65" s="1474">
        <v>42512</v>
      </c>
      <c r="J65" s="463"/>
      <c r="K65" s="498" t="str">
        <f>$K$40</f>
        <v>Actual</v>
      </c>
      <c r="L65" s="1734">
        <v>401699412.39435023</v>
      </c>
      <c r="M65" s="1457">
        <v>396093906.55264872</v>
      </c>
      <c r="N65" s="459" t="str">
        <f t="shared" ref="N65:N72" si="7">H65</f>
        <v>OEB-approved</v>
      </c>
      <c r="O65" s="1474">
        <v>402126214</v>
      </c>
      <c r="P65" s="463"/>
      <c r="Q65" s="498" t="str">
        <f>$K$40</f>
        <v>Actual</v>
      </c>
      <c r="R65" s="1466">
        <f>IF(G65=0,"",L65/G65)</f>
        <v>9445.9721674822522</v>
      </c>
      <c r="S65" s="1467">
        <f>IF(G65=0,"",M65/G65)</f>
        <v>9314.158551301527</v>
      </c>
      <c r="T65" s="513" t="str">
        <f t="shared" ref="T65:T72" si="8">N65</f>
        <v>OEB-approved</v>
      </c>
      <c r="U65" s="1467">
        <f t="shared" ref="U65:U72" si="9">IF(T65="","",IF(I65=0,"",O65/I65))</f>
        <v>9459.1224595408348</v>
      </c>
      <c r="V65" s="493"/>
    </row>
    <row r="66" spans="2:22" x14ac:dyDescent="0.2">
      <c r="C66" s="463" t="s">
        <v>786</v>
      </c>
      <c r="D66" s="545">
        <f t="shared" si="5"/>
        <v>2014</v>
      </c>
      <c r="E66" s="462"/>
      <c r="F66" s="498" t="str">
        <f>$K$40</f>
        <v>Actual</v>
      </c>
      <c r="G66" s="486">
        <v>42635.75</v>
      </c>
      <c r="H66" s="482" t="str">
        <f>IF(D66=RebaseYear,"OEB-approved","")</f>
        <v/>
      </c>
      <c r="I66" s="1474"/>
      <c r="J66" s="462"/>
      <c r="K66" s="470" t="str">
        <f>F66</f>
        <v>Actual</v>
      </c>
      <c r="L66" s="1734">
        <v>401059651.72946942</v>
      </c>
      <c r="M66" s="1457">
        <v>387249333.05101633</v>
      </c>
      <c r="N66" s="459" t="str">
        <f t="shared" si="7"/>
        <v/>
      </c>
      <c r="O66" s="1461"/>
      <c r="P66" s="462"/>
      <c r="Q66" s="566" t="str">
        <f>K66</f>
        <v>Actual</v>
      </c>
      <c r="R66" s="1466">
        <f>IF(G66=0,"",L66/G66)</f>
        <v>9406.6517354443022</v>
      </c>
      <c r="S66" s="1467">
        <f>IF(G66=0,"",M66/G66)</f>
        <v>9082.7376802569761</v>
      </c>
      <c r="T66" s="513" t="str">
        <f t="shared" si="8"/>
        <v/>
      </c>
      <c r="U66" s="1467" t="str">
        <f t="shared" si="9"/>
        <v/>
      </c>
      <c r="V66" s="494"/>
    </row>
    <row r="67" spans="2:22" x14ac:dyDescent="0.2">
      <c r="C67" s="463" t="s">
        <v>786</v>
      </c>
      <c r="D67" s="545">
        <f t="shared" si="5"/>
        <v>2015</v>
      </c>
      <c r="E67" s="462"/>
      <c r="F67" s="499" t="str">
        <f>$K$41</f>
        <v>Actual</v>
      </c>
      <c r="G67" s="486">
        <v>42712</v>
      </c>
      <c r="H67" s="482" t="str">
        <f t="shared" si="6"/>
        <v/>
      </c>
      <c r="I67" s="1474"/>
      <c r="J67" s="462"/>
      <c r="K67" s="470" t="str">
        <f t="shared" ref="K67:K72" si="10">F67</f>
        <v>Actual</v>
      </c>
      <c r="L67" s="1734">
        <v>378767130.92564416</v>
      </c>
      <c r="M67" s="1457">
        <v>377472253.69623369</v>
      </c>
      <c r="N67" s="459" t="str">
        <f t="shared" si="7"/>
        <v/>
      </c>
      <c r="O67" s="1461"/>
      <c r="P67" s="462"/>
      <c r="Q67" s="566" t="str">
        <f t="shared" ref="Q67:Q72" si="11">K67</f>
        <v>Actual</v>
      </c>
      <c r="R67" s="1466">
        <f t="shared" ref="R67:R72" si="12">IF(G67=0,"",L67/G67)</f>
        <v>8867.9324528386442</v>
      </c>
      <c r="S67" s="1467">
        <f t="shared" ref="S67:S72" si="13">IF(G67=0,"",M67/G67)</f>
        <v>8837.6159790277597</v>
      </c>
      <c r="T67" s="513" t="str">
        <f t="shared" si="8"/>
        <v/>
      </c>
      <c r="U67" s="1467" t="str">
        <f t="shared" si="9"/>
        <v/>
      </c>
      <c r="V67" s="494"/>
    </row>
    <row r="68" spans="2:22" x14ac:dyDescent="0.2">
      <c r="C68" s="463" t="s">
        <v>786</v>
      </c>
      <c r="D68" s="545">
        <f t="shared" si="5"/>
        <v>2016</v>
      </c>
      <c r="E68" s="462"/>
      <c r="F68" s="499" t="str">
        <f>$K$42</f>
        <v>Actual</v>
      </c>
      <c r="G68" s="486">
        <v>42797.25</v>
      </c>
      <c r="H68" s="482" t="str">
        <f t="shared" si="6"/>
        <v/>
      </c>
      <c r="I68" s="1476"/>
      <c r="J68" s="462"/>
      <c r="K68" s="470" t="str">
        <f t="shared" si="10"/>
        <v>Actual</v>
      </c>
      <c r="L68" s="1734">
        <v>363718802.67397815</v>
      </c>
      <c r="M68" s="1457">
        <v>370022552.83096015</v>
      </c>
      <c r="N68" s="459" t="str">
        <f t="shared" si="7"/>
        <v/>
      </c>
      <c r="O68" s="1462"/>
      <c r="P68" s="462"/>
      <c r="Q68" s="566" t="str">
        <f t="shared" si="11"/>
        <v>Actual</v>
      </c>
      <c r="R68" s="1466">
        <f t="shared" si="12"/>
        <v>8498.6489242644839</v>
      </c>
      <c r="S68" s="1467">
        <f t="shared" si="13"/>
        <v>8645.9422703785913</v>
      </c>
      <c r="T68" s="513" t="str">
        <f t="shared" si="8"/>
        <v/>
      </c>
      <c r="U68" s="1467" t="str">
        <f t="shared" si="9"/>
        <v/>
      </c>
      <c r="V68" s="494"/>
    </row>
    <row r="69" spans="2:22" x14ac:dyDescent="0.2">
      <c r="C69" s="463" t="s">
        <v>786</v>
      </c>
      <c r="D69" s="545">
        <f t="shared" si="5"/>
        <v>2017</v>
      </c>
      <c r="E69" s="462"/>
      <c r="F69" s="499" t="str">
        <f>$K$43</f>
        <v>Actual</v>
      </c>
      <c r="G69" s="486">
        <v>42818</v>
      </c>
      <c r="H69" s="482" t="str">
        <f t="shared" si="6"/>
        <v/>
      </c>
      <c r="I69" s="1474"/>
      <c r="J69" s="462"/>
      <c r="K69" s="470" t="str">
        <f t="shared" si="10"/>
        <v>Actual</v>
      </c>
      <c r="L69" s="1734">
        <v>354425140.91571283</v>
      </c>
      <c r="M69" s="1457">
        <v>362871659.97797418</v>
      </c>
      <c r="N69" s="459" t="str">
        <f t="shared" si="7"/>
        <v/>
      </c>
      <c r="O69" s="1461"/>
      <c r="P69" s="462"/>
      <c r="Q69" s="566" t="str">
        <f t="shared" si="11"/>
        <v>Actual</v>
      </c>
      <c r="R69" s="1466">
        <f t="shared" si="12"/>
        <v>8277.4800531485089</v>
      </c>
      <c r="S69" s="1467">
        <f t="shared" si="13"/>
        <v>8474.7456671954351</v>
      </c>
      <c r="T69" s="513" t="str">
        <f t="shared" si="8"/>
        <v/>
      </c>
      <c r="U69" s="1467" t="str">
        <f t="shared" si="9"/>
        <v/>
      </c>
      <c r="V69" s="494"/>
    </row>
    <row r="70" spans="2:22" x14ac:dyDescent="0.2">
      <c r="C70" s="463" t="s">
        <v>786</v>
      </c>
      <c r="D70" s="545">
        <f t="shared" si="5"/>
        <v>2018</v>
      </c>
      <c r="E70" s="462"/>
      <c r="F70" s="499" t="str">
        <f>$K$44</f>
        <v>Actual</v>
      </c>
      <c r="G70" s="486">
        <v>42889.75</v>
      </c>
      <c r="H70" s="482" t="str">
        <f t="shared" si="6"/>
        <v/>
      </c>
      <c r="I70" s="1474"/>
      <c r="J70" s="462"/>
      <c r="K70" s="470" t="str">
        <f t="shared" si="10"/>
        <v>Actual</v>
      </c>
      <c r="L70" s="1734">
        <v>375861349.42745566</v>
      </c>
      <c r="M70" s="1457">
        <v>359522304.79558372</v>
      </c>
      <c r="N70" s="459" t="str">
        <f t="shared" si="7"/>
        <v/>
      </c>
      <c r="O70" s="1461"/>
      <c r="P70" s="462"/>
      <c r="Q70" s="566" t="str">
        <f t="shared" si="11"/>
        <v>Actual</v>
      </c>
      <c r="R70" s="1466">
        <f t="shared" si="12"/>
        <v>8763.4306431596287</v>
      </c>
      <c r="S70" s="1467">
        <f t="shared" si="13"/>
        <v>8382.4761113222557</v>
      </c>
      <c r="T70" s="513" t="str">
        <f t="shared" si="8"/>
        <v/>
      </c>
      <c r="U70" s="1467" t="str">
        <f t="shared" si="9"/>
        <v/>
      </c>
      <c r="V70" s="494"/>
    </row>
    <row r="71" spans="2:22" x14ac:dyDescent="0.2">
      <c r="C71" s="463" t="s">
        <v>276</v>
      </c>
      <c r="D71" s="545">
        <f>D72-1</f>
        <v>2019</v>
      </c>
      <c r="E71" s="462"/>
      <c r="F71" s="499" t="str">
        <f>$K$45</f>
        <v>Actual</v>
      </c>
      <c r="G71" s="486">
        <v>43011.25</v>
      </c>
      <c r="H71" s="482" t="str">
        <f t="shared" si="6"/>
        <v/>
      </c>
      <c r="I71" s="1474"/>
      <c r="J71" s="462"/>
      <c r="K71" s="470" t="str">
        <f t="shared" si="10"/>
        <v>Actual</v>
      </c>
      <c r="L71" s="1464">
        <v>375135884.99000001</v>
      </c>
      <c r="M71" s="1458">
        <v>366005500.3257277</v>
      </c>
      <c r="N71" s="459" t="str">
        <f t="shared" si="7"/>
        <v/>
      </c>
      <c r="O71" s="1461"/>
      <c r="P71" s="462"/>
      <c r="Q71" s="566" t="str">
        <f t="shared" si="11"/>
        <v>Actual</v>
      </c>
      <c r="R71" s="1466">
        <f t="shared" si="12"/>
        <v>8721.808480106949</v>
      </c>
      <c r="S71" s="1467">
        <f t="shared" si="13"/>
        <v>8509.5294911384281</v>
      </c>
      <c r="T71" s="513" t="str">
        <f t="shared" si="8"/>
        <v/>
      </c>
      <c r="U71" s="1467" t="str">
        <f t="shared" si="9"/>
        <v/>
      </c>
      <c r="V71" s="494"/>
    </row>
    <row r="72" spans="2:22" ht="13.5" thickBot="1" x14ac:dyDescent="0.25">
      <c r="C72" s="464" t="s">
        <v>277</v>
      </c>
      <c r="D72" s="546">
        <f>TestYear</f>
        <v>2020</v>
      </c>
      <c r="E72" s="466"/>
      <c r="F72" s="500" t="str">
        <f>$K$46</f>
        <v>Forecast</v>
      </c>
      <c r="G72" s="487">
        <v>43121.308184279384</v>
      </c>
      <c r="H72" s="483" t="str">
        <f t="shared" si="6"/>
        <v/>
      </c>
      <c r="I72" s="1475"/>
      <c r="J72" s="466"/>
      <c r="K72" s="471" t="str">
        <f t="shared" si="10"/>
        <v>Forecast</v>
      </c>
      <c r="L72" s="1465"/>
      <c r="M72" s="1460">
        <v>367560506.45882964</v>
      </c>
      <c r="N72" s="460" t="str">
        <f t="shared" si="7"/>
        <v/>
      </c>
      <c r="O72" s="1463"/>
      <c r="P72" s="466"/>
      <c r="Q72" s="567" t="str">
        <f t="shared" si="11"/>
        <v>Forecast</v>
      </c>
      <c r="R72" s="1468">
        <f t="shared" si="12"/>
        <v>0</v>
      </c>
      <c r="S72" s="1469">
        <f t="shared" si="13"/>
        <v>8523.8718845925505</v>
      </c>
      <c r="T72" s="537" t="str">
        <f t="shared" si="8"/>
        <v/>
      </c>
      <c r="U72" s="1469" t="str">
        <f t="shared" si="9"/>
        <v/>
      </c>
      <c r="V72" s="494"/>
    </row>
    <row r="73" spans="2:22" ht="13.5" thickBot="1" x14ac:dyDescent="0.25">
      <c r="B73" s="513"/>
      <c r="C73" s="548"/>
      <c r="I73" s="1804">
        <f>SUM(I65:I71)</f>
        <v>42512</v>
      </c>
      <c r="O73" s="1804">
        <f>SUM(O65:O71)</f>
        <v>402126214</v>
      </c>
      <c r="U73" s="1805">
        <f>SUM(U65:U71)</f>
        <v>9459.1224595408348</v>
      </c>
    </row>
    <row r="74" spans="2:22" ht="39" thickBot="1" x14ac:dyDescent="0.25">
      <c r="C74" s="579" t="s">
        <v>837</v>
      </c>
      <c r="D74" s="578" t="s">
        <v>10</v>
      </c>
      <c r="E74" s="543"/>
      <c r="F74" s="543"/>
      <c r="G74" s="577" t="s">
        <v>959</v>
      </c>
      <c r="H74" s="543"/>
      <c r="I74" s="573" t="s">
        <v>1327</v>
      </c>
      <c r="J74" s="575"/>
      <c r="K74" s="574" t="s">
        <v>10</v>
      </c>
      <c r="L74" s="2196" t="s">
        <v>959</v>
      </c>
      <c r="M74" s="2196"/>
      <c r="N74" s="543"/>
      <c r="O74" s="573" t="str">
        <f>I74</f>
        <v>Test Year Versus OEB-approved</v>
      </c>
      <c r="P74" s="576"/>
      <c r="Q74" s="574" t="s">
        <v>10</v>
      </c>
      <c r="R74" s="2196" t="s">
        <v>959</v>
      </c>
      <c r="S74" s="2196"/>
      <c r="T74" s="543"/>
      <c r="U74" s="573" t="str">
        <f>O74</f>
        <v>Test Year Versus OEB-approved</v>
      </c>
    </row>
    <row r="75" spans="2:22" x14ac:dyDescent="0.2">
      <c r="C75" s="1743"/>
      <c r="D75" s="1744">
        <v>2013</v>
      </c>
      <c r="E75" s="513"/>
      <c r="F75" s="513"/>
      <c r="G75" s="554"/>
      <c r="H75" s="513"/>
      <c r="I75" s="1741"/>
      <c r="J75" s="565"/>
      <c r="K75" s="1745">
        <v>2013</v>
      </c>
      <c r="L75" s="533"/>
      <c r="M75" s="533"/>
      <c r="N75" s="513"/>
      <c r="O75" s="1741"/>
      <c r="P75" s="462"/>
      <c r="Q75" s="1745">
        <v>2013</v>
      </c>
      <c r="R75" s="514"/>
      <c r="S75" s="514"/>
      <c r="T75" s="513"/>
      <c r="U75" s="1741"/>
    </row>
    <row r="76" spans="2:22" x14ac:dyDescent="0.2">
      <c r="C76" s="462"/>
      <c r="D76" s="559">
        <f t="shared" ref="D76:D82" si="14">D66</f>
        <v>2014</v>
      </c>
      <c r="E76" s="513"/>
      <c r="F76" s="513"/>
      <c r="G76" s="555">
        <f t="shared" ref="G76:G82" si="15">IF(G65=0,"",G66/G65-1)</f>
        <v>2.58077411465929E-3</v>
      </c>
      <c r="H76" s="513"/>
      <c r="I76" s="560"/>
      <c r="J76" s="565"/>
      <c r="K76" s="545">
        <f>D76</f>
        <v>2014</v>
      </c>
      <c r="L76" s="535">
        <f t="shared" ref="L76:M80" si="16">IF(L65=0,"",L66/L65-1)</f>
        <v>-1.5926353017732264E-3</v>
      </c>
      <c r="M76" s="1746">
        <f t="shared" si="16"/>
        <v>-2.2329486405408216E-2</v>
      </c>
      <c r="N76" s="513"/>
      <c r="O76" s="509"/>
      <c r="P76" s="462"/>
      <c r="Q76" s="545">
        <f>K76</f>
        <v>2014</v>
      </c>
      <c r="R76" s="556">
        <f t="shared" ref="R76:S80" si="17">IF(R65="","",IF(R65=0,"",R66/R65-1))</f>
        <v>-4.162666514444191E-3</v>
      </c>
      <c r="S76" s="556">
        <f t="shared" si="17"/>
        <v>-2.4846138249623562E-2</v>
      </c>
      <c r="T76" s="513"/>
      <c r="U76" s="509"/>
    </row>
    <row r="77" spans="2:22" x14ac:dyDescent="0.2">
      <c r="C77" s="462"/>
      <c r="D77" s="547">
        <f t="shared" si="14"/>
        <v>2015</v>
      </c>
      <c r="E77" s="513"/>
      <c r="F77" s="513"/>
      <c r="G77" s="555">
        <f t="shared" si="15"/>
        <v>1.7884052702250575E-3</v>
      </c>
      <c r="H77" s="513"/>
      <c r="I77" s="560"/>
      <c r="J77" s="565"/>
      <c r="K77" s="545">
        <f t="shared" ref="K77:K83" si="18">D77</f>
        <v>2015</v>
      </c>
      <c r="L77" s="535">
        <f t="shared" si="16"/>
        <v>-5.5584052665717754E-2</v>
      </c>
      <c r="M77" s="535">
        <f t="shared" si="16"/>
        <v>-2.5247504696140011E-2</v>
      </c>
      <c r="N77" s="513"/>
      <c r="O77" s="509"/>
      <c r="P77" s="462"/>
      <c r="Q77" s="545">
        <f t="shared" ref="Q77:Q83" si="19">K77</f>
        <v>2015</v>
      </c>
      <c r="R77" s="556">
        <f t="shared" si="17"/>
        <v>-5.7270035901909822E-2</v>
      </c>
      <c r="S77" s="556">
        <f t="shared" si="17"/>
        <v>-2.6987645119602388E-2</v>
      </c>
      <c r="T77" s="513"/>
      <c r="U77" s="509"/>
    </row>
    <row r="78" spans="2:22" x14ac:dyDescent="0.2">
      <c r="C78" s="462"/>
      <c r="D78" s="547">
        <f t="shared" si="14"/>
        <v>2016</v>
      </c>
      <c r="E78" s="513"/>
      <c r="F78" s="513"/>
      <c r="G78" s="555">
        <f t="shared" si="15"/>
        <v>1.9959262034088265E-3</v>
      </c>
      <c r="H78" s="513"/>
      <c r="I78" s="560"/>
      <c r="J78" s="565"/>
      <c r="K78" s="545">
        <f t="shared" si="18"/>
        <v>2016</v>
      </c>
      <c r="L78" s="535">
        <f t="shared" si="16"/>
        <v>-3.9729762756579134E-2</v>
      </c>
      <c r="M78" s="535">
        <f t="shared" si="16"/>
        <v>-1.9735757508864693E-2</v>
      </c>
      <c r="N78" s="513"/>
      <c r="O78" s="509"/>
      <c r="P78" s="462"/>
      <c r="Q78" s="545">
        <f t="shared" si="19"/>
        <v>2016</v>
      </c>
      <c r="R78" s="556">
        <f t="shared" si="17"/>
        <v>-4.164257345644895E-2</v>
      </c>
      <c r="S78" s="556">
        <f t="shared" si="17"/>
        <v>-2.1688395275832661E-2</v>
      </c>
      <c r="T78" s="513"/>
      <c r="U78" s="509"/>
    </row>
    <row r="79" spans="2:22" x14ac:dyDescent="0.2">
      <c r="C79" s="462"/>
      <c r="D79" s="547">
        <f t="shared" si="14"/>
        <v>2017</v>
      </c>
      <c r="E79" s="513"/>
      <c r="F79" s="513"/>
      <c r="G79" s="555">
        <f t="shared" si="15"/>
        <v>4.8484423648709196E-4</v>
      </c>
      <c r="H79" s="513"/>
      <c r="I79" s="560"/>
      <c r="J79" s="565"/>
      <c r="K79" s="545">
        <f t="shared" si="18"/>
        <v>2017</v>
      </c>
      <c r="L79" s="535">
        <f t="shared" si="16"/>
        <v>-2.5551777059476755E-2</v>
      </c>
      <c r="M79" s="535">
        <f t="shared" si="16"/>
        <v>-1.9325559478134746E-2</v>
      </c>
      <c r="N79" s="513"/>
      <c r="O79" s="509"/>
      <c r="P79" s="462"/>
      <c r="Q79" s="545">
        <f t="shared" si="19"/>
        <v>2017</v>
      </c>
      <c r="R79" s="556">
        <f t="shared" si="17"/>
        <v>-2.6024003707755927E-2</v>
      </c>
      <c r="S79" s="556">
        <f t="shared" si="17"/>
        <v>-1.9800803409211309E-2</v>
      </c>
      <c r="T79" s="513"/>
      <c r="U79" s="509"/>
    </row>
    <row r="80" spans="2:22" x14ac:dyDescent="0.2">
      <c r="C80" s="462"/>
      <c r="D80" s="547">
        <f t="shared" si="14"/>
        <v>2018</v>
      </c>
      <c r="E80" s="513"/>
      <c r="F80" s="513"/>
      <c r="G80" s="555">
        <f t="shared" si="15"/>
        <v>1.6756971367182238E-3</v>
      </c>
      <c r="H80" s="513"/>
      <c r="I80" s="560"/>
      <c r="J80" s="565"/>
      <c r="K80" s="545">
        <f t="shared" si="18"/>
        <v>2018</v>
      </c>
      <c r="L80" s="535">
        <f t="shared" si="16"/>
        <v>6.0481625136295403E-2</v>
      </c>
      <c r="M80" s="535">
        <f t="shared" si="16"/>
        <v>-9.2301371305594238E-3</v>
      </c>
      <c r="N80" s="513"/>
      <c r="O80" s="509"/>
      <c r="P80" s="462"/>
      <c r="Q80" s="545">
        <f t="shared" si="19"/>
        <v>2018</v>
      </c>
      <c r="R80" s="556">
        <f t="shared" si="17"/>
        <v>5.8707551922916323E-2</v>
      </c>
      <c r="S80" s="556">
        <f t="shared" si="17"/>
        <v>-1.0887589963949229E-2</v>
      </c>
      <c r="T80" s="513"/>
      <c r="U80" s="509"/>
    </row>
    <row r="81" spans="3:21" x14ac:dyDescent="0.2">
      <c r="C81" s="462"/>
      <c r="D81" s="547">
        <f t="shared" si="14"/>
        <v>2019</v>
      </c>
      <c r="E81" s="513"/>
      <c r="F81" s="513"/>
      <c r="G81" s="555">
        <f t="shared" si="15"/>
        <v>2.8328446773413507E-3</v>
      </c>
      <c r="H81" s="513"/>
      <c r="I81" s="560"/>
      <c r="J81" s="565"/>
      <c r="K81" s="545">
        <f t="shared" si="18"/>
        <v>2019</v>
      </c>
      <c r="L81" s="535">
        <f>IF(K71="Forecast","",IF(L70=0,"",L71/L70-1))</f>
        <v>-1.9301384368484165E-3</v>
      </c>
      <c r="M81" s="535">
        <f>IF(M70=0,"",M71/M70-1)</f>
        <v>1.8032804762503352E-2</v>
      </c>
      <c r="N81" s="513"/>
      <c r="O81" s="509"/>
      <c r="P81" s="462"/>
      <c r="Q81" s="545">
        <f t="shared" si="19"/>
        <v>2019</v>
      </c>
      <c r="R81" s="556">
        <f>IF(Q71="Forecast","",IF(R70=0,"",R71/R70-1))</f>
        <v>-4.7495284378348268E-3</v>
      </c>
      <c r="S81" s="556">
        <f>IF(S70="","",IF(S70=0,"",S71/S70-1))</f>
        <v>1.515702259438112E-2</v>
      </c>
      <c r="T81" s="513"/>
      <c r="U81" s="509"/>
    </row>
    <row r="82" spans="3:21" x14ac:dyDescent="0.2">
      <c r="C82" s="462"/>
      <c r="D82" s="547">
        <f t="shared" si="14"/>
        <v>2020</v>
      </c>
      <c r="E82" s="513"/>
      <c r="F82" s="513"/>
      <c r="G82" s="555">
        <f t="shared" si="15"/>
        <v>2.5588231981024112E-3</v>
      </c>
      <c r="H82" s="513"/>
      <c r="I82" s="561">
        <f>IF(I73=0,"",G72/I73-1)</f>
        <v>1.4332616303146972E-2</v>
      </c>
      <c r="J82" s="565"/>
      <c r="K82" s="545">
        <f t="shared" si="18"/>
        <v>2020</v>
      </c>
      <c r="L82" s="535" t="str">
        <f>IF(K72="Forecast","",IF(L71=0,"",L72/L71-1))</f>
        <v/>
      </c>
      <c r="M82" s="535">
        <f>IF(M71=0,"",M72/M71-1)</f>
        <v>4.2485867882260386E-3</v>
      </c>
      <c r="N82" s="513"/>
      <c r="O82" s="536">
        <f>IF(O73=0,"",M72/O73-1)</f>
        <v>-8.5957359499996056E-2</v>
      </c>
      <c r="P82" s="462"/>
      <c r="Q82" s="545">
        <f t="shared" si="19"/>
        <v>2020</v>
      </c>
      <c r="R82" s="556" t="str">
        <f>IF(Q72="Forecast","",IF(R71=0,"",R72/R71-1))</f>
        <v/>
      </c>
      <c r="S82" s="556">
        <f>IF(S71="","",IF(S71=0,"",S72/S71-1))</f>
        <v>1.6854508194674711E-3</v>
      </c>
      <c r="T82" s="513"/>
      <c r="U82" s="536">
        <f>IF(U73=0,"",S72/U73-1)</f>
        <v>-9.8872868910260814E-2</v>
      </c>
    </row>
    <row r="83" spans="3:21" ht="26.25" thickBot="1" x14ac:dyDescent="0.25">
      <c r="C83" s="466"/>
      <c r="D83" s="584" t="s">
        <v>958</v>
      </c>
      <c r="E83" s="537"/>
      <c r="F83" s="537"/>
      <c r="G83" s="540">
        <f>IF(G65=0,"",(G72/G65)^(1/($D72-$D65-1))-1)</f>
        <v>2.3196212985976405E-3</v>
      </c>
      <c r="H83" s="537"/>
      <c r="I83" s="585">
        <f>IF(I73=0,"",(G72/I73)^(1/(TestYear-RebaseYear-1))-1)</f>
        <v>2.3746275305764897E-3</v>
      </c>
      <c r="J83" s="542"/>
      <c r="K83" s="583" t="str">
        <f t="shared" si="18"/>
        <v>Geometric Mean</v>
      </c>
      <c r="L83" s="540">
        <f>IF(L65=0,"",(L70/L65)^(1/($D70-$D65-1))-1)</f>
        <v>-1.6483572976986993E-2</v>
      </c>
      <c r="M83" s="540">
        <f>IF(M65=0,"",(M72/M65)^(1/($D72-$D65-1))-1)</f>
        <v>-1.2383250706511917E-2</v>
      </c>
      <c r="N83" s="537"/>
      <c r="O83" s="553">
        <f>IF(O73=0,"",(M72/O73)^(1/(TestYear-RebaseYear-1))-1)</f>
        <v>-1.4868038776835402E-2</v>
      </c>
      <c r="P83" s="466"/>
      <c r="Q83" s="583" t="str">
        <f t="shared" si="19"/>
        <v>Geometric Mean</v>
      </c>
      <c r="R83" s="1747">
        <f>IF(R65="","",IF(R65=0,"",(R70/R65)^(1/($D70-$D65-1))-1))</f>
        <v>-1.8575550436133015E-2</v>
      </c>
      <c r="S83" s="540">
        <f>IF(S65="","",IF(S65=0,"",(S72/S65)^(1/($D72-$D65-1))-1))</f>
        <v>-1.4668845837878086E-2</v>
      </c>
      <c r="T83" s="537"/>
      <c r="U83" s="553">
        <f>IF(U73=0,"",(S72/U73)^(1/(TestYear-RebaseYear-1))-1)</f>
        <v>-1.7201818395873092E-2</v>
      </c>
    </row>
    <row r="85" spans="3:21" ht="13.5" thickBot="1" x14ac:dyDescent="0.25">
      <c r="Q85" s="537"/>
      <c r="R85" s="537"/>
      <c r="S85" s="537"/>
      <c r="T85" s="537"/>
      <c r="U85" s="537"/>
    </row>
    <row r="86" spans="3:21" x14ac:dyDescent="0.2">
      <c r="C86" s="461"/>
      <c r="D86" s="465" t="s">
        <v>945</v>
      </c>
      <c r="E86" s="465"/>
      <c r="F86" s="2198" t="s">
        <v>938</v>
      </c>
      <c r="G86" s="2199"/>
      <c r="H86" s="2199"/>
      <c r="I86" s="2200"/>
      <c r="K86" s="2201" t="str">
        <f>IF(ISBLANK(Q61),"",CONCATENATE("Demand (",Q61,")"))</f>
        <v>Demand (kWh)</v>
      </c>
      <c r="L86" s="2202"/>
      <c r="M86" s="2202"/>
      <c r="N86" s="2202"/>
      <c r="O86" s="2203"/>
      <c r="Q86" s="2204" t="str">
        <f>CONCATENATE("Demand (",Q61,") per ",LEFT(F63,LEN(F63)-1))</f>
        <v>Demand (kWh) per Customer</v>
      </c>
      <c r="R86" s="2205"/>
      <c r="S86" s="2205"/>
      <c r="T86" s="2205"/>
      <c r="U86" s="2206"/>
    </row>
    <row r="87" spans="3:21" ht="39" thickBot="1" x14ac:dyDescent="0.25">
      <c r="C87" s="466"/>
      <c r="D87" s="468" t="str">
        <f>CONCATENATE("(for ",TestYear," Cost of Service")</f>
        <v>(for 2020 Cost of Service</v>
      </c>
      <c r="E87" s="463"/>
      <c r="F87" s="2194"/>
      <c r="G87" s="2195"/>
      <c r="H87" s="2195"/>
      <c r="I87" s="1710"/>
      <c r="K87" s="472"/>
      <c r="L87" s="467" t="s">
        <v>962</v>
      </c>
      <c r="M87" s="467" t="s">
        <v>948</v>
      </c>
      <c r="N87" s="490"/>
      <c r="O87" s="491" t="str">
        <f>M87</f>
        <v>Weather-normalized</v>
      </c>
      <c r="Q87" s="582"/>
      <c r="R87" s="467" t="str">
        <f>L87</f>
        <v>Actual (Weather actual)</v>
      </c>
      <c r="S87" s="467" t="str">
        <f>M87</f>
        <v>Weather-normalized</v>
      </c>
      <c r="T87" s="467"/>
      <c r="U87" s="469" t="str">
        <f>O87</f>
        <v>Weather-normalized</v>
      </c>
    </row>
    <row r="88" spans="3:21" ht="13.5" thickBot="1" x14ac:dyDescent="0.25">
      <c r="C88" s="463" t="s">
        <v>786</v>
      </c>
      <c r="D88" s="1748">
        <v>2013</v>
      </c>
      <c r="E88" s="493"/>
      <c r="F88" s="499" t="str">
        <f t="shared" ref="F88:F95" si="20">F65</f>
        <v>Actual</v>
      </c>
      <c r="G88" s="496">
        <v>13142156.550000001</v>
      </c>
      <c r="H88" s="2" t="str">
        <f t="shared" ref="H88:H94" si="21">IF(D88=RebaseYear,"OEB-approved","")</f>
        <v>OEB-approved</v>
      </c>
      <c r="I88" s="1470">
        <v>12936375</v>
      </c>
      <c r="K88" s="1730"/>
      <c r="L88" s="1731"/>
      <c r="M88" s="1731"/>
      <c r="N88" s="1732"/>
      <c r="O88" s="1733"/>
      <c r="Q88" s="1742"/>
      <c r="R88" s="1731"/>
      <c r="S88" s="1731"/>
      <c r="T88" s="1731"/>
      <c r="U88" s="1741"/>
    </row>
    <row r="89" spans="3:21" x14ac:dyDescent="0.2">
      <c r="C89" s="463" t="s">
        <v>786</v>
      </c>
      <c r="D89" s="545">
        <f t="shared" ref="D89:D94" si="22">D90-1</f>
        <v>2014</v>
      </c>
      <c r="E89" s="462"/>
      <c r="F89" s="499" t="str">
        <f t="shared" si="20"/>
        <v>Actual</v>
      </c>
      <c r="G89" s="496">
        <v>13144233.48</v>
      </c>
      <c r="H89" s="2" t="str">
        <f>IF(D89=RebaseYear,"OEB-approved","")</f>
        <v/>
      </c>
      <c r="I89" s="1470"/>
      <c r="K89" s="470" t="str">
        <f t="shared" ref="K89:K95" si="23">K66</f>
        <v>Actual</v>
      </c>
      <c r="L89" s="479"/>
      <c r="M89" s="479"/>
      <c r="N89" s="459" t="str">
        <f t="shared" ref="N89:N95" si="24">N66</f>
        <v/>
      </c>
      <c r="O89" s="509"/>
      <c r="Q89" s="566" t="str">
        <f>K89</f>
        <v>Actual</v>
      </c>
      <c r="R89" s="513">
        <f>IF(G89=0,"",L89/G89)</f>
        <v>0</v>
      </c>
      <c r="S89" s="494">
        <f>IF(G89=0,"",M89/G89)</f>
        <v>0</v>
      </c>
      <c r="T89" s="494" t="str">
        <f>N89</f>
        <v/>
      </c>
      <c r="U89" s="462" t="str">
        <f>IF(T89="","",IF(I89=0,"",O89/I89))</f>
        <v/>
      </c>
    </row>
    <row r="90" spans="3:21" x14ac:dyDescent="0.2">
      <c r="C90" s="463" t="s">
        <v>786</v>
      </c>
      <c r="D90" s="545">
        <f t="shared" si="22"/>
        <v>2015</v>
      </c>
      <c r="E90" s="462"/>
      <c r="F90" s="499" t="str">
        <f t="shared" si="20"/>
        <v>Actual</v>
      </c>
      <c r="G90" s="496">
        <v>13067014.16</v>
      </c>
      <c r="H90" s="2" t="str">
        <f t="shared" si="21"/>
        <v/>
      </c>
      <c r="I90" s="1471"/>
      <c r="K90" s="470" t="str">
        <f t="shared" si="23"/>
        <v>Actual</v>
      </c>
      <c r="L90" s="479"/>
      <c r="M90" s="479"/>
      <c r="N90" s="459" t="str">
        <f t="shared" si="24"/>
        <v/>
      </c>
      <c r="O90" s="509"/>
      <c r="Q90" s="566" t="str">
        <f t="shared" ref="Q90:Q95" si="25">K90</f>
        <v>Actual</v>
      </c>
      <c r="R90" s="513">
        <f t="shared" ref="R90:R95" si="26">IF(G90=0,"",L90/G90)</f>
        <v>0</v>
      </c>
      <c r="S90" s="494">
        <f t="shared" ref="S90:S95" si="27">IF(G90=0,"",M90/G90)</f>
        <v>0</v>
      </c>
      <c r="T90" s="494" t="str">
        <f t="shared" ref="T90:T95" si="28">N90</f>
        <v/>
      </c>
      <c r="U90" s="462" t="str">
        <f t="shared" ref="U90:U95" si="29">IF(T90="","",IF(I90=0,"",O90/I90))</f>
        <v/>
      </c>
    </row>
    <row r="91" spans="3:21" x14ac:dyDescent="0.2">
      <c r="C91" s="463" t="s">
        <v>786</v>
      </c>
      <c r="D91" s="545">
        <f t="shared" si="22"/>
        <v>2016</v>
      </c>
      <c r="E91" s="462"/>
      <c r="F91" s="499" t="str">
        <f t="shared" si="20"/>
        <v>Actual</v>
      </c>
      <c r="G91" s="496">
        <v>13152126.939999999</v>
      </c>
      <c r="H91" s="2" t="str">
        <f t="shared" si="21"/>
        <v/>
      </c>
      <c r="I91" s="1472"/>
      <c r="K91" s="470" t="str">
        <f t="shared" si="23"/>
        <v>Actual</v>
      </c>
      <c r="L91" s="479"/>
      <c r="M91" s="479"/>
      <c r="N91" s="459" t="str">
        <f t="shared" si="24"/>
        <v/>
      </c>
      <c r="O91" s="510"/>
      <c r="Q91" s="566" t="str">
        <f t="shared" si="25"/>
        <v>Actual</v>
      </c>
      <c r="R91" s="513">
        <f t="shared" si="26"/>
        <v>0</v>
      </c>
      <c r="S91" s="494">
        <f t="shared" si="27"/>
        <v>0</v>
      </c>
      <c r="T91" s="494" t="str">
        <f t="shared" si="28"/>
        <v/>
      </c>
      <c r="U91" s="462" t="str">
        <f t="shared" si="29"/>
        <v/>
      </c>
    </row>
    <row r="92" spans="3:21" x14ac:dyDescent="0.2">
      <c r="C92" s="463" t="s">
        <v>786</v>
      </c>
      <c r="D92" s="545">
        <f t="shared" si="22"/>
        <v>2017</v>
      </c>
      <c r="E92" s="462"/>
      <c r="F92" s="499" t="str">
        <f t="shared" si="20"/>
        <v>Actual</v>
      </c>
      <c r="G92" s="496">
        <v>13317170.130000001</v>
      </c>
      <c r="H92" s="2" t="str">
        <f t="shared" si="21"/>
        <v/>
      </c>
      <c r="I92" s="1471"/>
      <c r="K92" s="470" t="str">
        <f t="shared" si="23"/>
        <v>Actual</v>
      </c>
      <c r="L92" s="479"/>
      <c r="M92" s="479"/>
      <c r="N92" s="459" t="str">
        <f t="shared" si="24"/>
        <v/>
      </c>
      <c r="O92" s="509"/>
      <c r="Q92" s="566" t="str">
        <f t="shared" si="25"/>
        <v>Actual</v>
      </c>
      <c r="R92" s="513">
        <f t="shared" si="26"/>
        <v>0</v>
      </c>
      <c r="S92" s="494">
        <f t="shared" si="27"/>
        <v>0</v>
      </c>
      <c r="T92" s="494" t="str">
        <f t="shared" si="28"/>
        <v/>
      </c>
      <c r="U92" s="462" t="str">
        <f t="shared" si="29"/>
        <v/>
      </c>
    </row>
    <row r="93" spans="3:21" x14ac:dyDescent="0.2">
      <c r="C93" s="463" t="s">
        <v>786</v>
      </c>
      <c r="D93" s="545">
        <f t="shared" si="22"/>
        <v>2018</v>
      </c>
      <c r="E93" s="462"/>
      <c r="F93" s="499" t="str">
        <f t="shared" si="20"/>
        <v>Actual</v>
      </c>
      <c r="G93" s="496">
        <v>13753914.449999999</v>
      </c>
      <c r="H93" s="2" t="str">
        <f t="shared" si="21"/>
        <v/>
      </c>
      <c r="I93" s="1471"/>
      <c r="K93" s="470" t="str">
        <f t="shared" si="23"/>
        <v>Actual</v>
      </c>
      <c r="L93" s="479"/>
      <c r="M93" s="479"/>
      <c r="N93" s="459" t="str">
        <f t="shared" si="24"/>
        <v/>
      </c>
      <c r="O93" s="509"/>
      <c r="Q93" s="566" t="str">
        <f t="shared" si="25"/>
        <v>Actual</v>
      </c>
      <c r="R93" s="513">
        <f t="shared" si="26"/>
        <v>0</v>
      </c>
      <c r="S93" s="494">
        <f t="shared" si="27"/>
        <v>0</v>
      </c>
      <c r="T93" s="494" t="str">
        <f t="shared" si="28"/>
        <v/>
      </c>
      <c r="U93" s="462" t="str">
        <f t="shared" si="29"/>
        <v/>
      </c>
    </row>
    <row r="94" spans="3:21" x14ac:dyDescent="0.2">
      <c r="C94" s="463" t="s">
        <v>943</v>
      </c>
      <c r="D94" s="545">
        <f t="shared" si="22"/>
        <v>2019</v>
      </c>
      <c r="E94" s="462"/>
      <c r="F94" s="499" t="str">
        <f t="shared" si="20"/>
        <v>Actual</v>
      </c>
      <c r="G94" s="496">
        <v>13889192.850000001</v>
      </c>
      <c r="H94" s="2" t="str">
        <f t="shared" si="21"/>
        <v/>
      </c>
      <c r="I94" s="1471"/>
      <c r="K94" s="470" t="str">
        <f t="shared" si="23"/>
        <v>Actual</v>
      </c>
      <c r="L94" s="488"/>
      <c r="M94" s="516"/>
      <c r="N94" s="459" t="str">
        <f t="shared" si="24"/>
        <v/>
      </c>
      <c r="O94" s="509"/>
      <c r="Q94" s="566" t="str">
        <f t="shared" si="25"/>
        <v>Actual</v>
      </c>
      <c r="R94" s="513">
        <f t="shared" si="26"/>
        <v>0</v>
      </c>
      <c r="S94" s="494">
        <f t="shared" si="27"/>
        <v>0</v>
      </c>
      <c r="T94" s="494" t="str">
        <f t="shared" si="28"/>
        <v/>
      </c>
      <c r="U94" s="462" t="str">
        <f t="shared" si="29"/>
        <v/>
      </c>
    </row>
    <row r="95" spans="3:21" ht="13.5" thickBot="1" x14ac:dyDescent="0.25">
      <c r="C95" s="464" t="s">
        <v>944</v>
      </c>
      <c r="D95" s="546">
        <f>TestYear</f>
        <v>2020</v>
      </c>
      <c r="E95" s="466"/>
      <c r="F95" s="500" t="str">
        <f t="shared" si="20"/>
        <v>Forecast</v>
      </c>
      <c r="G95" s="497">
        <v>16460265.760103127</v>
      </c>
      <c r="H95" s="492" t="str">
        <f>IF(D95=RebaseYear,"OEB-approved","")</f>
        <v/>
      </c>
      <c r="I95" s="1473"/>
      <c r="K95" s="471" t="str">
        <f t="shared" si="23"/>
        <v>Forecast</v>
      </c>
      <c r="L95" s="489"/>
      <c r="M95" s="517"/>
      <c r="N95" s="460" t="str">
        <f t="shared" si="24"/>
        <v/>
      </c>
      <c r="O95" s="511"/>
      <c r="Q95" s="504" t="str">
        <f t="shared" si="25"/>
        <v>Forecast</v>
      </c>
      <c r="R95" s="495">
        <f t="shared" si="26"/>
        <v>0</v>
      </c>
      <c r="S95" s="495">
        <f t="shared" si="27"/>
        <v>0</v>
      </c>
      <c r="T95" s="495" t="str">
        <f t="shared" si="28"/>
        <v/>
      </c>
      <c r="U95" s="466" t="str">
        <f t="shared" si="29"/>
        <v/>
      </c>
    </row>
    <row r="96" spans="3:21" ht="13.5" thickBot="1" x14ac:dyDescent="0.25">
      <c r="C96" s="548"/>
      <c r="I96" s="1806">
        <f>SUM(I88:I94)</f>
        <v>12936375</v>
      </c>
      <c r="J96" s="513"/>
      <c r="O96" s="587">
        <f>SUM(O89:O94)</f>
        <v>0</v>
      </c>
      <c r="U96" s="587">
        <f>SUM(U89:U94)</f>
        <v>0</v>
      </c>
    </row>
    <row r="97" spans="2:22" ht="39" customHeight="1" thickBot="1" x14ac:dyDescent="0.25">
      <c r="C97" s="579" t="s">
        <v>837</v>
      </c>
      <c r="D97" s="1709" t="s">
        <v>10</v>
      </c>
      <c r="E97" s="1709"/>
      <c r="F97" s="1709"/>
      <c r="G97" s="1709" t="s">
        <v>959</v>
      </c>
      <c r="H97" s="1709"/>
      <c r="I97" s="573" t="str">
        <f>I74</f>
        <v>Test Year Versus OEB-approved</v>
      </c>
      <c r="J97" s="586"/>
      <c r="K97" s="574" t="s">
        <v>10</v>
      </c>
      <c r="L97" s="2196" t="s">
        <v>959</v>
      </c>
      <c r="M97" s="2196"/>
      <c r="N97" s="577"/>
      <c r="O97" s="573" t="str">
        <f>I97</f>
        <v>Test Year Versus OEB-approved</v>
      </c>
      <c r="P97" s="562"/>
      <c r="Q97" s="574" t="s">
        <v>10</v>
      </c>
      <c r="R97" s="2196" t="s">
        <v>959</v>
      </c>
      <c r="S97" s="2196"/>
      <c r="T97" s="577"/>
      <c r="U97" s="573" t="str">
        <f>O97</f>
        <v>Test Year Versus OEB-approved</v>
      </c>
    </row>
    <row r="98" spans="2:22" ht="16.899999999999999" customHeight="1" x14ac:dyDescent="0.2">
      <c r="C98" s="1743"/>
      <c r="D98" s="1744">
        <v>2013</v>
      </c>
      <c r="E98" s="1739"/>
      <c r="F98" s="1739"/>
      <c r="G98" s="554"/>
      <c r="H98" s="1739"/>
      <c r="I98" s="1741"/>
      <c r="J98" s="586"/>
      <c r="K98" s="586"/>
      <c r="L98" s="1739"/>
      <c r="M98" s="1739"/>
      <c r="N98" s="1739"/>
      <c r="O98" s="1741"/>
      <c r="P98" s="586"/>
      <c r="Q98" s="586"/>
      <c r="R98" s="1739"/>
      <c r="S98" s="1739"/>
      <c r="T98" s="1739"/>
      <c r="U98" s="1741"/>
    </row>
    <row r="99" spans="2:22" x14ac:dyDescent="0.2">
      <c r="C99" s="462"/>
      <c r="D99" s="547">
        <f t="shared" ref="D99:D105" si="30">D89</f>
        <v>2014</v>
      </c>
      <c r="E99" s="513"/>
      <c r="F99" s="513"/>
      <c r="G99" s="555">
        <f t="shared" ref="G99:G105" si="31">IF(G88=0,"",G89/G88-1)</f>
        <v>1.5803570685668511E-4</v>
      </c>
      <c r="H99" s="513"/>
      <c r="I99" s="560"/>
      <c r="J99" s="462"/>
      <c r="K99" s="545">
        <f>D99</f>
        <v>2014</v>
      </c>
      <c r="L99" s="533"/>
      <c r="M99" s="533"/>
      <c r="N99" s="513"/>
      <c r="O99" s="563"/>
      <c r="P99" s="462"/>
      <c r="Q99" s="545">
        <f>K99</f>
        <v>2014</v>
      </c>
      <c r="R99" s="514"/>
      <c r="S99" s="514"/>
      <c r="T99" s="513"/>
      <c r="U99" s="509"/>
    </row>
    <row r="100" spans="2:22" x14ac:dyDescent="0.2">
      <c r="C100" s="462"/>
      <c r="D100" s="547">
        <f t="shared" si="30"/>
        <v>2015</v>
      </c>
      <c r="E100" s="513"/>
      <c r="F100" s="513"/>
      <c r="G100" s="555">
        <f t="shared" si="31"/>
        <v>-5.8747678301284134E-3</v>
      </c>
      <c r="H100" s="513"/>
      <c r="I100" s="560"/>
      <c r="J100" s="462"/>
      <c r="K100" s="545">
        <f t="shared" ref="K100:K106" si="32">D100</f>
        <v>2015</v>
      </c>
      <c r="L100" s="535" t="str">
        <f t="shared" ref="L100:M103" si="33">IF(L89=0,"",L90/L89-1)</f>
        <v/>
      </c>
      <c r="M100" s="535" t="str">
        <f t="shared" si="33"/>
        <v/>
      </c>
      <c r="N100" s="513"/>
      <c r="O100" s="563"/>
      <c r="P100" s="462"/>
      <c r="Q100" s="545">
        <f t="shared" ref="Q100:Q106" si="34">K100</f>
        <v>2015</v>
      </c>
      <c r="R100" s="556" t="str">
        <f t="shared" ref="R100:S103" si="35">IF(R89="","",IF(R89=0,"",R90/R89-1))</f>
        <v/>
      </c>
      <c r="S100" s="556" t="str">
        <f t="shared" si="35"/>
        <v/>
      </c>
      <c r="T100" s="513"/>
      <c r="U100" s="509"/>
    </row>
    <row r="101" spans="2:22" x14ac:dyDescent="0.2">
      <c r="C101" s="462"/>
      <c r="D101" s="547">
        <f t="shared" si="30"/>
        <v>2016</v>
      </c>
      <c r="E101" s="513"/>
      <c r="F101" s="513"/>
      <c r="G101" s="555">
        <f t="shared" si="31"/>
        <v>6.5135599424497315E-3</v>
      </c>
      <c r="H101" s="513"/>
      <c r="I101" s="560"/>
      <c r="J101" s="462"/>
      <c r="K101" s="545">
        <f t="shared" si="32"/>
        <v>2016</v>
      </c>
      <c r="L101" s="535" t="str">
        <f t="shared" si="33"/>
        <v/>
      </c>
      <c r="M101" s="535" t="str">
        <f t="shared" si="33"/>
        <v/>
      </c>
      <c r="N101" s="513"/>
      <c r="O101" s="563"/>
      <c r="P101" s="462"/>
      <c r="Q101" s="545">
        <f t="shared" si="34"/>
        <v>2016</v>
      </c>
      <c r="R101" s="556" t="str">
        <f t="shared" si="35"/>
        <v/>
      </c>
      <c r="S101" s="556" t="str">
        <f t="shared" si="35"/>
        <v/>
      </c>
      <c r="T101" s="513"/>
      <c r="U101" s="509"/>
    </row>
    <row r="102" spans="2:22" x14ac:dyDescent="0.2">
      <c r="C102" s="462"/>
      <c r="D102" s="547">
        <f t="shared" si="30"/>
        <v>2017</v>
      </c>
      <c r="E102" s="513"/>
      <c r="F102" s="513"/>
      <c r="G102" s="555">
        <f t="shared" si="31"/>
        <v>1.2548783231254301E-2</v>
      </c>
      <c r="H102" s="513"/>
      <c r="I102" s="560"/>
      <c r="J102" s="462"/>
      <c r="K102" s="545">
        <f t="shared" si="32"/>
        <v>2017</v>
      </c>
      <c r="L102" s="535" t="str">
        <f t="shared" si="33"/>
        <v/>
      </c>
      <c r="M102" s="535" t="str">
        <f t="shared" si="33"/>
        <v/>
      </c>
      <c r="N102" s="513"/>
      <c r="O102" s="563"/>
      <c r="P102" s="462"/>
      <c r="Q102" s="545">
        <f t="shared" si="34"/>
        <v>2017</v>
      </c>
      <c r="R102" s="556" t="str">
        <f t="shared" si="35"/>
        <v/>
      </c>
      <c r="S102" s="556" t="str">
        <f t="shared" si="35"/>
        <v/>
      </c>
      <c r="T102" s="513"/>
      <c r="U102" s="509"/>
    </row>
    <row r="103" spans="2:22" x14ac:dyDescent="0.2">
      <c r="C103" s="462"/>
      <c r="D103" s="547">
        <f t="shared" si="30"/>
        <v>2018</v>
      </c>
      <c r="E103" s="513"/>
      <c r="F103" s="513"/>
      <c r="G103" s="555">
        <f t="shared" si="31"/>
        <v>3.2795580122246148E-2</v>
      </c>
      <c r="H103" s="513"/>
      <c r="I103" s="560"/>
      <c r="J103" s="462"/>
      <c r="K103" s="545">
        <f t="shared" si="32"/>
        <v>2018</v>
      </c>
      <c r="L103" s="535" t="str">
        <f t="shared" si="33"/>
        <v/>
      </c>
      <c r="M103" s="535" t="str">
        <f t="shared" si="33"/>
        <v/>
      </c>
      <c r="N103" s="513"/>
      <c r="O103" s="563"/>
      <c r="P103" s="462"/>
      <c r="Q103" s="545">
        <f t="shared" si="34"/>
        <v>2018</v>
      </c>
      <c r="R103" s="556" t="str">
        <f t="shared" si="35"/>
        <v/>
      </c>
      <c r="S103" s="556" t="str">
        <f t="shared" si="35"/>
        <v/>
      </c>
      <c r="T103" s="513"/>
      <c r="U103" s="509"/>
    </row>
    <row r="104" spans="2:22" x14ac:dyDescent="0.2">
      <c r="C104" s="462"/>
      <c r="D104" s="547">
        <f t="shared" si="30"/>
        <v>2019</v>
      </c>
      <c r="E104" s="513"/>
      <c r="F104" s="513"/>
      <c r="G104" s="555">
        <f t="shared" si="31"/>
        <v>9.8356290125101165E-3</v>
      </c>
      <c r="H104" s="513"/>
      <c r="I104" s="560"/>
      <c r="J104" s="462"/>
      <c r="K104" s="545">
        <f t="shared" si="32"/>
        <v>2019</v>
      </c>
      <c r="L104" s="535" t="str">
        <f>IF(K94="Forecast","",IF(L93=0,"",L94/L93-1))</f>
        <v/>
      </c>
      <c r="M104" s="535" t="str">
        <f>IF(M93=0,"",M94/M93-1)</f>
        <v/>
      </c>
      <c r="N104" s="513"/>
      <c r="O104" s="563"/>
      <c r="P104" s="462"/>
      <c r="Q104" s="545">
        <f t="shared" si="34"/>
        <v>2019</v>
      </c>
      <c r="R104" s="556" t="str">
        <f>IF(Q94="Forecast","",IF(R93=0,"",R94/R93-1))</f>
        <v/>
      </c>
      <c r="S104" s="556" t="str">
        <f>IF(S93="","",IF(S93=0,"",S94/S93-1))</f>
        <v/>
      </c>
      <c r="T104" s="513"/>
      <c r="U104" s="509"/>
    </row>
    <row r="105" spans="2:22" x14ac:dyDescent="0.2">
      <c r="C105" s="462"/>
      <c r="D105" s="547">
        <f t="shared" si="30"/>
        <v>2020</v>
      </c>
      <c r="E105" s="513"/>
      <c r="F105" s="513"/>
      <c r="G105" s="555">
        <f t="shared" si="31"/>
        <v>0.18511319828805783</v>
      </c>
      <c r="H105" s="513"/>
      <c r="I105" s="561">
        <f>IF(I96=0,"",G95/I96-1)</f>
        <v>0.27240171687224035</v>
      </c>
      <c r="J105" s="462"/>
      <c r="K105" s="545">
        <f t="shared" si="32"/>
        <v>2020</v>
      </c>
      <c r="L105" s="535" t="str">
        <f>IF(K95="Forecast","",IF(L94=0,"",L95/L94-1))</f>
        <v/>
      </c>
      <c r="M105" s="535" t="str">
        <f>IF(M94=0,"",M95/M94-1)</f>
        <v/>
      </c>
      <c r="N105" s="513"/>
      <c r="O105" s="564" t="str">
        <f>IF(O96=0,"",M95/O96-1)</f>
        <v/>
      </c>
      <c r="P105" s="462"/>
      <c r="Q105" s="545">
        <f t="shared" si="34"/>
        <v>2020</v>
      </c>
      <c r="R105" s="556" t="str">
        <f>IF(Q95="Forecast","",IF(R94=0,"",R95/R94-1))</f>
        <v/>
      </c>
      <c r="S105" s="556" t="str">
        <f>IF(S94="","",IF(S94=0,"",S95/S94-1))</f>
        <v/>
      </c>
      <c r="T105" s="513"/>
      <c r="U105" s="536" t="str">
        <f>IF(U96=0,"",S95/U96-1)</f>
        <v/>
      </c>
    </row>
    <row r="106" spans="2:22" ht="26.25" thickBot="1" x14ac:dyDescent="0.25">
      <c r="C106" s="466"/>
      <c r="D106" s="1751" t="s">
        <v>958</v>
      </c>
      <c r="E106" s="537"/>
      <c r="F106" s="537"/>
      <c r="G106" s="557">
        <f>IF(G89=0,"",(G95/G89)^(1/($D95-$D89-1))-1)</f>
        <v>4.6020788181291961E-2</v>
      </c>
      <c r="H106" s="537"/>
      <c r="I106" s="553">
        <f>IF(I96=0,"",(G95/I96)^(1/(TestYear-RebaseYear-1))-1)</f>
        <v>4.0967988425850033E-2</v>
      </c>
      <c r="J106" s="462"/>
      <c r="K106" s="583" t="str">
        <f t="shared" si="32"/>
        <v>Geometric Mean</v>
      </c>
      <c r="L106" s="540" t="str">
        <f>IF(L89=0,"",(L93/L89)^(1/($D93-$D89-1))-1)</f>
        <v/>
      </c>
      <c r="M106" s="540" t="str">
        <f>IF(M89=0,"",(M95/M89)^(1/($D95-$D89-1))-1)</f>
        <v/>
      </c>
      <c r="N106" s="537"/>
      <c r="O106" s="553" t="str">
        <f>IF(O96=0,"",(M95/O96)^(1/(TestYear-RebaseYear-1))-1)</f>
        <v/>
      </c>
      <c r="P106" s="466"/>
      <c r="Q106" s="583" t="str">
        <f t="shared" si="34"/>
        <v>Geometric Mean</v>
      </c>
      <c r="R106" s="558" t="str">
        <f>IF(R89="","",IF(R89=0,"",(R93/R89)^(1/($D93-$D89-1))-1))</f>
        <v/>
      </c>
      <c r="S106" s="540" t="str">
        <f>IF(S89="","",IF(S89=0,"",(S95/S89)^(1/($D95-$D89-1))-1))</f>
        <v/>
      </c>
      <c r="T106" s="537"/>
      <c r="U106" s="553" t="str">
        <f>IF(U96=0,"",(S95/U96)^(1/(TestYear-RebaseYear-1))-1)</f>
        <v/>
      </c>
    </row>
    <row r="107" spans="2:22" ht="13.5" thickBot="1" x14ac:dyDescent="0.25"/>
    <row r="108" spans="2:22" ht="13.5" thickBot="1" x14ac:dyDescent="0.25">
      <c r="B108" s="503">
        <v>2</v>
      </c>
      <c r="C108" s="3" t="s">
        <v>9</v>
      </c>
      <c r="D108" s="2191" t="s">
        <v>1590</v>
      </c>
      <c r="E108" s="2192"/>
      <c r="F108" s="2192"/>
      <c r="G108" s="2192"/>
      <c r="H108" s="2192"/>
      <c r="I108" s="2193"/>
      <c r="K108" s="9" t="s">
        <v>960</v>
      </c>
      <c r="Q108" s="502" t="s">
        <v>70</v>
      </c>
      <c r="R108" s="501"/>
      <c r="S108" s="501"/>
      <c r="T108" s="501"/>
      <c r="U108" s="501"/>
    </row>
    <row r="109" spans="2:22" ht="13.5" thickBot="1" x14ac:dyDescent="0.25">
      <c r="Q109" s="537"/>
      <c r="R109" s="537"/>
      <c r="S109" s="537"/>
      <c r="T109" s="537"/>
      <c r="U109" s="537"/>
    </row>
    <row r="110" spans="2:22" ht="17.45" customHeight="1" x14ac:dyDescent="0.2">
      <c r="C110" s="461"/>
      <c r="D110" s="465" t="s">
        <v>945</v>
      </c>
      <c r="E110" s="465"/>
      <c r="F110" s="2207" t="s">
        <v>888</v>
      </c>
      <c r="G110" s="2208"/>
      <c r="H110" s="2208"/>
      <c r="I110" s="2209"/>
      <c r="J110" s="465"/>
      <c r="K110" s="2201" t="s">
        <v>951</v>
      </c>
      <c r="L110" s="2202"/>
      <c r="M110" s="2202"/>
      <c r="N110" s="2202"/>
      <c r="O110" s="2203"/>
      <c r="P110" s="473"/>
      <c r="Q110" s="2204" t="str">
        <f>CONCATENATE("Consumption (kWh) per ",LEFT(F110,LEN(F110)-1))</f>
        <v>Consumption (kWh) per Customer</v>
      </c>
      <c r="R110" s="2205"/>
      <c r="S110" s="2205"/>
      <c r="T110" s="2205"/>
      <c r="U110" s="2206"/>
      <c r="V110" s="493"/>
    </row>
    <row r="111" spans="2:22" ht="38.25" customHeight="1" thickBot="1" x14ac:dyDescent="0.25">
      <c r="C111" s="466"/>
      <c r="D111" s="468" t="str">
        <f>CONCATENATE("(for ",TestYear," Cost of Service")</f>
        <v>(for 2020 Cost of Service</v>
      </c>
      <c r="E111" s="463"/>
      <c r="F111" s="2194"/>
      <c r="G111" s="2195"/>
      <c r="H111" s="2197"/>
      <c r="I111" s="1477"/>
      <c r="J111" s="463"/>
      <c r="K111" s="472"/>
      <c r="L111" s="598" t="s">
        <v>962</v>
      </c>
      <c r="M111" s="598" t="s">
        <v>948</v>
      </c>
      <c r="N111" s="490"/>
      <c r="O111" s="491" t="s">
        <v>948</v>
      </c>
      <c r="P111" s="463"/>
      <c r="Q111" s="568"/>
      <c r="R111" s="569" t="str">
        <f>L111</f>
        <v>Actual (Weather actual)</v>
      </c>
      <c r="S111" s="570" t="str">
        <f>M111</f>
        <v>Weather-normalized</v>
      </c>
      <c r="T111" s="570"/>
      <c r="U111" s="571" t="str">
        <f>O111</f>
        <v>Weather-normalized</v>
      </c>
      <c r="V111" s="493"/>
    </row>
    <row r="112" spans="2:22" ht="13.15" customHeight="1" thickBot="1" x14ac:dyDescent="0.25">
      <c r="C112" s="463" t="s">
        <v>786</v>
      </c>
      <c r="D112" s="1748">
        <v>2013</v>
      </c>
      <c r="E112" s="463"/>
      <c r="F112" s="1752" t="s">
        <v>334</v>
      </c>
      <c r="G112" s="486">
        <v>3953.75</v>
      </c>
      <c r="H112" s="482" t="str">
        <f t="shared" ref="H112:H119" si="36">IF(D112=RebaseYear,"OEB-approved","")</f>
        <v>OEB-approved</v>
      </c>
      <c r="I112" s="1474">
        <v>4061</v>
      </c>
      <c r="J112" s="463"/>
      <c r="K112" s="1753" t="s">
        <v>334</v>
      </c>
      <c r="L112" s="1734">
        <v>144032204.53099814</v>
      </c>
      <c r="M112" s="1734">
        <v>141346320.90776637</v>
      </c>
      <c r="N112" s="459" t="str">
        <f t="shared" ref="N112:N119" si="37">H112</f>
        <v>OEB-approved</v>
      </c>
      <c r="O112" s="1474">
        <v>142890815</v>
      </c>
      <c r="P112" s="463"/>
      <c r="Q112" s="1753" t="s">
        <v>334</v>
      </c>
      <c r="R112" s="1466">
        <f>IF(G112=0,"",L112/G112)</f>
        <v>36429.264503572085</v>
      </c>
      <c r="S112" s="1467">
        <f>IF(G112=0,"",M112/G112)</f>
        <v>35749.938895419888</v>
      </c>
      <c r="T112" s="513" t="str">
        <f t="shared" ref="T112:T119" si="38">N112</f>
        <v>OEB-approved</v>
      </c>
      <c r="U112" s="1801">
        <f t="shared" ref="U112:U119" si="39">IF(T112="","",IF(I112=0,"",O112/I112))</f>
        <v>35186.115488795862</v>
      </c>
      <c r="V112" s="493"/>
    </row>
    <row r="113" spans="2:22" x14ac:dyDescent="0.2">
      <c r="C113" s="463" t="s">
        <v>786</v>
      </c>
      <c r="D113" s="545">
        <f t="shared" ref="D113:D118" si="40">D114-1</f>
        <v>2014</v>
      </c>
      <c r="E113" s="462"/>
      <c r="F113" s="498" t="str">
        <f>$K$40</f>
        <v>Actual</v>
      </c>
      <c r="G113" s="486">
        <v>3988.5</v>
      </c>
      <c r="H113" s="482" t="str">
        <f>IF(D113=RebaseYear,"OEB-approved","")</f>
        <v/>
      </c>
      <c r="I113" s="1474"/>
      <c r="J113" s="462"/>
      <c r="K113" s="470" t="str">
        <f>F113</f>
        <v>Actual</v>
      </c>
      <c r="L113" s="1734">
        <v>144307855.4645004</v>
      </c>
      <c r="M113" s="1734">
        <v>139480732.37278607</v>
      </c>
      <c r="N113" s="459" t="str">
        <f t="shared" si="37"/>
        <v/>
      </c>
      <c r="O113" s="1461"/>
      <c r="P113" s="462"/>
      <c r="Q113" s="566" t="str">
        <f>K113</f>
        <v>Actual</v>
      </c>
      <c r="R113" s="1466">
        <f>IF(G113=0,"",L113/G113)</f>
        <v>36180.984195687699</v>
      </c>
      <c r="S113" s="1467">
        <f>IF(G113=0,"",M113/G113)</f>
        <v>34970.723924479396</v>
      </c>
      <c r="T113" s="513" t="str">
        <f t="shared" si="38"/>
        <v/>
      </c>
      <c r="U113" s="1467" t="str">
        <f t="shared" si="39"/>
        <v/>
      </c>
      <c r="V113" s="494"/>
    </row>
    <row r="114" spans="2:22" x14ac:dyDescent="0.2">
      <c r="C114" s="463" t="s">
        <v>786</v>
      </c>
      <c r="D114" s="545">
        <f t="shared" si="40"/>
        <v>2015</v>
      </c>
      <c r="E114" s="462"/>
      <c r="F114" s="499" t="str">
        <f>$K$41</f>
        <v>Actual</v>
      </c>
      <c r="G114" s="486">
        <v>4015</v>
      </c>
      <c r="H114" s="482" t="str">
        <f t="shared" si="36"/>
        <v/>
      </c>
      <c r="I114" s="1474"/>
      <c r="J114" s="462"/>
      <c r="K114" s="470" t="str">
        <f t="shared" ref="K114:K119" si="41">F114</f>
        <v>Actual</v>
      </c>
      <c r="L114" s="1734">
        <v>138792580.30899632</v>
      </c>
      <c r="M114" s="1734">
        <v>138355976.27824882</v>
      </c>
      <c r="N114" s="459" t="str">
        <f t="shared" si="37"/>
        <v/>
      </c>
      <c r="O114" s="1461"/>
      <c r="P114" s="462"/>
      <c r="Q114" s="566" t="str">
        <f t="shared" ref="Q114:Q119" si="42">K114</f>
        <v>Actual</v>
      </c>
      <c r="R114" s="1466">
        <f t="shared" ref="R114:R119" si="43">IF(G114=0,"",L114/G114)</f>
        <v>34568.51315292561</v>
      </c>
      <c r="S114" s="1467">
        <f t="shared" ref="S114:S119" si="44">IF(G114=0,"",M114/G114)</f>
        <v>34459.76993231602</v>
      </c>
      <c r="T114" s="513" t="str">
        <f t="shared" si="38"/>
        <v/>
      </c>
      <c r="U114" s="1467" t="str">
        <f t="shared" si="39"/>
        <v/>
      </c>
      <c r="V114" s="494"/>
    </row>
    <row r="115" spans="2:22" x14ac:dyDescent="0.2">
      <c r="C115" s="463" t="s">
        <v>786</v>
      </c>
      <c r="D115" s="545">
        <f t="shared" si="40"/>
        <v>2016</v>
      </c>
      <c r="E115" s="462"/>
      <c r="F115" s="499" t="str">
        <f>$K$42</f>
        <v>Actual</v>
      </c>
      <c r="G115" s="486">
        <v>4050.75</v>
      </c>
      <c r="H115" s="482" t="str">
        <f t="shared" si="36"/>
        <v/>
      </c>
      <c r="I115" s="1476"/>
      <c r="J115" s="462"/>
      <c r="K115" s="470" t="str">
        <f t="shared" si="41"/>
        <v>Actual</v>
      </c>
      <c r="L115" s="1734">
        <v>135472796.74455184</v>
      </c>
      <c r="M115" s="1734">
        <v>136711557.8233892</v>
      </c>
      <c r="N115" s="459" t="str">
        <f t="shared" si="37"/>
        <v/>
      </c>
      <c r="O115" s="1462"/>
      <c r="P115" s="462"/>
      <c r="Q115" s="566" t="str">
        <f t="shared" si="42"/>
        <v>Actual</v>
      </c>
      <c r="R115" s="1466">
        <f t="shared" si="43"/>
        <v>33443.879959156162</v>
      </c>
      <c r="S115" s="1467">
        <f t="shared" si="44"/>
        <v>33749.690260665113</v>
      </c>
      <c r="T115" s="513" t="str">
        <f t="shared" si="38"/>
        <v/>
      </c>
      <c r="U115" s="1467" t="str">
        <f t="shared" si="39"/>
        <v/>
      </c>
      <c r="V115" s="494"/>
    </row>
    <row r="116" spans="2:22" x14ac:dyDescent="0.2">
      <c r="C116" s="463" t="s">
        <v>786</v>
      </c>
      <c r="D116" s="545">
        <f t="shared" si="40"/>
        <v>2017</v>
      </c>
      <c r="E116" s="462"/>
      <c r="F116" s="499" t="str">
        <f>$K$43</f>
        <v>Actual</v>
      </c>
      <c r="G116" s="486">
        <v>4071</v>
      </c>
      <c r="H116" s="482" t="str">
        <f t="shared" si="36"/>
        <v/>
      </c>
      <c r="I116" s="1474"/>
      <c r="J116" s="462"/>
      <c r="K116" s="470" t="str">
        <f t="shared" si="41"/>
        <v>Actual</v>
      </c>
      <c r="L116" s="1734">
        <v>132427313.43009868</v>
      </c>
      <c r="M116" s="1734">
        <v>135830481.97141218</v>
      </c>
      <c r="N116" s="459" t="str">
        <f t="shared" si="37"/>
        <v/>
      </c>
      <c r="O116" s="1461"/>
      <c r="P116" s="462"/>
      <c r="Q116" s="566" t="str">
        <f t="shared" si="42"/>
        <v>Actual</v>
      </c>
      <c r="R116" s="1466">
        <f t="shared" si="43"/>
        <v>32529.430958019821</v>
      </c>
      <c r="S116" s="1467">
        <f t="shared" si="44"/>
        <v>33365.384910688328</v>
      </c>
      <c r="T116" s="513" t="str">
        <f t="shared" si="38"/>
        <v/>
      </c>
      <c r="U116" s="1467" t="str">
        <f t="shared" si="39"/>
        <v/>
      </c>
      <c r="V116" s="494"/>
    </row>
    <row r="117" spans="2:22" x14ac:dyDescent="0.2">
      <c r="C117" s="463" t="s">
        <v>786</v>
      </c>
      <c r="D117" s="545">
        <f t="shared" si="40"/>
        <v>2018</v>
      </c>
      <c r="E117" s="462"/>
      <c r="F117" s="499" t="str">
        <f>$K$44</f>
        <v>Actual</v>
      </c>
      <c r="G117" s="486">
        <v>4131.75</v>
      </c>
      <c r="H117" s="482" t="str">
        <f t="shared" si="36"/>
        <v/>
      </c>
      <c r="I117" s="1474"/>
      <c r="J117" s="462"/>
      <c r="K117" s="470" t="str">
        <f t="shared" si="41"/>
        <v>Actual</v>
      </c>
      <c r="L117" s="1734">
        <v>138106021.99227589</v>
      </c>
      <c r="M117" s="1734">
        <v>133964313.55545223</v>
      </c>
      <c r="N117" s="459" t="str">
        <f t="shared" si="37"/>
        <v/>
      </c>
      <c r="O117" s="1461"/>
      <c r="P117" s="462"/>
      <c r="Q117" s="566" t="str">
        <f t="shared" si="42"/>
        <v>Actual</v>
      </c>
      <c r="R117" s="1466">
        <f t="shared" si="43"/>
        <v>33425.551398868738</v>
      </c>
      <c r="S117" s="1467">
        <f t="shared" si="44"/>
        <v>32423.141176366487</v>
      </c>
      <c r="T117" s="513" t="str">
        <f t="shared" si="38"/>
        <v/>
      </c>
      <c r="U117" s="1467" t="str">
        <f t="shared" si="39"/>
        <v/>
      </c>
      <c r="V117" s="494"/>
    </row>
    <row r="118" spans="2:22" x14ac:dyDescent="0.2">
      <c r="C118" s="463" t="s">
        <v>276</v>
      </c>
      <c r="D118" s="545">
        <f t="shared" si="40"/>
        <v>2019</v>
      </c>
      <c r="E118" s="462"/>
      <c r="F118" s="499" t="str">
        <f>$K$45</f>
        <v>Actual</v>
      </c>
      <c r="G118" s="486">
        <v>4167</v>
      </c>
      <c r="H118" s="482" t="str">
        <f t="shared" si="36"/>
        <v/>
      </c>
      <c r="I118" s="1474"/>
      <c r="J118" s="462"/>
      <c r="K118" s="470" t="str">
        <f t="shared" si="41"/>
        <v>Actual</v>
      </c>
      <c r="L118" s="1754">
        <v>135948289.22999999</v>
      </c>
      <c r="M118" s="1735">
        <v>135033867.5852271</v>
      </c>
      <c r="N118" s="459" t="str">
        <f t="shared" si="37"/>
        <v/>
      </c>
      <c r="O118" s="1461"/>
      <c r="P118" s="462"/>
      <c r="Q118" s="566" t="str">
        <f t="shared" si="42"/>
        <v>Actual</v>
      </c>
      <c r="R118" s="1466">
        <f t="shared" si="43"/>
        <v>32624.979416846651</v>
      </c>
      <c r="S118" s="1467">
        <f t="shared" si="44"/>
        <v>32405.535777592297</v>
      </c>
      <c r="T118" s="513" t="str">
        <f t="shared" si="38"/>
        <v/>
      </c>
      <c r="U118" s="1467" t="str">
        <f t="shared" si="39"/>
        <v/>
      </c>
      <c r="V118" s="494"/>
    </row>
    <row r="119" spans="2:22" ht="13.5" thickBot="1" x14ac:dyDescent="0.25">
      <c r="C119" s="464" t="s">
        <v>277</v>
      </c>
      <c r="D119" s="546">
        <f>TestYear</f>
        <v>2020</v>
      </c>
      <c r="E119" s="466"/>
      <c r="F119" s="500" t="str">
        <f>$K$46</f>
        <v>Forecast</v>
      </c>
      <c r="G119" s="487">
        <v>4193.5040704843168</v>
      </c>
      <c r="H119" s="483" t="str">
        <f t="shared" si="36"/>
        <v/>
      </c>
      <c r="I119" s="1475"/>
      <c r="J119" s="466"/>
      <c r="K119" s="471" t="str">
        <f t="shared" si="41"/>
        <v>Forecast</v>
      </c>
      <c r="L119" s="1755"/>
      <c r="M119" s="1736">
        <v>136403466.97308469</v>
      </c>
      <c r="N119" s="460" t="str">
        <f t="shared" si="37"/>
        <v/>
      </c>
      <c r="O119" s="1463"/>
      <c r="P119" s="466"/>
      <c r="Q119" s="567" t="str">
        <f t="shared" si="42"/>
        <v>Forecast</v>
      </c>
      <c r="R119" s="1468">
        <f t="shared" si="43"/>
        <v>0</v>
      </c>
      <c r="S119" s="1469">
        <f t="shared" si="44"/>
        <v>32527.324328394214</v>
      </c>
      <c r="T119" s="537" t="str">
        <f t="shared" si="38"/>
        <v/>
      </c>
      <c r="U119" s="1469" t="str">
        <f t="shared" si="39"/>
        <v/>
      </c>
      <c r="V119" s="494"/>
    </row>
    <row r="120" spans="2:22" ht="13.5" thickBot="1" x14ac:dyDescent="0.25">
      <c r="B120" s="513"/>
      <c r="C120" s="548"/>
      <c r="I120" s="1804">
        <f>SUM(I112:I118)</f>
        <v>4061</v>
      </c>
      <c r="O120" s="1804">
        <f>SUM(O112:O118)</f>
        <v>142890815</v>
      </c>
      <c r="U120" s="1804">
        <f>SUM(U112:U118)</f>
        <v>35186.115488795862</v>
      </c>
    </row>
    <row r="121" spans="2:22" ht="39" thickBot="1" x14ac:dyDescent="0.25">
      <c r="C121" s="579" t="s">
        <v>837</v>
      </c>
      <c r="D121" s="578" t="s">
        <v>10</v>
      </c>
      <c r="E121" s="543"/>
      <c r="F121" s="543"/>
      <c r="G121" s="1449" t="s">
        <v>959</v>
      </c>
      <c r="H121" s="543"/>
      <c r="I121" s="573" t="s">
        <v>1327</v>
      </c>
      <c r="J121" s="575"/>
      <c r="K121" s="574" t="s">
        <v>10</v>
      </c>
      <c r="L121" s="2196" t="s">
        <v>959</v>
      </c>
      <c r="M121" s="2196"/>
      <c r="N121" s="543"/>
      <c r="O121" s="573" t="str">
        <f>I121</f>
        <v>Test Year Versus OEB-approved</v>
      </c>
      <c r="P121" s="576"/>
      <c r="Q121" s="574" t="s">
        <v>10</v>
      </c>
      <c r="R121" s="2196" t="s">
        <v>959</v>
      </c>
      <c r="S121" s="2196"/>
      <c r="T121" s="543"/>
      <c r="U121" s="573" t="str">
        <f>O121</f>
        <v>Test Year Versus OEB-approved</v>
      </c>
    </row>
    <row r="122" spans="2:22" x14ac:dyDescent="0.2">
      <c r="C122" s="1743"/>
      <c r="D122" s="1744">
        <v>2013</v>
      </c>
      <c r="E122" s="513"/>
      <c r="F122" s="513"/>
      <c r="G122" s="554"/>
      <c r="H122" s="513"/>
      <c r="I122" s="1741"/>
      <c r="J122" s="565"/>
      <c r="K122" s="1745">
        <v>2013</v>
      </c>
      <c r="L122" s="533"/>
      <c r="M122" s="533"/>
      <c r="N122" s="513"/>
      <c r="O122" s="1741"/>
      <c r="P122" s="462"/>
      <c r="Q122" s="1745">
        <v>2013</v>
      </c>
      <c r="R122" s="514"/>
      <c r="S122" s="514"/>
      <c r="T122" s="513"/>
      <c r="U122" s="1741"/>
    </row>
    <row r="123" spans="2:22" x14ac:dyDescent="0.2">
      <c r="C123" s="462"/>
      <c r="D123" s="559">
        <f t="shared" ref="D123:D129" si="45">D113</f>
        <v>2014</v>
      </c>
      <c r="E123" s="513"/>
      <c r="F123" s="513"/>
      <c r="G123" s="555">
        <f t="shared" ref="G123:G129" si="46">IF(G112=0,"",G113/G112-1)</f>
        <v>8.7891242491304755E-3</v>
      </c>
      <c r="H123" s="513"/>
      <c r="I123" s="560"/>
      <c r="J123" s="565"/>
      <c r="K123" s="545">
        <f>D123</f>
        <v>2014</v>
      </c>
      <c r="L123" s="535">
        <f t="shared" ref="L123:M127" si="47">IF(L112=0,"",L113/L112-1)</f>
        <v>1.9138145833414999E-3</v>
      </c>
      <c r="M123" s="535">
        <f t="shared" si="47"/>
        <v>-1.3198706008044292E-2</v>
      </c>
      <c r="N123" s="513"/>
      <c r="O123" s="509"/>
      <c r="P123" s="462"/>
      <c r="Q123" s="545">
        <f>K123</f>
        <v>2014</v>
      </c>
      <c r="R123" s="556">
        <f t="shared" ref="R123:S127" si="48">IF(R112="","",IF(R112=0,"",R113/R112-1))</f>
        <v>-6.8154081963428537E-3</v>
      </c>
      <c r="S123" s="556">
        <f t="shared" si="48"/>
        <v>-2.1796260217953001E-2</v>
      </c>
      <c r="T123" s="513"/>
      <c r="U123" s="509"/>
    </row>
    <row r="124" spans="2:22" x14ac:dyDescent="0.2">
      <c r="C124" s="462"/>
      <c r="D124" s="547">
        <f t="shared" si="45"/>
        <v>2015</v>
      </c>
      <c r="E124" s="513"/>
      <c r="F124" s="513"/>
      <c r="G124" s="555">
        <f t="shared" si="46"/>
        <v>6.6441017926539558E-3</v>
      </c>
      <c r="H124" s="513"/>
      <c r="I124" s="560"/>
      <c r="J124" s="565"/>
      <c r="K124" s="545">
        <f t="shared" ref="K124:K130" si="49">D124</f>
        <v>2015</v>
      </c>
      <c r="L124" s="535">
        <f t="shared" si="47"/>
        <v>-3.821881447653297E-2</v>
      </c>
      <c r="M124" s="535">
        <f t="shared" si="47"/>
        <v>-8.0638814795663816E-3</v>
      </c>
      <c r="N124" s="513"/>
      <c r="O124" s="509"/>
      <c r="P124" s="462"/>
      <c r="Q124" s="545">
        <f t="shared" ref="Q124:Q130" si="50">K124</f>
        <v>2015</v>
      </c>
      <c r="R124" s="556">
        <f t="shared" si="48"/>
        <v>-4.4566809847982891E-2</v>
      </c>
      <c r="S124" s="556">
        <f t="shared" si="48"/>
        <v>-1.4610906919364952E-2</v>
      </c>
      <c r="T124" s="513"/>
      <c r="U124" s="509"/>
    </row>
    <row r="125" spans="2:22" x14ac:dyDescent="0.2">
      <c r="C125" s="462"/>
      <c r="D125" s="547">
        <f t="shared" si="45"/>
        <v>2016</v>
      </c>
      <c r="E125" s="513"/>
      <c r="F125" s="513"/>
      <c r="G125" s="555">
        <f t="shared" si="46"/>
        <v>8.9041095890411981E-3</v>
      </c>
      <c r="H125" s="513"/>
      <c r="I125" s="560"/>
      <c r="J125" s="565"/>
      <c r="K125" s="545">
        <f t="shared" si="49"/>
        <v>2016</v>
      </c>
      <c r="L125" s="535">
        <f t="shared" si="47"/>
        <v>-2.3919027638607093E-2</v>
      </c>
      <c r="M125" s="535">
        <f t="shared" si="47"/>
        <v>-1.1885416872434273E-2</v>
      </c>
      <c r="N125" s="513"/>
      <c r="O125" s="509"/>
      <c r="P125" s="462"/>
      <c r="Q125" s="545">
        <f t="shared" si="50"/>
        <v>2016</v>
      </c>
      <c r="R125" s="556">
        <f t="shared" si="48"/>
        <v>-3.253345577214295E-2</v>
      </c>
      <c r="S125" s="556">
        <f t="shared" si="48"/>
        <v>-2.0606047952310913E-2</v>
      </c>
      <c r="T125" s="513"/>
      <c r="U125" s="509"/>
    </row>
    <row r="126" spans="2:22" x14ac:dyDescent="0.2">
      <c r="C126" s="462"/>
      <c r="D126" s="547">
        <f t="shared" si="45"/>
        <v>2017</v>
      </c>
      <c r="E126" s="513"/>
      <c r="F126" s="513"/>
      <c r="G126" s="555">
        <f t="shared" si="46"/>
        <v>4.99907424551016E-3</v>
      </c>
      <c r="H126" s="513"/>
      <c r="I126" s="560"/>
      <c r="J126" s="565"/>
      <c r="K126" s="545">
        <f t="shared" si="49"/>
        <v>2017</v>
      </c>
      <c r="L126" s="535">
        <f t="shared" si="47"/>
        <v>-2.2480404831353162E-2</v>
      </c>
      <c r="M126" s="535">
        <f t="shared" si="47"/>
        <v>-6.4447795490358839E-3</v>
      </c>
      <c r="N126" s="513"/>
      <c r="O126" s="509"/>
      <c r="P126" s="462"/>
      <c r="Q126" s="545">
        <f t="shared" si="50"/>
        <v>2017</v>
      </c>
      <c r="R126" s="556">
        <f t="shared" si="48"/>
        <v>-2.7342790437387188E-2</v>
      </c>
      <c r="S126" s="556">
        <f t="shared" si="48"/>
        <v>-1.1386929687609237E-2</v>
      </c>
      <c r="T126" s="513"/>
      <c r="U126" s="509"/>
    </row>
    <row r="127" spans="2:22" x14ac:dyDescent="0.2">
      <c r="C127" s="462"/>
      <c r="D127" s="547">
        <f t="shared" si="45"/>
        <v>2018</v>
      </c>
      <c r="E127" s="513"/>
      <c r="F127" s="513"/>
      <c r="G127" s="555">
        <f t="shared" si="46"/>
        <v>1.4922623434045601E-2</v>
      </c>
      <c r="H127" s="513"/>
      <c r="I127" s="560"/>
      <c r="J127" s="565"/>
      <c r="K127" s="545">
        <f t="shared" si="49"/>
        <v>2018</v>
      </c>
      <c r="L127" s="535">
        <f t="shared" si="47"/>
        <v>4.2881701781065651E-2</v>
      </c>
      <c r="M127" s="535">
        <f t="shared" si="47"/>
        <v>-1.3738951587852877E-2</v>
      </c>
      <c r="N127" s="513"/>
      <c r="O127" s="509"/>
      <c r="P127" s="462"/>
      <c r="Q127" s="545">
        <f t="shared" si="50"/>
        <v>2018</v>
      </c>
      <c r="R127" s="556">
        <f t="shared" si="48"/>
        <v>2.7547990064916483E-2</v>
      </c>
      <c r="S127" s="556">
        <f t="shared" si="48"/>
        <v>-2.8240157781605602E-2</v>
      </c>
      <c r="T127" s="513"/>
      <c r="U127" s="509"/>
    </row>
    <row r="128" spans="2:22" x14ac:dyDescent="0.2">
      <c r="C128" s="462"/>
      <c r="D128" s="547">
        <f t="shared" si="45"/>
        <v>2019</v>
      </c>
      <c r="E128" s="513"/>
      <c r="F128" s="513"/>
      <c r="G128" s="555">
        <f t="shared" si="46"/>
        <v>8.5314939190415107E-3</v>
      </c>
      <c r="H128" s="513"/>
      <c r="I128" s="560"/>
      <c r="J128" s="565"/>
      <c r="K128" s="545">
        <f t="shared" si="49"/>
        <v>2019</v>
      </c>
      <c r="L128" s="535">
        <f>IF(K118="Forecast","",IF(L117=0,"",L118/L117-1))</f>
        <v>-1.5623741319524709E-2</v>
      </c>
      <c r="M128" s="535">
        <f>IF(M117=0,"",M118/M117-1)</f>
        <v>7.9838727298979784E-3</v>
      </c>
      <c r="N128" s="513"/>
      <c r="O128" s="509"/>
      <c r="P128" s="462"/>
      <c r="Q128" s="545">
        <f t="shared" si="50"/>
        <v>2019</v>
      </c>
      <c r="R128" s="556">
        <f>IF(Q118="Forecast","",IF(R117=0,"",R118/R117-1))</f>
        <v>-2.3950898295403533E-2</v>
      </c>
      <c r="S128" s="556">
        <f>IF(S117="","",IF(S117=0,"",S118/S117-1))</f>
        <v>-5.4298868448388049E-4</v>
      </c>
      <c r="T128" s="513"/>
      <c r="U128" s="509"/>
    </row>
    <row r="129" spans="3:21" x14ac:dyDescent="0.2">
      <c r="C129" s="462"/>
      <c r="D129" s="547">
        <f t="shared" si="45"/>
        <v>2020</v>
      </c>
      <c r="E129" s="513"/>
      <c r="F129" s="513"/>
      <c r="G129" s="555">
        <f t="shared" si="46"/>
        <v>6.3604680787896495E-3</v>
      </c>
      <c r="H129" s="513"/>
      <c r="I129" s="561">
        <f>IF(I120=0,"",G119/I120-1)</f>
        <v>3.2628434002540452E-2</v>
      </c>
      <c r="J129" s="565"/>
      <c r="K129" s="545">
        <f t="shared" si="49"/>
        <v>2020</v>
      </c>
      <c r="L129" s="535" t="str">
        <f>IF(K119="Forecast","",IF(L118=0,"",L119/L118-1))</f>
        <v/>
      </c>
      <c r="M129" s="535">
        <f>IF(M118=0,"",M119/M118-1)</f>
        <v>1.0142636157504326E-2</v>
      </c>
      <c r="N129" s="513"/>
      <c r="O129" s="536">
        <f>IF(O120=0,"",M119/O120-1)</f>
        <v>-4.5400735008162107E-2</v>
      </c>
      <c r="P129" s="462"/>
      <c r="Q129" s="545">
        <f t="shared" si="50"/>
        <v>2020</v>
      </c>
      <c r="R129" s="556" t="str">
        <f>IF(Q119="Forecast","",IF(R118=0,"",R119/R118-1))</f>
        <v/>
      </c>
      <c r="S129" s="556">
        <f>IF(S118="","",IF(S118=0,"",S119/S118-1))</f>
        <v>3.758263762024594E-3</v>
      </c>
      <c r="T129" s="513"/>
      <c r="U129" s="536">
        <f>IF(U120=0,"",S119/U120-1)</f>
        <v>-7.5563645587654382E-2</v>
      </c>
    </row>
    <row r="130" spans="3:21" ht="26.25" thickBot="1" x14ac:dyDescent="0.25">
      <c r="C130" s="466"/>
      <c r="D130" s="584" t="s">
        <v>958</v>
      </c>
      <c r="E130" s="537"/>
      <c r="F130" s="537"/>
      <c r="G130" s="540">
        <f>IF(G112=0,"",(G119/G112)^(1/($D119-$D112-1))-1)</f>
        <v>9.8603262126597535E-3</v>
      </c>
      <c r="H130" s="537"/>
      <c r="I130" s="585">
        <f>IF(I120=0,"",(G119/I120)^(1/(TestYear-RebaseYear-1))-1)</f>
        <v>5.365581682783338E-3</v>
      </c>
      <c r="J130" s="542"/>
      <c r="K130" s="583" t="str">
        <f t="shared" si="49"/>
        <v>Geometric Mean</v>
      </c>
      <c r="L130" s="540">
        <f>IF(L112=0,"",(L117/L112)^(1/($D117-$D112-1))-1)</f>
        <v>-1.044884051299988E-2</v>
      </c>
      <c r="M130" s="540">
        <f>IF(M112=0,"",(M119/M112)^(1/($D119-$D112-1))-1)</f>
        <v>-5.9150853854224028E-3</v>
      </c>
      <c r="N130" s="537"/>
      <c r="O130" s="553">
        <f>IF(O120=0,"",(M119/O120)^(1/(TestYear-RebaseYear-1))-1)</f>
        <v>-7.7140336694822009E-3</v>
      </c>
      <c r="P130" s="466"/>
      <c r="Q130" s="583" t="str">
        <f t="shared" si="50"/>
        <v>Geometric Mean</v>
      </c>
      <c r="R130" s="1747">
        <f>IF(R112="","",IF(R112=0,"",(R117/R112)^(1/($D117-$D112-1))-1))</f>
        <v>-2.1283197499075812E-2</v>
      </c>
      <c r="S130" s="540">
        <f>IF(S112="","",IF(S112=0,"",(S119/S112)^(1/($D119-$D112-1))-1))</f>
        <v>-1.5621379698364524E-2</v>
      </c>
      <c r="T130" s="537"/>
      <c r="U130" s="553">
        <f>IF(U120=0,"",(S119/U120)^(1/(TestYear-RebaseYear-1))-1)</f>
        <v>-1.3009810153210899E-2</v>
      </c>
    </row>
    <row r="132" spans="3:21" ht="13.5" thickBot="1" x14ac:dyDescent="0.25">
      <c r="Q132" s="537"/>
      <c r="R132" s="537"/>
      <c r="S132" s="537"/>
      <c r="T132" s="537"/>
      <c r="U132" s="537"/>
    </row>
    <row r="133" spans="3:21" x14ac:dyDescent="0.2">
      <c r="C133" s="461"/>
      <c r="D133" s="465" t="s">
        <v>945</v>
      </c>
      <c r="E133" s="465"/>
      <c r="F133" s="2198" t="s">
        <v>938</v>
      </c>
      <c r="G133" s="2199"/>
      <c r="H133" s="2199"/>
      <c r="I133" s="2200"/>
      <c r="K133" s="2201" t="str">
        <f>IF(ISBLANK(Q108),"",CONCATENATE("Demand (",Q108,")"))</f>
        <v>Demand (kWh)</v>
      </c>
      <c r="L133" s="2202"/>
      <c r="M133" s="2202"/>
      <c r="N133" s="2202"/>
      <c r="O133" s="2203"/>
      <c r="Q133" s="2204" t="str">
        <f>CONCATENATE("Demand (",Q108,") per ",LEFT(F110,LEN(F110)-1))</f>
        <v>Demand (kWh) per Customer</v>
      </c>
      <c r="R133" s="2205"/>
      <c r="S133" s="2205"/>
      <c r="T133" s="2205"/>
      <c r="U133" s="2206"/>
    </row>
    <row r="134" spans="3:21" ht="39" thickBot="1" x14ac:dyDescent="0.25">
      <c r="C134" s="466"/>
      <c r="D134" s="468" t="str">
        <f>CONCATENATE("(for ",TestYear," Cost of Service")</f>
        <v>(for 2020 Cost of Service</v>
      </c>
      <c r="E134" s="463"/>
      <c r="F134" s="2194"/>
      <c r="G134" s="2195"/>
      <c r="H134" s="2195"/>
      <c r="I134" s="481"/>
      <c r="K134" s="472"/>
      <c r="L134" s="598" t="s">
        <v>962</v>
      </c>
      <c r="M134" s="598" t="s">
        <v>948</v>
      </c>
      <c r="N134" s="490"/>
      <c r="O134" s="491" t="str">
        <f>M134</f>
        <v>Weather-normalized</v>
      </c>
      <c r="Q134" s="582"/>
      <c r="R134" s="598" t="str">
        <f>L134</f>
        <v>Actual (Weather actual)</v>
      </c>
      <c r="S134" s="598" t="str">
        <f>M134</f>
        <v>Weather-normalized</v>
      </c>
      <c r="T134" s="598"/>
      <c r="U134" s="599" t="str">
        <f>O134</f>
        <v>Weather-normalized</v>
      </c>
    </row>
    <row r="135" spans="3:21" ht="13.5" thickBot="1" x14ac:dyDescent="0.25">
      <c r="C135" s="463" t="s">
        <v>786</v>
      </c>
      <c r="D135" s="1748">
        <v>2013</v>
      </c>
      <c r="E135" s="463"/>
      <c r="F135" s="1752" t="s">
        <v>334</v>
      </c>
      <c r="G135" s="496">
        <v>3662889.83</v>
      </c>
      <c r="H135" s="2" t="str">
        <f t="shared" ref="H135:H142" si="51">IF(D135=RebaseYear,"OEB-approved","")</f>
        <v>OEB-approved</v>
      </c>
      <c r="I135" s="1470">
        <v>3628368</v>
      </c>
      <c r="K135" s="1730"/>
      <c r="L135" s="1731"/>
      <c r="M135" s="1731"/>
      <c r="N135" s="1732"/>
      <c r="O135" s="1733"/>
      <c r="Q135" s="1742"/>
      <c r="R135" s="1731"/>
      <c r="S135" s="1731"/>
      <c r="T135" s="1731"/>
      <c r="U135" s="1741"/>
    </row>
    <row r="136" spans="3:21" x14ac:dyDescent="0.2">
      <c r="C136" s="463" t="s">
        <v>786</v>
      </c>
      <c r="D136" s="545">
        <f t="shared" ref="D136:D141" si="52">D137-1</f>
        <v>2014</v>
      </c>
      <c r="E136" s="462"/>
      <c r="F136" s="498" t="str">
        <f t="shared" ref="F136:F142" si="53">F113</f>
        <v>Actual</v>
      </c>
      <c r="G136" s="496">
        <v>3669510.31</v>
      </c>
      <c r="H136" s="2" t="str">
        <f>IF(D136=RebaseYear,"OEB-approved","")</f>
        <v/>
      </c>
      <c r="I136" s="1470"/>
      <c r="K136" s="470" t="str">
        <f t="shared" ref="K136:K142" si="54">K113</f>
        <v>Actual</v>
      </c>
      <c r="L136" s="479"/>
      <c r="M136" s="479"/>
      <c r="N136" s="459" t="str">
        <f t="shared" ref="N136:N142" si="55">N113</f>
        <v/>
      </c>
      <c r="O136" s="509"/>
      <c r="Q136" s="566" t="str">
        <f>K136</f>
        <v>Actual</v>
      </c>
      <c r="R136" s="513">
        <f>IF(G136=0,"",L136/G136)</f>
        <v>0</v>
      </c>
      <c r="S136" s="494">
        <f>IF(G136=0,"",M136/G136)</f>
        <v>0</v>
      </c>
      <c r="T136" s="494" t="str">
        <f>N136</f>
        <v/>
      </c>
      <c r="U136" s="462" t="str">
        <f>IF(T136="","",IF(I136=0,"",O136/I136))</f>
        <v/>
      </c>
    </row>
    <row r="137" spans="3:21" x14ac:dyDescent="0.2">
      <c r="C137" s="463" t="s">
        <v>786</v>
      </c>
      <c r="D137" s="545">
        <f t="shared" si="52"/>
        <v>2015</v>
      </c>
      <c r="E137" s="462"/>
      <c r="F137" s="499" t="str">
        <f t="shared" si="53"/>
        <v>Actual</v>
      </c>
      <c r="G137" s="496">
        <v>3615553.87</v>
      </c>
      <c r="H137" s="2" t="str">
        <f>IF(D137=RebaseYear,"OEB-approved","")</f>
        <v/>
      </c>
      <c r="I137" s="1471"/>
      <c r="K137" s="470" t="str">
        <f t="shared" si="54"/>
        <v>Actual</v>
      </c>
      <c r="L137" s="479"/>
      <c r="M137" s="479"/>
      <c r="N137" s="459" t="str">
        <f t="shared" si="55"/>
        <v/>
      </c>
      <c r="O137" s="509"/>
      <c r="Q137" s="566" t="str">
        <f t="shared" ref="Q137:Q142" si="56">K137</f>
        <v>Actual</v>
      </c>
      <c r="R137" s="513">
        <f t="shared" ref="R137:R142" si="57">IF(G137=0,"",L137/G137)</f>
        <v>0</v>
      </c>
      <c r="S137" s="494">
        <f t="shared" ref="S137:S142" si="58">IF(G137=0,"",M137/G137)</f>
        <v>0</v>
      </c>
      <c r="T137" s="494" t="str">
        <f t="shared" ref="T137:T142" si="59">N137</f>
        <v/>
      </c>
      <c r="U137" s="462" t="str">
        <f t="shared" ref="U137:U142" si="60">IF(T137="","",IF(I137=0,"",O137/I137))</f>
        <v/>
      </c>
    </row>
    <row r="138" spans="3:21" x14ac:dyDescent="0.2">
      <c r="C138" s="463" t="s">
        <v>786</v>
      </c>
      <c r="D138" s="545">
        <f t="shared" si="52"/>
        <v>2016</v>
      </c>
      <c r="E138" s="462"/>
      <c r="F138" s="499" t="str">
        <f t="shared" si="53"/>
        <v>Actual</v>
      </c>
      <c r="G138" s="496">
        <v>3600781.2</v>
      </c>
      <c r="H138" s="2" t="str">
        <f t="shared" si="51"/>
        <v/>
      </c>
      <c r="I138" s="1472"/>
      <c r="K138" s="470" t="str">
        <f t="shared" si="54"/>
        <v>Actual</v>
      </c>
      <c r="L138" s="479"/>
      <c r="M138" s="479"/>
      <c r="N138" s="459" t="str">
        <f t="shared" si="55"/>
        <v/>
      </c>
      <c r="O138" s="510"/>
      <c r="Q138" s="566" t="str">
        <f t="shared" si="56"/>
        <v>Actual</v>
      </c>
      <c r="R138" s="513">
        <f t="shared" si="57"/>
        <v>0</v>
      </c>
      <c r="S138" s="494">
        <f t="shared" si="58"/>
        <v>0</v>
      </c>
      <c r="T138" s="494" t="str">
        <f t="shared" si="59"/>
        <v/>
      </c>
      <c r="U138" s="462" t="str">
        <f t="shared" si="60"/>
        <v/>
      </c>
    </row>
    <row r="139" spans="3:21" x14ac:dyDescent="0.2">
      <c r="C139" s="463" t="s">
        <v>786</v>
      </c>
      <c r="D139" s="545">
        <f t="shared" si="52"/>
        <v>2017</v>
      </c>
      <c r="E139" s="462"/>
      <c r="F139" s="499" t="str">
        <f t="shared" si="53"/>
        <v>Actual</v>
      </c>
      <c r="G139" s="496">
        <v>3581549.01</v>
      </c>
      <c r="H139" s="2" t="str">
        <f t="shared" si="51"/>
        <v/>
      </c>
      <c r="I139" s="1471"/>
      <c r="K139" s="470" t="str">
        <f t="shared" si="54"/>
        <v>Actual</v>
      </c>
      <c r="L139" s="479"/>
      <c r="M139" s="479"/>
      <c r="N139" s="459" t="str">
        <f t="shared" si="55"/>
        <v/>
      </c>
      <c r="O139" s="509"/>
      <c r="Q139" s="566" t="str">
        <f t="shared" si="56"/>
        <v>Actual</v>
      </c>
      <c r="R139" s="513">
        <f t="shared" si="57"/>
        <v>0</v>
      </c>
      <c r="S139" s="494">
        <f t="shared" si="58"/>
        <v>0</v>
      </c>
      <c r="T139" s="494" t="str">
        <f t="shared" si="59"/>
        <v/>
      </c>
      <c r="U139" s="462" t="str">
        <f t="shared" si="60"/>
        <v/>
      </c>
    </row>
    <row r="140" spans="3:21" x14ac:dyDescent="0.2">
      <c r="C140" s="463" t="s">
        <v>786</v>
      </c>
      <c r="D140" s="545">
        <f t="shared" si="52"/>
        <v>2018</v>
      </c>
      <c r="E140" s="462"/>
      <c r="F140" s="499" t="str">
        <f t="shared" si="53"/>
        <v>Actual</v>
      </c>
      <c r="G140" s="496">
        <v>3737892.1</v>
      </c>
      <c r="H140" s="2" t="str">
        <f t="shared" si="51"/>
        <v/>
      </c>
      <c r="I140" s="1471"/>
      <c r="K140" s="470" t="str">
        <f t="shared" si="54"/>
        <v>Actual</v>
      </c>
      <c r="L140" s="479"/>
      <c r="M140" s="479"/>
      <c r="N140" s="459" t="str">
        <f t="shared" si="55"/>
        <v/>
      </c>
      <c r="O140" s="509"/>
      <c r="Q140" s="566" t="str">
        <f t="shared" si="56"/>
        <v>Actual</v>
      </c>
      <c r="R140" s="513">
        <f t="shared" si="57"/>
        <v>0</v>
      </c>
      <c r="S140" s="494">
        <f t="shared" si="58"/>
        <v>0</v>
      </c>
      <c r="T140" s="494" t="str">
        <f t="shared" si="59"/>
        <v/>
      </c>
      <c r="U140" s="462" t="str">
        <f t="shared" si="60"/>
        <v/>
      </c>
    </row>
    <row r="141" spans="3:21" x14ac:dyDescent="0.2">
      <c r="C141" s="463" t="s">
        <v>943</v>
      </c>
      <c r="D141" s="545">
        <f t="shared" si="52"/>
        <v>2019</v>
      </c>
      <c r="E141" s="462"/>
      <c r="F141" s="499" t="str">
        <f t="shared" si="53"/>
        <v>Actual</v>
      </c>
      <c r="G141" s="496">
        <v>3752022.3172621005</v>
      </c>
      <c r="H141" s="2" t="str">
        <f t="shared" si="51"/>
        <v/>
      </c>
      <c r="I141" s="1471"/>
      <c r="K141" s="470" t="str">
        <f t="shared" si="54"/>
        <v>Actual</v>
      </c>
      <c r="L141" s="488"/>
      <c r="M141" s="516"/>
      <c r="N141" s="459" t="str">
        <f t="shared" si="55"/>
        <v/>
      </c>
      <c r="O141" s="509"/>
      <c r="Q141" s="566" t="str">
        <f t="shared" si="56"/>
        <v>Actual</v>
      </c>
      <c r="R141" s="513">
        <f t="shared" si="57"/>
        <v>0</v>
      </c>
      <c r="S141" s="494">
        <f t="shared" si="58"/>
        <v>0</v>
      </c>
      <c r="T141" s="494" t="str">
        <f t="shared" si="59"/>
        <v/>
      </c>
      <c r="U141" s="462" t="str">
        <f t="shared" si="60"/>
        <v/>
      </c>
    </row>
    <row r="142" spans="3:21" ht="13.5" thickBot="1" x14ac:dyDescent="0.25">
      <c r="C142" s="464" t="s">
        <v>944</v>
      </c>
      <c r="D142" s="546">
        <f>TestYear</f>
        <v>2020</v>
      </c>
      <c r="E142" s="466"/>
      <c r="F142" s="500" t="str">
        <f t="shared" si="53"/>
        <v>Forecast</v>
      </c>
      <c r="G142" s="497">
        <v>4277630.7607359821</v>
      </c>
      <c r="H142" s="492" t="str">
        <f t="shared" si="51"/>
        <v/>
      </c>
      <c r="I142" s="1473"/>
      <c r="K142" s="471" t="str">
        <f t="shared" si="54"/>
        <v>Forecast</v>
      </c>
      <c r="L142" s="489"/>
      <c r="M142" s="517"/>
      <c r="N142" s="460" t="str">
        <f t="shared" si="55"/>
        <v/>
      </c>
      <c r="O142" s="511"/>
      <c r="Q142" s="504" t="str">
        <f t="shared" si="56"/>
        <v>Forecast</v>
      </c>
      <c r="R142" s="495">
        <f t="shared" si="57"/>
        <v>0</v>
      </c>
      <c r="S142" s="495">
        <f t="shared" si="58"/>
        <v>0</v>
      </c>
      <c r="T142" s="495" t="str">
        <f t="shared" si="59"/>
        <v/>
      </c>
      <c r="U142" s="466" t="str">
        <f t="shared" si="60"/>
        <v/>
      </c>
    </row>
    <row r="143" spans="3:21" ht="13.5" thickBot="1" x14ac:dyDescent="0.25">
      <c r="C143" s="548"/>
      <c r="I143" s="1806">
        <f>SUM(I135:I141)</f>
        <v>3628368</v>
      </c>
      <c r="J143" s="513"/>
      <c r="O143" s="587">
        <f>SUM(O136:O141)</f>
        <v>0</v>
      </c>
      <c r="U143" s="587">
        <f>SUM(U136:U141)</f>
        <v>0</v>
      </c>
    </row>
    <row r="144" spans="3:21" ht="39" customHeight="1" thickBot="1" x14ac:dyDescent="0.25">
      <c r="C144" s="579" t="s">
        <v>837</v>
      </c>
      <c r="D144" s="578" t="s">
        <v>10</v>
      </c>
      <c r="E144" s="1449"/>
      <c r="F144" s="1449"/>
      <c r="G144" s="1449" t="s">
        <v>959</v>
      </c>
      <c r="H144" s="1449"/>
      <c r="I144" s="573" t="str">
        <f>I121</f>
        <v>Test Year Versus OEB-approved</v>
      </c>
      <c r="J144" s="586"/>
      <c r="K144" s="574" t="s">
        <v>10</v>
      </c>
      <c r="L144" s="2196" t="s">
        <v>959</v>
      </c>
      <c r="M144" s="2196"/>
      <c r="N144" s="1449"/>
      <c r="O144" s="573" t="str">
        <f>I144</f>
        <v>Test Year Versus OEB-approved</v>
      </c>
      <c r="P144" s="562"/>
      <c r="Q144" s="574" t="s">
        <v>10</v>
      </c>
      <c r="R144" s="2196" t="s">
        <v>959</v>
      </c>
      <c r="S144" s="2196"/>
      <c r="T144" s="1449"/>
      <c r="U144" s="573" t="str">
        <f>O144</f>
        <v>Test Year Versus OEB-approved</v>
      </c>
    </row>
    <row r="145" spans="2:22" ht="15.6" customHeight="1" thickBot="1" x14ac:dyDescent="0.25">
      <c r="C145" s="1743"/>
      <c r="D145" s="1750">
        <v>2013</v>
      </c>
      <c r="E145" s="1749"/>
      <c r="F145" s="1739"/>
      <c r="G145" s="554"/>
      <c r="H145" s="1739"/>
      <c r="I145" s="1741"/>
      <c r="J145" s="586"/>
      <c r="K145" s="586"/>
      <c r="L145" s="1739"/>
      <c r="M145" s="1739"/>
      <c r="N145" s="1739"/>
      <c r="O145" s="1741"/>
      <c r="P145" s="586"/>
      <c r="Q145" s="586"/>
      <c r="R145" s="1739"/>
      <c r="S145" s="1739"/>
      <c r="T145" s="1739"/>
      <c r="U145" s="1741"/>
    </row>
    <row r="146" spans="2:22" x14ac:dyDescent="0.2">
      <c r="C146" s="462"/>
      <c r="D146" s="581">
        <f t="shared" ref="D146:D152" si="61">D136</f>
        <v>2014</v>
      </c>
      <c r="E146" s="527"/>
      <c r="F146" s="513"/>
      <c r="G146" s="555">
        <f t="shared" ref="G146:G152" si="62">IF(G135=0,"",G136/G135-1)</f>
        <v>1.8074472089704141E-3</v>
      </c>
      <c r="H146" s="513"/>
      <c r="I146" s="560"/>
      <c r="J146" s="462"/>
      <c r="K146" s="545">
        <f>D146</f>
        <v>2014</v>
      </c>
      <c r="L146" s="533"/>
      <c r="M146" s="533"/>
      <c r="N146" s="513"/>
      <c r="O146" s="563"/>
      <c r="P146" s="462"/>
      <c r="Q146" s="545">
        <f>K146</f>
        <v>2014</v>
      </c>
      <c r="R146" s="514"/>
      <c r="S146" s="514"/>
      <c r="T146" s="513"/>
      <c r="U146" s="509"/>
    </row>
    <row r="147" spans="2:22" x14ac:dyDescent="0.2">
      <c r="C147" s="462"/>
      <c r="D147" s="547">
        <f t="shared" si="61"/>
        <v>2015</v>
      </c>
      <c r="E147" s="513"/>
      <c r="F147" s="513"/>
      <c r="G147" s="555">
        <f t="shared" si="62"/>
        <v>-1.4703989208848967E-2</v>
      </c>
      <c r="H147" s="513"/>
      <c r="I147" s="560"/>
      <c r="J147" s="462"/>
      <c r="K147" s="545">
        <f t="shared" ref="K147:K153" si="63">D147</f>
        <v>2015</v>
      </c>
      <c r="L147" s="535" t="str">
        <f t="shared" ref="L147:M150" si="64">IF(L136=0,"",L137/L136-1)</f>
        <v/>
      </c>
      <c r="M147" s="535" t="str">
        <f t="shared" si="64"/>
        <v/>
      </c>
      <c r="N147" s="513"/>
      <c r="O147" s="563"/>
      <c r="P147" s="462"/>
      <c r="Q147" s="545">
        <f t="shared" ref="Q147:Q153" si="65">K147</f>
        <v>2015</v>
      </c>
      <c r="R147" s="556" t="str">
        <f t="shared" ref="R147:S150" si="66">IF(R136="","",IF(R136=0,"",R137/R136-1))</f>
        <v/>
      </c>
      <c r="S147" s="556" t="str">
        <f t="shared" si="66"/>
        <v/>
      </c>
      <c r="T147" s="513"/>
      <c r="U147" s="509"/>
    </row>
    <row r="148" spans="2:22" x14ac:dyDescent="0.2">
      <c r="C148" s="462"/>
      <c r="D148" s="580">
        <f t="shared" si="61"/>
        <v>2016</v>
      </c>
      <c r="E148" s="513"/>
      <c r="F148" s="513"/>
      <c r="G148" s="555">
        <f t="shared" si="62"/>
        <v>-4.0858663793051919E-3</v>
      </c>
      <c r="H148" s="513"/>
      <c r="I148" s="560"/>
      <c r="J148" s="462"/>
      <c r="K148" s="545">
        <f t="shared" si="63"/>
        <v>2016</v>
      </c>
      <c r="L148" s="535" t="str">
        <f t="shared" si="64"/>
        <v/>
      </c>
      <c r="M148" s="535" t="str">
        <f t="shared" si="64"/>
        <v/>
      </c>
      <c r="N148" s="513"/>
      <c r="O148" s="563"/>
      <c r="P148" s="462"/>
      <c r="Q148" s="545">
        <f t="shared" si="65"/>
        <v>2016</v>
      </c>
      <c r="R148" s="556" t="str">
        <f t="shared" si="66"/>
        <v/>
      </c>
      <c r="S148" s="556" t="str">
        <f t="shared" si="66"/>
        <v/>
      </c>
      <c r="T148" s="513"/>
      <c r="U148" s="509"/>
    </row>
    <row r="149" spans="2:22" x14ac:dyDescent="0.2">
      <c r="C149" s="462"/>
      <c r="D149" s="547">
        <f t="shared" si="61"/>
        <v>2017</v>
      </c>
      <c r="E149" s="513"/>
      <c r="F149" s="513"/>
      <c r="G149" s="555">
        <f t="shared" si="62"/>
        <v>-5.3411159778329331E-3</v>
      </c>
      <c r="H149" s="513"/>
      <c r="I149" s="560"/>
      <c r="J149" s="462"/>
      <c r="K149" s="545">
        <f t="shared" si="63"/>
        <v>2017</v>
      </c>
      <c r="L149" s="535" t="str">
        <f t="shared" si="64"/>
        <v/>
      </c>
      <c r="M149" s="535" t="str">
        <f t="shared" si="64"/>
        <v/>
      </c>
      <c r="N149" s="513"/>
      <c r="O149" s="563"/>
      <c r="P149" s="462"/>
      <c r="Q149" s="545">
        <f t="shared" si="65"/>
        <v>2017</v>
      </c>
      <c r="R149" s="556" t="str">
        <f t="shared" si="66"/>
        <v/>
      </c>
      <c r="S149" s="556" t="str">
        <f t="shared" si="66"/>
        <v/>
      </c>
      <c r="T149" s="513"/>
      <c r="U149" s="509"/>
    </row>
    <row r="150" spans="2:22" x14ac:dyDescent="0.2">
      <c r="C150" s="462"/>
      <c r="D150" s="547">
        <f t="shared" si="61"/>
        <v>2018</v>
      </c>
      <c r="E150" s="513"/>
      <c r="F150" s="513"/>
      <c r="G150" s="555">
        <f t="shared" si="62"/>
        <v>4.3652366493792671E-2</v>
      </c>
      <c r="H150" s="513"/>
      <c r="I150" s="560"/>
      <c r="J150" s="462"/>
      <c r="K150" s="545">
        <f t="shared" si="63"/>
        <v>2018</v>
      </c>
      <c r="L150" s="535" t="str">
        <f t="shared" si="64"/>
        <v/>
      </c>
      <c r="M150" s="535" t="str">
        <f t="shared" si="64"/>
        <v/>
      </c>
      <c r="N150" s="513"/>
      <c r="O150" s="563"/>
      <c r="P150" s="462"/>
      <c r="Q150" s="545">
        <f t="shared" si="65"/>
        <v>2018</v>
      </c>
      <c r="R150" s="556" t="str">
        <f t="shared" si="66"/>
        <v/>
      </c>
      <c r="S150" s="556" t="str">
        <f t="shared" si="66"/>
        <v/>
      </c>
      <c r="T150" s="513"/>
      <c r="U150" s="509"/>
    </row>
    <row r="151" spans="2:22" x14ac:dyDescent="0.2">
      <c r="C151" s="462"/>
      <c r="D151" s="547">
        <f t="shared" si="61"/>
        <v>2019</v>
      </c>
      <c r="E151" s="513"/>
      <c r="F151" s="513"/>
      <c r="G151" s="555">
        <f t="shared" si="62"/>
        <v>3.7802635507055982E-3</v>
      </c>
      <c r="H151" s="513"/>
      <c r="I151" s="560"/>
      <c r="J151" s="462"/>
      <c r="K151" s="545">
        <f t="shared" si="63"/>
        <v>2019</v>
      </c>
      <c r="L151" s="535" t="str">
        <f>IF(K141="Forecast","",IF(L140=0,"",L141/L140-1))</f>
        <v/>
      </c>
      <c r="M151" s="535" t="str">
        <f>IF(M140=0,"",M141/M140-1)</f>
        <v/>
      </c>
      <c r="N151" s="513"/>
      <c r="O151" s="563"/>
      <c r="P151" s="462"/>
      <c r="Q151" s="545">
        <f t="shared" si="65"/>
        <v>2019</v>
      </c>
      <c r="R151" s="556" t="str">
        <f>IF(Q141="Forecast","",IF(R140=0,"",R141/R140-1))</f>
        <v/>
      </c>
      <c r="S151" s="556" t="str">
        <f>IF(S140="","",IF(S140=0,"",S141/S140-1))</f>
        <v/>
      </c>
      <c r="T151" s="513"/>
      <c r="U151" s="509"/>
    </row>
    <row r="152" spans="2:22" x14ac:dyDescent="0.2">
      <c r="C152" s="462"/>
      <c r="D152" s="580">
        <f t="shared" si="61"/>
        <v>2020</v>
      </c>
      <c r="E152" s="513"/>
      <c r="F152" s="513"/>
      <c r="G152" s="555">
        <f t="shared" si="62"/>
        <v>0.14008670498991727</v>
      </c>
      <c r="H152" s="513"/>
      <c r="I152" s="561">
        <f>IF(I143=0,"",G142/I143-1)</f>
        <v>0.1789407140444359</v>
      </c>
      <c r="J152" s="462"/>
      <c r="K152" s="545">
        <f t="shared" si="63"/>
        <v>2020</v>
      </c>
      <c r="L152" s="535" t="str">
        <f>IF(K142="Forecast","",IF(L141=0,"",L142/L141-1))</f>
        <v/>
      </c>
      <c r="M152" s="535" t="str">
        <f>IF(M141=0,"",M142/M141-1)</f>
        <v/>
      </c>
      <c r="N152" s="513"/>
      <c r="O152" s="564" t="str">
        <f>IF(O143=0,"",M142/O143-1)</f>
        <v/>
      </c>
      <c r="P152" s="462"/>
      <c r="Q152" s="545">
        <f t="shared" si="65"/>
        <v>2020</v>
      </c>
      <c r="R152" s="556" t="str">
        <f>IF(Q142="Forecast","",IF(R141=0,"",R142/R141-1))</f>
        <v/>
      </c>
      <c r="S152" s="556" t="str">
        <f>IF(S141="","",IF(S141=0,"",S142/S141-1))</f>
        <v/>
      </c>
      <c r="T152" s="513"/>
      <c r="U152" s="536" t="str">
        <f>IF(U143=0,"",S142/U143-1)</f>
        <v/>
      </c>
    </row>
    <row r="153" spans="2:22" ht="26.25" thickBot="1" x14ac:dyDescent="0.25">
      <c r="C153" s="466"/>
      <c r="D153" s="584" t="s">
        <v>958</v>
      </c>
      <c r="E153" s="537"/>
      <c r="F153" s="537"/>
      <c r="G153" s="557">
        <f>IF(G136=0,"",(G142/G136)^(1/($D142-$D136-1))-1)</f>
        <v>3.1143328844263296E-2</v>
      </c>
      <c r="H153" s="537"/>
      <c r="I153" s="553">
        <f>IF(I143=0,"",(G142/I143)^(1/(TestYear-RebaseYear-1))-1)</f>
        <v>2.7815890233796381E-2</v>
      </c>
      <c r="J153" s="462"/>
      <c r="K153" s="583" t="str">
        <f t="shared" si="63"/>
        <v>Geometric Mean</v>
      </c>
      <c r="L153" s="540" t="str">
        <f>IF(L136=0,"",(L140/L136)^(1/($D140-$D136-1))-1)</f>
        <v/>
      </c>
      <c r="M153" s="540" t="str">
        <f>IF(M136=0,"",(M142/M136)^(1/($D142-$D136-1))-1)</f>
        <v/>
      </c>
      <c r="N153" s="537"/>
      <c r="O153" s="553" t="str">
        <f>IF(O143=0,"",(M142/O143)^(1/(TestYear-RebaseYear-1))-1)</f>
        <v/>
      </c>
      <c r="P153" s="466"/>
      <c r="Q153" s="583" t="str">
        <f t="shared" si="65"/>
        <v>Geometric Mean</v>
      </c>
      <c r="R153" s="558" t="str">
        <f>IF(R136="","",IF(R136=0,"",(R140/R136)^(1/($D140-$D136-1))-1))</f>
        <v/>
      </c>
      <c r="S153" s="540" t="str">
        <f>IF(S136="","",IF(S136=0,"",(S142/S136)^(1/($D142-$D136-1))-1))</f>
        <v/>
      </c>
      <c r="T153" s="537"/>
      <c r="U153" s="553" t="str">
        <f>IF(U143=0,"",(S142/U143)^(1/(TestYear-RebaseYear-1))-1)</f>
        <v/>
      </c>
    </row>
    <row r="154" spans="2:22" ht="13.5" thickBot="1" x14ac:dyDescent="0.25">
      <c r="C154" s="513"/>
      <c r="D154" s="1478"/>
      <c r="E154" s="513"/>
      <c r="F154" s="513"/>
      <c r="G154" s="555"/>
      <c r="H154" s="513"/>
      <c r="I154" s="1479"/>
      <c r="J154" s="513"/>
      <c r="K154" s="1478"/>
      <c r="L154" s="535"/>
      <c r="M154" s="535"/>
      <c r="N154" s="513"/>
      <c r="O154" s="1479"/>
      <c r="P154" s="513"/>
      <c r="Q154" s="1478"/>
      <c r="R154" s="556"/>
      <c r="S154" s="535"/>
      <c r="T154" s="513"/>
      <c r="U154" s="1479"/>
    </row>
    <row r="155" spans="2:22" ht="13.5" thickBot="1" x14ac:dyDescent="0.25">
      <c r="B155" s="503">
        <v>3</v>
      </c>
      <c r="C155" s="3" t="s">
        <v>9</v>
      </c>
      <c r="D155" s="2191" t="s">
        <v>1591</v>
      </c>
      <c r="E155" s="2192"/>
      <c r="F155" s="2192"/>
      <c r="G155" s="2192"/>
      <c r="H155" s="2192"/>
      <c r="I155" s="2193"/>
      <c r="K155" s="9" t="s">
        <v>960</v>
      </c>
      <c r="Q155" s="502" t="s">
        <v>1594</v>
      </c>
      <c r="R155" s="501"/>
      <c r="S155" s="501"/>
      <c r="T155" s="501"/>
      <c r="U155" s="501"/>
    </row>
    <row r="156" spans="2:22" ht="13.5" thickBot="1" x14ac:dyDescent="0.25">
      <c r="Q156" s="537"/>
      <c r="R156" s="537"/>
      <c r="S156" s="537"/>
      <c r="T156" s="537"/>
      <c r="U156" s="537"/>
    </row>
    <row r="157" spans="2:22" ht="19.149999999999999" customHeight="1" x14ac:dyDescent="0.2">
      <c r="C157" s="461"/>
      <c r="D157" s="465" t="s">
        <v>945</v>
      </c>
      <c r="E157" s="465"/>
      <c r="F157" s="2207" t="s">
        <v>888</v>
      </c>
      <c r="G157" s="2208"/>
      <c r="H157" s="2208"/>
      <c r="I157" s="2209"/>
      <c r="J157" s="465"/>
      <c r="K157" s="2201" t="s">
        <v>951</v>
      </c>
      <c r="L157" s="2202"/>
      <c r="M157" s="2202"/>
      <c r="N157" s="2202"/>
      <c r="O157" s="2203"/>
      <c r="P157" s="473"/>
      <c r="Q157" s="2204" t="str">
        <f>CONCATENATE("Consumption (kWh) per ",LEFT(F157,LEN(F157)-1))</f>
        <v>Consumption (kWh) per Customer</v>
      </c>
      <c r="R157" s="2205"/>
      <c r="S157" s="2205"/>
      <c r="T157" s="2205"/>
      <c r="U157" s="2206"/>
      <c r="V157" s="493"/>
    </row>
    <row r="158" spans="2:22" ht="38.25" customHeight="1" thickBot="1" x14ac:dyDescent="0.25">
      <c r="C158" s="466"/>
      <c r="D158" s="468" t="str">
        <f>CONCATENATE("(for ",TestYear," Cost of Service")</f>
        <v>(for 2020 Cost of Service</v>
      </c>
      <c r="E158" s="463"/>
      <c r="F158" s="2194"/>
      <c r="G158" s="2195"/>
      <c r="H158" s="2197"/>
      <c r="I158" s="1477"/>
      <c r="J158" s="463"/>
      <c r="K158" s="472"/>
      <c r="L158" s="598" t="s">
        <v>962</v>
      </c>
      <c r="M158" s="598" t="s">
        <v>948</v>
      </c>
      <c r="N158" s="490"/>
      <c r="O158" s="491" t="s">
        <v>948</v>
      </c>
      <c r="P158" s="463"/>
      <c r="Q158" s="568"/>
      <c r="R158" s="569" t="str">
        <f>L158</f>
        <v>Actual (Weather actual)</v>
      </c>
      <c r="S158" s="570" t="str">
        <f>M158</f>
        <v>Weather-normalized</v>
      </c>
      <c r="T158" s="570"/>
      <c r="U158" s="571" t="str">
        <f>O158</f>
        <v>Weather-normalized</v>
      </c>
      <c r="V158" s="493"/>
    </row>
    <row r="159" spans="2:22" ht="13.15" customHeight="1" thickBot="1" x14ac:dyDescent="0.25">
      <c r="C159" s="463" t="s">
        <v>786</v>
      </c>
      <c r="D159" s="1748">
        <v>2013</v>
      </c>
      <c r="E159" s="463"/>
      <c r="F159" s="498" t="str">
        <f>$K$40</f>
        <v>Actual</v>
      </c>
      <c r="G159" s="486">
        <v>513</v>
      </c>
      <c r="H159" s="482" t="str">
        <f t="shared" ref="H159:H166" si="67">IF(D159=RebaseYear,"OEB-approved","")</f>
        <v>OEB-approved</v>
      </c>
      <c r="I159" s="1474">
        <v>531</v>
      </c>
      <c r="J159" s="463"/>
      <c r="K159" s="498" t="str">
        <f>$K$40</f>
        <v>Actual</v>
      </c>
      <c r="L159" s="1457">
        <v>371933646.20603001</v>
      </c>
      <c r="M159" s="1457">
        <v>375402945.55374652</v>
      </c>
      <c r="N159" s="459" t="str">
        <f>H159</f>
        <v>OEB-approved</v>
      </c>
      <c r="O159" s="1474">
        <v>388576753</v>
      </c>
      <c r="P159" s="463"/>
      <c r="Q159" s="498" t="str">
        <f>$K$40</f>
        <v>Actual</v>
      </c>
      <c r="R159" s="1466">
        <f>IF(G159=0,"",L159/G159)</f>
        <v>725016.85420278751</v>
      </c>
      <c r="S159" s="1467">
        <f>IF(G159=0,"",M159/G159)</f>
        <v>731779.62096246891</v>
      </c>
      <c r="T159" s="1802" t="str">
        <f t="shared" ref="T159:T166" si="68">N159</f>
        <v>OEB-approved</v>
      </c>
      <c r="U159" s="1802">
        <f t="shared" ref="U159:U166" si="69">IF(T159="","",IF(I159=0,"",O159/I159))</f>
        <v>731782.96233521658</v>
      </c>
      <c r="V159" s="493"/>
    </row>
    <row r="160" spans="2:22" x14ac:dyDescent="0.2">
      <c r="C160" s="463" t="s">
        <v>786</v>
      </c>
      <c r="D160" s="545">
        <f t="shared" ref="D160:D165" si="70">D161-1</f>
        <v>2014</v>
      </c>
      <c r="E160" s="462"/>
      <c r="F160" s="498" t="str">
        <f>$K$40</f>
        <v>Actual</v>
      </c>
      <c r="G160" s="486">
        <v>508</v>
      </c>
      <c r="H160" s="482" t="str">
        <f>IF(D160=RebaseYear,"OEB-approved","")</f>
        <v/>
      </c>
      <c r="I160" s="1474"/>
      <c r="J160" s="462"/>
      <c r="K160" s="470" t="str">
        <f>F160</f>
        <v>Actual</v>
      </c>
      <c r="L160" s="1457">
        <v>378009413.04113448</v>
      </c>
      <c r="M160" s="1457">
        <v>370400134.25375611</v>
      </c>
      <c r="N160" s="459" t="str">
        <f t="shared" ref="N160:N166" si="71">H160</f>
        <v/>
      </c>
      <c r="O160" s="1461"/>
      <c r="P160" s="462"/>
      <c r="Q160" s="566" t="str">
        <f>K160</f>
        <v>Actual</v>
      </c>
      <c r="R160" s="1466">
        <f>IF(G160=0,"",L160/G160)</f>
        <v>744113.01779750886</v>
      </c>
      <c r="S160" s="1467">
        <f>IF(G160=0,"",M160/G160)</f>
        <v>729134.12254676397</v>
      </c>
      <c r="T160" s="513" t="str">
        <f t="shared" si="68"/>
        <v/>
      </c>
      <c r="U160" s="1467" t="str">
        <f t="shared" si="69"/>
        <v/>
      </c>
      <c r="V160" s="494"/>
    </row>
    <row r="161" spans="2:22" x14ac:dyDescent="0.2">
      <c r="C161" s="463" t="s">
        <v>786</v>
      </c>
      <c r="D161" s="545">
        <f t="shared" si="70"/>
        <v>2015</v>
      </c>
      <c r="E161" s="462"/>
      <c r="F161" s="499" t="str">
        <f>$K$41</f>
        <v>Actual</v>
      </c>
      <c r="G161" s="486">
        <v>516.5</v>
      </c>
      <c r="H161" s="482" t="str">
        <f>IF(D161=RebaseYear,"OEB-approved","")</f>
        <v/>
      </c>
      <c r="I161" s="1474"/>
      <c r="J161" s="462"/>
      <c r="K161" s="470" t="str">
        <f t="shared" ref="K161:K166" si="72">F161</f>
        <v>Actual</v>
      </c>
      <c r="L161" s="1457">
        <v>362799633.31332147</v>
      </c>
      <c r="M161" s="1457">
        <v>364445416.71807027</v>
      </c>
      <c r="N161" s="459" t="str">
        <f t="shared" si="71"/>
        <v/>
      </c>
      <c r="O161" s="1461"/>
      <c r="P161" s="462"/>
      <c r="Q161" s="566" t="str">
        <f t="shared" ref="Q161:Q166" si="73">K161</f>
        <v>Actual</v>
      </c>
      <c r="R161" s="1466">
        <f t="shared" ref="R161:R166" si="74">IF(G161=0,"",L161/G161)</f>
        <v>702419.42558242299</v>
      </c>
      <c r="S161" s="1467">
        <f t="shared" ref="S161:S166" si="75">IF(G161=0,"",M161/G161)</f>
        <v>705605.84069326287</v>
      </c>
      <c r="T161" s="513" t="str">
        <f t="shared" si="68"/>
        <v/>
      </c>
      <c r="U161" s="1467" t="str">
        <f t="shared" si="69"/>
        <v/>
      </c>
      <c r="V161" s="494"/>
    </row>
    <row r="162" spans="2:22" x14ac:dyDescent="0.2">
      <c r="C162" s="463" t="s">
        <v>786</v>
      </c>
      <c r="D162" s="545">
        <f t="shared" si="70"/>
        <v>2016</v>
      </c>
      <c r="E162" s="462"/>
      <c r="F162" s="499" t="str">
        <f>$K$42</f>
        <v>Actual</v>
      </c>
      <c r="G162" s="486">
        <v>507.5</v>
      </c>
      <c r="H162" s="482" t="str">
        <f t="shared" si="67"/>
        <v/>
      </c>
      <c r="I162" s="1476"/>
      <c r="J162" s="462"/>
      <c r="K162" s="470" t="str">
        <f t="shared" si="72"/>
        <v>Actual</v>
      </c>
      <c r="L162" s="1457">
        <v>350224516.35218138</v>
      </c>
      <c r="M162" s="1457">
        <v>358314795.52200836</v>
      </c>
      <c r="N162" s="459" t="str">
        <f t="shared" si="71"/>
        <v/>
      </c>
      <c r="O162" s="1462"/>
      <c r="P162" s="462"/>
      <c r="Q162" s="566" t="str">
        <f t="shared" si="73"/>
        <v>Actual</v>
      </c>
      <c r="R162" s="1466">
        <f t="shared" si="74"/>
        <v>690097.56916685984</v>
      </c>
      <c r="S162" s="1467">
        <f t="shared" si="75"/>
        <v>706039.00595469633</v>
      </c>
      <c r="T162" s="513" t="str">
        <f t="shared" si="68"/>
        <v/>
      </c>
      <c r="U162" s="1467" t="str">
        <f t="shared" si="69"/>
        <v/>
      </c>
      <c r="V162" s="494"/>
    </row>
    <row r="163" spans="2:22" x14ac:dyDescent="0.2">
      <c r="C163" s="463" t="s">
        <v>786</v>
      </c>
      <c r="D163" s="545">
        <f t="shared" si="70"/>
        <v>2017</v>
      </c>
      <c r="E163" s="462"/>
      <c r="F163" s="499" t="str">
        <f>$K$43</f>
        <v>Actual</v>
      </c>
      <c r="G163" s="486">
        <v>508.25</v>
      </c>
      <c r="H163" s="482" t="str">
        <f t="shared" si="67"/>
        <v/>
      </c>
      <c r="I163" s="1474"/>
      <c r="J163" s="462"/>
      <c r="K163" s="470" t="str">
        <f t="shared" si="72"/>
        <v>Actual</v>
      </c>
      <c r="L163" s="1457">
        <v>352367386.90814096</v>
      </c>
      <c r="M163" s="1457">
        <v>353186806.38796997</v>
      </c>
      <c r="N163" s="459" t="str">
        <f t="shared" si="71"/>
        <v/>
      </c>
      <c r="O163" s="1461"/>
      <c r="P163" s="462"/>
      <c r="Q163" s="566" t="str">
        <f t="shared" si="73"/>
        <v>Actual</v>
      </c>
      <c r="R163" s="1466">
        <f t="shared" si="74"/>
        <v>693295.3997208873</v>
      </c>
      <c r="S163" s="1467">
        <f t="shared" si="75"/>
        <v>694907.63676924736</v>
      </c>
      <c r="T163" s="513" t="str">
        <f t="shared" si="68"/>
        <v/>
      </c>
      <c r="U163" s="1467" t="str">
        <f t="shared" si="69"/>
        <v/>
      </c>
      <c r="V163" s="494"/>
    </row>
    <row r="164" spans="2:22" x14ac:dyDescent="0.2">
      <c r="C164" s="463" t="s">
        <v>786</v>
      </c>
      <c r="D164" s="545">
        <f t="shared" si="70"/>
        <v>2018</v>
      </c>
      <c r="E164" s="462"/>
      <c r="F164" s="499" t="str">
        <f>$K$44</f>
        <v>Actual</v>
      </c>
      <c r="G164" s="486">
        <v>495.5</v>
      </c>
      <c r="H164" s="482" t="str">
        <f t="shared" si="67"/>
        <v/>
      </c>
      <c r="I164" s="1474"/>
      <c r="J164" s="462"/>
      <c r="K164" s="470" t="str">
        <f t="shared" si="72"/>
        <v>Actual</v>
      </c>
      <c r="L164" s="1457">
        <v>360554579.57290572</v>
      </c>
      <c r="M164" s="1457">
        <v>348395336.93392336</v>
      </c>
      <c r="N164" s="459" t="str">
        <f t="shared" si="71"/>
        <v/>
      </c>
      <c r="O164" s="1461"/>
      <c r="P164" s="462"/>
      <c r="Q164" s="566" t="str">
        <f t="shared" si="73"/>
        <v>Actual</v>
      </c>
      <c r="R164" s="1466">
        <f t="shared" si="74"/>
        <v>727658.0818827562</v>
      </c>
      <c r="S164" s="1467">
        <f t="shared" si="75"/>
        <v>703118.74255080393</v>
      </c>
      <c r="T164" s="513" t="str">
        <f t="shared" si="68"/>
        <v/>
      </c>
      <c r="U164" s="1467" t="str">
        <f t="shared" si="69"/>
        <v/>
      </c>
      <c r="V164" s="494"/>
    </row>
    <row r="165" spans="2:22" x14ac:dyDescent="0.2">
      <c r="C165" s="463" t="s">
        <v>276</v>
      </c>
      <c r="D165" s="545">
        <f t="shared" si="70"/>
        <v>2019</v>
      </c>
      <c r="E165" s="462"/>
      <c r="F165" s="499" t="str">
        <f>$K$45</f>
        <v>Actual</v>
      </c>
      <c r="G165" s="486">
        <v>501.25</v>
      </c>
      <c r="H165" s="482" t="str">
        <f t="shared" si="67"/>
        <v/>
      </c>
      <c r="I165" s="1474"/>
      <c r="J165" s="462"/>
      <c r="K165" s="470" t="str">
        <f t="shared" si="72"/>
        <v>Actual</v>
      </c>
      <c r="L165" s="1464">
        <v>347530976.20000005</v>
      </c>
      <c r="M165" s="1458">
        <v>344823343.11630309</v>
      </c>
      <c r="N165" s="459" t="str">
        <f t="shared" si="71"/>
        <v/>
      </c>
      <c r="O165" s="1461"/>
      <c r="P165" s="462"/>
      <c r="Q165" s="566" t="str">
        <f t="shared" si="73"/>
        <v>Actual</v>
      </c>
      <c r="R165" s="1466">
        <f t="shared" si="74"/>
        <v>693328.63082294271</v>
      </c>
      <c r="S165" s="1467">
        <f t="shared" si="75"/>
        <v>687926.86905995628</v>
      </c>
      <c r="T165" s="513" t="str">
        <f t="shared" si="68"/>
        <v/>
      </c>
      <c r="U165" s="1467" t="str">
        <f t="shared" si="69"/>
        <v/>
      </c>
      <c r="V165" s="494"/>
    </row>
    <row r="166" spans="2:22" ht="13.5" thickBot="1" x14ac:dyDescent="0.25">
      <c r="C166" s="464" t="s">
        <v>277</v>
      </c>
      <c r="D166" s="546">
        <f>TestYear</f>
        <v>2020</v>
      </c>
      <c r="E166" s="466"/>
      <c r="F166" s="500" t="str">
        <f>$K$46</f>
        <v>Forecast</v>
      </c>
      <c r="G166" s="487">
        <v>500.18749292316778</v>
      </c>
      <c r="H166" s="483" t="str">
        <f t="shared" si="67"/>
        <v/>
      </c>
      <c r="I166" s="1475"/>
      <c r="J166" s="466"/>
      <c r="K166" s="471" t="str">
        <f t="shared" si="72"/>
        <v>Forecast</v>
      </c>
      <c r="L166" s="1465">
        <v>0</v>
      </c>
      <c r="M166" s="1460">
        <v>344540677.31890011</v>
      </c>
      <c r="N166" s="460" t="str">
        <f t="shared" si="71"/>
        <v/>
      </c>
      <c r="O166" s="1463"/>
      <c r="P166" s="466"/>
      <c r="Q166" s="567" t="str">
        <f t="shared" si="73"/>
        <v>Forecast</v>
      </c>
      <c r="R166" s="1468">
        <f t="shared" si="74"/>
        <v>0</v>
      </c>
      <c r="S166" s="1469">
        <f t="shared" si="75"/>
        <v>688823.05574126763</v>
      </c>
      <c r="T166" s="537" t="str">
        <f t="shared" si="68"/>
        <v/>
      </c>
      <c r="U166" s="1469" t="str">
        <f t="shared" si="69"/>
        <v/>
      </c>
      <c r="V166" s="494"/>
    </row>
    <row r="167" spans="2:22" ht="13.5" thickBot="1" x14ac:dyDescent="0.25">
      <c r="B167" s="513"/>
      <c r="C167" s="548"/>
      <c r="I167" s="1804">
        <f>SUM(I159:I165)</f>
        <v>531</v>
      </c>
      <c r="O167" s="1804">
        <f>SUM(O159:O165)</f>
        <v>388576753</v>
      </c>
      <c r="U167" s="1804">
        <f>SUM(U159:U165)</f>
        <v>731782.96233521658</v>
      </c>
    </row>
    <row r="168" spans="2:22" ht="39" thickBot="1" x14ac:dyDescent="0.25">
      <c r="C168" s="579" t="s">
        <v>837</v>
      </c>
      <c r="D168" s="578" t="s">
        <v>10</v>
      </c>
      <c r="E168" s="543"/>
      <c r="F168" s="543"/>
      <c r="G168" s="1449" t="s">
        <v>959</v>
      </c>
      <c r="H168" s="543"/>
      <c r="I168" s="573" t="s">
        <v>1327</v>
      </c>
      <c r="J168" s="575"/>
      <c r="K168" s="574" t="s">
        <v>10</v>
      </c>
      <c r="L168" s="2196" t="s">
        <v>959</v>
      </c>
      <c r="M168" s="2196"/>
      <c r="N168" s="543"/>
      <c r="O168" s="573" t="str">
        <f>I168</f>
        <v>Test Year Versus OEB-approved</v>
      </c>
      <c r="P168" s="576"/>
      <c r="Q168" s="574" t="s">
        <v>10</v>
      </c>
      <c r="R168" s="2196" t="s">
        <v>959</v>
      </c>
      <c r="S168" s="2196"/>
      <c r="T168" s="543"/>
      <c r="U168" s="573" t="str">
        <f>O168</f>
        <v>Test Year Versus OEB-approved</v>
      </c>
    </row>
    <row r="169" spans="2:22" x14ac:dyDescent="0.2">
      <c r="C169" s="1743"/>
      <c r="D169" s="1744">
        <v>2013</v>
      </c>
      <c r="E169" s="513"/>
      <c r="F169" s="513"/>
      <c r="G169" s="554"/>
      <c r="H169" s="513"/>
      <c r="I169" s="1741"/>
      <c r="J169" s="565"/>
      <c r="K169" s="1745">
        <v>2013</v>
      </c>
      <c r="L169" s="533"/>
      <c r="M169" s="533"/>
      <c r="N169" s="513"/>
      <c r="O169" s="1741"/>
      <c r="P169" s="462"/>
      <c r="Q169" s="545">
        <f>K169</f>
        <v>2013</v>
      </c>
      <c r="R169" s="514"/>
      <c r="S169" s="514"/>
      <c r="T169" s="513"/>
      <c r="U169" s="1741"/>
    </row>
    <row r="170" spans="2:22" x14ac:dyDescent="0.2">
      <c r="C170" s="462"/>
      <c r="D170" s="559">
        <f t="shared" ref="D170:D176" si="76">D160</f>
        <v>2014</v>
      </c>
      <c r="E170" s="513"/>
      <c r="F170" s="513"/>
      <c r="G170" s="555">
        <f t="shared" ref="G170:G176" si="77">IF(G159=0,"",G160/G159-1)</f>
        <v>-9.74658869395717E-3</v>
      </c>
      <c r="H170" s="513"/>
      <c r="I170" s="560"/>
      <c r="J170" s="565"/>
      <c r="K170" s="545">
        <f>D170</f>
        <v>2014</v>
      </c>
      <c r="L170" s="535">
        <f t="shared" ref="L170:M174" si="78">IF(L159=0,"",L160/L159-1)</f>
        <v>1.6335620337340595E-2</v>
      </c>
      <c r="M170" s="535">
        <f t="shared" si="78"/>
        <v>-1.3326510511554202E-2</v>
      </c>
      <c r="N170" s="513"/>
      <c r="O170" s="509"/>
      <c r="P170" s="462"/>
      <c r="Q170" s="545">
        <f>K170</f>
        <v>2014</v>
      </c>
      <c r="R170" s="556">
        <f t="shared" ref="R170:S174" si="79">IF(R159="","",IF(R159=0,"",R160/R159-1))</f>
        <v>2.6338923687117655E-2</v>
      </c>
      <c r="S170" s="556">
        <f t="shared" si="79"/>
        <v>-3.6151572685577671E-3</v>
      </c>
      <c r="T170" s="513"/>
      <c r="U170" s="509"/>
    </row>
    <row r="171" spans="2:22" x14ac:dyDescent="0.2">
      <c r="C171" s="462"/>
      <c r="D171" s="547">
        <f t="shared" si="76"/>
        <v>2015</v>
      </c>
      <c r="E171" s="513"/>
      <c r="F171" s="513"/>
      <c r="G171" s="555">
        <f t="shared" si="77"/>
        <v>1.6732283464566899E-2</v>
      </c>
      <c r="H171" s="513"/>
      <c r="I171" s="560"/>
      <c r="J171" s="565"/>
      <c r="K171" s="545">
        <f t="shared" ref="K171:K177" si="80">D171</f>
        <v>2015</v>
      </c>
      <c r="L171" s="535">
        <f t="shared" si="78"/>
        <v>-4.02365105287944E-2</v>
      </c>
      <c r="M171" s="535">
        <f t="shared" si="78"/>
        <v>-1.6076445403246931E-2</v>
      </c>
      <c r="N171" s="513"/>
      <c r="O171" s="509"/>
      <c r="P171" s="462"/>
      <c r="Q171" s="545">
        <f t="shared" ref="Q171:Q177" si="81">K171</f>
        <v>2015</v>
      </c>
      <c r="R171" s="556">
        <f t="shared" si="79"/>
        <v>-5.6031263017672028E-2</v>
      </c>
      <c r="S171" s="556">
        <f t="shared" si="79"/>
        <v>-3.2268798189447057E-2</v>
      </c>
      <c r="T171" s="513"/>
      <c r="U171" s="509"/>
    </row>
    <row r="172" spans="2:22" x14ac:dyDescent="0.2">
      <c r="C172" s="462"/>
      <c r="D172" s="547">
        <f t="shared" si="76"/>
        <v>2016</v>
      </c>
      <c r="E172" s="513"/>
      <c r="F172" s="513"/>
      <c r="G172" s="555">
        <f t="shared" si="77"/>
        <v>-1.7424975798644771E-2</v>
      </c>
      <c r="H172" s="513"/>
      <c r="I172" s="560"/>
      <c r="J172" s="565"/>
      <c r="K172" s="545">
        <f t="shared" si="80"/>
        <v>2016</v>
      </c>
      <c r="L172" s="535">
        <f t="shared" si="78"/>
        <v>-3.4661327648807028E-2</v>
      </c>
      <c r="M172" s="535">
        <f t="shared" si="78"/>
        <v>-1.682178157505676E-2</v>
      </c>
      <c r="N172" s="513"/>
      <c r="O172" s="509"/>
      <c r="P172" s="462"/>
      <c r="Q172" s="545">
        <f t="shared" si="81"/>
        <v>2016</v>
      </c>
      <c r="R172" s="556">
        <f t="shared" si="79"/>
        <v>-1.7542021144056896E-2</v>
      </c>
      <c r="S172" s="556">
        <f t="shared" si="79"/>
        <v>6.1389126400634986E-4</v>
      </c>
      <c r="T172" s="513"/>
      <c r="U172" s="509"/>
    </row>
    <row r="173" spans="2:22" x14ac:dyDescent="0.2">
      <c r="C173" s="462"/>
      <c r="D173" s="547">
        <f t="shared" si="76"/>
        <v>2017</v>
      </c>
      <c r="E173" s="513"/>
      <c r="F173" s="513"/>
      <c r="G173" s="555">
        <f t="shared" si="77"/>
        <v>1.477832512315258E-3</v>
      </c>
      <c r="H173" s="513"/>
      <c r="I173" s="560"/>
      <c r="J173" s="565"/>
      <c r="K173" s="545">
        <f t="shared" si="80"/>
        <v>2017</v>
      </c>
      <c r="L173" s="535">
        <f t="shared" si="78"/>
        <v>6.1185623961423907E-3</v>
      </c>
      <c r="M173" s="535">
        <f t="shared" si="78"/>
        <v>-1.4311407728971104E-2</v>
      </c>
      <c r="N173" s="513"/>
      <c r="O173" s="509"/>
      <c r="P173" s="462"/>
      <c r="Q173" s="545">
        <f t="shared" si="81"/>
        <v>2017</v>
      </c>
      <c r="R173" s="556">
        <f t="shared" si="79"/>
        <v>4.6338817826703238E-3</v>
      </c>
      <c r="S173" s="556">
        <f t="shared" si="79"/>
        <v>-1.5765940821353519E-2</v>
      </c>
      <c r="T173" s="513"/>
      <c r="U173" s="509"/>
    </row>
    <row r="174" spans="2:22" x14ac:dyDescent="0.2">
      <c r="C174" s="462"/>
      <c r="D174" s="547">
        <f t="shared" si="76"/>
        <v>2018</v>
      </c>
      <c r="E174" s="513"/>
      <c r="F174" s="513"/>
      <c r="G174" s="555">
        <f t="shared" si="77"/>
        <v>-2.5086079685194274E-2</v>
      </c>
      <c r="H174" s="513"/>
      <c r="I174" s="560"/>
      <c r="J174" s="565"/>
      <c r="K174" s="545">
        <f t="shared" si="80"/>
        <v>2018</v>
      </c>
      <c r="L174" s="535">
        <f t="shared" si="78"/>
        <v>2.3234819591573252E-2</v>
      </c>
      <c r="M174" s="535">
        <f t="shared" si="78"/>
        <v>-1.3566388572236909E-2</v>
      </c>
      <c r="N174" s="513"/>
      <c r="O174" s="509"/>
      <c r="P174" s="462"/>
      <c r="Q174" s="545">
        <f t="shared" si="81"/>
        <v>2018</v>
      </c>
      <c r="R174" s="556">
        <f t="shared" si="79"/>
        <v>4.9564272567945711E-2</v>
      </c>
      <c r="S174" s="556">
        <f t="shared" si="79"/>
        <v>1.1816111015460207E-2</v>
      </c>
      <c r="T174" s="513"/>
      <c r="U174" s="509"/>
    </row>
    <row r="175" spans="2:22" x14ac:dyDescent="0.2">
      <c r="C175" s="462"/>
      <c r="D175" s="547">
        <f t="shared" si="76"/>
        <v>2019</v>
      </c>
      <c r="E175" s="513"/>
      <c r="F175" s="513"/>
      <c r="G175" s="555">
        <f t="shared" si="77"/>
        <v>1.160443995963667E-2</v>
      </c>
      <c r="H175" s="513"/>
      <c r="I175" s="560"/>
      <c r="J175" s="565"/>
      <c r="K175" s="545">
        <f t="shared" si="80"/>
        <v>2019</v>
      </c>
      <c r="L175" s="535">
        <f>IF(K165="Forecast","",IF(L164=0,"",L165/L164-1))</f>
        <v>-3.6121031629476885E-2</v>
      </c>
      <c r="M175" s="535">
        <f>IF(M164=0,"",M165/M164-1)</f>
        <v>-1.0252702717136963E-2</v>
      </c>
      <c r="N175" s="513"/>
      <c r="O175" s="509"/>
      <c r="P175" s="462"/>
      <c r="Q175" s="545">
        <f t="shared" si="81"/>
        <v>2019</v>
      </c>
      <c r="R175" s="556">
        <f>IF(Q165="Forecast","",IF(R164=0,"",R165/R164-1))</f>
        <v>-4.7177997351433021E-2</v>
      </c>
      <c r="S175" s="556">
        <f>IF(S164="","",IF(S164=0,"",S165/S164-1))</f>
        <v>-2.1606412361778182E-2</v>
      </c>
      <c r="T175" s="513"/>
      <c r="U175" s="509"/>
    </row>
    <row r="176" spans="2:22" x14ac:dyDescent="0.2">
      <c r="C176" s="462"/>
      <c r="D176" s="547">
        <f t="shared" si="76"/>
        <v>2020</v>
      </c>
      <c r="E176" s="513"/>
      <c r="F176" s="513"/>
      <c r="G176" s="555">
        <f t="shared" si="77"/>
        <v>-2.1197148664982013E-3</v>
      </c>
      <c r="H176" s="513"/>
      <c r="I176" s="561">
        <f>IF(I167=0,"",G166/I167-1)</f>
        <v>-5.8027320295352625E-2</v>
      </c>
      <c r="J176" s="565"/>
      <c r="K176" s="545">
        <f t="shared" si="80"/>
        <v>2020</v>
      </c>
      <c r="L176" s="535" t="str">
        <f>IF(K166="Forecast","",IF(L165=0,"",L166/L165-1))</f>
        <v/>
      </c>
      <c r="M176" s="535">
        <f>IF(M165=0,"",M166/M165-1)</f>
        <v>-8.1974089934988559E-4</v>
      </c>
      <c r="N176" s="513"/>
      <c r="O176" s="536">
        <f>IF(O167=0,"",M166/O167-1)</f>
        <v>-0.11332658307816956</v>
      </c>
      <c r="P176" s="462"/>
      <c r="Q176" s="545">
        <f t="shared" si="81"/>
        <v>2020</v>
      </c>
      <c r="R176" s="556" t="str">
        <f>IF(Q166="Forecast","",IF(R165=0,"",R166/R165-1))</f>
        <v/>
      </c>
      <c r="S176" s="556">
        <f>IF(S165="","",IF(S165=0,"",S166/S165-1))</f>
        <v>1.3027353947316911E-3</v>
      </c>
      <c r="T176" s="513"/>
      <c r="U176" s="536">
        <f>IF(U167=0,"",S166/U167-1)</f>
        <v>-5.8705803230042708E-2</v>
      </c>
    </row>
    <row r="177" spans="3:21" ht="26.25" thickBot="1" x14ac:dyDescent="0.25">
      <c r="C177" s="466"/>
      <c r="D177" s="584" t="s">
        <v>958</v>
      </c>
      <c r="E177" s="537"/>
      <c r="F177" s="537"/>
      <c r="G177" s="557">
        <f>IF(G159=0,"",(G166/G159)^(1/($D166-$D159-1))-1)</f>
        <v>-4.2065992356057347E-3</v>
      </c>
      <c r="H177" s="537"/>
      <c r="I177" s="585">
        <f>IF(I167=0,"",(G166/I167)^(1/(TestYear-RebaseYear-1))-1)</f>
        <v>-9.9136999421879368E-3</v>
      </c>
      <c r="J177" s="542"/>
      <c r="K177" s="583" t="str">
        <f t="shared" si="80"/>
        <v>Geometric Mean</v>
      </c>
      <c r="L177" s="540">
        <f>IF(L159=0,"",(L164/L159)^(1/($D164-$D159-1))-1)</f>
        <v>-7.7379375802252293E-3</v>
      </c>
      <c r="M177" s="540">
        <f>IF(M159=0,"",(M166/M159)^(1/($D166-$D159-1))-1)</f>
        <v>-1.4196237919817833E-2</v>
      </c>
      <c r="N177" s="537"/>
      <c r="O177" s="553">
        <f>IF(O167=0,"",(M166/O167)^(1/(TestYear-RebaseYear-1))-1)</f>
        <v>-1.9846831823285505E-2</v>
      </c>
      <c r="P177" s="466"/>
      <c r="Q177" s="583" t="str">
        <f t="shared" si="81"/>
        <v>Geometric Mean</v>
      </c>
      <c r="R177" s="540">
        <f>IF(R159="","",IF(R159=0,"",(R164/R159)^(1/($D164-$D159-1))-1))</f>
        <v>9.0950544047707638E-4</v>
      </c>
      <c r="S177" s="540">
        <f>IF(S159="","",IF(S159=0,"",(S166/S159)^(1/($D166-$D159-1))-1))</f>
        <v>-1.003183860883583E-2</v>
      </c>
      <c r="T177" s="537"/>
      <c r="U177" s="553">
        <f>IF(U167=0,"",(S166/U167)^(1/(TestYear-RebaseYear-1))-1)</f>
        <v>-1.0032591987706119E-2</v>
      </c>
    </row>
    <row r="179" spans="3:21" ht="13.5" thickBot="1" x14ac:dyDescent="0.25">
      <c r="Q179" s="537"/>
      <c r="R179" s="537"/>
      <c r="S179" s="537"/>
      <c r="T179" s="537"/>
      <c r="U179" s="537"/>
    </row>
    <row r="180" spans="3:21" x14ac:dyDescent="0.2">
      <c r="C180" s="461"/>
      <c r="D180" s="465" t="s">
        <v>945</v>
      </c>
      <c r="E180" s="465"/>
      <c r="F180" s="2198" t="s">
        <v>938</v>
      </c>
      <c r="G180" s="2199"/>
      <c r="H180" s="2199"/>
      <c r="I180" s="2200"/>
      <c r="K180" s="2201" t="str">
        <f>IF(ISBLANK(Q155),"",CONCATENATE("Demand (",Q155,")"))</f>
        <v>Demand (kW)</v>
      </c>
      <c r="L180" s="2202"/>
      <c r="M180" s="2202"/>
      <c r="N180" s="2202"/>
      <c r="O180" s="2203"/>
      <c r="Q180" s="2204" t="str">
        <f>CONCATENATE("Demand (",Q155,") per ",LEFT(F157,LEN(F157)-1))</f>
        <v>Demand (kW) per Customer</v>
      </c>
      <c r="R180" s="2205"/>
      <c r="S180" s="2205"/>
      <c r="T180" s="2205"/>
      <c r="U180" s="2206"/>
    </row>
    <row r="181" spans="3:21" ht="39" thickBot="1" x14ac:dyDescent="0.25">
      <c r="C181" s="466"/>
      <c r="D181" s="468" t="str">
        <f>CONCATENATE("(for ",TestYear," Cost of Service")</f>
        <v>(for 2020 Cost of Service</v>
      </c>
      <c r="E181" s="463"/>
      <c r="F181" s="2194"/>
      <c r="G181" s="2195"/>
      <c r="H181" s="2195"/>
      <c r="I181" s="1800"/>
      <c r="K181" s="472"/>
      <c r="L181" s="598" t="s">
        <v>962</v>
      </c>
      <c r="M181" s="598" t="s">
        <v>948</v>
      </c>
      <c r="N181" s="490"/>
      <c r="O181" s="491" t="str">
        <f>M181</f>
        <v>Weather-normalized</v>
      </c>
      <c r="Q181" s="582"/>
      <c r="R181" s="598" t="str">
        <f>L181</f>
        <v>Actual (Weather actual)</v>
      </c>
      <c r="S181" s="598" t="str">
        <f>M181</f>
        <v>Weather-normalized</v>
      </c>
      <c r="T181" s="598"/>
      <c r="U181" s="599" t="str">
        <f>O181</f>
        <v>Weather-normalized</v>
      </c>
    </row>
    <row r="182" spans="3:21" ht="13.5" thickBot="1" x14ac:dyDescent="0.25">
      <c r="C182" s="463" t="s">
        <v>786</v>
      </c>
      <c r="D182" s="545">
        <f t="shared" ref="D182:D188" si="82">D183-1</f>
        <v>2013</v>
      </c>
      <c r="E182" s="463"/>
      <c r="F182" s="498" t="str">
        <f t="shared" ref="F182:F189" si="83">F159</f>
        <v>Actual</v>
      </c>
      <c r="G182" s="496">
        <v>4925639.26</v>
      </c>
      <c r="H182" s="2" t="str">
        <f t="shared" ref="H182:H189" si="84">IF(D182=RebaseYear,"OEB-approved","")</f>
        <v>OEB-approved</v>
      </c>
      <c r="I182" s="1803">
        <v>4948063</v>
      </c>
      <c r="K182" s="1730"/>
      <c r="L182" s="1731"/>
      <c r="M182" s="1731"/>
      <c r="N182" s="1732"/>
      <c r="O182" s="1733"/>
      <c r="Q182" s="1742"/>
      <c r="R182" s="1731"/>
      <c r="S182" s="1731"/>
      <c r="T182" s="1731"/>
      <c r="U182" s="1741"/>
    </row>
    <row r="183" spans="3:21" x14ac:dyDescent="0.2">
      <c r="C183" s="463" t="s">
        <v>786</v>
      </c>
      <c r="D183" s="545">
        <f t="shared" si="82"/>
        <v>2014</v>
      </c>
      <c r="E183" s="462"/>
      <c r="F183" s="498" t="str">
        <f t="shared" si="83"/>
        <v>Actual</v>
      </c>
      <c r="G183" s="496">
        <v>4983977.8600000003</v>
      </c>
      <c r="H183" s="2" t="str">
        <f>IF(D183=RebaseYear,"OEB-approved","")</f>
        <v/>
      </c>
      <c r="I183" s="1471"/>
      <c r="K183" s="470" t="str">
        <f t="shared" ref="K183:K189" si="85">K160</f>
        <v>Actual</v>
      </c>
      <c r="L183" s="479"/>
      <c r="M183" s="479"/>
      <c r="N183" s="459" t="str">
        <f t="shared" ref="N183:N189" si="86">N160</f>
        <v/>
      </c>
      <c r="O183" s="509"/>
      <c r="Q183" s="566" t="str">
        <f>K183</f>
        <v>Actual</v>
      </c>
      <c r="R183" s="513">
        <f>IF(G183=0,"",L183/G183)</f>
        <v>0</v>
      </c>
      <c r="S183" s="494">
        <f>IF(G183=0,"",M183/G183)</f>
        <v>0</v>
      </c>
      <c r="T183" s="494" t="str">
        <f>N183</f>
        <v/>
      </c>
      <c r="U183" s="462" t="str">
        <f>IF(T183="","",IF(I183=0,"",O183/I183))</f>
        <v/>
      </c>
    </row>
    <row r="184" spans="3:21" x14ac:dyDescent="0.2">
      <c r="C184" s="463" t="s">
        <v>786</v>
      </c>
      <c r="D184" s="545">
        <f t="shared" si="82"/>
        <v>2015</v>
      </c>
      <c r="E184" s="462"/>
      <c r="F184" s="499" t="str">
        <f t="shared" si="83"/>
        <v>Actual</v>
      </c>
      <c r="G184" s="496">
        <v>4918037.09</v>
      </c>
      <c r="H184" s="2" t="str">
        <f t="shared" si="84"/>
        <v/>
      </c>
      <c r="I184" s="1471"/>
      <c r="K184" s="470" t="str">
        <f t="shared" si="85"/>
        <v>Actual</v>
      </c>
      <c r="L184" s="479"/>
      <c r="M184" s="479"/>
      <c r="N184" s="459" t="str">
        <f t="shared" si="86"/>
        <v/>
      </c>
      <c r="O184" s="509"/>
      <c r="Q184" s="566" t="str">
        <f t="shared" ref="Q184:Q189" si="87">K184</f>
        <v>Actual</v>
      </c>
      <c r="R184" s="513">
        <f t="shared" ref="R184:R189" si="88">IF(G184=0,"",L184/G184)</f>
        <v>0</v>
      </c>
      <c r="S184" s="494">
        <f t="shared" ref="S184:S189" si="89">IF(G184=0,"",M184/G184)</f>
        <v>0</v>
      </c>
      <c r="T184" s="494" t="str">
        <f t="shared" ref="T184:T189" si="90">N184</f>
        <v/>
      </c>
      <c r="U184" s="462" t="str">
        <f t="shared" ref="U184:U189" si="91">IF(T184="","",IF(I184=0,"",O184/I184))</f>
        <v/>
      </c>
    </row>
    <row r="185" spans="3:21" x14ac:dyDescent="0.2">
      <c r="C185" s="463" t="s">
        <v>786</v>
      </c>
      <c r="D185" s="545">
        <f t="shared" si="82"/>
        <v>2016</v>
      </c>
      <c r="E185" s="462"/>
      <c r="F185" s="499" t="str">
        <f t="shared" si="83"/>
        <v>Actual</v>
      </c>
      <c r="G185" s="496">
        <v>4832743.3900000006</v>
      </c>
      <c r="H185" s="2" t="str">
        <f t="shared" si="84"/>
        <v/>
      </c>
      <c r="I185" s="1472"/>
      <c r="K185" s="470" t="str">
        <f t="shared" si="85"/>
        <v>Actual</v>
      </c>
      <c r="L185" s="479"/>
      <c r="M185" s="479"/>
      <c r="N185" s="459" t="str">
        <f t="shared" si="86"/>
        <v/>
      </c>
      <c r="O185" s="510"/>
      <c r="Q185" s="566" t="str">
        <f t="shared" si="87"/>
        <v>Actual</v>
      </c>
      <c r="R185" s="513">
        <f t="shared" si="88"/>
        <v>0</v>
      </c>
      <c r="S185" s="494">
        <f t="shared" si="89"/>
        <v>0</v>
      </c>
      <c r="T185" s="494" t="str">
        <f t="shared" si="90"/>
        <v/>
      </c>
      <c r="U185" s="462" t="str">
        <f t="shared" si="91"/>
        <v/>
      </c>
    </row>
    <row r="186" spans="3:21" x14ac:dyDescent="0.2">
      <c r="C186" s="463" t="s">
        <v>786</v>
      </c>
      <c r="D186" s="545">
        <f t="shared" si="82"/>
        <v>2017</v>
      </c>
      <c r="E186" s="462"/>
      <c r="F186" s="499" t="str">
        <f t="shared" si="83"/>
        <v>Actual</v>
      </c>
      <c r="G186" s="496">
        <v>4895510.41</v>
      </c>
      <c r="H186" s="2" t="str">
        <f t="shared" si="84"/>
        <v/>
      </c>
      <c r="I186" s="1471"/>
      <c r="K186" s="470" t="str">
        <f t="shared" si="85"/>
        <v>Actual</v>
      </c>
      <c r="L186" s="479"/>
      <c r="M186" s="479"/>
      <c r="N186" s="459" t="str">
        <f t="shared" si="86"/>
        <v/>
      </c>
      <c r="O186" s="509"/>
      <c r="Q186" s="566" t="str">
        <f t="shared" si="87"/>
        <v>Actual</v>
      </c>
      <c r="R186" s="513">
        <f t="shared" si="88"/>
        <v>0</v>
      </c>
      <c r="S186" s="494">
        <f t="shared" si="89"/>
        <v>0</v>
      </c>
      <c r="T186" s="494" t="str">
        <f t="shared" si="90"/>
        <v/>
      </c>
      <c r="U186" s="462" t="str">
        <f t="shared" si="91"/>
        <v/>
      </c>
    </row>
    <row r="187" spans="3:21" x14ac:dyDescent="0.2">
      <c r="C187" s="463" t="s">
        <v>786</v>
      </c>
      <c r="D187" s="545">
        <f t="shared" si="82"/>
        <v>2018</v>
      </c>
      <c r="E187" s="462"/>
      <c r="F187" s="499" t="str">
        <f t="shared" si="83"/>
        <v>Actual</v>
      </c>
      <c r="G187" s="496">
        <v>4832724.8900000006</v>
      </c>
      <c r="H187" s="2" t="str">
        <f t="shared" si="84"/>
        <v/>
      </c>
      <c r="I187" s="1471"/>
      <c r="K187" s="470" t="str">
        <f t="shared" si="85"/>
        <v>Actual</v>
      </c>
      <c r="L187" s="479"/>
      <c r="M187" s="479"/>
      <c r="N187" s="459" t="str">
        <f t="shared" si="86"/>
        <v/>
      </c>
      <c r="O187" s="509"/>
      <c r="Q187" s="566" t="str">
        <f t="shared" si="87"/>
        <v>Actual</v>
      </c>
      <c r="R187" s="513">
        <f t="shared" si="88"/>
        <v>0</v>
      </c>
      <c r="S187" s="494">
        <f t="shared" si="89"/>
        <v>0</v>
      </c>
      <c r="T187" s="494" t="str">
        <f t="shared" si="90"/>
        <v/>
      </c>
      <c r="U187" s="462" t="str">
        <f t="shared" si="91"/>
        <v/>
      </c>
    </row>
    <row r="188" spans="3:21" x14ac:dyDescent="0.2">
      <c r="C188" s="463" t="s">
        <v>943</v>
      </c>
      <c r="D188" s="545">
        <f t="shared" si="82"/>
        <v>2019</v>
      </c>
      <c r="E188" s="462"/>
      <c r="F188" s="499" t="str">
        <f t="shared" si="83"/>
        <v>Actual</v>
      </c>
      <c r="G188" s="496">
        <v>4787072.8836906403</v>
      </c>
      <c r="H188" s="2" t="str">
        <f t="shared" si="84"/>
        <v/>
      </c>
      <c r="I188" s="1471"/>
      <c r="K188" s="470" t="str">
        <f t="shared" si="85"/>
        <v>Actual</v>
      </c>
      <c r="L188" s="488"/>
      <c r="M188" s="516"/>
      <c r="N188" s="459" t="str">
        <f t="shared" si="86"/>
        <v/>
      </c>
      <c r="O188" s="509"/>
      <c r="Q188" s="566" t="str">
        <f t="shared" si="87"/>
        <v>Actual</v>
      </c>
      <c r="R188" s="513">
        <f t="shared" si="88"/>
        <v>0</v>
      </c>
      <c r="S188" s="494">
        <f t="shared" si="89"/>
        <v>0</v>
      </c>
      <c r="T188" s="494" t="str">
        <f t="shared" si="90"/>
        <v/>
      </c>
      <c r="U188" s="462" t="str">
        <f t="shared" si="91"/>
        <v/>
      </c>
    </row>
    <row r="189" spans="3:21" ht="13.5" thickBot="1" x14ac:dyDescent="0.25">
      <c r="C189" s="464" t="s">
        <v>944</v>
      </c>
      <c r="D189" s="546">
        <f>TestYear</f>
        <v>2020</v>
      </c>
      <c r="E189" s="466"/>
      <c r="F189" s="500" t="str">
        <f t="shared" si="83"/>
        <v>Forecast</v>
      </c>
      <c r="G189" s="497">
        <v>5494672.4391338248</v>
      </c>
      <c r="H189" s="492" t="str">
        <f t="shared" si="84"/>
        <v/>
      </c>
      <c r="I189" s="1473"/>
      <c r="K189" s="471" t="str">
        <f t="shared" si="85"/>
        <v>Forecast</v>
      </c>
      <c r="L189" s="489"/>
      <c r="M189" s="517"/>
      <c r="N189" s="460" t="str">
        <f t="shared" si="86"/>
        <v/>
      </c>
      <c r="O189" s="511"/>
      <c r="Q189" s="504" t="str">
        <f t="shared" si="87"/>
        <v>Forecast</v>
      </c>
      <c r="R189" s="495">
        <f t="shared" si="88"/>
        <v>0</v>
      </c>
      <c r="S189" s="495">
        <f t="shared" si="89"/>
        <v>0</v>
      </c>
      <c r="T189" s="495" t="str">
        <f t="shared" si="90"/>
        <v/>
      </c>
      <c r="U189" s="466" t="str">
        <f t="shared" si="91"/>
        <v/>
      </c>
    </row>
    <row r="190" spans="3:21" ht="13.5" thickBot="1" x14ac:dyDescent="0.25">
      <c r="C190" s="548"/>
      <c r="I190" s="1806">
        <f>SUM(I182:I188)</f>
        <v>4948063</v>
      </c>
      <c r="J190" s="513"/>
      <c r="O190" s="587">
        <f>SUM(O183:O188)</f>
        <v>0</v>
      </c>
      <c r="U190" s="587">
        <f>SUM(U183:U188)</f>
        <v>0</v>
      </c>
    </row>
    <row r="191" spans="3:21" ht="39" customHeight="1" thickBot="1" x14ac:dyDescent="0.25">
      <c r="C191" s="579" t="s">
        <v>837</v>
      </c>
      <c r="D191" s="578" t="s">
        <v>10</v>
      </c>
      <c r="E191" s="1449"/>
      <c r="F191" s="1449"/>
      <c r="G191" s="1449" t="s">
        <v>959</v>
      </c>
      <c r="H191" s="1449"/>
      <c r="I191" s="573" t="str">
        <f>I168</f>
        <v>Test Year Versus OEB-approved</v>
      </c>
      <c r="J191" s="586"/>
      <c r="K191" s="574" t="s">
        <v>10</v>
      </c>
      <c r="L191" s="2196" t="s">
        <v>959</v>
      </c>
      <c r="M191" s="2196"/>
      <c r="N191" s="1449"/>
      <c r="O191" s="573" t="str">
        <f>I191</f>
        <v>Test Year Versus OEB-approved</v>
      </c>
      <c r="P191" s="562"/>
      <c r="Q191" s="574" t="s">
        <v>10</v>
      </c>
      <c r="R191" s="2196" t="s">
        <v>959</v>
      </c>
      <c r="S191" s="2196"/>
      <c r="T191" s="1449"/>
      <c r="U191" s="573" t="str">
        <f>O191</f>
        <v>Test Year Versus OEB-approved</v>
      </c>
    </row>
    <row r="192" spans="3:21" ht="14.45" customHeight="1" thickBot="1" x14ac:dyDescent="0.25">
      <c r="C192" s="1743"/>
      <c r="D192" s="581">
        <f t="shared" ref="D192:D199" si="92">D182</f>
        <v>2013</v>
      </c>
      <c r="E192" s="1749"/>
      <c r="F192" s="1739"/>
      <c r="G192" s="554"/>
      <c r="H192" s="1739"/>
      <c r="I192" s="1741"/>
      <c r="J192" s="586"/>
      <c r="K192" s="586"/>
      <c r="L192" s="1739"/>
      <c r="M192" s="1739"/>
      <c r="N192" s="1739"/>
      <c r="O192" s="1741"/>
      <c r="P192" s="586"/>
      <c r="Q192" s="586"/>
      <c r="R192" s="1739"/>
      <c r="S192" s="1739"/>
      <c r="T192" s="1739"/>
      <c r="U192" s="1741"/>
    </row>
    <row r="193" spans="2:22" x14ac:dyDescent="0.2">
      <c r="C193" s="462"/>
      <c r="D193" s="581">
        <f t="shared" si="92"/>
        <v>2014</v>
      </c>
      <c r="E193" s="527"/>
      <c r="F193" s="513"/>
      <c r="G193" s="555">
        <f t="shared" ref="G193:G199" si="93">IF(G182=0,"",G183/G182-1)</f>
        <v>1.1843863693745238E-2</v>
      </c>
      <c r="H193" s="513"/>
      <c r="I193" s="560"/>
      <c r="J193" s="462"/>
      <c r="K193" s="545">
        <f>D193</f>
        <v>2014</v>
      </c>
      <c r="L193" s="533"/>
      <c r="M193" s="533"/>
      <c r="N193" s="513"/>
      <c r="O193" s="563"/>
      <c r="P193" s="462"/>
      <c r="Q193" s="545">
        <f>K193</f>
        <v>2014</v>
      </c>
      <c r="R193" s="514"/>
      <c r="S193" s="514"/>
      <c r="T193" s="513"/>
      <c r="U193" s="509"/>
    </row>
    <row r="194" spans="2:22" x14ac:dyDescent="0.2">
      <c r="C194" s="462"/>
      <c r="D194" s="547">
        <f t="shared" si="92"/>
        <v>2015</v>
      </c>
      <c r="E194" s="513"/>
      <c r="F194" s="513"/>
      <c r="G194" s="555">
        <f t="shared" si="93"/>
        <v>-1.3230550345984193E-2</v>
      </c>
      <c r="H194" s="513"/>
      <c r="I194" s="560"/>
      <c r="J194" s="462"/>
      <c r="K194" s="545">
        <f t="shared" ref="K194:K200" si="94">D194</f>
        <v>2015</v>
      </c>
      <c r="L194" s="535" t="str">
        <f t="shared" ref="L194:M197" si="95">IF(L183=0,"",L184/L183-1)</f>
        <v/>
      </c>
      <c r="M194" s="535" t="str">
        <f t="shared" si="95"/>
        <v/>
      </c>
      <c r="N194" s="513"/>
      <c r="O194" s="563"/>
      <c r="P194" s="462"/>
      <c r="Q194" s="545">
        <f t="shared" ref="Q194:Q200" si="96">K194</f>
        <v>2015</v>
      </c>
      <c r="R194" s="556" t="str">
        <f t="shared" ref="R194:S197" si="97">IF(R183="","",IF(R183=0,"",R184/R183-1))</f>
        <v/>
      </c>
      <c r="S194" s="556" t="str">
        <f t="shared" si="97"/>
        <v/>
      </c>
      <c r="T194" s="513"/>
      <c r="U194" s="509"/>
    </row>
    <row r="195" spans="2:22" x14ac:dyDescent="0.2">
      <c r="C195" s="462"/>
      <c r="D195" s="580">
        <f t="shared" si="92"/>
        <v>2016</v>
      </c>
      <c r="E195" s="513"/>
      <c r="F195" s="513"/>
      <c r="G195" s="555">
        <f t="shared" si="93"/>
        <v>-1.7343037158753738E-2</v>
      </c>
      <c r="H195" s="513"/>
      <c r="I195" s="560"/>
      <c r="J195" s="462"/>
      <c r="K195" s="545">
        <f t="shared" si="94"/>
        <v>2016</v>
      </c>
      <c r="L195" s="535" t="str">
        <f t="shared" si="95"/>
        <v/>
      </c>
      <c r="M195" s="535" t="str">
        <f t="shared" si="95"/>
        <v/>
      </c>
      <c r="N195" s="513"/>
      <c r="O195" s="563"/>
      <c r="P195" s="462"/>
      <c r="Q195" s="545">
        <f t="shared" si="96"/>
        <v>2016</v>
      </c>
      <c r="R195" s="556" t="str">
        <f t="shared" si="97"/>
        <v/>
      </c>
      <c r="S195" s="556" t="str">
        <f t="shared" si="97"/>
        <v/>
      </c>
      <c r="T195" s="513"/>
      <c r="U195" s="509"/>
    </row>
    <row r="196" spans="2:22" x14ac:dyDescent="0.2">
      <c r="C196" s="462"/>
      <c r="D196" s="547">
        <f t="shared" si="92"/>
        <v>2017</v>
      </c>
      <c r="E196" s="513"/>
      <c r="F196" s="513"/>
      <c r="G196" s="555">
        <f t="shared" si="93"/>
        <v>1.2987865263005327E-2</v>
      </c>
      <c r="H196" s="513"/>
      <c r="I196" s="560"/>
      <c r="J196" s="462"/>
      <c r="K196" s="545">
        <f t="shared" si="94"/>
        <v>2017</v>
      </c>
      <c r="L196" s="535" t="str">
        <f t="shared" si="95"/>
        <v/>
      </c>
      <c r="M196" s="535" t="str">
        <f t="shared" si="95"/>
        <v/>
      </c>
      <c r="N196" s="513"/>
      <c r="O196" s="563"/>
      <c r="P196" s="462"/>
      <c r="Q196" s="545">
        <f t="shared" si="96"/>
        <v>2017</v>
      </c>
      <c r="R196" s="556" t="str">
        <f t="shared" si="97"/>
        <v/>
      </c>
      <c r="S196" s="556" t="str">
        <f t="shared" si="97"/>
        <v/>
      </c>
      <c r="T196" s="513"/>
      <c r="U196" s="509"/>
    </row>
    <row r="197" spans="2:22" x14ac:dyDescent="0.2">
      <c r="C197" s="462"/>
      <c r="D197" s="547">
        <f t="shared" si="92"/>
        <v>2018</v>
      </c>
      <c r="E197" s="513"/>
      <c r="F197" s="513"/>
      <c r="G197" s="555">
        <f t="shared" si="93"/>
        <v>-1.2825122355321406E-2</v>
      </c>
      <c r="H197" s="513"/>
      <c r="I197" s="560"/>
      <c r="J197" s="462"/>
      <c r="K197" s="545">
        <f t="shared" si="94"/>
        <v>2018</v>
      </c>
      <c r="L197" s="535" t="str">
        <f t="shared" si="95"/>
        <v/>
      </c>
      <c r="M197" s="535" t="str">
        <f t="shared" si="95"/>
        <v/>
      </c>
      <c r="N197" s="513"/>
      <c r="O197" s="563"/>
      <c r="P197" s="462"/>
      <c r="Q197" s="545">
        <f t="shared" si="96"/>
        <v>2018</v>
      </c>
      <c r="R197" s="556" t="str">
        <f t="shared" si="97"/>
        <v/>
      </c>
      <c r="S197" s="556" t="str">
        <f t="shared" si="97"/>
        <v/>
      </c>
      <c r="T197" s="513"/>
      <c r="U197" s="509"/>
    </row>
    <row r="198" spans="2:22" x14ac:dyDescent="0.2">
      <c r="C198" s="462"/>
      <c r="D198" s="547">
        <f t="shared" si="92"/>
        <v>2019</v>
      </c>
      <c r="E198" s="513"/>
      <c r="F198" s="513"/>
      <c r="G198" s="555">
        <f t="shared" si="93"/>
        <v>-9.4464318471395581E-3</v>
      </c>
      <c r="H198" s="513"/>
      <c r="I198" s="560"/>
      <c r="J198" s="462"/>
      <c r="K198" s="545">
        <f t="shared" si="94"/>
        <v>2019</v>
      </c>
      <c r="L198" s="535" t="str">
        <f>IF(K188="Forecast","",IF(L187=0,"",L188/L187-1))</f>
        <v/>
      </c>
      <c r="M198" s="535" t="str">
        <f>IF(M187=0,"",M188/M187-1)</f>
        <v/>
      </c>
      <c r="N198" s="513"/>
      <c r="O198" s="563"/>
      <c r="P198" s="462"/>
      <c r="Q198" s="545">
        <f t="shared" si="96"/>
        <v>2019</v>
      </c>
      <c r="R198" s="556" t="str">
        <f>IF(Q188="Forecast","",IF(R187=0,"",R188/R187-1))</f>
        <v/>
      </c>
      <c r="S198" s="556" t="str">
        <f>IF(S187="","",IF(S187=0,"",S188/S187-1))</f>
        <v/>
      </c>
      <c r="T198" s="513"/>
      <c r="U198" s="509"/>
    </row>
    <row r="199" spans="2:22" x14ac:dyDescent="0.2">
      <c r="C199" s="462"/>
      <c r="D199" s="580">
        <f t="shared" si="92"/>
        <v>2020</v>
      </c>
      <c r="E199" s="513"/>
      <c r="F199" s="513"/>
      <c r="G199" s="555">
        <f t="shared" si="93"/>
        <v>0.14781466099125984</v>
      </c>
      <c r="H199" s="513"/>
      <c r="I199" s="561">
        <f>IF(I190=0,"",G189/I190-1)</f>
        <v>0.11046937743796414</v>
      </c>
      <c r="J199" s="462"/>
      <c r="K199" s="545">
        <f t="shared" si="94"/>
        <v>2020</v>
      </c>
      <c r="L199" s="535" t="str">
        <f>IF(K189="Forecast","",IF(L188=0,"",L189/L188-1))</f>
        <v/>
      </c>
      <c r="M199" s="535" t="str">
        <f>IF(M188=0,"",M189/M188-1)</f>
        <v/>
      </c>
      <c r="N199" s="513"/>
      <c r="O199" s="564" t="str">
        <f>IF(O190=0,"",M189/O190-1)</f>
        <v/>
      </c>
      <c r="P199" s="462"/>
      <c r="Q199" s="545">
        <f t="shared" si="96"/>
        <v>2020</v>
      </c>
      <c r="R199" s="556" t="str">
        <f>IF(Q189="Forecast","",IF(R188=0,"",R189/R188-1))</f>
        <v/>
      </c>
      <c r="S199" s="556" t="str">
        <f>IF(S188="","",IF(S188=0,"",S189/S188-1))</f>
        <v/>
      </c>
      <c r="T199" s="513"/>
      <c r="U199" s="536" t="str">
        <f>IF(U190=0,"",S189/U190-1)</f>
        <v/>
      </c>
    </row>
    <row r="200" spans="2:22" ht="26.25" thickBot="1" x14ac:dyDescent="0.25">
      <c r="C200" s="466"/>
      <c r="D200" s="584" t="s">
        <v>958</v>
      </c>
      <c r="E200" s="537"/>
      <c r="F200" s="537"/>
      <c r="G200" s="557">
        <f>IF(G183=0,"",(G189/G183)^(1/($D189-$D183-1))-1)</f>
        <v>1.970169355295992E-2</v>
      </c>
      <c r="H200" s="537"/>
      <c r="I200" s="553">
        <f>IF(I190=0,"",(G189/I190)^(1/(TestYear-RebaseYear-1))-1)</f>
        <v>1.7617181791471204E-2</v>
      </c>
      <c r="J200" s="462"/>
      <c r="K200" s="583" t="str">
        <f t="shared" si="94"/>
        <v>Geometric Mean</v>
      </c>
      <c r="L200" s="540" t="str">
        <f>IF(L183=0,"",(L187/L183)^(1/($D187-$D183-1))-1)</f>
        <v/>
      </c>
      <c r="M200" s="540" t="str">
        <f>IF(M183=0,"",(M189/M183)^(1/($D189-$D183-1))-1)</f>
        <v/>
      </c>
      <c r="N200" s="537"/>
      <c r="O200" s="553" t="str">
        <f>IF(O190=0,"",(M189/O190)^(1/(TestYear-RebaseYear-1))-1)</f>
        <v/>
      </c>
      <c r="P200" s="466"/>
      <c r="Q200" s="583" t="str">
        <f t="shared" si="96"/>
        <v>Geometric Mean</v>
      </c>
      <c r="R200" s="558" t="str">
        <f>IF(R183="","",IF(R183=0,"",(R187/R183)^(1/($D187-$D183-1))-1))</f>
        <v/>
      </c>
      <c r="S200" s="540" t="str">
        <f>IF(S183="","",IF(S183=0,"",(S189/S183)^(1/($D189-$D183-1))-1))</f>
        <v/>
      </c>
      <c r="T200" s="537"/>
      <c r="U200" s="553" t="str">
        <f>IF(U190=0,"",(S189/U190)^(1/(TestYear-RebaseYear-1))-1)</f>
        <v/>
      </c>
    </row>
    <row r="201" spans="2:22" ht="13.5" thickBot="1" x14ac:dyDescent="0.25"/>
    <row r="202" spans="2:22" ht="13.5" thickBot="1" x14ac:dyDescent="0.25">
      <c r="B202" s="503">
        <v>4</v>
      </c>
      <c r="C202" s="3" t="s">
        <v>9</v>
      </c>
      <c r="D202" s="2191" t="s">
        <v>1592</v>
      </c>
      <c r="E202" s="2192"/>
      <c r="F202" s="2192"/>
      <c r="G202" s="2192"/>
      <c r="H202" s="2192"/>
      <c r="I202" s="2193"/>
      <c r="K202" s="9" t="s">
        <v>960</v>
      </c>
      <c r="Q202" s="502" t="s">
        <v>1594</v>
      </c>
      <c r="R202" s="501"/>
      <c r="S202" s="501"/>
      <c r="T202" s="501"/>
      <c r="U202" s="501"/>
    </row>
    <row r="203" spans="2:22" ht="13.5" thickBot="1" x14ac:dyDescent="0.25">
      <c r="Q203" s="537"/>
      <c r="R203" s="537"/>
      <c r="S203" s="537"/>
      <c r="T203" s="537"/>
      <c r="U203" s="537"/>
    </row>
    <row r="204" spans="2:22" ht="17.45" customHeight="1" x14ac:dyDescent="0.2">
      <c r="C204" s="461"/>
      <c r="D204" s="465" t="s">
        <v>945</v>
      </c>
      <c r="E204" s="465"/>
      <c r="F204" s="2207" t="s">
        <v>888</v>
      </c>
      <c r="G204" s="2208"/>
      <c r="H204" s="2208"/>
      <c r="I204" s="2209"/>
      <c r="J204" s="465"/>
      <c r="K204" s="2201" t="s">
        <v>951</v>
      </c>
      <c r="L204" s="2202"/>
      <c r="M204" s="2202"/>
      <c r="N204" s="2202"/>
      <c r="O204" s="2203"/>
      <c r="P204" s="473"/>
      <c r="Q204" s="2204" t="str">
        <f>CONCATENATE("Consumption (kWh) per ",LEFT(F204,LEN(F204)-1))</f>
        <v>Consumption (kWh) per Customer</v>
      </c>
      <c r="R204" s="2205"/>
      <c r="S204" s="2205"/>
      <c r="T204" s="2205"/>
      <c r="U204" s="2206"/>
      <c r="V204" s="493"/>
    </row>
    <row r="205" spans="2:22" ht="38.25" customHeight="1" thickBot="1" x14ac:dyDescent="0.25">
      <c r="C205" s="466"/>
      <c r="D205" s="468" t="str">
        <f>CONCATENATE("(for ",TestYear," Cost of Service")</f>
        <v>(for 2020 Cost of Service</v>
      </c>
      <c r="E205" s="463"/>
      <c r="F205" s="2194"/>
      <c r="G205" s="2195"/>
      <c r="H205" s="2197"/>
      <c r="I205" s="1477"/>
      <c r="J205" s="463"/>
      <c r="K205" s="472"/>
      <c r="L205" s="598" t="s">
        <v>962</v>
      </c>
      <c r="M205" s="598" t="s">
        <v>948</v>
      </c>
      <c r="N205" s="490"/>
      <c r="O205" s="491" t="s">
        <v>948</v>
      </c>
      <c r="P205" s="463"/>
      <c r="Q205" s="568"/>
      <c r="R205" s="569" t="str">
        <f>L205</f>
        <v>Actual (Weather actual)</v>
      </c>
      <c r="S205" s="570" t="str">
        <f>M205</f>
        <v>Weather-normalized</v>
      </c>
      <c r="T205" s="570"/>
      <c r="U205" s="571" t="str">
        <f>O205</f>
        <v>Weather-normalized</v>
      </c>
      <c r="V205" s="493"/>
    </row>
    <row r="206" spans="2:22" ht="12.6" customHeight="1" thickBot="1" x14ac:dyDescent="0.25">
      <c r="C206" s="463" t="s">
        <v>786</v>
      </c>
      <c r="D206" s="545">
        <f t="shared" ref="D206:D211" si="98">D207-1</f>
        <v>2013</v>
      </c>
      <c r="E206" s="463"/>
      <c r="F206" s="498" t="str">
        <f>$K$40</f>
        <v>Actual</v>
      </c>
      <c r="G206" s="486">
        <v>9689.5</v>
      </c>
      <c r="H206" s="482" t="str">
        <f t="shared" ref="H206:H213" si="99">IF(D206=RebaseYear,"OEB-approved","")</f>
        <v>OEB-approved</v>
      </c>
      <c r="I206" s="1474">
        <v>9578</v>
      </c>
      <c r="J206" s="463"/>
      <c r="K206" s="470" t="str">
        <f>F206</f>
        <v>Actual</v>
      </c>
      <c r="L206" s="1734">
        <v>7862676.2333965842</v>
      </c>
      <c r="M206" s="1734">
        <v>7862676.2333965842</v>
      </c>
      <c r="N206" s="459" t="str">
        <f t="shared" ref="N206:N213" si="100">H206</f>
        <v>OEB-approved</v>
      </c>
      <c r="O206" s="1474">
        <v>8016815</v>
      </c>
      <c r="P206" s="463"/>
      <c r="Q206" s="566" t="str">
        <f>K206</f>
        <v>Actual</v>
      </c>
      <c r="R206" s="1466">
        <f>IF(G206=0,"",L206/G206)</f>
        <v>811.46356709805298</v>
      </c>
      <c r="S206" s="1467">
        <f>IF(G206=0,"",M206/G206)</f>
        <v>811.46356709805298</v>
      </c>
      <c r="T206" s="513" t="str">
        <f t="shared" ref="T206:T213" si="101">N206</f>
        <v>OEB-approved</v>
      </c>
      <c r="U206" s="1467">
        <f t="shared" ref="U206:U213" si="102">IF(T206="","",IF(I206=0,"",O206/I206))</f>
        <v>837.00302777197749</v>
      </c>
      <c r="V206" s="493"/>
    </row>
    <row r="207" spans="2:22" x14ac:dyDescent="0.2">
      <c r="C207" s="463" t="s">
        <v>786</v>
      </c>
      <c r="D207" s="545">
        <f t="shared" si="98"/>
        <v>2014</v>
      </c>
      <c r="E207" s="462"/>
      <c r="F207" s="498" t="str">
        <f>$K$40</f>
        <v>Actual</v>
      </c>
      <c r="G207" s="486">
        <v>9736</v>
      </c>
      <c r="H207" s="482" t="str">
        <f>IF(D207=RebaseYear,"OEB-approved","")</f>
        <v/>
      </c>
      <c r="I207" s="1474"/>
      <c r="J207" s="462"/>
      <c r="K207" s="470" t="str">
        <f>F207</f>
        <v>Actual</v>
      </c>
      <c r="L207" s="1734">
        <v>7654362.5332068307</v>
      </c>
      <c r="M207" s="1734">
        <v>7654362.5332068307</v>
      </c>
      <c r="N207" s="459" t="str">
        <f t="shared" si="100"/>
        <v/>
      </c>
      <c r="O207" s="1461"/>
      <c r="P207" s="462"/>
      <c r="Q207" s="566" t="str">
        <f>K207</f>
        <v>Actual</v>
      </c>
      <c r="R207" s="1466">
        <f>IF(G207=0,"",L207/G207)</f>
        <v>786.19171458574681</v>
      </c>
      <c r="S207" s="1467">
        <f>IF(G207=0,"",M207/G207)</f>
        <v>786.19171458574681</v>
      </c>
      <c r="T207" s="513" t="str">
        <f t="shared" si="101"/>
        <v/>
      </c>
      <c r="U207" s="1467" t="str">
        <f t="shared" si="102"/>
        <v/>
      </c>
      <c r="V207" s="494"/>
    </row>
    <row r="208" spans="2:22" x14ac:dyDescent="0.2">
      <c r="C208" s="463" t="s">
        <v>786</v>
      </c>
      <c r="D208" s="545">
        <f t="shared" si="98"/>
        <v>2015</v>
      </c>
      <c r="E208" s="462"/>
      <c r="F208" s="499" t="str">
        <f>$K$41</f>
        <v>Actual</v>
      </c>
      <c r="G208" s="486">
        <v>9753.25</v>
      </c>
      <c r="H208" s="482" t="str">
        <f t="shared" si="99"/>
        <v/>
      </c>
      <c r="I208" s="1474"/>
      <c r="J208" s="462"/>
      <c r="K208" s="470" t="str">
        <f t="shared" ref="K208:K213" si="103">F208</f>
        <v>Actual</v>
      </c>
      <c r="L208" s="1734">
        <v>7541643.8330170782</v>
      </c>
      <c r="M208" s="1734">
        <v>7541643.8330170782</v>
      </c>
      <c r="N208" s="459" t="str">
        <f t="shared" si="100"/>
        <v/>
      </c>
      <c r="O208" s="1461"/>
      <c r="P208" s="462"/>
      <c r="Q208" s="566" t="str">
        <f t="shared" ref="Q208:Q213" si="104">K208</f>
        <v>Actual</v>
      </c>
      <c r="R208" s="1466">
        <f t="shared" ref="R208:R213" si="105">IF(G208=0,"",L208/G208)</f>
        <v>773.24418353031842</v>
      </c>
      <c r="S208" s="1467">
        <f t="shared" ref="S208:S213" si="106">IF(G208=0,"",M208/G208)</f>
        <v>773.24418353031842</v>
      </c>
      <c r="T208" s="513" t="str">
        <f t="shared" si="101"/>
        <v/>
      </c>
      <c r="U208" s="1467" t="str">
        <f t="shared" si="102"/>
        <v/>
      </c>
      <c r="V208" s="494"/>
    </row>
    <row r="209" spans="2:22" x14ac:dyDescent="0.2">
      <c r="C209" s="463" t="s">
        <v>786</v>
      </c>
      <c r="D209" s="545">
        <f t="shared" si="98"/>
        <v>2016</v>
      </c>
      <c r="E209" s="462"/>
      <c r="F209" s="499" t="str">
        <f>$K$42</f>
        <v>Actual</v>
      </c>
      <c r="G209" s="486">
        <v>9747.5</v>
      </c>
      <c r="H209" s="482" t="str">
        <f t="shared" si="99"/>
        <v/>
      </c>
      <c r="I209" s="1476"/>
      <c r="J209" s="462"/>
      <c r="K209" s="470" t="str">
        <f t="shared" si="103"/>
        <v>Actual</v>
      </c>
      <c r="L209" s="1734">
        <v>7520842.1252371911</v>
      </c>
      <c r="M209" s="1734">
        <v>7520842.1252371911</v>
      </c>
      <c r="N209" s="459" t="str">
        <f t="shared" si="100"/>
        <v/>
      </c>
      <c r="O209" s="1462"/>
      <c r="P209" s="462"/>
      <c r="Q209" s="566" t="str">
        <f t="shared" si="104"/>
        <v>Actual</v>
      </c>
      <c r="R209" s="1466">
        <f t="shared" si="105"/>
        <v>771.56626060396934</v>
      </c>
      <c r="S209" s="1467">
        <f t="shared" si="106"/>
        <v>771.56626060396934</v>
      </c>
      <c r="T209" s="513" t="str">
        <f t="shared" si="101"/>
        <v/>
      </c>
      <c r="U209" s="1467" t="str">
        <f t="shared" si="102"/>
        <v/>
      </c>
      <c r="V209" s="494"/>
    </row>
    <row r="210" spans="2:22" x14ac:dyDescent="0.2">
      <c r="C210" s="463" t="s">
        <v>786</v>
      </c>
      <c r="D210" s="545">
        <f t="shared" si="98"/>
        <v>2017</v>
      </c>
      <c r="E210" s="462"/>
      <c r="F210" s="499" t="str">
        <f>$K$43</f>
        <v>Actual</v>
      </c>
      <c r="G210" s="486">
        <v>9785.75</v>
      </c>
      <c r="H210" s="482" t="str">
        <f t="shared" si="99"/>
        <v/>
      </c>
      <c r="I210" s="1474"/>
      <c r="J210" s="462"/>
      <c r="K210" s="470" t="str">
        <f t="shared" si="103"/>
        <v>Actual</v>
      </c>
      <c r="L210" s="1734">
        <v>7471832.7229601499</v>
      </c>
      <c r="M210" s="1734">
        <v>7471832.7229601499</v>
      </c>
      <c r="N210" s="459" t="str">
        <f t="shared" si="100"/>
        <v/>
      </c>
      <c r="O210" s="1461"/>
      <c r="P210" s="462"/>
      <c r="Q210" s="566" t="str">
        <f t="shared" si="104"/>
        <v>Actual</v>
      </c>
      <c r="R210" s="1466">
        <f t="shared" si="105"/>
        <v>763.5421631413177</v>
      </c>
      <c r="S210" s="1467">
        <f t="shared" si="106"/>
        <v>763.5421631413177</v>
      </c>
      <c r="T210" s="513" t="str">
        <f t="shared" si="101"/>
        <v/>
      </c>
      <c r="U210" s="1467" t="str">
        <f t="shared" si="102"/>
        <v/>
      </c>
      <c r="V210" s="494"/>
    </row>
    <row r="211" spans="2:22" x14ac:dyDescent="0.2">
      <c r="C211" s="463" t="s">
        <v>786</v>
      </c>
      <c r="D211" s="545">
        <f t="shared" si="98"/>
        <v>2018</v>
      </c>
      <c r="E211" s="462"/>
      <c r="F211" s="499" t="str">
        <f>$K$44</f>
        <v>Actual</v>
      </c>
      <c r="G211" s="486">
        <v>9861.75</v>
      </c>
      <c r="H211" s="482" t="str">
        <f t="shared" si="99"/>
        <v/>
      </c>
      <c r="I211" s="1474"/>
      <c r="J211" s="462"/>
      <c r="K211" s="470" t="str">
        <f t="shared" si="103"/>
        <v>Actual</v>
      </c>
      <c r="L211" s="1734">
        <v>7471085.0094876662</v>
      </c>
      <c r="M211" s="1734">
        <v>7471085.0094876662</v>
      </c>
      <c r="N211" s="459" t="str">
        <f t="shared" si="100"/>
        <v/>
      </c>
      <c r="O211" s="1461"/>
      <c r="P211" s="462"/>
      <c r="Q211" s="566" t="str">
        <f t="shared" si="104"/>
        <v>Actual</v>
      </c>
      <c r="R211" s="1466">
        <f t="shared" si="105"/>
        <v>757.58207310950559</v>
      </c>
      <c r="S211" s="1467">
        <f t="shared" si="106"/>
        <v>757.58207310950559</v>
      </c>
      <c r="T211" s="513" t="str">
        <f t="shared" si="101"/>
        <v/>
      </c>
      <c r="U211" s="1467" t="str">
        <f t="shared" si="102"/>
        <v/>
      </c>
      <c r="V211" s="494"/>
    </row>
    <row r="212" spans="2:22" x14ac:dyDescent="0.2">
      <c r="C212" s="463" t="s">
        <v>276</v>
      </c>
      <c r="D212" s="545">
        <f>D213-1</f>
        <v>2019</v>
      </c>
      <c r="E212" s="462"/>
      <c r="F212" s="499" t="str">
        <f>$K$45</f>
        <v>Actual</v>
      </c>
      <c r="G212" s="486">
        <v>9916.75</v>
      </c>
      <c r="H212" s="482" t="str">
        <f t="shared" si="99"/>
        <v/>
      </c>
      <c r="I212" s="1474"/>
      <c r="J212" s="462"/>
      <c r="K212" s="470" t="str">
        <f t="shared" si="103"/>
        <v>Actual</v>
      </c>
      <c r="L212" s="1734">
        <v>7481251.9100000011</v>
      </c>
      <c r="M212" s="1735">
        <v>7481251.9100000001</v>
      </c>
      <c r="N212" s="459" t="str">
        <f t="shared" si="100"/>
        <v/>
      </c>
      <c r="O212" s="1461"/>
      <c r="P212" s="462"/>
      <c r="Q212" s="566" t="str">
        <f t="shared" si="104"/>
        <v>Actual</v>
      </c>
      <c r="R212" s="1466">
        <f t="shared" si="105"/>
        <v>754.40561776791799</v>
      </c>
      <c r="S212" s="1467">
        <f t="shared" si="106"/>
        <v>754.40561776791799</v>
      </c>
      <c r="T212" s="513" t="str">
        <f t="shared" si="101"/>
        <v/>
      </c>
      <c r="U212" s="1467" t="str">
        <f t="shared" si="102"/>
        <v/>
      </c>
      <c r="V212" s="494"/>
    </row>
    <row r="213" spans="2:22" ht="13.5" thickBot="1" x14ac:dyDescent="0.25">
      <c r="C213" s="464" t="s">
        <v>277</v>
      </c>
      <c r="D213" s="546">
        <f>TestYear</f>
        <v>2020</v>
      </c>
      <c r="E213" s="466"/>
      <c r="F213" s="500" t="str">
        <f>$K$46</f>
        <v>Forecast</v>
      </c>
      <c r="G213" s="487">
        <v>9958.055711900608</v>
      </c>
      <c r="H213" s="483" t="str">
        <f t="shared" si="99"/>
        <v/>
      </c>
      <c r="I213" s="1475"/>
      <c r="J213" s="466"/>
      <c r="K213" s="471" t="str">
        <f t="shared" si="103"/>
        <v>Forecast</v>
      </c>
      <c r="L213" s="1755"/>
      <c r="M213" s="1736">
        <v>7448452.1237150077</v>
      </c>
      <c r="N213" s="460" t="str">
        <f t="shared" si="100"/>
        <v/>
      </c>
      <c r="O213" s="1463"/>
      <c r="P213" s="466"/>
      <c r="Q213" s="567" t="str">
        <f t="shared" si="104"/>
        <v>Forecast</v>
      </c>
      <c r="R213" s="1468">
        <f t="shared" si="105"/>
        <v>0</v>
      </c>
      <c r="S213" s="1469">
        <f t="shared" si="106"/>
        <v>747.9825720209177</v>
      </c>
      <c r="T213" s="537" t="str">
        <f t="shared" si="101"/>
        <v/>
      </c>
      <c r="U213" s="1469" t="str">
        <f t="shared" si="102"/>
        <v/>
      </c>
      <c r="V213" s="494"/>
    </row>
    <row r="214" spans="2:22" ht="13.5" thickBot="1" x14ac:dyDescent="0.25">
      <c r="B214" s="513"/>
      <c r="C214" s="548"/>
      <c r="I214" s="1804">
        <f>SUM(I206:I212)</f>
        <v>9578</v>
      </c>
      <c r="O214" s="1804">
        <f>SUM(O206:O212)</f>
        <v>8016815</v>
      </c>
      <c r="U214" s="1805">
        <f>SUM(U206:U212)</f>
        <v>837.00302777197749</v>
      </c>
    </row>
    <row r="215" spans="2:22" ht="39" thickBot="1" x14ac:dyDescent="0.25">
      <c r="C215" s="579" t="s">
        <v>837</v>
      </c>
      <c r="D215" s="578" t="s">
        <v>10</v>
      </c>
      <c r="E215" s="543"/>
      <c r="F215" s="543"/>
      <c r="G215" s="1449" t="s">
        <v>959</v>
      </c>
      <c r="H215" s="543"/>
      <c r="I215" s="573" t="s">
        <v>1327</v>
      </c>
      <c r="J215" s="575"/>
      <c r="K215" s="574" t="s">
        <v>10</v>
      </c>
      <c r="L215" s="2196" t="s">
        <v>959</v>
      </c>
      <c r="M215" s="2196"/>
      <c r="N215" s="543"/>
      <c r="O215" s="573" t="str">
        <f>I215</f>
        <v>Test Year Versus OEB-approved</v>
      </c>
      <c r="P215" s="576"/>
      <c r="Q215" s="574" t="s">
        <v>10</v>
      </c>
      <c r="R215" s="2196" t="s">
        <v>959</v>
      </c>
      <c r="S215" s="2196"/>
      <c r="T215" s="543"/>
      <c r="U215" s="573" t="str">
        <f>O215</f>
        <v>Test Year Versus OEB-approved</v>
      </c>
    </row>
    <row r="216" spans="2:22" x14ac:dyDescent="0.2">
      <c r="C216" s="1743"/>
      <c r="D216" s="559">
        <f t="shared" ref="D216:D223" si="107">D206</f>
        <v>2013</v>
      </c>
      <c r="E216" s="513"/>
      <c r="F216" s="513"/>
      <c r="G216" s="554"/>
      <c r="H216" s="513"/>
      <c r="I216" s="1741"/>
      <c r="J216" s="565"/>
      <c r="K216" s="545">
        <f>D216</f>
        <v>2013</v>
      </c>
      <c r="L216" s="533"/>
      <c r="M216" s="533"/>
      <c r="N216" s="513"/>
      <c r="O216" s="1741"/>
      <c r="P216" s="462"/>
      <c r="Q216" s="545">
        <f>K216</f>
        <v>2013</v>
      </c>
      <c r="R216" s="514"/>
      <c r="S216" s="514"/>
      <c r="T216" s="513"/>
      <c r="U216" s="1741"/>
    </row>
    <row r="217" spans="2:22" x14ac:dyDescent="0.2">
      <c r="C217" s="462"/>
      <c r="D217" s="559">
        <f t="shared" si="107"/>
        <v>2014</v>
      </c>
      <c r="E217" s="513"/>
      <c r="F217" s="513"/>
      <c r="G217" s="555">
        <f t="shared" ref="G217:G223" si="108">IF(G206=0,"",G207/G206-1)</f>
        <v>4.7990092368026538E-3</v>
      </c>
      <c r="H217" s="513"/>
      <c r="I217" s="560"/>
      <c r="J217" s="565"/>
      <c r="K217" s="545">
        <f>D217</f>
        <v>2014</v>
      </c>
      <c r="L217" s="535">
        <f t="shared" ref="L217:M221" si="109">IF(L206=0,"",L207/L206-1)</f>
        <v>-2.6493994411844746E-2</v>
      </c>
      <c r="M217" s="535">
        <f t="shared" si="109"/>
        <v>-2.6493994411844746E-2</v>
      </c>
      <c r="N217" s="513"/>
      <c r="O217" s="509"/>
      <c r="P217" s="462"/>
      <c r="Q217" s="545">
        <f>K217</f>
        <v>2014</v>
      </c>
      <c r="R217" s="556">
        <f t="shared" ref="R217:S221" si="110">IF(R206="","",IF(R206=0,"",R207/R206-1))</f>
        <v>-3.114354548619247E-2</v>
      </c>
      <c r="S217" s="556">
        <f t="shared" si="110"/>
        <v>-3.114354548619247E-2</v>
      </c>
      <c r="T217" s="513"/>
      <c r="U217" s="509"/>
    </row>
    <row r="218" spans="2:22" x14ac:dyDescent="0.2">
      <c r="C218" s="462"/>
      <c r="D218" s="547">
        <f t="shared" si="107"/>
        <v>2015</v>
      </c>
      <c r="E218" s="513"/>
      <c r="F218" s="513"/>
      <c r="G218" s="555">
        <f t="shared" si="108"/>
        <v>1.7717748562038338E-3</v>
      </c>
      <c r="H218" s="513"/>
      <c r="I218" s="560"/>
      <c r="J218" s="565"/>
      <c r="K218" s="545">
        <f t="shared" ref="K218:K224" si="111">D218</f>
        <v>2015</v>
      </c>
      <c r="L218" s="535">
        <f t="shared" si="109"/>
        <v>-1.4726072837646043E-2</v>
      </c>
      <c r="M218" s="535">
        <f t="shared" si="109"/>
        <v>-1.4726072837646043E-2</v>
      </c>
      <c r="N218" s="513"/>
      <c r="O218" s="509"/>
      <c r="P218" s="462"/>
      <c r="Q218" s="545">
        <f t="shared" ref="Q218:Q224" si="112">K218</f>
        <v>2015</v>
      </c>
      <c r="R218" s="556">
        <f t="shared" si="110"/>
        <v>-1.64686689203416E-2</v>
      </c>
      <c r="S218" s="556">
        <f t="shared" si="110"/>
        <v>-1.64686689203416E-2</v>
      </c>
      <c r="T218" s="513"/>
      <c r="U218" s="509"/>
    </row>
    <row r="219" spans="2:22" x14ac:dyDescent="0.2">
      <c r="C219" s="462"/>
      <c r="D219" s="547">
        <f t="shared" si="107"/>
        <v>2016</v>
      </c>
      <c r="E219" s="513"/>
      <c r="F219" s="513"/>
      <c r="G219" s="555">
        <f t="shared" si="108"/>
        <v>-5.8954707405223239E-4</v>
      </c>
      <c r="H219" s="513"/>
      <c r="I219" s="560"/>
      <c r="J219" s="565"/>
      <c r="K219" s="545">
        <f t="shared" si="111"/>
        <v>2016</v>
      </c>
      <c r="L219" s="535">
        <f t="shared" si="109"/>
        <v>-2.7582458467234616E-3</v>
      </c>
      <c r="M219" s="535">
        <f t="shared" si="109"/>
        <v>-2.7582458467234616E-3</v>
      </c>
      <c r="N219" s="513"/>
      <c r="O219" s="509"/>
      <c r="P219" s="462"/>
      <c r="Q219" s="545">
        <f t="shared" si="112"/>
        <v>2016</v>
      </c>
      <c r="R219" s="556">
        <f t="shared" si="110"/>
        <v>-2.1699780768972277E-3</v>
      </c>
      <c r="S219" s="556">
        <f t="shared" si="110"/>
        <v>-2.1699780768972277E-3</v>
      </c>
      <c r="T219" s="513"/>
      <c r="U219" s="509"/>
    </row>
    <row r="220" spans="2:22" x14ac:dyDescent="0.2">
      <c r="C220" s="462"/>
      <c r="D220" s="547">
        <f t="shared" si="107"/>
        <v>2017</v>
      </c>
      <c r="E220" s="513"/>
      <c r="F220" s="513"/>
      <c r="G220" s="555">
        <f t="shared" si="108"/>
        <v>3.9240830982303354E-3</v>
      </c>
      <c r="H220" s="513"/>
      <c r="I220" s="560"/>
      <c r="J220" s="565"/>
      <c r="K220" s="545">
        <f t="shared" si="111"/>
        <v>2017</v>
      </c>
      <c r="L220" s="535">
        <f t="shared" si="109"/>
        <v>-6.516478003518178E-3</v>
      </c>
      <c r="M220" s="535">
        <f t="shared" si="109"/>
        <v>-6.516478003518178E-3</v>
      </c>
      <c r="N220" s="513"/>
      <c r="O220" s="509"/>
      <c r="P220" s="462"/>
      <c r="Q220" s="545">
        <f t="shared" si="112"/>
        <v>2017</v>
      </c>
      <c r="R220" s="556">
        <f t="shared" si="110"/>
        <v>-1.0399751612221286E-2</v>
      </c>
      <c r="S220" s="556">
        <f t="shared" si="110"/>
        <v>-1.0399751612221286E-2</v>
      </c>
      <c r="T220" s="513"/>
      <c r="U220" s="509"/>
    </row>
    <row r="221" spans="2:22" x14ac:dyDescent="0.2">
      <c r="C221" s="462"/>
      <c r="D221" s="547">
        <f t="shared" si="107"/>
        <v>2018</v>
      </c>
      <c r="E221" s="513"/>
      <c r="F221" s="513"/>
      <c r="G221" s="555">
        <f t="shared" si="108"/>
        <v>7.7663950131567905E-3</v>
      </c>
      <c r="H221" s="513"/>
      <c r="I221" s="560"/>
      <c r="J221" s="565"/>
      <c r="K221" s="545">
        <f t="shared" si="111"/>
        <v>2018</v>
      </c>
      <c r="L221" s="535">
        <f t="shared" si="109"/>
        <v>-1.0007095985786751E-4</v>
      </c>
      <c r="M221" s="535">
        <f t="shared" si="109"/>
        <v>-1.0007095985786751E-4</v>
      </c>
      <c r="N221" s="513"/>
      <c r="O221" s="509"/>
      <c r="P221" s="462"/>
      <c r="Q221" s="545">
        <f t="shared" si="112"/>
        <v>2018</v>
      </c>
      <c r="R221" s="556">
        <f t="shared" si="110"/>
        <v>-7.8058427150787812E-3</v>
      </c>
      <c r="S221" s="556">
        <f t="shared" si="110"/>
        <v>-7.8058427150787812E-3</v>
      </c>
      <c r="T221" s="513"/>
      <c r="U221" s="509"/>
    </row>
    <row r="222" spans="2:22" x14ac:dyDescent="0.2">
      <c r="C222" s="462"/>
      <c r="D222" s="547">
        <f t="shared" si="107"/>
        <v>2019</v>
      </c>
      <c r="E222" s="513"/>
      <c r="F222" s="513"/>
      <c r="G222" s="555">
        <f t="shared" si="108"/>
        <v>5.5771034552691834E-3</v>
      </c>
      <c r="H222" s="513"/>
      <c r="I222" s="560"/>
      <c r="J222" s="565"/>
      <c r="K222" s="545">
        <f t="shared" si="111"/>
        <v>2019</v>
      </c>
      <c r="L222" s="535">
        <f>IF(K212="Forecast","",IF(L211=0,"",L212/L211-1))</f>
        <v>1.3608331988490541E-3</v>
      </c>
      <c r="M222" s="535">
        <f>IF(M211=0,"",M212/M211-1)</f>
        <v>1.3608331988490541E-3</v>
      </c>
      <c r="N222" s="513"/>
      <c r="O222" s="509"/>
      <c r="P222" s="462"/>
      <c r="Q222" s="545">
        <f t="shared" si="112"/>
        <v>2019</v>
      </c>
      <c r="R222" s="556">
        <f>IF(Q212="Forecast","",IF(R211=0,"",R212/R211-1))</f>
        <v>-4.1928860968816206E-3</v>
      </c>
      <c r="S222" s="556">
        <f>IF(S211="","",IF(S211=0,"",S212/S211-1))</f>
        <v>-4.1928860968816206E-3</v>
      </c>
      <c r="T222" s="513"/>
      <c r="U222" s="509"/>
    </row>
    <row r="223" spans="2:22" x14ac:dyDescent="0.2">
      <c r="C223" s="462"/>
      <c r="D223" s="547">
        <f t="shared" si="107"/>
        <v>2020</v>
      </c>
      <c r="E223" s="513"/>
      <c r="F223" s="513"/>
      <c r="G223" s="555">
        <f t="shared" si="108"/>
        <v>4.1652468702557677E-3</v>
      </c>
      <c r="H223" s="513"/>
      <c r="I223" s="561">
        <f>IF(I214=0,"",G213/I214-1)</f>
        <v>3.9680070150408087E-2</v>
      </c>
      <c r="J223" s="565"/>
      <c r="K223" s="545">
        <f t="shared" si="111"/>
        <v>2020</v>
      </c>
      <c r="L223" s="535" t="str">
        <f>IF(K213="Forecast","",IF(L212=0,"",L213/L212-1))</f>
        <v/>
      </c>
      <c r="M223" s="535">
        <f>IF(M212=0,"",M213/M212-1)</f>
        <v>-4.384264382429115E-3</v>
      </c>
      <c r="N223" s="513"/>
      <c r="O223" s="536">
        <f>IF(O214=0,"",M213/O214-1)</f>
        <v>-7.0896344281986323E-2</v>
      </c>
      <c r="P223" s="462"/>
      <c r="Q223" s="545">
        <f t="shared" si="112"/>
        <v>2020</v>
      </c>
      <c r="R223" s="556" t="str">
        <f>IF(Q213="Forecast","",IF(R212=0,"",R213/R212-1))</f>
        <v/>
      </c>
      <c r="S223" s="556">
        <f>IF(S212="","",IF(S212=0,"",S213/S212-1))</f>
        <v>-8.5140481403152002E-3</v>
      </c>
      <c r="T223" s="513"/>
      <c r="U223" s="536">
        <f>IF(U214=0,"",S213/U214-1)</f>
        <v>-0.10635619322432299</v>
      </c>
    </row>
    <row r="224" spans="2:22" ht="26.25" thickBot="1" x14ac:dyDescent="0.25">
      <c r="C224" s="466"/>
      <c r="D224" s="584" t="s">
        <v>958</v>
      </c>
      <c r="E224" s="537"/>
      <c r="F224" s="537"/>
      <c r="G224" s="557">
        <f>IF(G206=0,"",(G213/G206)^(1/($D213-$D206-1))-1)</f>
        <v>4.5668996291612363E-3</v>
      </c>
      <c r="H224" s="537"/>
      <c r="I224" s="585">
        <f>IF(I214=0,"",(G213/I214)^(1/(TestYear-RebaseYear-1))-1)</f>
        <v>6.5065832671835633E-3</v>
      </c>
      <c r="J224" s="542"/>
      <c r="K224" s="583" t="str">
        <f t="shared" si="111"/>
        <v>Geometric Mean</v>
      </c>
      <c r="L224" s="540">
        <f>IF(L206=0,"",(L211/L206)^(1/($D211-$D206-1))-1)</f>
        <v>-1.2690487618411517E-2</v>
      </c>
      <c r="M224" s="540">
        <f>IF(M206=0,"",(M213/M206)^(1/($D213-$D206-1))-1)</f>
        <v>-8.979572985180484E-3</v>
      </c>
      <c r="N224" s="537"/>
      <c r="O224" s="553">
        <f>IF(O214=0,"",(M213/O214)^(1/(TestYear-RebaseYear-1))-1)</f>
        <v>-1.2181031325223302E-2</v>
      </c>
      <c r="P224" s="466"/>
      <c r="Q224" s="583" t="str">
        <f t="shared" si="112"/>
        <v>Geometric Mean</v>
      </c>
      <c r="R224" s="1747">
        <f>IF(R206="","",IF(R206=0,"",(R211/R206)^(1/($D211-$D206-1))-1))</f>
        <v>-1.7030220887995107E-2</v>
      </c>
      <c r="S224" s="540">
        <f>IF(S206="","",IF(S206=0,"",(S213/S206)^(1/($D213-$D206-1))-1))</f>
        <v>-1.3484888482133472E-2</v>
      </c>
      <c r="T224" s="537"/>
      <c r="U224" s="553">
        <f>IF(U214=0,"",(S213/U214)^(1/(TestYear-RebaseYear-1))-1)</f>
        <v>-1.8566808109437005E-2</v>
      </c>
    </row>
    <row r="226" spans="3:21" ht="13.5" thickBot="1" x14ac:dyDescent="0.25">
      <c r="Q226" s="537"/>
      <c r="R226" s="537"/>
      <c r="S226" s="537"/>
      <c r="T226" s="537"/>
      <c r="U226" s="537"/>
    </row>
    <row r="227" spans="3:21" x14ac:dyDescent="0.2">
      <c r="C227" s="461"/>
      <c r="D227" s="465" t="s">
        <v>945</v>
      </c>
      <c r="E227" s="465"/>
      <c r="F227" s="2198" t="s">
        <v>938</v>
      </c>
      <c r="G227" s="2199"/>
      <c r="H227" s="2199"/>
      <c r="I227" s="2200"/>
      <c r="K227" s="2201" t="str">
        <f>IF(ISBLANK(Q202),"",CONCATENATE("Demand (",Q202,")"))</f>
        <v>Demand (kW)</v>
      </c>
      <c r="L227" s="2202"/>
      <c r="M227" s="2202"/>
      <c r="N227" s="2202"/>
      <c r="O227" s="2203"/>
      <c r="Q227" s="2204" t="str">
        <f>CONCATENATE("Demand (",Q202,") per ",LEFT(F204,LEN(F204)-1))</f>
        <v>Demand (kW) per Customer</v>
      </c>
      <c r="R227" s="2205"/>
      <c r="S227" s="2205"/>
      <c r="T227" s="2205"/>
      <c r="U227" s="2206"/>
    </row>
    <row r="228" spans="3:21" ht="39" thickBot="1" x14ac:dyDescent="0.25">
      <c r="C228" s="466"/>
      <c r="D228" s="468" t="str">
        <f>CONCATENATE("(for ",TestYear," Cost of Service")</f>
        <v>(for 2020 Cost of Service</v>
      </c>
      <c r="E228" s="463"/>
      <c r="F228" s="2194"/>
      <c r="G228" s="2195"/>
      <c r="H228" s="2195"/>
      <c r="I228" s="481"/>
      <c r="K228" s="472"/>
      <c r="L228" s="598" t="s">
        <v>962</v>
      </c>
      <c r="M228" s="598" t="s">
        <v>948</v>
      </c>
      <c r="N228" s="490"/>
      <c r="O228" s="491" t="str">
        <f>M228</f>
        <v>Weather-normalized</v>
      </c>
      <c r="Q228" s="582"/>
      <c r="R228" s="598" t="str">
        <f>L228</f>
        <v>Actual (Weather actual)</v>
      </c>
      <c r="S228" s="598" t="str">
        <f>M228</f>
        <v>Weather-normalized</v>
      </c>
      <c r="T228" s="598"/>
      <c r="U228" s="599" t="str">
        <f>O228</f>
        <v>Weather-normalized</v>
      </c>
    </row>
    <row r="229" spans="3:21" ht="13.5" thickBot="1" x14ac:dyDescent="0.25">
      <c r="C229" s="463" t="s">
        <v>786</v>
      </c>
      <c r="D229" s="545">
        <f t="shared" ref="D229:D235" si="113">D230-1</f>
        <v>2013</v>
      </c>
      <c r="E229" s="463"/>
      <c r="F229" s="498" t="str">
        <f t="shared" ref="F229:F236" si="114">F206</f>
        <v>Actual</v>
      </c>
      <c r="G229" s="496">
        <v>677493.52</v>
      </c>
      <c r="H229" s="2" t="str">
        <f t="shared" ref="H229:H236" si="115">IF(D229=RebaseYear,"OEB-approved","")</f>
        <v>OEB-approved</v>
      </c>
      <c r="I229" s="1470">
        <v>661594</v>
      </c>
      <c r="K229" s="1730"/>
      <c r="L229" s="1731"/>
      <c r="M229" s="1731"/>
      <c r="N229" s="1732"/>
      <c r="O229" s="1733"/>
      <c r="Q229" s="1742"/>
      <c r="R229" s="1731"/>
      <c r="S229" s="1731"/>
      <c r="T229" s="1731"/>
      <c r="U229" s="1741"/>
    </row>
    <row r="230" spans="3:21" x14ac:dyDescent="0.2">
      <c r="C230" s="463" t="s">
        <v>786</v>
      </c>
      <c r="D230" s="545">
        <f t="shared" si="113"/>
        <v>2014</v>
      </c>
      <c r="E230" s="462"/>
      <c r="F230" s="498" t="str">
        <f t="shared" si="114"/>
        <v>Actual</v>
      </c>
      <c r="G230" s="496">
        <v>683112.28999999992</v>
      </c>
      <c r="H230" s="2" t="str">
        <f>IF(D230=RebaseYear,"OEB-approved","")</f>
        <v/>
      </c>
      <c r="I230" s="1470"/>
      <c r="K230" s="470" t="str">
        <f t="shared" ref="K230:K236" si="116">K207</f>
        <v>Actual</v>
      </c>
      <c r="L230" s="479"/>
      <c r="M230" s="479"/>
      <c r="N230" s="459" t="str">
        <f t="shared" ref="N230:N236" si="117">N207</f>
        <v/>
      </c>
      <c r="O230" s="509"/>
      <c r="Q230" s="566" t="str">
        <f>K230</f>
        <v>Actual</v>
      </c>
      <c r="R230" s="513">
        <f>IF(G230=0,"",L230/G230)</f>
        <v>0</v>
      </c>
      <c r="S230" s="494">
        <f>IF(G230=0,"",M230/G230)</f>
        <v>0</v>
      </c>
      <c r="T230" s="494" t="str">
        <f>N230</f>
        <v/>
      </c>
      <c r="U230" s="462" t="str">
        <f>IF(T230="","",IF(I230=0,"",O230/I230))</f>
        <v/>
      </c>
    </row>
    <row r="231" spans="3:21" x14ac:dyDescent="0.2">
      <c r="C231" s="463" t="s">
        <v>786</v>
      </c>
      <c r="D231" s="545">
        <f t="shared" si="113"/>
        <v>2015</v>
      </c>
      <c r="E231" s="462"/>
      <c r="F231" s="499" t="str">
        <f t="shared" si="114"/>
        <v>Actual</v>
      </c>
      <c r="G231" s="496">
        <v>690915.54999999993</v>
      </c>
      <c r="H231" s="2" t="str">
        <f>IF(D231=RebaseYear,"OEB-approved","")</f>
        <v/>
      </c>
      <c r="I231" s="1471"/>
      <c r="K231" s="470" t="str">
        <f t="shared" si="116"/>
        <v>Actual</v>
      </c>
      <c r="L231" s="479"/>
      <c r="M231" s="479"/>
      <c r="N231" s="459" t="str">
        <f t="shared" si="117"/>
        <v/>
      </c>
      <c r="O231" s="509"/>
      <c r="Q231" s="566" t="str">
        <f t="shared" ref="Q231:Q236" si="118">K231</f>
        <v>Actual</v>
      </c>
      <c r="R231" s="513">
        <f t="shared" ref="R231:R236" si="119">IF(G231=0,"",L231/G231)</f>
        <v>0</v>
      </c>
      <c r="S231" s="494">
        <f t="shared" ref="S231:S236" si="120">IF(G231=0,"",M231/G231)</f>
        <v>0</v>
      </c>
      <c r="T231" s="494" t="str">
        <f t="shared" ref="T231:T236" si="121">N231</f>
        <v/>
      </c>
      <c r="U231" s="462" t="str">
        <f t="shared" ref="U231:U236" si="122">IF(T231="","",IF(I231=0,"",O231/I231))</f>
        <v/>
      </c>
    </row>
    <row r="232" spans="3:21" x14ac:dyDescent="0.2">
      <c r="C232" s="463" t="s">
        <v>786</v>
      </c>
      <c r="D232" s="545">
        <f t="shared" si="113"/>
        <v>2016</v>
      </c>
      <c r="E232" s="462"/>
      <c r="F232" s="499" t="str">
        <f t="shared" si="114"/>
        <v>Actual</v>
      </c>
      <c r="G232" s="496">
        <v>695131.52999999991</v>
      </c>
      <c r="H232" s="2" t="str">
        <f t="shared" si="115"/>
        <v/>
      </c>
      <c r="I232" s="1472"/>
      <c r="K232" s="470" t="str">
        <f t="shared" si="116"/>
        <v>Actual</v>
      </c>
      <c r="L232" s="479"/>
      <c r="M232" s="479"/>
      <c r="N232" s="459" t="str">
        <f t="shared" si="117"/>
        <v/>
      </c>
      <c r="O232" s="510"/>
      <c r="Q232" s="566" t="str">
        <f t="shared" si="118"/>
        <v>Actual</v>
      </c>
      <c r="R232" s="513">
        <f t="shared" si="119"/>
        <v>0</v>
      </c>
      <c r="S232" s="494">
        <f t="shared" si="120"/>
        <v>0</v>
      </c>
      <c r="T232" s="494" t="str">
        <f t="shared" si="121"/>
        <v/>
      </c>
      <c r="U232" s="462" t="str">
        <f t="shared" si="122"/>
        <v/>
      </c>
    </row>
    <row r="233" spans="3:21" x14ac:dyDescent="0.2">
      <c r="C233" s="463" t="s">
        <v>786</v>
      </c>
      <c r="D233" s="545">
        <f t="shared" si="113"/>
        <v>2017</v>
      </c>
      <c r="E233" s="462"/>
      <c r="F233" s="499" t="str">
        <f t="shared" si="114"/>
        <v>Actual</v>
      </c>
      <c r="G233" s="496">
        <v>703668.47</v>
      </c>
      <c r="H233" s="2" t="str">
        <f t="shared" si="115"/>
        <v/>
      </c>
      <c r="I233" s="1471"/>
      <c r="K233" s="470" t="str">
        <f t="shared" si="116"/>
        <v>Actual</v>
      </c>
      <c r="L233" s="479"/>
      <c r="M233" s="479"/>
      <c r="N233" s="459" t="str">
        <f t="shared" si="117"/>
        <v/>
      </c>
      <c r="O233" s="509"/>
      <c r="Q233" s="566" t="str">
        <f t="shared" si="118"/>
        <v>Actual</v>
      </c>
      <c r="R233" s="513">
        <f t="shared" si="119"/>
        <v>0</v>
      </c>
      <c r="S233" s="494">
        <f t="shared" si="120"/>
        <v>0</v>
      </c>
      <c r="T233" s="494" t="str">
        <f t="shared" si="121"/>
        <v/>
      </c>
      <c r="U233" s="462" t="str">
        <f t="shared" si="122"/>
        <v/>
      </c>
    </row>
    <row r="234" spans="3:21" x14ac:dyDescent="0.2">
      <c r="C234" s="463" t="s">
        <v>786</v>
      </c>
      <c r="D234" s="545">
        <f t="shared" si="113"/>
        <v>2018</v>
      </c>
      <c r="E234" s="462"/>
      <c r="F234" s="499" t="str">
        <f t="shared" si="114"/>
        <v>Actual</v>
      </c>
      <c r="G234" s="496">
        <v>716029.67999999993</v>
      </c>
      <c r="H234" s="2" t="str">
        <f t="shared" si="115"/>
        <v/>
      </c>
      <c r="I234" s="1471"/>
      <c r="K234" s="470" t="str">
        <f t="shared" si="116"/>
        <v>Actual</v>
      </c>
      <c r="L234" s="479"/>
      <c r="M234" s="479"/>
      <c r="N234" s="459" t="str">
        <f t="shared" si="117"/>
        <v/>
      </c>
      <c r="O234" s="509"/>
      <c r="Q234" s="566" t="str">
        <f t="shared" si="118"/>
        <v>Actual</v>
      </c>
      <c r="R234" s="513">
        <f t="shared" si="119"/>
        <v>0</v>
      </c>
      <c r="S234" s="494">
        <f t="shared" si="120"/>
        <v>0</v>
      </c>
      <c r="T234" s="494" t="str">
        <f t="shared" si="121"/>
        <v/>
      </c>
      <c r="U234" s="462" t="str">
        <f t="shared" si="122"/>
        <v/>
      </c>
    </row>
    <row r="235" spans="3:21" x14ac:dyDescent="0.2">
      <c r="C235" s="463" t="s">
        <v>943</v>
      </c>
      <c r="D235" s="545">
        <f t="shared" si="113"/>
        <v>2019</v>
      </c>
      <c r="E235" s="462"/>
      <c r="F235" s="499" t="str">
        <f t="shared" si="114"/>
        <v>Actual</v>
      </c>
      <c r="G235" s="496">
        <v>724013.68382886471</v>
      </c>
      <c r="H235" s="2" t="str">
        <f t="shared" si="115"/>
        <v/>
      </c>
      <c r="I235" s="1471"/>
      <c r="K235" s="470" t="str">
        <f t="shared" si="116"/>
        <v>Actual</v>
      </c>
      <c r="L235" s="488"/>
      <c r="M235" s="516"/>
      <c r="N235" s="459" t="str">
        <f t="shared" si="117"/>
        <v/>
      </c>
      <c r="O235" s="509"/>
      <c r="Q235" s="566" t="str">
        <f t="shared" si="118"/>
        <v>Actual</v>
      </c>
      <c r="R235" s="513">
        <f t="shared" si="119"/>
        <v>0</v>
      </c>
      <c r="S235" s="494">
        <f t="shared" si="120"/>
        <v>0</v>
      </c>
      <c r="T235" s="494" t="str">
        <f t="shared" si="121"/>
        <v/>
      </c>
      <c r="U235" s="462" t="str">
        <f t="shared" si="122"/>
        <v/>
      </c>
    </row>
    <row r="236" spans="3:21" ht="13.5" thickBot="1" x14ac:dyDescent="0.25">
      <c r="C236" s="464" t="s">
        <v>944</v>
      </c>
      <c r="D236" s="546">
        <f>TestYear</f>
        <v>2020</v>
      </c>
      <c r="E236" s="466"/>
      <c r="F236" s="500" t="str">
        <f t="shared" si="114"/>
        <v>Forecast</v>
      </c>
      <c r="G236" s="497">
        <v>754870.88748202519</v>
      </c>
      <c r="H236" s="492" t="str">
        <f t="shared" si="115"/>
        <v/>
      </c>
      <c r="I236" s="1473"/>
      <c r="K236" s="471" t="str">
        <f t="shared" si="116"/>
        <v>Forecast</v>
      </c>
      <c r="L236" s="489"/>
      <c r="M236" s="517"/>
      <c r="N236" s="460" t="str">
        <f t="shared" si="117"/>
        <v/>
      </c>
      <c r="O236" s="511"/>
      <c r="Q236" s="504" t="str">
        <f t="shared" si="118"/>
        <v>Forecast</v>
      </c>
      <c r="R236" s="495">
        <f t="shared" si="119"/>
        <v>0</v>
      </c>
      <c r="S236" s="495">
        <f t="shared" si="120"/>
        <v>0</v>
      </c>
      <c r="T236" s="495" t="str">
        <f t="shared" si="121"/>
        <v/>
      </c>
      <c r="U236" s="466" t="str">
        <f t="shared" si="122"/>
        <v/>
      </c>
    </row>
    <row r="237" spans="3:21" ht="13.5" thickBot="1" x14ac:dyDescent="0.25">
      <c r="C237" s="548"/>
      <c r="I237" s="1806">
        <f>SUM(I229:I235)</f>
        <v>661594</v>
      </c>
      <c r="J237" s="513"/>
      <c r="O237" s="587">
        <f>SUM(O230:O235)</f>
        <v>0</v>
      </c>
      <c r="U237" s="587">
        <f>SUM(U230:U235)</f>
        <v>0</v>
      </c>
    </row>
    <row r="238" spans="3:21" ht="39" customHeight="1" thickBot="1" x14ac:dyDescent="0.25">
      <c r="C238" s="579" t="s">
        <v>837</v>
      </c>
      <c r="D238" s="578" t="s">
        <v>10</v>
      </c>
      <c r="E238" s="1449"/>
      <c r="F238" s="1449"/>
      <c r="G238" s="1449" t="s">
        <v>959</v>
      </c>
      <c r="H238" s="1449"/>
      <c r="I238" s="573" t="str">
        <f>I215</f>
        <v>Test Year Versus OEB-approved</v>
      </c>
      <c r="J238" s="586"/>
      <c r="K238" s="574" t="s">
        <v>10</v>
      </c>
      <c r="L238" s="2196" t="s">
        <v>959</v>
      </c>
      <c r="M238" s="2196"/>
      <c r="N238" s="1449"/>
      <c r="O238" s="573" t="str">
        <f>I238</f>
        <v>Test Year Versus OEB-approved</v>
      </c>
      <c r="P238" s="562"/>
      <c r="Q238" s="574" t="s">
        <v>10</v>
      </c>
      <c r="R238" s="2196" t="s">
        <v>959</v>
      </c>
      <c r="S238" s="2196"/>
      <c r="T238" s="1449"/>
      <c r="U238" s="573" t="str">
        <f>O238</f>
        <v>Test Year Versus OEB-approved</v>
      </c>
    </row>
    <row r="239" spans="3:21" ht="18" customHeight="1" thickBot="1" x14ac:dyDescent="0.25">
      <c r="C239" s="1743"/>
      <c r="D239" s="581">
        <f t="shared" ref="D239:D246" si="123">D229</f>
        <v>2013</v>
      </c>
      <c r="E239" s="1749"/>
      <c r="F239" s="1739"/>
      <c r="G239" s="554"/>
      <c r="H239" s="1739"/>
      <c r="I239" s="1741"/>
      <c r="J239" s="586"/>
      <c r="K239" s="586"/>
      <c r="L239" s="1739"/>
      <c r="M239" s="1739"/>
      <c r="N239" s="1739"/>
      <c r="O239" s="1741"/>
      <c r="P239" s="586"/>
      <c r="Q239" s="586"/>
      <c r="R239" s="1739"/>
      <c r="S239" s="1739"/>
      <c r="T239" s="1739"/>
      <c r="U239" s="1741"/>
    </row>
    <row r="240" spans="3:21" x14ac:dyDescent="0.2">
      <c r="C240" s="462"/>
      <c r="D240" s="581">
        <f t="shared" si="123"/>
        <v>2014</v>
      </c>
      <c r="E240" s="527"/>
      <c r="F240" s="513"/>
      <c r="G240" s="555">
        <f t="shared" ref="G240:G246" si="124">IF(G229=0,"",G230/G229-1)</f>
        <v>8.2934667773646442E-3</v>
      </c>
      <c r="H240" s="513"/>
      <c r="I240" s="560"/>
      <c r="J240" s="462"/>
      <c r="K240" s="545">
        <f>D240</f>
        <v>2014</v>
      </c>
      <c r="L240" s="533"/>
      <c r="M240" s="533"/>
      <c r="N240" s="513"/>
      <c r="O240" s="563"/>
      <c r="P240" s="462"/>
      <c r="Q240" s="545">
        <f>K240</f>
        <v>2014</v>
      </c>
      <c r="R240" s="514"/>
      <c r="S240" s="514"/>
      <c r="T240" s="513"/>
      <c r="U240" s="509"/>
    </row>
    <row r="241" spans="2:22" x14ac:dyDescent="0.2">
      <c r="C241" s="462"/>
      <c r="D241" s="547">
        <f t="shared" si="123"/>
        <v>2015</v>
      </c>
      <c r="E241" s="513"/>
      <c r="F241" s="513"/>
      <c r="G241" s="555">
        <f t="shared" si="124"/>
        <v>1.1423100000147901E-2</v>
      </c>
      <c r="H241" s="513"/>
      <c r="I241" s="560"/>
      <c r="J241" s="462"/>
      <c r="K241" s="545">
        <f t="shared" ref="K241:K247" si="125">D241</f>
        <v>2015</v>
      </c>
      <c r="L241" s="535" t="str">
        <f t="shared" ref="L241:M244" si="126">IF(L230=0,"",L231/L230-1)</f>
        <v/>
      </c>
      <c r="M241" s="535" t="str">
        <f t="shared" si="126"/>
        <v/>
      </c>
      <c r="N241" s="513"/>
      <c r="O241" s="563"/>
      <c r="P241" s="462"/>
      <c r="Q241" s="545">
        <f t="shared" ref="Q241:Q247" si="127">K241</f>
        <v>2015</v>
      </c>
      <c r="R241" s="556" t="str">
        <f t="shared" ref="R241:S244" si="128">IF(R230="","",IF(R230=0,"",R231/R230-1))</f>
        <v/>
      </c>
      <c r="S241" s="556" t="str">
        <f t="shared" si="128"/>
        <v/>
      </c>
      <c r="T241" s="513"/>
      <c r="U241" s="509"/>
    </row>
    <row r="242" spans="2:22" x14ac:dyDescent="0.2">
      <c r="C242" s="462"/>
      <c r="D242" s="580">
        <f t="shared" si="123"/>
        <v>2016</v>
      </c>
      <c r="E242" s="513"/>
      <c r="F242" s="513"/>
      <c r="G242" s="555">
        <f t="shared" si="124"/>
        <v>6.1020192699381415E-3</v>
      </c>
      <c r="H242" s="513"/>
      <c r="I242" s="560"/>
      <c r="J242" s="462"/>
      <c r="K242" s="545">
        <f t="shared" si="125"/>
        <v>2016</v>
      </c>
      <c r="L242" s="535" t="str">
        <f t="shared" si="126"/>
        <v/>
      </c>
      <c r="M242" s="535" t="str">
        <f t="shared" si="126"/>
        <v/>
      </c>
      <c r="N242" s="513"/>
      <c r="O242" s="563"/>
      <c r="P242" s="462"/>
      <c r="Q242" s="545">
        <f t="shared" si="127"/>
        <v>2016</v>
      </c>
      <c r="R242" s="556" t="str">
        <f t="shared" si="128"/>
        <v/>
      </c>
      <c r="S242" s="556" t="str">
        <f t="shared" si="128"/>
        <v/>
      </c>
      <c r="T242" s="513"/>
      <c r="U242" s="509"/>
    </row>
    <row r="243" spans="2:22" x14ac:dyDescent="0.2">
      <c r="C243" s="462"/>
      <c r="D243" s="547">
        <f t="shared" si="123"/>
        <v>2017</v>
      </c>
      <c r="E243" s="513"/>
      <c r="F243" s="513"/>
      <c r="G243" s="555">
        <f t="shared" si="124"/>
        <v>1.2281042697056321E-2</v>
      </c>
      <c r="H243" s="513"/>
      <c r="I243" s="560"/>
      <c r="J243" s="462"/>
      <c r="K243" s="545">
        <f t="shared" si="125"/>
        <v>2017</v>
      </c>
      <c r="L243" s="535" t="str">
        <f t="shared" si="126"/>
        <v/>
      </c>
      <c r="M243" s="535" t="str">
        <f t="shared" si="126"/>
        <v/>
      </c>
      <c r="N243" s="513"/>
      <c r="O243" s="563"/>
      <c r="P243" s="462"/>
      <c r="Q243" s="545">
        <f t="shared" si="127"/>
        <v>2017</v>
      </c>
      <c r="R243" s="556" t="str">
        <f t="shared" si="128"/>
        <v/>
      </c>
      <c r="S243" s="556" t="str">
        <f t="shared" si="128"/>
        <v/>
      </c>
      <c r="T243" s="513"/>
      <c r="U243" s="509"/>
    </row>
    <row r="244" spans="2:22" x14ac:dyDescent="0.2">
      <c r="C244" s="462"/>
      <c r="D244" s="547">
        <f t="shared" si="123"/>
        <v>2018</v>
      </c>
      <c r="E244" s="513"/>
      <c r="F244" s="513"/>
      <c r="G244" s="555">
        <f t="shared" si="124"/>
        <v>1.7566809551662788E-2</v>
      </c>
      <c r="H244" s="513"/>
      <c r="I244" s="560"/>
      <c r="J244" s="462"/>
      <c r="K244" s="545">
        <f t="shared" si="125"/>
        <v>2018</v>
      </c>
      <c r="L244" s="535" t="str">
        <f t="shared" si="126"/>
        <v/>
      </c>
      <c r="M244" s="535" t="str">
        <f t="shared" si="126"/>
        <v/>
      </c>
      <c r="N244" s="513"/>
      <c r="O244" s="563"/>
      <c r="P244" s="462"/>
      <c r="Q244" s="545">
        <f t="shared" si="127"/>
        <v>2018</v>
      </c>
      <c r="R244" s="556" t="str">
        <f t="shared" si="128"/>
        <v/>
      </c>
      <c r="S244" s="556" t="str">
        <f t="shared" si="128"/>
        <v/>
      </c>
      <c r="T244" s="513"/>
      <c r="U244" s="509"/>
    </row>
    <row r="245" spans="2:22" x14ac:dyDescent="0.2">
      <c r="C245" s="462"/>
      <c r="D245" s="547">
        <f t="shared" si="123"/>
        <v>2019</v>
      </c>
      <c r="E245" s="513"/>
      <c r="F245" s="513"/>
      <c r="G245" s="555">
        <f t="shared" si="124"/>
        <v>1.1150381125073938E-2</v>
      </c>
      <c r="H245" s="513"/>
      <c r="I245" s="560"/>
      <c r="J245" s="462"/>
      <c r="K245" s="545">
        <f t="shared" si="125"/>
        <v>2019</v>
      </c>
      <c r="L245" s="535" t="str">
        <f>IF(K235="Forecast","",IF(L234=0,"",L235/L234-1))</f>
        <v/>
      </c>
      <c r="M245" s="535" t="str">
        <f>IF(M234=0,"",M235/M234-1)</f>
        <v/>
      </c>
      <c r="N245" s="513"/>
      <c r="O245" s="563"/>
      <c r="P245" s="462"/>
      <c r="Q245" s="545">
        <f t="shared" si="127"/>
        <v>2019</v>
      </c>
      <c r="R245" s="556" t="str">
        <f>IF(Q235="Forecast","",IF(R234=0,"",R235/R234-1))</f>
        <v/>
      </c>
      <c r="S245" s="556" t="str">
        <f>IF(S234="","",IF(S234=0,"",S235/S234-1))</f>
        <v/>
      </c>
      <c r="T245" s="513"/>
      <c r="U245" s="509"/>
    </row>
    <row r="246" spans="2:22" x14ac:dyDescent="0.2">
      <c r="C246" s="462"/>
      <c r="D246" s="580">
        <f t="shared" si="123"/>
        <v>2020</v>
      </c>
      <c r="E246" s="513"/>
      <c r="F246" s="513"/>
      <c r="G246" s="555">
        <f t="shared" si="124"/>
        <v>4.261964151005504E-2</v>
      </c>
      <c r="H246" s="513"/>
      <c r="I246" s="561">
        <f>IF(I237=0,"",G236/I237-1)</f>
        <v>0.14098810975012643</v>
      </c>
      <c r="J246" s="462"/>
      <c r="K246" s="545">
        <f t="shared" si="125"/>
        <v>2020</v>
      </c>
      <c r="L246" s="535" t="str">
        <f>IF(K236="Forecast","",IF(L235=0,"",L236/L235-1))</f>
        <v/>
      </c>
      <c r="M246" s="535" t="str">
        <f>IF(M235=0,"",M236/M235-1)</f>
        <v/>
      </c>
      <c r="N246" s="513"/>
      <c r="O246" s="564" t="str">
        <f>IF(O237=0,"",M236/O237-1)</f>
        <v/>
      </c>
      <c r="P246" s="462"/>
      <c r="Q246" s="545">
        <f t="shared" si="127"/>
        <v>2020</v>
      </c>
      <c r="R246" s="556" t="str">
        <f>IF(Q236="Forecast","",IF(R235=0,"",R236/R235-1))</f>
        <v/>
      </c>
      <c r="S246" s="556" t="str">
        <f>IF(S235="","",IF(S235=0,"",S236/S235-1))</f>
        <v/>
      </c>
      <c r="T246" s="513"/>
      <c r="U246" s="536" t="str">
        <f>IF(U237=0,"",S236/U237-1)</f>
        <v/>
      </c>
    </row>
    <row r="247" spans="2:22" ht="26.25" thickBot="1" x14ac:dyDescent="0.25">
      <c r="C247" s="466"/>
      <c r="D247" s="584" t="s">
        <v>958</v>
      </c>
      <c r="E247" s="537"/>
      <c r="F247" s="537"/>
      <c r="G247" s="557">
        <f>IF(G229=0,"",(G236/G229)^(1/($D236-$D229-1))-1)</f>
        <v>1.8187876978832174E-2</v>
      </c>
      <c r="H247" s="537"/>
      <c r="I247" s="553">
        <f>IF(I237=0,"",(G236/I237)^(1/(TestYear-RebaseYear-1))-1)</f>
        <v>2.2225835717785358E-2</v>
      </c>
      <c r="J247" s="462"/>
      <c r="K247" s="583" t="str">
        <f t="shared" si="125"/>
        <v>Geometric Mean</v>
      </c>
      <c r="L247" s="540" t="str">
        <f>IF(L230=0,"",(L234/L230)^(1/($D234-$D230-1))-1)</f>
        <v/>
      </c>
      <c r="M247" s="540" t="str">
        <f>IF(M230=0,"",(M236/M230)^(1/($D236-$D230-1))-1)</f>
        <v/>
      </c>
      <c r="N247" s="537"/>
      <c r="O247" s="553" t="str">
        <f>IF(O237=0,"",(M236/O237)^(1/(TestYear-RebaseYear-1))-1)</f>
        <v/>
      </c>
      <c r="P247" s="466"/>
      <c r="Q247" s="583" t="str">
        <f t="shared" si="127"/>
        <v>Geometric Mean</v>
      </c>
      <c r="R247" s="558" t="str">
        <f>IF(R230="","",IF(R230=0,"",(R234/R230)^(1/($D234-$D230-1))-1))</f>
        <v/>
      </c>
      <c r="S247" s="540" t="str">
        <f>IF(S230="","",IF(S230=0,"",(S236/S230)^(1/($D236-$D230-1))-1))</f>
        <v/>
      </c>
      <c r="T247" s="537"/>
      <c r="U247" s="553" t="str">
        <f>IF(U237=0,"",(S236/U237)^(1/(TestYear-RebaseYear-1))-1)</f>
        <v/>
      </c>
    </row>
    <row r="248" spans="2:22" ht="13.5" thickBot="1" x14ac:dyDescent="0.25">
      <c r="C248" s="513"/>
      <c r="D248" s="1478"/>
      <c r="E248" s="513"/>
      <c r="F248" s="513"/>
      <c r="G248" s="555"/>
      <c r="H248" s="513"/>
      <c r="I248" s="1479"/>
      <c r="J248" s="513"/>
      <c r="K248" s="1478"/>
      <c r="L248" s="535"/>
      <c r="M248" s="535"/>
      <c r="N248" s="513"/>
      <c r="O248" s="1479"/>
      <c r="P248" s="513"/>
      <c r="Q248" s="1478"/>
      <c r="R248" s="556"/>
      <c r="S248" s="535"/>
      <c r="T248" s="513"/>
      <c r="U248" s="1479"/>
    </row>
    <row r="249" spans="2:22" ht="13.5" thickBot="1" x14ac:dyDescent="0.25">
      <c r="B249" s="503">
        <v>5</v>
      </c>
      <c r="C249" s="3" t="s">
        <v>9</v>
      </c>
      <c r="D249" s="2191" t="s">
        <v>1163</v>
      </c>
      <c r="E249" s="2192"/>
      <c r="F249" s="2192"/>
      <c r="G249" s="2192"/>
      <c r="H249" s="2192"/>
      <c r="I249" s="2193"/>
      <c r="K249" s="9" t="s">
        <v>960</v>
      </c>
      <c r="Q249" s="502" t="s">
        <v>1594</v>
      </c>
      <c r="R249" s="501"/>
      <c r="S249" s="501"/>
      <c r="T249" s="501"/>
      <c r="U249" s="501"/>
    </row>
    <row r="250" spans="2:22" ht="13.5" thickBot="1" x14ac:dyDescent="0.25">
      <c r="Q250" s="537"/>
      <c r="R250" s="537"/>
      <c r="S250" s="537"/>
      <c r="T250" s="537"/>
      <c r="U250" s="537"/>
    </row>
    <row r="251" spans="2:22" ht="12.75" customHeight="1" x14ac:dyDescent="0.2">
      <c r="C251" s="461"/>
      <c r="D251" s="465" t="s">
        <v>945</v>
      </c>
      <c r="E251" s="465"/>
      <c r="F251" s="2207" t="s">
        <v>888</v>
      </c>
      <c r="G251" s="2208"/>
      <c r="H251" s="2208"/>
      <c r="I251" s="2209"/>
      <c r="J251" s="465"/>
      <c r="K251" s="2201" t="s">
        <v>951</v>
      </c>
      <c r="L251" s="2202"/>
      <c r="M251" s="2202"/>
      <c r="N251" s="2202"/>
      <c r="O251" s="2203"/>
      <c r="P251" s="473"/>
      <c r="Q251" s="2204" t="str">
        <f>CONCATENATE("Consumption (kWh) per ",LEFT(F251,LEN(F251)-1))</f>
        <v>Consumption (kWh) per Customer</v>
      </c>
      <c r="R251" s="2205"/>
      <c r="S251" s="2205"/>
      <c r="T251" s="2205"/>
      <c r="U251" s="2206"/>
      <c r="V251" s="493"/>
    </row>
    <row r="252" spans="2:22" ht="38.25" customHeight="1" thickBot="1" x14ac:dyDescent="0.25">
      <c r="C252" s="466"/>
      <c r="D252" s="468" t="str">
        <f>CONCATENATE("(for ",TestYear," Cost of Service")</f>
        <v>(for 2020 Cost of Service</v>
      </c>
      <c r="E252" s="463"/>
      <c r="F252" s="2194"/>
      <c r="G252" s="2195"/>
      <c r="H252" s="2197"/>
      <c r="I252" s="1477"/>
      <c r="J252" s="463"/>
      <c r="K252" s="472"/>
      <c r="L252" s="598" t="s">
        <v>962</v>
      </c>
      <c r="M252" s="598" t="s">
        <v>948</v>
      </c>
      <c r="N252" s="490"/>
      <c r="O252" s="491" t="s">
        <v>948</v>
      </c>
      <c r="P252" s="463"/>
      <c r="Q252" s="568"/>
      <c r="R252" s="569" t="str">
        <f>L252</f>
        <v>Actual (Weather actual)</v>
      </c>
      <c r="S252" s="570" t="str">
        <f>M252</f>
        <v>Weather-normalized</v>
      </c>
      <c r="T252" s="570"/>
      <c r="U252" s="571" t="str">
        <f>O252</f>
        <v>Weather-normalized</v>
      </c>
      <c r="V252" s="493"/>
    </row>
    <row r="253" spans="2:22" ht="14.45" customHeight="1" thickBot="1" x14ac:dyDescent="0.25">
      <c r="C253" s="463" t="s">
        <v>786</v>
      </c>
      <c r="D253" s="545">
        <f t="shared" ref="D253:D258" si="129">D254-1</f>
        <v>2013</v>
      </c>
      <c r="E253" s="463"/>
      <c r="F253" s="498" t="str">
        <f>$K$40</f>
        <v>Actual</v>
      </c>
      <c r="G253" s="486">
        <v>419.5</v>
      </c>
      <c r="H253" s="482" t="str">
        <f>IF(D253=RebaseYear,"OEB-approved","")</f>
        <v>OEB-approved</v>
      </c>
      <c r="I253" s="1474">
        <v>436</v>
      </c>
      <c r="J253" s="463"/>
      <c r="K253" s="470" t="str">
        <f>F253</f>
        <v>Actual</v>
      </c>
      <c r="L253" s="1734">
        <v>444393.61480075913</v>
      </c>
      <c r="M253" s="1734">
        <v>444393.61480075913</v>
      </c>
      <c r="N253" s="459" t="str">
        <f t="shared" ref="N253:N260" si="130">H253</f>
        <v>OEB-approved</v>
      </c>
      <c r="O253" s="1474">
        <v>462466</v>
      </c>
      <c r="P253" s="463"/>
      <c r="Q253" s="566" t="str">
        <f>K253</f>
        <v>Actual</v>
      </c>
      <c r="R253" s="1466">
        <f>IF(G253=0,"",L253/G253)</f>
        <v>1059.3411556633114</v>
      </c>
      <c r="S253" s="1467">
        <f>IF(G253=0,"",M253/G253)</f>
        <v>1059.3411556633114</v>
      </c>
      <c r="T253" s="513" t="str">
        <f t="shared" ref="T253:T260" si="131">N253</f>
        <v>OEB-approved</v>
      </c>
      <c r="U253" s="1467">
        <f t="shared" ref="U253:U260" si="132">IF(T253="","",IF(I253=0,"",O253/I253))</f>
        <v>1060.7018348623853</v>
      </c>
      <c r="V253" s="493"/>
    </row>
    <row r="254" spans="2:22" x14ac:dyDescent="0.2">
      <c r="C254" s="463" t="s">
        <v>786</v>
      </c>
      <c r="D254" s="545">
        <f t="shared" si="129"/>
        <v>2014</v>
      </c>
      <c r="E254" s="462"/>
      <c r="F254" s="498" t="str">
        <f>$K$40</f>
        <v>Actual</v>
      </c>
      <c r="G254" s="486">
        <v>413</v>
      </c>
      <c r="H254" s="482" t="str">
        <f>IF(D254=RebaseYear,"OEB-approved","")</f>
        <v/>
      </c>
      <c r="I254" s="1474"/>
      <c r="J254" s="462"/>
      <c r="K254" s="470" t="str">
        <f>F254</f>
        <v>Actual</v>
      </c>
      <c r="L254" s="1734">
        <v>438853.51043643302</v>
      </c>
      <c r="M254" s="1734">
        <v>438853.51043643302</v>
      </c>
      <c r="N254" s="459" t="str">
        <f t="shared" si="130"/>
        <v/>
      </c>
      <c r="O254" s="1461"/>
      <c r="P254" s="462"/>
      <c r="Q254" s="566" t="str">
        <f>K254</f>
        <v>Actual</v>
      </c>
      <c r="R254" s="1466">
        <f>IF(G254=0,"",L254/G254)</f>
        <v>1062.5992988775618</v>
      </c>
      <c r="S254" s="1467">
        <f>IF(G254=0,"",M254/G254)</f>
        <v>1062.5992988775618</v>
      </c>
      <c r="T254" s="513" t="str">
        <f t="shared" si="131"/>
        <v/>
      </c>
      <c r="U254" s="1467" t="str">
        <f t="shared" si="132"/>
        <v/>
      </c>
      <c r="V254" s="494"/>
    </row>
    <row r="255" spans="2:22" x14ac:dyDescent="0.2">
      <c r="C255" s="463" t="s">
        <v>786</v>
      </c>
      <c r="D255" s="545">
        <f t="shared" si="129"/>
        <v>2015</v>
      </c>
      <c r="E255" s="462"/>
      <c r="F255" s="499" t="str">
        <f>$K$41</f>
        <v>Actual</v>
      </c>
      <c r="G255" s="486">
        <v>404.5</v>
      </c>
      <c r="H255" s="482" t="str">
        <f t="shared" ref="H255:H260" si="133">IF(D255=RebaseYear,"OEB-approved","")</f>
        <v/>
      </c>
      <c r="I255" s="1474"/>
      <c r="J255" s="462"/>
      <c r="K255" s="470" t="str">
        <f t="shared" ref="K255:K260" si="134">F255</f>
        <v>Actual</v>
      </c>
      <c r="L255" s="1734">
        <v>428604.18406072113</v>
      </c>
      <c r="M255" s="1734">
        <v>428604.18406072113</v>
      </c>
      <c r="N255" s="459" t="str">
        <f t="shared" si="130"/>
        <v/>
      </c>
      <c r="O255" s="1461"/>
      <c r="P255" s="462"/>
      <c r="Q255" s="566" t="str">
        <f t="shared" ref="Q255:Q260" si="135">K255</f>
        <v>Actual</v>
      </c>
      <c r="R255" s="1466">
        <f t="shared" ref="R255:R260" si="136">IF(G255=0,"",L255/G255)</f>
        <v>1059.5900718435628</v>
      </c>
      <c r="S255" s="1467">
        <f t="shared" ref="S255:S260" si="137">IF(G255=0,"",M255/G255)</f>
        <v>1059.5900718435628</v>
      </c>
      <c r="T255" s="513" t="str">
        <f t="shared" si="131"/>
        <v/>
      </c>
      <c r="U255" s="1467" t="str">
        <f t="shared" si="132"/>
        <v/>
      </c>
      <c r="V255" s="494"/>
    </row>
    <row r="256" spans="2:22" x14ac:dyDescent="0.2">
      <c r="C256" s="463" t="s">
        <v>786</v>
      </c>
      <c r="D256" s="545">
        <f t="shared" si="129"/>
        <v>2016</v>
      </c>
      <c r="E256" s="462"/>
      <c r="F256" s="499" t="str">
        <f>$K$42</f>
        <v>Actual</v>
      </c>
      <c r="G256" s="486">
        <v>398.25</v>
      </c>
      <c r="H256" s="482" t="str">
        <f t="shared" si="133"/>
        <v/>
      </c>
      <c r="I256" s="1476"/>
      <c r="J256" s="462"/>
      <c r="K256" s="470" t="str">
        <f t="shared" si="134"/>
        <v>Actual</v>
      </c>
      <c r="L256" s="1734">
        <v>426192.62808349164</v>
      </c>
      <c r="M256" s="1734">
        <v>426192.6280834917</v>
      </c>
      <c r="N256" s="459" t="str">
        <f t="shared" si="130"/>
        <v/>
      </c>
      <c r="O256" s="1462"/>
      <c r="P256" s="462"/>
      <c r="Q256" s="566" t="str">
        <f t="shared" si="135"/>
        <v>Actual</v>
      </c>
      <c r="R256" s="1466">
        <f t="shared" si="136"/>
        <v>1070.1635356773174</v>
      </c>
      <c r="S256" s="1467">
        <f t="shared" si="137"/>
        <v>1070.1635356773174</v>
      </c>
      <c r="T256" s="513" t="str">
        <f t="shared" si="131"/>
        <v/>
      </c>
      <c r="U256" s="1467" t="str">
        <f t="shared" si="132"/>
        <v/>
      </c>
      <c r="V256" s="494"/>
    </row>
    <row r="257" spans="2:22" x14ac:dyDescent="0.2">
      <c r="C257" s="463" t="s">
        <v>786</v>
      </c>
      <c r="D257" s="545">
        <f t="shared" si="129"/>
        <v>2017</v>
      </c>
      <c r="E257" s="462"/>
      <c r="F257" s="499" t="str">
        <f>$K$43</f>
        <v>Actual</v>
      </c>
      <c r="G257" s="486">
        <v>383.5</v>
      </c>
      <c r="H257" s="482" t="str">
        <f t="shared" si="133"/>
        <v/>
      </c>
      <c r="I257" s="1474"/>
      <c r="J257" s="462"/>
      <c r="K257" s="470" t="str">
        <f t="shared" si="134"/>
        <v>Actual</v>
      </c>
      <c r="L257" s="1734">
        <v>412947.67552182189</v>
      </c>
      <c r="M257" s="1734">
        <v>412947.67552182189</v>
      </c>
      <c r="N257" s="459" t="str">
        <f t="shared" si="130"/>
        <v/>
      </c>
      <c r="O257" s="1461"/>
      <c r="P257" s="462"/>
      <c r="Q257" s="566" t="str">
        <f t="shared" si="135"/>
        <v>Actual</v>
      </c>
      <c r="R257" s="1466">
        <f t="shared" si="136"/>
        <v>1076.7866376057937</v>
      </c>
      <c r="S257" s="1467">
        <f t="shared" si="137"/>
        <v>1076.7866376057937</v>
      </c>
      <c r="T257" s="513" t="str">
        <f t="shared" si="131"/>
        <v/>
      </c>
      <c r="U257" s="1467" t="str">
        <f t="shared" si="132"/>
        <v/>
      </c>
      <c r="V257" s="494"/>
    </row>
    <row r="258" spans="2:22" x14ac:dyDescent="0.2">
      <c r="C258" s="463" t="s">
        <v>786</v>
      </c>
      <c r="D258" s="545">
        <f t="shared" si="129"/>
        <v>2018</v>
      </c>
      <c r="E258" s="462"/>
      <c r="F258" s="499" t="str">
        <f>$K$44</f>
        <v>Actual</v>
      </c>
      <c r="G258" s="486">
        <v>380.75</v>
      </c>
      <c r="H258" s="482" t="str">
        <f t="shared" si="133"/>
        <v/>
      </c>
      <c r="I258" s="1474"/>
      <c r="J258" s="462"/>
      <c r="K258" s="470" t="str">
        <f t="shared" si="134"/>
        <v>Actual</v>
      </c>
      <c r="L258" s="1734">
        <v>403671.29981024703</v>
      </c>
      <c r="M258" s="1734">
        <v>403671.29981024697</v>
      </c>
      <c r="N258" s="459" t="str">
        <f t="shared" si="130"/>
        <v/>
      </c>
      <c r="O258" s="1461"/>
      <c r="P258" s="462"/>
      <c r="Q258" s="566" t="str">
        <f t="shared" si="135"/>
        <v>Actual</v>
      </c>
      <c r="R258" s="1466">
        <f t="shared" si="136"/>
        <v>1060.2003934609245</v>
      </c>
      <c r="S258" s="1467">
        <f t="shared" si="137"/>
        <v>1060.2003934609245</v>
      </c>
      <c r="T258" s="513" t="str">
        <f t="shared" si="131"/>
        <v/>
      </c>
      <c r="U258" s="1467" t="str">
        <f t="shared" si="132"/>
        <v/>
      </c>
      <c r="V258" s="494"/>
    </row>
    <row r="259" spans="2:22" x14ac:dyDescent="0.2">
      <c r="C259" s="463" t="s">
        <v>276</v>
      </c>
      <c r="D259" s="545">
        <f>D260-1</f>
        <v>2019</v>
      </c>
      <c r="E259" s="462"/>
      <c r="F259" s="499" t="str">
        <f>$K$45</f>
        <v>Actual</v>
      </c>
      <c r="G259" s="486">
        <v>366.25</v>
      </c>
      <c r="H259" s="482" t="str">
        <f t="shared" si="133"/>
        <v/>
      </c>
      <c r="I259" s="1474"/>
      <c r="J259" s="462"/>
      <c r="K259" s="470" t="str">
        <f t="shared" si="134"/>
        <v>Actual</v>
      </c>
      <c r="L259" s="1734">
        <v>372541.78</v>
      </c>
      <c r="M259" s="1735">
        <v>372541.78</v>
      </c>
      <c r="N259" s="459" t="str">
        <f t="shared" si="130"/>
        <v/>
      </c>
      <c r="O259" s="1461"/>
      <c r="P259" s="462"/>
      <c r="Q259" s="566" t="str">
        <f t="shared" si="135"/>
        <v>Actual</v>
      </c>
      <c r="R259" s="1466">
        <f t="shared" si="136"/>
        <v>1017.1789215017066</v>
      </c>
      <c r="S259" s="1467">
        <f t="shared" si="137"/>
        <v>1017.1789215017066</v>
      </c>
      <c r="T259" s="513" t="str">
        <f t="shared" si="131"/>
        <v/>
      </c>
      <c r="U259" s="1467" t="str">
        <f t="shared" si="132"/>
        <v/>
      </c>
      <c r="V259" s="494"/>
    </row>
    <row r="260" spans="2:22" ht="13.5" thickBot="1" x14ac:dyDescent="0.25">
      <c r="C260" s="464" t="s">
        <v>277</v>
      </c>
      <c r="D260" s="546">
        <f>TestYear</f>
        <v>2020</v>
      </c>
      <c r="E260" s="466"/>
      <c r="F260" s="500" t="str">
        <f>$K$46</f>
        <v>Forecast</v>
      </c>
      <c r="G260" s="487">
        <v>359.92063615793285</v>
      </c>
      <c r="H260" s="483" t="str">
        <f t="shared" si="133"/>
        <v/>
      </c>
      <c r="I260" s="1475"/>
      <c r="J260" s="466"/>
      <c r="K260" s="471" t="str">
        <f t="shared" si="134"/>
        <v>Forecast</v>
      </c>
      <c r="L260" s="1755">
        <v>0</v>
      </c>
      <c r="M260" s="1736">
        <v>366103.68451333424</v>
      </c>
      <c r="N260" s="460" t="str">
        <f t="shared" si="130"/>
        <v/>
      </c>
      <c r="O260" s="1463"/>
      <c r="P260" s="466"/>
      <c r="Q260" s="567" t="str">
        <f t="shared" si="135"/>
        <v>Forecast</v>
      </c>
      <c r="R260" s="1468">
        <f t="shared" si="136"/>
        <v>0</v>
      </c>
      <c r="S260" s="1469">
        <f t="shared" si="137"/>
        <v>1017.1789215017066</v>
      </c>
      <c r="T260" s="537" t="str">
        <f t="shared" si="131"/>
        <v/>
      </c>
      <c r="U260" s="1469" t="str">
        <f t="shared" si="132"/>
        <v/>
      </c>
      <c r="V260" s="494"/>
    </row>
    <row r="261" spans="2:22" ht="13.5" thickBot="1" x14ac:dyDescent="0.25">
      <c r="B261" s="513"/>
      <c r="C261" s="548"/>
      <c r="I261" s="1804">
        <f>SUM(I253:I259)</f>
        <v>436</v>
      </c>
      <c r="O261" s="1804">
        <f>SUM(O253:O259)</f>
        <v>462466</v>
      </c>
      <c r="U261" s="1805">
        <f>SUM(U253:U259)</f>
        <v>1060.7018348623853</v>
      </c>
    </row>
    <row r="262" spans="2:22" ht="39" thickBot="1" x14ac:dyDescent="0.25">
      <c r="C262" s="579" t="s">
        <v>837</v>
      </c>
      <c r="D262" s="578" t="s">
        <v>10</v>
      </c>
      <c r="E262" s="543"/>
      <c r="F262" s="543"/>
      <c r="G262" s="1449" t="s">
        <v>959</v>
      </c>
      <c r="H262" s="543"/>
      <c r="I262" s="573" t="s">
        <v>1327</v>
      </c>
      <c r="J262" s="575"/>
      <c r="K262" s="574" t="s">
        <v>10</v>
      </c>
      <c r="L262" s="2196" t="s">
        <v>959</v>
      </c>
      <c r="M262" s="2196"/>
      <c r="N262" s="543"/>
      <c r="O262" s="573" t="str">
        <f>I262</f>
        <v>Test Year Versus OEB-approved</v>
      </c>
      <c r="P262" s="576"/>
      <c r="Q262" s="574" t="s">
        <v>10</v>
      </c>
      <c r="R262" s="2196" t="s">
        <v>959</v>
      </c>
      <c r="S262" s="2196"/>
      <c r="T262" s="543"/>
      <c r="U262" s="573" t="str">
        <f>O262</f>
        <v>Test Year Versus OEB-approved</v>
      </c>
    </row>
    <row r="263" spans="2:22" x14ac:dyDescent="0.2">
      <c r="C263" s="1743"/>
      <c r="D263" s="559">
        <f t="shared" ref="D263:D270" si="138">D253</f>
        <v>2013</v>
      </c>
      <c r="E263" s="513"/>
      <c r="F263" s="513"/>
      <c r="G263" s="554"/>
      <c r="H263" s="513"/>
      <c r="I263" s="1741"/>
      <c r="J263" s="565"/>
      <c r="K263" s="545">
        <f>D263</f>
        <v>2013</v>
      </c>
      <c r="L263" s="533"/>
      <c r="M263" s="533"/>
      <c r="N263" s="513"/>
      <c r="O263" s="1741"/>
      <c r="P263" s="462"/>
      <c r="Q263" s="545">
        <f>K263</f>
        <v>2013</v>
      </c>
      <c r="R263" s="514"/>
      <c r="S263" s="514"/>
      <c r="T263" s="513"/>
      <c r="U263" s="1741"/>
    </row>
    <row r="264" spans="2:22" x14ac:dyDescent="0.2">
      <c r="C264" s="462"/>
      <c r="D264" s="559">
        <f t="shared" si="138"/>
        <v>2014</v>
      </c>
      <c r="E264" s="513"/>
      <c r="F264" s="513"/>
      <c r="G264" s="555">
        <f t="shared" ref="G264:G270" si="139">IF(G253=0,"",G254/G253-1)</f>
        <v>-1.5494636471990453E-2</v>
      </c>
      <c r="H264" s="513"/>
      <c r="I264" s="560"/>
      <c r="J264" s="565"/>
      <c r="K264" s="545">
        <f>D264</f>
        <v>2014</v>
      </c>
      <c r="L264" s="535">
        <f t="shared" ref="L264:M268" si="140">IF(L253=0,"",L254/L253-1)</f>
        <v>-1.2466660590544243E-2</v>
      </c>
      <c r="M264" s="535">
        <f t="shared" si="140"/>
        <v>-1.2466660590544243E-2</v>
      </c>
      <c r="N264" s="513"/>
      <c r="O264" s="509"/>
      <c r="P264" s="462"/>
      <c r="Q264" s="545">
        <f>K264</f>
        <v>2014</v>
      </c>
      <c r="R264" s="556">
        <f t="shared" ref="R264:S268" si="141">IF(R253="","",IF(R253=0,"",R254/R253-1))</f>
        <v>3.0756316761906266E-3</v>
      </c>
      <c r="S264" s="556">
        <f t="shared" si="141"/>
        <v>3.0756316761906266E-3</v>
      </c>
      <c r="T264" s="513"/>
      <c r="U264" s="509"/>
    </row>
    <row r="265" spans="2:22" x14ac:dyDescent="0.2">
      <c r="C265" s="462"/>
      <c r="D265" s="547">
        <f t="shared" si="138"/>
        <v>2015</v>
      </c>
      <c r="E265" s="513"/>
      <c r="F265" s="513"/>
      <c r="G265" s="555">
        <f t="shared" si="139"/>
        <v>-2.0581113801452777E-2</v>
      </c>
      <c r="H265" s="513"/>
      <c r="I265" s="560"/>
      <c r="J265" s="565"/>
      <c r="K265" s="545">
        <f t="shared" ref="K265:K271" si="142">D265</f>
        <v>2015</v>
      </c>
      <c r="L265" s="535">
        <f t="shared" si="140"/>
        <v>-2.335477814799547E-2</v>
      </c>
      <c r="M265" s="535">
        <f t="shared" si="140"/>
        <v>-2.335477814799547E-2</v>
      </c>
      <c r="N265" s="513"/>
      <c r="O265" s="509"/>
      <c r="P265" s="462"/>
      <c r="Q265" s="545">
        <f t="shared" ref="Q265:Q271" si="143">K265</f>
        <v>2015</v>
      </c>
      <c r="R265" s="556">
        <f t="shared" si="141"/>
        <v>-2.8319490114266932E-3</v>
      </c>
      <c r="S265" s="556">
        <f t="shared" si="141"/>
        <v>-2.8319490114266932E-3</v>
      </c>
      <c r="T265" s="513"/>
      <c r="U265" s="509"/>
    </row>
    <row r="266" spans="2:22" x14ac:dyDescent="0.2">
      <c r="C266" s="462"/>
      <c r="D266" s="547">
        <f t="shared" si="138"/>
        <v>2016</v>
      </c>
      <c r="E266" s="513"/>
      <c r="F266" s="513"/>
      <c r="G266" s="555">
        <f t="shared" si="139"/>
        <v>-1.5451174289246028E-2</v>
      </c>
      <c r="H266" s="513"/>
      <c r="I266" s="560"/>
      <c r="J266" s="565"/>
      <c r="K266" s="545">
        <f t="shared" si="142"/>
        <v>2016</v>
      </c>
      <c r="L266" s="535">
        <f t="shared" si="140"/>
        <v>-5.6265339138356074E-3</v>
      </c>
      <c r="M266" s="535">
        <f t="shared" si="140"/>
        <v>-5.6265339138354964E-3</v>
      </c>
      <c r="N266" s="513"/>
      <c r="O266" s="509"/>
      <c r="P266" s="462"/>
      <c r="Q266" s="545">
        <f t="shared" si="143"/>
        <v>2016</v>
      </c>
      <c r="R266" s="556">
        <f t="shared" si="141"/>
        <v>9.9788249387406935E-3</v>
      </c>
      <c r="S266" s="556">
        <f t="shared" si="141"/>
        <v>9.9788249387406935E-3</v>
      </c>
      <c r="T266" s="513"/>
      <c r="U266" s="509"/>
    </row>
    <row r="267" spans="2:22" x14ac:dyDescent="0.2">
      <c r="C267" s="462"/>
      <c r="D267" s="547">
        <f t="shared" si="138"/>
        <v>2017</v>
      </c>
      <c r="E267" s="513"/>
      <c r="F267" s="513"/>
      <c r="G267" s="555">
        <f t="shared" si="139"/>
        <v>-3.703703703703709E-2</v>
      </c>
      <c r="H267" s="513"/>
      <c r="I267" s="560"/>
      <c r="J267" s="565"/>
      <c r="K267" s="545">
        <f t="shared" si="142"/>
        <v>2017</v>
      </c>
      <c r="L267" s="535">
        <f t="shared" si="140"/>
        <v>-3.107738540957361E-2</v>
      </c>
      <c r="M267" s="535">
        <f t="shared" si="140"/>
        <v>-3.1077385409573832E-2</v>
      </c>
      <c r="N267" s="513"/>
      <c r="O267" s="509"/>
      <c r="P267" s="462"/>
      <c r="Q267" s="545">
        <f t="shared" si="143"/>
        <v>2017</v>
      </c>
      <c r="R267" s="556">
        <f t="shared" si="141"/>
        <v>6.1888689977502853E-3</v>
      </c>
      <c r="S267" s="556">
        <f t="shared" si="141"/>
        <v>6.1888689977502853E-3</v>
      </c>
      <c r="T267" s="513"/>
      <c r="U267" s="509"/>
    </row>
    <row r="268" spans="2:22" x14ac:dyDescent="0.2">
      <c r="C268" s="462"/>
      <c r="D268" s="547">
        <f t="shared" si="138"/>
        <v>2018</v>
      </c>
      <c r="E268" s="513"/>
      <c r="F268" s="513"/>
      <c r="G268" s="555">
        <f t="shared" si="139"/>
        <v>-7.1707953063885332E-3</v>
      </c>
      <c r="H268" s="513"/>
      <c r="I268" s="560"/>
      <c r="J268" s="565"/>
      <c r="K268" s="545">
        <f t="shared" si="142"/>
        <v>2018</v>
      </c>
      <c r="L268" s="535">
        <f t="shared" si="140"/>
        <v>-2.2463804160788081E-2</v>
      </c>
      <c r="M268" s="535">
        <f t="shared" si="140"/>
        <v>-2.2463804160788192E-2</v>
      </c>
      <c r="N268" s="513"/>
      <c r="O268" s="509"/>
      <c r="P268" s="462"/>
      <c r="Q268" s="545">
        <f t="shared" si="143"/>
        <v>2018</v>
      </c>
      <c r="R268" s="556">
        <f t="shared" si="141"/>
        <v>-1.5403463941332185E-2</v>
      </c>
      <c r="S268" s="556">
        <f t="shared" si="141"/>
        <v>-1.5403463941332185E-2</v>
      </c>
      <c r="T268" s="513"/>
      <c r="U268" s="509"/>
    </row>
    <row r="269" spans="2:22" x14ac:dyDescent="0.2">
      <c r="C269" s="462"/>
      <c r="D269" s="547">
        <f t="shared" si="138"/>
        <v>2019</v>
      </c>
      <c r="E269" s="513"/>
      <c r="F269" s="513"/>
      <c r="G269" s="555">
        <f t="shared" si="139"/>
        <v>-3.8082731451083429E-2</v>
      </c>
      <c r="H269" s="513"/>
      <c r="I269" s="560"/>
      <c r="J269" s="565"/>
      <c r="K269" s="545">
        <f t="shared" si="142"/>
        <v>2019</v>
      </c>
      <c r="L269" s="535">
        <f>IF(K259="Forecast","",IF(L258=0,"",L259/L258-1))</f>
        <v>-7.711600954757003E-2</v>
      </c>
      <c r="M269" s="535">
        <f>IF(M258=0,"",M259/M258-1)</f>
        <v>-7.7116009547569919E-2</v>
      </c>
      <c r="N269" s="513"/>
      <c r="O269" s="509"/>
      <c r="P269" s="462"/>
      <c r="Q269" s="545">
        <f t="shared" si="143"/>
        <v>2019</v>
      </c>
      <c r="R269" s="556">
        <f>IF(Q259="Forecast","",IF(R258=0,"",R259/R258-1))</f>
        <v>-4.0578622894845706E-2</v>
      </c>
      <c r="S269" s="556">
        <f>IF(S258="","",IF(S258=0,"",S259/S258-1))</f>
        <v>-4.0578622894845706E-2</v>
      </c>
      <c r="T269" s="513"/>
      <c r="U269" s="509"/>
    </row>
    <row r="270" spans="2:22" x14ac:dyDescent="0.2">
      <c r="C270" s="462"/>
      <c r="D270" s="547">
        <f t="shared" si="138"/>
        <v>2020</v>
      </c>
      <c r="E270" s="513"/>
      <c r="F270" s="513"/>
      <c r="G270" s="555">
        <f t="shared" si="139"/>
        <v>-1.728153950052469E-2</v>
      </c>
      <c r="H270" s="513"/>
      <c r="I270" s="561">
        <f>IF(I261=0,"",G260/I261-1)</f>
        <v>-0.17449395376620902</v>
      </c>
      <c r="J270" s="565"/>
      <c r="K270" s="545">
        <f t="shared" si="142"/>
        <v>2020</v>
      </c>
      <c r="L270" s="535" t="str">
        <f>IF(K260="Forecast","",IF(L259=0,"",L260/L259-1))</f>
        <v/>
      </c>
      <c r="M270" s="535">
        <f>IF(M259=0,"",M260/M259-1)</f>
        <v>-1.728153950052469E-2</v>
      </c>
      <c r="N270" s="513"/>
      <c r="O270" s="536">
        <f>IF(O261=0,"",M260/O261-1)</f>
        <v>-0.20836627014021736</v>
      </c>
      <c r="P270" s="462"/>
      <c r="Q270" s="545">
        <f t="shared" si="143"/>
        <v>2020</v>
      </c>
      <c r="R270" s="556" t="str">
        <f>IF(Q260="Forecast","",IF(R259=0,"",R260/R259-1))</f>
        <v/>
      </c>
      <c r="S270" s="556">
        <f>IF(S259="","",IF(S259=0,"",S260/S259-1))</f>
        <v>0</v>
      </c>
      <c r="T270" s="513"/>
      <c r="U270" s="536">
        <f>IF(U261=0,"",S260/U261-1)</f>
        <v>-4.1032184474655287E-2</v>
      </c>
    </row>
    <row r="271" spans="2:22" ht="26.25" thickBot="1" x14ac:dyDescent="0.25">
      <c r="C271" s="466"/>
      <c r="D271" s="584" t="s">
        <v>958</v>
      </c>
      <c r="E271" s="537"/>
      <c r="F271" s="537"/>
      <c r="G271" s="557">
        <f>IF(G253=0,"",(G260/G253)^(1/($D260-$D253-1))-1)</f>
        <v>-2.5206861022998739E-2</v>
      </c>
      <c r="H271" s="537"/>
      <c r="I271" s="585">
        <f>IF(I261=0,"",(G260/I261)^(1/(TestYear-RebaseYear-1))-1)</f>
        <v>-3.1454465629956352E-2</v>
      </c>
      <c r="J271" s="542"/>
      <c r="K271" s="583" t="str">
        <f t="shared" si="142"/>
        <v>Geometric Mean</v>
      </c>
      <c r="L271" s="540">
        <f>IF(L253=0,"",(L258/L253)^(1/($D258-$D253-1))-1)</f>
        <v>-2.374107843707729E-2</v>
      </c>
      <c r="M271" s="540">
        <f>IF(M253=0,"",(M260/M253)^(1/($D260-$D253-1))-1)</f>
        <v>-3.1782975080546949E-2</v>
      </c>
      <c r="N271" s="537"/>
      <c r="O271" s="553">
        <f>IF(O261=0,"",(M260/O261)^(1/(TestYear-RebaseYear-1))-1)</f>
        <v>-3.8194222065835559E-2</v>
      </c>
      <c r="P271" s="466"/>
      <c r="Q271" s="583" t="str">
        <f t="shared" si="143"/>
        <v>Geometric Mean</v>
      </c>
      <c r="R271" s="1747">
        <f>IF(R253="","",IF(R253=0,"",(R258/R253)^(1/($D258-$D253-1))-1))</f>
        <v>2.0271481165679006E-4</v>
      </c>
      <c r="S271" s="540">
        <f>IF(S253="","",IF(S253=0,"",(S260/S253)^(1/($D260-$D253-1))-1))</f>
        <v>-6.7461636675546499E-3</v>
      </c>
      <c r="T271" s="537"/>
      <c r="U271" s="553">
        <f>IF(U261=0,"",(S260/U261)^(1/(TestYear-RebaseYear-1))-1)</f>
        <v>-6.9586366326729321E-3</v>
      </c>
    </row>
    <row r="273" spans="3:21" ht="13.5" thickBot="1" x14ac:dyDescent="0.25">
      <c r="Q273" s="537"/>
      <c r="R273" s="537"/>
      <c r="S273" s="537"/>
      <c r="T273" s="537"/>
      <c r="U273" s="537"/>
    </row>
    <row r="274" spans="3:21" x14ac:dyDescent="0.2">
      <c r="C274" s="461"/>
      <c r="D274" s="465" t="s">
        <v>945</v>
      </c>
      <c r="E274" s="465"/>
      <c r="F274" s="2198" t="s">
        <v>938</v>
      </c>
      <c r="G274" s="2199"/>
      <c r="H274" s="2199"/>
      <c r="I274" s="2200"/>
      <c r="K274" s="2201" t="str">
        <f>IF(ISBLANK(Q249),"",CONCATENATE("Demand (",Q249,")"))</f>
        <v>Demand (kW)</v>
      </c>
      <c r="L274" s="2202"/>
      <c r="M274" s="2202"/>
      <c r="N274" s="2202"/>
      <c r="O274" s="2203"/>
      <c r="Q274" s="2204" t="str">
        <f>CONCATENATE("Demand (",Q249,") per ",LEFT(F251,LEN(F251)-1))</f>
        <v>Demand (kW) per Customer</v>
      </c>
      <c r="R274" s="2205"/>
      <c r="S274" s="2205"/>
      <c r="T274" s="2205"/>
      <c r="U274" s="2206"/>
    </row>
    <row r="275" spans="3:21" ht="39" thickBot="1" x14ac:dyDescent="0.25">
      <c r="C275" s="466"/>
      <c r="D275" s="468" t="str">
        <f>CONCATENATE("(for ",TestYear," Cost of Service")</f>
        <v>(for 2020 Cost of Service</v>
      </c>
      <c r="E275" s="463"/>
      <c r="F275" s="2194"/>
      <c r="G275" s="2195"/>
      <c r="H275" s="2195"/>
      <c r="I275" s="481"/>
      <c r="K275" s="472"/>
      <c r="L275" s="598" t="s">
        <v>962</v>
      </c>
      <c r="M275" s="598" t="s">
        <v>948</v>
      </c>
      <c r="N275" s="490"/>
      <c r="O275" s="491" t="str">
        <f>M275</f>
        <v>Weather-normalized</v>
      </c>
      <c r="Q275" s="582"/>
      <c r="R275" s="598" t="str">
        <f>L275</f>
        <v>Actual (Weather actual)</v>
      </c>
      <c r="S275" s="598" t="str">
        <f>M275</f>
        <v>Weather-normalized</v>
      </c>
      <c r="T275" s="598"/>
      <c r="U275" s="599" t="str">
        <f>O275</f>
        <v>Weather-normalized</v>
      </c>
    </row>
    <row r="276" spans="3:21" ht="13.5" thickBot="1" x14ac:dyDescent="0.25">
      <c r="C276" s="463" t="s">
        <v>786</v>
      </c>
      <c r="D276" s="545">
        <f t="shared" ref="D276:D282" si="144">D277-1</f>
        <v>2013</v>
      </c>
      <c r="E276" s="463"/>
      <c r="F276" s="498" t="str">
        <f t="shared" ref="F276:F283" si="145">F253</f>
        <v>Actual</v>
      </c>
      <c r="G276" s="496">
        <v>34337.800000000003</v>
      </c>
      <c r="H276" t="str">
        <f>IF(D276=RebaseYear,"OEB-approved","")</f>
        <v>OEB-approved</v>
      </c>
      <c r="I276" s="1471">
        <v>35921</v>
      </c>
      <c r="K276" s="1730"/>
      <c r="L276" s="1731"/>
      <c r="M276" s="1731"/>
      <c r="N276" s="1732"/>
      <c r="O276" s="1733"/>
      <c r="Q276" s="1742"/>
      <c r="R276" s="1731"/>
      <c r="S276" s="1731"/>
      <c r="T276" s="1731"/>
      <c r="U276" s="1741"/>
    </row>
    <row r="277" spans="3:21" x14ac:dyDescent="0.2">
      <c r="C277" s="463" t="s">
        <v>786</v>
      </c>
      <c r="D277" s="545">
        <f t="shared" si="144"/>
        <v>2014</v>
      </c>
      <c r="E277" s="462"/>
      <c r="F277" s="498" t="str">
        <f t="shared" si="145"/>
        <v>Actual</v>
      </c>
      <c r="G277" s="496">
        <v>34502.93</v>
      </c>
      <c r="H277" s="2" t="str">
        <f>IF(D277=RebaseYear,"OEB-approved","")</f>
        <v/>
      </c>
      <c r="I277" s="1470"/>
      <c r="K277" s="470" t="str">
        <f t="shared" ref="K277:K283" si="146">K254</f>
        <v>Actual</v>
      </c>
      <c r="L277" s="479"/>
      <c r="M277" s="479"/>
      <c r="N277" s="459" t="str">
        <f t="shared" ref="N277:N283" si="147">N254</f>
        <v/>
      </c>
      <c r="O277" s="509"/>
      <c r="Q277" s="566" t="str">
        <f>K277</f>
        <v>Actual</v>
      </c>
      <c r="R277" s="513">
        <f>IF(G277=0,"",L277/G277)</f>
        <v>0</v>
      </c>
      <c r="S277" s="494">
        <f>IF(G277=0,"",M277/G277)</f>
        <v>0</v>
      </c>
      <c r="T277" s="494" t="str">
        <f>N277</f>
        <v/>
      </c>
      <c r="U277" s="462" t="str">
        <f>IF(T277="","",IF(I277=0,"",O277/I277))</f>
        <v/>
      </c>
    </row>
    <row r="278" spans="3:21" x14ac:dyDescent="0.2">
      <c r="C278" s="463" t="s">
        <v>786</v>
      </c>
      <c r="D278" s="545">
        <f t="shared" si="144"/>
        <v>2015</v>
      </c>
      <c r="E278" s="462"/>
      <c r="F278" s="499" t="str">
        <f t="shared" si="145"/>
        <v>Actual</v>
      </c>
      <c r="G278" s="496">
        <v>34127.279999999999</v>
      </c>
      <c r="H278" s="2" t="str">
        <f t="shared" ref="H278:H283" si="148">IF(D278=RebaseYear,"OEB-approved","")</f>
        <v/>
      </c>
      <c r="I278" s="1471"/>
      <c r="K278" s="470" t="str">
        <f t="shared" si="146"/>
        <v>Actual</v>
      </c>
      <c r="L278" s="479"/>
      <c r="M278" s="479"/>
      <c r="N278" s="459" t="str">
        <f t="shared" si="147"/>
        <v/>
      </c>
      <c r="O278" s="509"/>
      <c r="Q278" s="566" t="str">
        <f t="shared" ref="Q278:Q283" si="149">K278</f>
        <v>Actual</v>
      </c>
      <c r="R278" s="513">
        <f t="shared" ref="R278:R283" si="150">IF(G278=0,"",L278/G278)</f>
        <v>0</v>
      </c>
      <c r="S278" s="494">
        <f t="shared" ref="S278:S283" si="151">IF(G278=0,"",M278/G278)</f>
        <v>0</v>
      </c>
      <c r="T278" s="494" t="str">
        <f t="shared" ref="T278:T283" si="152">N278</f>
        <v/>
      </c>
      <c r="U278" s="462" t="str">
        <f t="shared" ref="U278:U283" si="153">IF(T278="","",IF(I278=0,"",O278/I278))</f>
        <v/>
      </c>
    </row>
    <row r="279" spans="3:21" x14ac:dyDescent="0.2">
      <c r="C279" s="463" t="s">
        <v>786</v>
      </c>
      <c r="D279" s="545">
        <f t="shared" si="144"/>
        <v>2016</v>
      </c>
      <c r="E279" s="462"/>
      <c r="F279" s="499" t="str">
        <f t="shared" si="145"/>
        <v>Actual</v>
      </c>
      <c r="G279" s="496">
        <v>32635.58</v>
      </c>
      <c r="H279" s="2" t="str">
        <f t="shared" si="148"/>
        <v/>
      </c>
      <c r="I279" s="1472"/>
      <c r="K279" s="470" t="str">
        <f t="shared" si="146"/>
        <v>Actual</v>
      </c>
      <c r="L279" s="479"/>
      <c r="M279" s="479"/>
      <c r="N279" s="459" t="str">
        <f t="shared" si="147"/>
        <v/>
      </c>
      <c r="O279" s="510"/>
      <c r="Q279" s="566" t="str">
        <f t="shared" si="149"/>
        <v>Actual</v>
      </c>
      <c r="R279" s="513">
        <f t="shared" si="150"/>
        <v>0</v>
      </c>
      <c r="S279" s="494">
        <f t="shared" si="151"/>
        <v>0</v>
      </c>
      <c r="T279" s="494" t="str">
        <f t="shared" si="152"/>
        <v/>
      </c>
      <c r="U279" s="462" t="str">
        <f t="shared" si="153"/>
        <v/>
      </c>
    </row>
    <row r="280" spans="3:21" x14ac:dyDescent="0.2">
      <c r="C280" s="463" t="s">
        <v>786</v>
      </c>
      <c r="D280" s="545">
        <f t="shared" si="144"/>
        <v>2017</v>
      </c>
      <c r="E280" s="462"/>
      <c r="F280" s="499" t="str">
        <f t="shared" si="145"/>
        <v>Actual</v>
      </c>
      <c r="G280" s="496">
        <v>33051.14</v>
      </c>
      <c r="H280" s="2" t="str">
        <f t="shared" si="148"/>
        <v/>
      </c>
      <c r="I280" s="1471"/>
      <c r="K280" s="470" t="str">
        <f t="shared" si="146"/>
        <v>Actual</v>
      </c>
      <c r="L280" s="479"/>
      <c r="M280" s="479"/>
      <c r="N280" s="459" t="str">
        <f t="shared" si="147"/>
        <v/>
      </c>
      <c r="O280" s="509"/>
      <c r="Q280" s="566" t="str">
        <f t="shared" si="149"/>
        <v>Actual</v>
      </c>
      <c r="R280" s="513">
        <f t="shared" si="150"/>
        <v>0</v>
      </c>
      <c r="S280" s="494">
        <f t="shared" si="151"/>
        <v>0</v>
      </c>
      <c r="T280" s="494" t="str">
        <f t="shared" si="152"/>
        <v/>
      </c>
      <c r="U280" s="462" t="str">
        <f t="shared" si="153"/>
        <v/>
      </c>
    </row>
    <row r="281" spans="3:21" x14ac:dyDescent="0.2">
      <c r="C281" s="463" t="s">
        <v>786</v>
      </c>
      <c r="D281" s="545">
        <f t="shared" si="144"/>
        <v>2018</v>
      </c>
      <c r="E281" s="462"/>
      <c r="F281" s="499" t="str">
        <f t="shared" si="145"/>
        <v>Actual</v>
      </c>
      <c r="G281" s="496">
        <v>32869.29</v>
      </c>
      <c r="H281" s="2" t="str">
        <f t="shared" si="148"/>
        <v/>
      </c>
      <c r="I281" s="1471"/>
      <c r="K281" s="470" t="str">
        <f t="shared" si="146"/>
        <v>Actual</v>
      </c>
      <c r="L281" s="479"/>
      <c r="M281" s="479"/>
      <c r="N281" s="459" t="str">
        <f t="shared" si="147"/>
        <v/>
      </c>
      <c r="O281" s="509"/>
      <c r="Q281" s="566" t="str">
        <f t="shared" si="149"/>
        <v>Actual</v>
      </c>
      <c r="R281" s="513">
        <f t="shared" si="150"/>
        <v>0</v>
      </c>
      <c r="S281" s="494">
        <f t="shared" si="151"/>
        <v>0</v>
      </c>
      <c r="T281" s="494" t="str">
        <f t="shared" si="152"/>
        <v/>
      </c>
      <c r="U281" s="462" t="str">
        <f t="shared" si="153"/>
        <v/>
      </c>
    </row>
    <row r="282" spans="3:21" x14ac:dyDescent="0.2">
      <c r="C282" s="463" t="s">
        <v>943</v>
      </c>
      <c r="D282" s="545">
        <f t="shared" si="144"/>
        <v>2019</v>
      </c>
      <c r="E282" s="462"/>
      <c r="F282" s="499" t="str">
        <f t="shared" si="145"/>
        <v>Actual</v>
      </c>
      <c r="G282" s="496">
        <v>31012.690823953439</v>
      </c>
      <c r="H282" s="2" t="str">
        <f t="shared" si="148"/>
        <v/>
      </c>
      <c r="I282" s="1471"/>
      <c r="K282" s="470" t="str">
        <f t="shared" si="146"/>
        <v>Actual</v>
      </c>
      <c r="L282" s="488"/>
      <c r="M282" s="516"/>
      <c r="N282" s="459" t="str">
        <f t="shared" si="147"/>
        <v/>
      </c>
      <c r="O282" s="509"/>
      <c r="Q282" s="566" t="str">
        <f t="shared" si="149"/>
        <v>Actual</v>
      </c>
      <c r="R282" s="513">
        <f t="shared" si="150"/>
        <v>0</v>
      </c>
      <c r="S282" s="494">
        <f t="shared" si="151"/>
        <v>0</v>
      </c>
      <c r="T282" s="494" t="str">
        <f t="shared" si="152"/>
        <v/>
      </c>
      <c r="U282" s="462" t="str">
        <f t="shared" si="153"/>
        <v/>
      </c>
    </row>
    <row r="283" spans="3:21" ht="13.5" thickBot="1" x14ac:dyDescent="0.25">
      <c r="C283" s="464" t="s">
        <v>944</v>
      </c>
      <c r="D283" s="546">
        <f>TestYear</f>
        <v>2020</v>
      </c>
      <c r="E283" s="466"/>
      <c r="F283" s="500" t="str">
        <f t="shared" si="145"/>
        <v>Forecast</v>
      </c>
      <c r="G283" s="497">
        <v>36748.532660499732</v>
      </c>
      <c r="H283" s="492" t="str">
        <f t="shared" si="148"/>
        <v/>
      </c>
      <c r="I283" s="1473"/>
      <c r="K283" s="471" t="str">
        <f t="shared" si="146"/>
        <v>Forecast</v>
      </c>
      <c r="L283" s="489"/>
      <c r="M283" s="517"/>
      <c r="N283" s="460" t="str">
        <f t="shared" si="147"/>
        <v/>
      </c>
      <c r="O283" s="511"/>
      <c r="Q283" s="504" t="str">
        <f t="shared" si="149"/>
        <v>Forecast</v>
      </c>
      <c r="R283" s="495">
        <f t="shared" si="150"/>
        <v>0</v>
      </c>
      <c r="S283" s="495">
        <f t="shared" si="151"/>
        <v>0</v>
      </c>
      <c r="T283" s="495" t="str">
        <f t="shared" si="152"/>
        <v/>
      </c>
      <c r="U283" s="466" t="str">
        <f t="shared" si="153"/>
        <v/>
      </c>
    </row>
    <row r="284" spans="3:21" ht="13.5" thickBot="1" x14ac:dyDescent="0.25">
      <c r="C284" s="548"/>
      <c r="I284" s="1806">
        <f>SUM(I276:I282)</f>
        <v>35921</v>
      </c>
      <c r="J284" s="513"/>
      <c r="O284" s="587">
        <f>SUM(O277:O282)</f>
        <v>0</v>
      </c>
      <c r="U284" s="587">
        <f>SUM(U277:U282)</f>
        <v>0</v>
      </c>
    </row>
    <row r="285" spans="3:21" ht="39" customHeight="1" thickBot="1" x14ac:dyDescent="0.25">
      <c r="C285" s="579" t="s">
        <v>837</v>
      </c>
      <c r="D285" s="578" t="s">
        <v>10</v>
      </c>
      <c r="E285" s="1449"/>
      <c r="F285" s="1449"/>
      <c r="G285" s="1449" t="s">
        <v>959</v>
      </c>
      <c r="H285" s="1449"/>
      <c r="I285" s="573" t="str">
        <f>I262</f>
        <v>Test Year Versus OEB-approved</v>
      </c>
      <c r="J285" s="586"/>
      <c r="K285" s="574" t="s">
        <v>10</v>
      </c>
      <c r="L285" s="2196" t="s">
        <v>959</v>
      </c>
      <c r="M285" s="2196"/>
      <c r="N285" s="1449"/>
      <c r="O285" s="573" t="str">
        <f>I285</f>
        <v>Test Year Versus OEB-approved</v>
      </c>
      <c r="P285" s="562"/>
      <c r="Q285" s="574" t="s">
        <v>10</v>
      </c>
      <c r="R285" s="2196" t="s">
        <v>959</v>
      </c>
      <c r="S285" s="2196"/>
      <c r="T285" s="1449"/>
      <c r="U285" s="573" t="str">
        <f>O285</f>
        <v>Test Year Versus OEB-approved</v>
      </c>
    </row>
    <row r="286" spans="3:21" ht="12.6" customHeight="1" thickBot="1" x14ac:dyDescent="0.25">
      <c r="C286" s="1743"/>
      <c r="D286" s="581">
        <f t="shared" ref="D286:D293" si="154">D276</f>
        <v>2013</v>
      </c>
      <c r="E286" s="1749"/>
      <c r="F286" s="1739"/>
      <c r="G286" s="554"/>
      <c r="H286" s="1739"/>
      <c r="I286" s="1741"/>
      <c r="J286" s="586"/>
      <c r="K286" s="586"/>
      <c r="L286" s="1739"/>
      <c r="M286" s="1739"/>
      <c r="N286" s="1739"/>
      <c r="O286" s="1741"/>
      <c r="P286" s="586"/>
      <c r="Q286" s="586"/>
      <c r="R286" s="1739"/>
      <c r="S286" s="1739"/>
      <c r="T286" s="1739"/>
      <c r="U286" s="1741"/>
    </row>
    <row r="287" spans="3:21" x14ac:dyDescent="0.2">
      <c r="C287" s="462"/>
      <c r="D287" s="581">
        <f t="shared" si="154"/>
        <v>2014</v>
      </c>
      <c r="E287" s="527"/>
      <c r="F287" s="513"/>
      <c r="G287" s="555">
        <f t="shared" ref="G287:G293" si="155">IF(G276=0,"",G277/G276-1)</f>
        <v>4.808986015411465E-3</v>
      </c>
      <c r="H287" s="513"/>
      <c r="I287" s="560"/>
      <c r="J287" s="462"/>
      <c r="K287" s="545">
        <f>D287</f>
        <v>2014</v>
      </c>
      <c r="L287" s="533"/>
      <c r="M287" s="533"/>
      <c r="N287" s="513"/>
      <c r="O287" s="563"/>
      <c r="P287" s="462"/>
      <c r="Q287" s="545">
        <f>K287</f>
        <v>2014</v>
      </c>
      <c r="R287" s="514"/>
      <c r="S287" s="514"/>
      <c r="T287" s="513"/>
      <c r="U287" s="509"/>
    </row>
    <row r="288" spans="3:21" x14ac:dyDescent="0.2">
      <c r="C288" s="462"/>
      <c r="D288" s="547">
        <f t="shared" si="154"/>
        <v>2015</v>
      </c>
      <c r="E288" s="513"/>
      <c r="F288" s="513"/>
      <c r="G288" s="555">
        <f t="shared" si="155"/>
        <v>-1.088748115015159E-2</v>
      </c>
      <c r="H288" s="513"/>
      <c r="I288" s="560"/>
      <c r="J288" s="462"/>
      <c r="K288" s="545">
        <f t="shared" ref="K288:K294" si="156">D288</f>
        <v>2015</v>
      </c>
      <c r="L288" s="535" t="str">
        <f t="shared" ref="L288:M291" si="157">IF(L277=0,"",L278/L277-1)</f>
        <v/>
      </c>
      <c r="M288" s="535" t="str">
        <f t="shared" si="157"/>
        <v/>
      </c>
      <c r="N288" s="513"/>
      <c r="O288" s="563"/>
      <c r="P288" s="462"/>
      <c r="Q288" s="545">
        <f t="shared" ref="Q288:Q294" si="158">K288</f>
        <v>2015</v>
      </c>
      <c r="R288" s="556" t="str">
        <f t="shared" ref="R288:S291" si="159">IF(R277="","",IF(R277=0,"",R278/R277-1))</f>
        <v/>
      </c>
      <c r="S288" s="556" t="str">
        <f t="shared" si="159"/>
        <v/>
      </c>
      <c r="T288" s="513"/>
      <c r="U288" s="509"/>
    </row>
    <row r="289" spans="2:22" x14ac:dyDescent="0.2">
      <c r="C289" s="462"/>
      <c r="D289" s="580">
        <f t="shared" si="154"/>
        <v>2016</v>
      </c>
      <c r="E289" s="513"/>
      <c r="F289" s="513"/>
      <c r="G289" s="555">
        <f t="shared" si="155"/>
        <v>-4.3709900115098455E-2</v>
      </c>
      <c r="H289" s="513"/>
      <c r="I289" s="560"/>
      <c r="J289" s="462"/>
      <c r="K289" s="545">
        <f t="shared" si="156"/>
        <v>2016</v>
      </c>
      <c r="L289" s="535" t="str">
        <f t="shared" si="157"/>
        <v/>
      </c>
      <c r="M289" s="535" t="str">
        <f t="shared" si="157"/>
        <v/>
      </c>
      <c r="N289" s="513"/>
      <c r="O289" s="563"/>
      <c r="P289" s="462"/>
      <c r="Q289" s="545">
        <f t="shared" si="158"/>
        <v>2016</v>
      </c>
      <c r="R289" s="556" t="str">
        <f t="shared" si="159"/>
        <v/>
      </c>
      <c r="S289" s="556" t="str">
        <f t="shared" si="159"/>
        <v/>
      </c>
      <c r="T289" s="513"/>
      <c r="U289" s="509"/>
    </row>
    <row r="290" spans="2:22" x14ac:dyDescent="0.2">
      <c r="C290" s="462"/>
      <c r="D290" s="547">
        <f t="shared" si="154"/>
        <v>2017</v>
      </c>
      <c r="E290" s="513"/>
      <c r="F290" s="513"/>
      <c r="G290" s="555">
        <f t="shared" si="155"/>
        <v>1.2733341953781618E-2</v>
      </c>
      <c r="H290" s="513"/>
      <c r="I290" s="560"/>
      <c r="J290" s="462"/>
      <c r="K290" s="545">
        <f t="shared" si="156"/>
        <v>2017</v>
      </c>
      <c r="L290" s="535" t="str">
        <f t="shared" si="157"/>
        <v/>
      </c>
      <c r="M290" s="535" t="str">
        <f t="shared" si="157"/>
        <v/>
      </c>
      <c r="N290" s="513"/>
      <c r="O290" s="563"/>
      <c r="P290" s="462"/>
      <c r="Q290" s="545">
        <f t="shared" si="158"/>
        <v>2017</v>
      </c>
      <c r="R290" s="556" t="str">
        <f t="shared" si="159"/>
        <v/>
      </c>
      <c r="S290" s="556" t="str">
        <f t="shared" si="159"/>
        <v/>
      </c>
      <c r="T290" s="513"/>
      <c r="U290" s="509"/>
    </row>
    <row r="291" spans="2:22" x14ac:dyDescent="0.2">
      <c r="C291" s="462"/>
      <c r="D291" s="547">
        <f t="shared" si="154"/>
        <v>2018</v>
      </c>
      <c r="E291" s="513"/>
      <c r="F291" s="513"/>
      <c r="G291" s="555">
        <f t="shared" si="155"/>
        <v>-5.5020795046706317E-3</v>
      </c>
      <c r="H291" s="513"/>
      <c r="I291" s="560"/>
      <c r="J291" s="462"/>
      <c r="K291" s="545">
        <f t="shared" si="156"/>
        <v>2018</v>
      </c>
      <c r="L291" s="535" t="str">
        <f t="shared" si="157"/>
        <v/>
      </c>
      <c r="M291" s="535" t="str">
        <f t="shared" si="157"/>
        <v/>
      </c>
      <c r="N291" s="513"/>
      <c r="O291" s="563"/>
      <c r="P291" s="462"/>
      <c r="Q291" s="545">
        <f t="shared" si="158"/>
        <v>2018</v>
      </c>
      <c r="R291" s="556" t="str">
        <f t="shared" si="159"/>
        <v/>
      </c>
      <c r="S291" s="556" t="str">
        <f t="shared" si="159"/>
        <v/>
      </c>
      <c r="T291" s="513"/>
      <c r="U291" s="509"/>
    </row>
    <row r="292" spans="2:22" x14ac:dyDescent="0.2">
      <c r="C292" s="462"/>
      <c r="D292" s="547">
        <f t="shared" si="154"/>
        <v>2019</v>
      </c>
      <c r="E292" s="513"/>
      <c r="F292" s="513"/>
      <c r="G292" s="555">
        <f t="shared" si="155"/>
        <v>-5.6484310310522701E-2</v>
      </c>
      <c r="H292" s="513"/>
      <c r="I292" s="560"/>
      <c r="J292" s="462"/>
      <c r="K292" s="545">
        <f t="shared" si="156"/>
        <v>2019</v>
      </c>
      <c r="L292" s="535" t="str">
        <f>IF(K282="Forecast","",IF(L281=0,"",L282/L281-1))</f>
        <v/>
      </c>
      <c r="M292" s="535" t="str">
        <f>IF(M281=0,"",M282/M281-1)</f>
        <v/>
      </c>
      <c r="N292" s="513"/>
      <c r="O292" s="563"/>
      <c r="P292" s="462"/>
      <c r="Q292" s="545">
        <f t="shared" si="158"/>
        <v>2019</v>
      </c>
      <c r="R292" s="556" t="str">
        <f>IF(Q282="Forecast","",IF(R281=0,"",R282/R281-1))</f>
        <v/>
      </c>
      <c r="S292" s="556" t="str">
        <f>IF(S281="","",IF(S281=0,"",S282/S281-1))</f>
        <v/>
      </c>
      <c r="T292" s="513"/>
      <c r="U292" s="509"/>
    </row>
    <row r="293" spans="2:22" x14ac:dyDescent="0.2">
      <c r="C293" s="462"/>
      <c r="D293" s="580">
        <f t="shared" si="154"/>
        <v>2020</v>
      </c>
      <c r="E293" s="513"/>
      <c r="F293" s="513"/>
      <c r="G293" s="555">
        <f t="shared" si="155"/>
        <v>0.18495144033474409</v>
      </c>
      <c r="H293" s="513"/>
      <c r="I293" s="561">
        <f>IF(I284=0,"",G283/I284-1)</f>
        <v>2.3037573021345015E-2</v>
      </c>
      <c r="J293" s="462"/>
      <c r="K293" s="545">
        <f t="shared" si="156"/>
        <v>2020</v>
      </c>
      <c r="L293" s="535" t="str">
        <f>IF(K283="Forecast","",IF(L282=0,"",L283/L282-1))</f>
        <v/>
      </c>
      <c r="M293" s="535" t="str">
        <f>IF(M282=0,"",M283/M282-1)</f>
        <v/>
      </c>
      <c r="N293" s="513"/>
      <c r="O293" s="564" t="str">
        <f>IF(O284=0,"",M283/O284-1)</f>
        <v/>
      </c>
      <c r="P293" s="462"/>
      <c r="Q293" s="545">
        <f t="shared" si="158"/>
        <v>2020</v>
      </c>
      <c r="R293" s="556" t="str">
        <f>IF(Q283="Forecast","",IF(R282=0,"",R283/R282-1))</f>
        <v/>
      </c>
      <c r="S293" s="556" t="str">
        <f>IF(S282="","",IF(S282=0,"",S283/S282-1))</f>
        <v/>
      </c>
      <c r="T293" s="513"/>
      <c r="U293" s="536" t="str">
        <f>IF(U284=0,"",S283/U284-1)</f>
        <v/>
      </c>
    </row>
    <row r="294" spans="2:22" ht="26.25" thickBot="1" x14ac:dyDescent="0.25">
      <c r="C294" s="466"/>
      <c r="D294" s="584" t="s">
        <v>958</v>
      </c>
      <c r="E294" s="537"/>
      <c r="F294" s="537"/>
      <c r="G294" s="557">
        <f>IF(G276=0,"",(G283/G276)^(1/($D283-$D276-1))-1)</f>
        <v>1.1372768604797079E-2</v>
      </c>
      <c r="H294" s="537"/>
      <c r="I294" s="553">
        <f>IF(I284=0,"",(G283/I284)^(1/(TestYear-RebaseYear-1))-1)</f>
        <v>3.8032498301714401E-3</v>
      </c>
      <c r="J294" s="462"/>
      <c r="K294" s="583" t="str">
        <f t="shared" si="156"/>
        <v>Geometric Mean</v>
      </c>
      <c r="L294" s="540" t="str">
        <f>IF(L277=0,"",(L281/L277)^(1/($D281-$D277-1))-1)</f>
        <v/>
      </c>
      <c r="M294" s="540" t="str">
        <f>IF(M277=0,"",(M283/M277)^(1/($D283-$D277-1))-1)</f>
        <v/>
      </c>
      <c r="N294" s="537"/>
      <c r="O294" s="553" t="str">
        <f>IF(O284=0,"",(M283/O284)^(1/(TestYear-RebaseYear-1))-1)</f>
        <v/>
      </c>
      <c r="P294" s="466"/>
      <c r="Q294" s="583" t="str">
        <f t="shared" si="158"/>
        <v>Geometric Mean</v>
      </c>
      <c r="R294" s="558" t="str">
        <f>IF(R277="","",IF(R277=0,"",(R281/R277)^(1/($D281-$D277-1))-1))</f>
        <v/>
      </c>
      <c r="S294" s="540" t="str">
        <f>IF(S277="","",IF(S277=0,"",(S283/S277)^(1/($D283-$D277-1))-1))</f>
        <v/>
      </c>
      <c r="T294" s="537"/>
      <c r="U294" s="553" t="str">
        <f>IF(U284=0,"",(S283/U284)^(1/(TestYear-RebaseYear-1))-1)</f>
        <v/>
      </c>
    </row>
    <row r="295" spans="2:22" ht="13.5" thickBot="1" x14ac:dyDescent="0.25"/>
    <row r="296" spans="2:22" ht="13.5" thickBot="1" x14ac:dyDescent="0.25">
      <c r="B296" s="503">
        <v>6</v>
      </c>
      <c r="C296" s="3" t="s">
        <v>9</v>
      </c>
      <c r="D296" s="2191" t="s">
        <v>1593</v>
      </c>
      <c r="E296" s="2192"/>
      <c r="F296" s="2192"/>
      <c r="G296" s="2192"/>
      <c r="H296" s="2192"/>
      <c r="I296" s="2193"/>
      <c r="K296" s="9" t="s">
        <v>960</v>
      </c>
      <c r="Q296" s="502" t="s">
        <v>70</v>
      </c>
      <c r="R296" s="501"/>
      <c r="S296" s="501"/>
      <c r="T296" s="501"/>
      <c r="U296" s="501"/>
    </row>
    <row r="297" spans="2:22" ht="13.5" thickBot="1" x14ac:dyDescent="0.25">
      <c r="Q297" s="537"/>
      <c r="R297" s="537"/>
      <c r="S297" s="537"/>
      <c r="T297" s="537"/>
      <c r="U297" s="537"/>
    </row>
    <row r="298" spans="2:22" ht="12.75" customHeight="1" x14ac:dyDescent="0.2">
      <c r="C298" s="461"/>
      <c r="D298" s="465" t="s">
        <v>945</v>
      </c>
      <c r="E298" s="465"/>
      <c r="F298" s="2207" t="s">
        <v>888</v>
      </c>
      <c r="G298" s="2208"/>
      <c r="H298" s="2208"/>
      <c r="I298" s="2209"/>
      <c r="J298" s="465"/>
      <c r="K298" s="2201" t="s">
        <v>951</v>
      </c>
      <c r="L298" s="2202"/>
      <c r="M298" s="2202"/>
      <c r="N298" s="2202"/>
      <c r="O298" s="2203"/>
      <c r="P298" s="473"/>
      <c r="Q298" s="2204" t="str">
        <f>CONCATENATE("Consumption (kWh) per ",LEFT(F298,LEN(F298)-1))</f>
        <v>Consumption (kWh) per Customer</v>
      </c>
      <c r="R298" s="2205"/>
      <c r="S298" s="2205"/>
      <c r="T298" s="2205"/>
      <c r="U298" s="2206"/>
      <c r="V298" s="493"/>
    </row>
    <row r="299" spans="2:22" ht="38.25" customHeight="1" thickBot="1" x14ac:dyDescent="0.25">
      <c r="C299" s="466"/>
      <c r="D299" s="468" t="str">
        <f>CONCATENATE("(for ",TestYear," Cost of Service")</f>
        <v>(for 2020 Cost of Service</v>
      </c>
      <c r="E299" s="463"/>
      <c r="F299" s="2194"/>
      <c r="G299" s="2195"/>
      <c r="H299" s="2197"/>
      <c r="I299" s="1477"/>
      <c r="J299" s="463"/>
      <c r="K299" s="472"/>
      <c r="L299" s="598" t="s">
        <v>962</v>
      </c>
      <c r="M299" s="598" t="s">
        <v>948</v>
      </c>
      <c r="N299" s="490"/>
      <c r="O299" s="491" t="s">
        <v>948</v>
      </c>
      <c r="P299" s="463"/>
      <c r="Q299" s="568"/>
      <c r="R299" s="569" t="str">
        <f>L299</f>
        <v>Actual (Weather actual)</v>
      </c>
      <c r="S299" s="570" t="str">
        <f>M299</f>
        <v>Weather-normalized</v>
      </c>
      <c r="T299" s="570"/>
      <c r="U299" s="571" t="str">
        <f>O299</f>
        <v>Weather-normalized</v>
      </c>
      <c r="V299" s="493"/>
    </row>
    <row r="300" spans="2:22" ht="18" customHeight="1" thickBot="1" x14ac:dyDescent="0.25">
      <c r="C300" s="463" t="s">
        <v>786</v>
      </c>
      <c r="D300" s="545">
        <f t="shared" ref="D300:D305" si="160">D301-1</f>
        <v>2013</v>
      </c>
      <c r="E300" s="463"/>
      <c r="F300" s="498" t="str">
        <f>$K$40</f>
        <v>Actual</v>
      </c>
      <c r="G300" s="486">
        <v>345.75</v>
      </c>
      <c r="H300" s="482" t="str">
        <f t="shared" ref="H300:H307" si="161">IF(D300=RebaseYear,"OEB-approved","")</f>
        <v>OEB-approved</v>
      </c>
      <c r="I300" s="1474">
        <v>345</v>
      </c>
      <c r="J300" s="463"/>
      <c r="K300" s="470" t="str">
        <f>F300</f>
        <v>Actual</v>
      </c>
      <c r="L300" s="1734">
        <v>1424753.8709677421</v>
      </c>
      <c r="M300" s="1734">
        <v>1424753.8709677421</v>
      </c>
      <c r="N300" s="459" t="str">
        <f t="shared" ref="N300:N307" si="162">H300</f>
        <v>OEB-approved</v>
      </c>
      <c r="O300" s="1474">
        <v>1443337</v>
      </c>
      <c r="P300" s="463"/>
      <c r="Q300" s="566" t="str">
        <f>K300</f>
        <v>Actual</v>
      </c>
      <c r="R300" s="1466">
        <f>IF(G300=0,"",L300/G300)</f>
        <v>4120.7631842884803</v>
      </c>
      <c r="S300" s="1467">
        <f>IF(G300=0,"",M300/G300)</f>
        <v>4120.7631842884803</v>
      </c>
      <c r="T300" s="513" t="str">
        <f t="shared" ref="T300:T307" si="163">N300</f>
        <v>OEB-approved</v>
      </c>
      <c r="U300" s="1467">
        <f t="shared" ref="U300:U307" si="164">IF(T300="","",IF(I300=0,"",O300/I300))</f>
        <v>4183.5855072463764</v>
      </c>
      <c r="V300" s="493"/>
    </row>
    <row r="301" spans="2:22" x14ac:dyDescent="0.2">
      <c r="C301" s="463" t="s">
        <v>786</v>
      </c>
      <c r="D301" s="545">
        <f t="shared" si="160"/>
        <v>2014</v>
      </c>
      <c r="E301" s="462"/>
      <c r="F301" s="498" t="str">
        <f>$K$40</f>
        <v>Actual</v>
      </c>
      <c r="G301" s="486">
        <v>332.25</v>
      </c>
      <c r="H301" s="482" t="str">
        <f>IF(D301=RebaseYear,"OEB-approved","")</f>
        <v/>
      </c>
      <c r="I301" s="1474"/>
      <c r="J301" s="462"/>
      <c r="K301" s="470" t="str">
        <f>F301</f>
        <v>Actual</v>
      </c>
      <c r="L301" s="1734">
        <v>1346882.7112660531</v>
      </c>
      <c r="M301" s="1734">
        <v>1346882.7112660531</v>
      </c>
      <c r="N301" s="459" t="str">
        <f t="shared" si="162"/>
        <v/>
      </c>
      <c r="O301" s="1461"/>
      <c r="P301" s="462"/>
      <c r="Q301" s="566" t="str">
        <f>K301</f>
        <v>Actual</v>
      </c>
      <c r="R301" s="1466">
        <f>IF(G301=0,"",L301/G301)</f>
        <v>4053.8230587390613</v>
      </c>
      <c r="S301" s="1467">
        <f>IF(G301=0,"",M301/G301)</f>
        <v>4053.8230587390613</v>
      </c>
      <c r="T301" s="513" t="str">
        <f t="shared" si="163"/>
        <v/>
      </c>
      <c r="U301" s="1467" t="str">
        <f t="shared" si="164"/>
        <v/>
      </c>
      <c r="V301" s="494"/>
    </row>
    <row r="302" spans="2:22" x14ac:dyDescent="0.2">
      <c r="C302" s="463" t="s">
        <v>786</v>
      </c>
      <c r="D302" s="545">
        <f t="shared" si="160"/>
        <v>2015</v>
      </c>
      <c r="E302" s="462"/>
      <c r="F302" s="499" t="str">
        <f>$K$41</f>
        <v>Actual</v>
      </c>
      <c r="G302" s="486">
        <v>321.75</v>
      </c>
      <c r="H302" s="482" t="str">
        <f t="shared" si="161"/>
        <v/>
      </c>
      <c r="I302" s="1474"/>
      <c r="J302" s="462"/>
      <c r="K302" s="470" t="str">
        <f t="shared" ref="K302:K307" si="165">F302</f>
        <v>Actual</v>
      </c>
      <c r="L302" s="1734">
        <v>1276037.528046373</v>
      </c>
      <c r="M302" s="1734">
        <v>1276037.528046373</v>
      </c>
      <c r="N302" s="459" t="str">
        <f t="shared" si="162"/>
        <v/>
      </c>
      <c r="O302" s="1461"/>
      <c r="P302" s="462"/>
      <c r="Q302" s="566" t="str">
        <f t="shared" ref="Q302:Q307" si="166">K302</f>
        <v>Actual</v>
      </c>
      <c r="R302" s="1466">
        <f t="shared" ref="R302:R307" si="167">IF(G302=0,"",L302/G302)</f>
        <v>3965.9286030967305</v>
      </c>
      <c r="S302" s="1467">
        <f t="shared" ref="S302:S307" si="168">IF(G302=0,"",M302/G302)</f>
        <v>3965.9286030967305</v>
      </c>
      <c r="T302" s="513" t="str">
        <f t="shared" si="163"/>
        <v/>
      </c>
      <c r="U302" s="1467" t="str">
        <f t="shared" si="164"/>
        <v/>
      </c>
      <c r="V302" s="494"/>
    </row>
    <row r="303" spans="2:22" x14ac:dyDescent="0.2">
      <c r="C303" s="463" t="s">
        <v>786</v>
      </c>
      <c r="D303" s="545">
        <f t="shared" si="160"/>
        <v>2016</v>
      </c>
      <c r="E303" s="462"/>
      <c r="F303" s="499" t="str">
        <f>$K$42</f>
        <v>Actual</v>
      </c>
      <c r="G303" s="486">
        <v>311</v>
      </c>
      <c r="H303" s="482" t="str">
        <f t="shared" si="161"/>
        <v/>
      </c>
      <c r="I303" s="1476"/>
      <c r="J303" s="462"/>
      <c r="K303" s="470" t="str">
        <f t="shared" si="165"/>
        <v>Actual</v>
      </c>
      <c r="L303" s="1734">
        <v>1219818.0434200256</v>
      </c>
      <c r="M303" s="1734">
        <v>1219818.0434200256</v>
      </c>
      <c r="N303" s="459" t="str">
        <f t="shared" si="162"/>
        <v/>
      </c>
      <c r="O303" s="1462"/>
      <c r="P303" s="462"/>
      <c r="Q303" s="566" t="str">
        <f t="shared" si="166"/>
        <v>Actual</v>
      </c>
      <c r="R303" s="1466">
        <f t="shared" si="167"/>
        <v>3922.2445126045841</v>
      </c>
      <c r="S303" s="1467">
        <f t="shared" si="168"/>
        <v>3922.2445126045841</v>
      </c>
      <c r="T303" s="513" t="str">
        <f t="shared" si="163"/>
        <v/>
      </c>
      <c r="U303" s="1467" t="str">
        <f t="shared" si="164"/>
        <v/>
      </c>
      <c r="V303" s="494"/>
    </row>
    <row r="304" spans="2:22" x14ac:dyDescent="0.2">
      <c r="C304" s="463" t="s">
        <v>786</v>
      </c>
      <c r="D304" s="545">
        <f t="shared" si="160"/>
        <v>2017</v>
      </c>
      <c r="E304" s="462"/>
      <c r="F304" s="499" t="str">
        <f>$K$43</f>
        <v>Actual</v>
      </c>
      <c r="G304" s="486">
        <v>302.5</v>
      </c>
      <c r="H304" s="482" t="str">
        <f t="shared" si="161"/>
        <v/>
      </c>
      <c r="I304" s="1474"/>
      <c r="J304" s="462"/>
      <c r="K304" s="470" t="str">
        <f t="shared" si="165"/>
        <v>Actual</v>
      </c>
      <c r="L304" s="1734">
        <v>1179514.8156682041</v>
      </c>
      <c r="M304" s="1734">
        <v>1179514.8156682041</v>
      </c>
      <c r="N304" s="459" t="str">
        <f t="shared" si="162"/>
        <v/>
      </c>
      <c r="O304" s="1461"/>
      <c r="P304" s="462"/>
      <c r="Q304" s="566" t="str">
        <f t="shared" si="166"/>
        <v>Actual</v>
      </c>
      <c r="R304" s="1466">
        <f t="shared" si="167"/>
        <v>3899.2225311345592</v>
      </c>
      <c r="S304" s="1467">
        <f t="shared" si="168"/>
        <v>3899.2225311345592</v>
      </c>
      <c r="T304" s="513" t="str">
        <f t="shared" si="163"/>
        <v/>
      </c>
      <c r="U304" s="1467" t="str">
        <f t="shared" si="164"/>
        <v/>
      </c>
      <c r="V304" s="494"/>
    </row>
    <row r="305" spans="2:22" x14ac:dyDescent="0.2">
      <c r="C305" s="463" t="s">
        <v>786</v>
      </c>
      <c r="D305" s="545">
        <f t="shared" si="160"/>
        <v>2018</v>
      </c>
      <c r="E305" s="462"/>
      <c r="F305" s="499" t="str">
        <f>$K$44</f>
        <v>Actual</v>
      </c>
      <c r="G305" s="486">
        <v>292</v>
      </c>
      <c r="H305" s="482" t="str">
        <f t="shared" si="161"/>
        <v/>
      </c>
      <c r="I305" s="1474"/>
      <c r="J305" s="462"/>
      <c r="K305" s="470" t="str">
        <f t="shared" si="165"/>
        <v>Actual</v>
      </c>
      <c r="L305" s="1734">
        <v>1134622.2146923307</v>
      </c>
      <c r="M305" s="1734">
        <v>1134622.2146923307</v>
      </c>
      <c r="N305" s="459" t="str">
        <f t="shared" si="162"/>
        <v/>
      </c>
      <c r="O305" s="1461"/>
      <c r="P305" s="462"/>
      <c r="Q305" s="566" t="str">
        <f t="shared" si="166"/>
        <v>Actual</v>
      </c>
      <c r="R305" s="1466">
        <f t="shared" si="167"/>
        <v>3885.6925160696255</v>
      </c>
      <c r="S305" s="1467">
        <f t="shared" si="168"/>
        <v>3885.6925160696255</v>
      </c>
      <c r="T305" s="513" t="str">
        <f t="shared" si="163"/>
        <v/>
      </c>
      <c r="U305" s="1467" t="str">
        <f t="shared" si="164"/>
        <v/>
      </c>
      <c r="V305" s="494"/>
    </row>
    <row r="306" spans="2:22" x14ac:dyDescent="0.2">
      <c r="C306" s="463" t="s">
        <v>276</v>
      </c>
      <c r="D306" s="545">
        <f>D307-1</f>
        <v>2019</v>
      </c>
      <c r="E306" s="462"/>
      <c r="F306" s="499" t="str">
        <f>$K$45</f>
        <v>Actual</v>
      </c>
      <c r="G306" s="486">
        <v>293.5</v>
      </c>
      <c r="H306" s="482" t="str">
        <f t="shared" si="161"/>
        <v/>
      </c>
      <c r="I306" s="1474"/>
      <c r="J306" s="462"/>
      <c r="K306" s="470" t="str">
        <f t="shared" si="165"/>
        <v>Actual</v>
      </c>
      <c r="L306" s="1734">
        <v>1133887</v>
      </c>
      <c r="M306" s="1735">
        <v>1133887</v>
      </c>
      <c r="N306" s="459" t="str">
        <f t="shared" si="162"/>
        <v/>
      </c>
      <c r="O306" s="1461"/>
      <c r="P306" s="462"/>
      <c r="Q306" s="566" t="str">
        <f t="shared" si="166"/>
        <v>Actual</v>
      </c>
      <c r="R306" s="1466">
        <f t="shared" si="167"/>
        <v>3863.3287904599661</v>
      </c>
      <c r="S306" s="1467">
        <f t="shared" si="168"/>
        <v>3863.3287904599661</v>
      </c>
      <c r="T306" s="513" t="str">
        <f t="shared" si="163"/>
        <v/>
      </c>
      <c r="U306" s="1467" t="str">
        <f t="shared" si="164"/>
        <v/>
      </c>
      <c r="V306" s="494"/>
    </row>
    <row r="307" spans="2:22" ht="13.5" thickBot="1" x14ac:dyDescent="0.25">
      <c r="C307" s="464" t="s">
        <v>277</v>
      </c>
      <c r="D307" s="546">
        <f>TestYear</f>
        <v>2020</v>
      </c>
      <c r="E307" s="466"/>
      <c r="F307" s="500" t="str">
        <f>$K$46</f>
        <v>Forecast</v>
      </c>
      <c r="G307" s="487">
        <v>289.38581958804872</v>
      </c>
      <c r="H307" s="483" t="str">
        <f t="shared" si="161"/>
        <v/>
      </c>
      <c r="I307" s="1475"/>
      <c r="J307" s="466"/>
      <c r="K307" s="471" t="str">
        <f t="shared" si="165"/>
        <v>Forecast</v>
      </c>
      <c r="L307" s="1755">
        <v>0</v>
      </c>
      <c r="M307" s="1736">
        <v>1109724.5590085674</v>
      </c>
      <c r="N307" s="460" t="str">
        <f t="shared" si="162"/>
        <v/>
      </c>
      <c r="O307" s="1463"/>
      <c r="P307" s="466"/>
      <c r="Q307" s="567" t="str">
        <f t="shared" si="166"/>
        <v>Forecast</v>
      </c>
      <c r="R307" s="1468">
        <f t="shared" si="167"/>
        <v>0</v>
      </c>
      <c r="S307" s="1469">
        <f t="shared" si="168"/>
        <v>3834.7579041305507</v>
      </c>
      <c r="T307" s="537" t="str">
        <f t="shared" si="163"/>
        <v/>
      </c>
      <c r="U307" s="1469" t="str">
        <f t="shared" si="164"/>
        <v/>
      </c>
      <c r="V307" s="494"/>
    </row>
    <row r="308" spans="2:22" ht="13.5" thickBot="1" x14ac:dyDescent="0.25">
      <c r="B308" s="513"/>
      <c r="C308" s="548"/>
      <c r="I308" s="1804">
        <f>SUM(I300:I306)</f>
        <v>345</v>
      </c>
      <c r="O308" s="1804">
        <f>SUM(O300:O306)</f>
        <v>1443337</v>
      </c>
      <c r="U308" s="1805">
        <f>SUM(U300:U306)</f>
        <v>4183.5855072463764</v>
      </c>
    </row>
    <row r="309" spans="2:22" ht="39" thickBot="1" x14ac:dyDescent="0.25">
      <c r="C309" s="579" t="s">
        <v>837</v>
      </c>
      <c r="D309" s="578" t="s">
        <v>10</v>
      </c>
      <c r="E309" s="543"/>
      <c r="F309" s="543"/>
      <c r="G309" s="1449" t="s">
        <v>959</v>
      </c>
      <c r="H309" s="543"/>
      <c r="I309" s="573" t="s">
        <v>1327</v>
      </c>
      <c r="J309" s="575"/>
      <c r="K309" s="574" t="s">
        <v>10</v>
      </c>
      <c r="L309" s="2196" t="s">
        <v>959</v>
      </c>
      <c r="M309" s="2196"/>
      <c r="N309" s="543"/>
      <c r="O309" s="573" t="str">
        <f>I309</f>
        <v>Test Year Versus OEB-approved</v>
      </c>
      <c r="P309" s="576"/>
      <c r="Q309" s="574" t="s">
        <v>10</v>
      </c>
      <c r="R309" s="2196" t="s">
        <v>959</v>
      </c>
      <c r="S309" s="2196"/>
      <c r="T309" s="543"/>
      <c r="U309" s="573" t="str">
        <f>O309</f>
        <v>Test Year Versus OEB-approved</v>
      </c>
    </row>
    <row r="310" spans="2:22" x14ac:dyDescent="0.2">
      <c r="C310" s="1743"/>
      <c r="D310" s="559">
        <f t="shared" ref="D310:D317" si="169">D300</f>
        <v>2013</v>
      </c>
      <c r="E310" s="513"/>
      <c r="F310" s="513"/>
      <c r="G310" s="554"/>
      <c r="H310" s="513"/>
      <c r="I310" s="1741"/>
      <c r="J310" s="565"/>
      <c r="K310" s="545">
        <f>D310</f>
        <v>2013</v>
      </c>
      <c r="L310" s="533"/>
      <c r="M310" s="533"/>
      <c r="N310" s="513"/>
      <c r="O310" s="1741"/>
      <c r="P310" s="462"/>
      <c r="Q310" s="545">
        <f>K310</f>
        <v>2013</v>
      </c>
      <c r="R310" s="514"/>
      <c r="S310" s="514"/>
      <c r="T310" s="513"/>
      <c r="U310" s="1741"/>
    </row>
    <row r="311" spans="2:22" x14ac:dyDescent="0.2">
      <c r="C311" s="462"/>
      <c r="D311" s="559">
        <f t="shared" si="169"/>
        <v>2014</v>
      </c>
      <c r="E311" s="513"/>
      <c r="F311" s="513"/>
      <c r="G311" s="555">
        <f t="shared" ref="G311:G317" si="170">IF(G300=0,"",G301/G300-1)</f>
        <v>-3.9045553145336198E-2</v>
      </c>
      <c r="H311" s="513"/>
      <c r="I311" s="560"/>
      <c r="J311" s="565"/>
      <c r="K311" s="545">
        <f>D311</f>
        <v>2014</v>
      </c>
      <c r="L311" s="535">
        <f t="shared" ref="L311:M315" si="171">IF(L300=0,"",L301/L300-1)</f>
        <v>-5.4655868138681507E-2</v>
      </c>
      <c r="M311" s="535">
        <f t="shared" si="171"/>
        <v>-5.4655868138681507E-2</v>
      </c>
      <c r="N311" s="513"/>
      <c r="O311" s="509"/>
      <c r="P311" s="462"/>
      <c r="Q311" s="545">
        <f>K311</f>
        <v>2014</v>
      </c>
      <c r="R311" s="556">
        <f t="shared" ref="R311:S315" si="172">IF(R300="","",IF(R300=0,"",R301/R300-1))</f>
        <v>-1.6244594157860393E-2</v>
      </c>
      <c r="S311" s="556">
        <f t="shared" si="172"/>
        <v>-1.6244594157860393E-2</v>
      </c>
      <c r="T311" s="513"/>
      <c r="U311" s="509"/>
    </row>
    <row r="312" spans="2:22" x14ac:dyDescent="0.2">
      <c r="C312" s="462"/>
      <c r="D312" s="547">
        <f t="shared" si="169"/>
        <v>2015</v>
      </c>
      <c r="E312" s="513"/>
      <c r="F312" s="513"/>
      <c r="G312" s="555">
        <f t="shared" si="170"/>
        <v>-3.1602708803611712E-2</v>
      </c>
      <c r="H312" s="513"/>
      <c r="I312" s="560"/>
      <c r="J312" s="565"/>
      <c r="K312" s="545">
        <f t="shared" ref="K312:K318" si="173">D312</f>
        <v>2015</v>
      </c>
      <c r="L312" s="535">
        <f t="shared" si="171"/>
        <v>-5.2599370848770088E-2</v>
      </c>
      <c r="M312" s="535">
        <f t="shared" si="171"/>
        <v>-5.2599370848770088E-2</v>
      </c>
      <c r="N312" s="513"/>
      <c r="O312" s="509"/>
      <c r="P312" s="462"/>
      <c r="Q312" s="545">
        <f t="shared" ref="Q312:Q318" si="174">K312</f>
        <v>2015</v>
      </c>
      <c r="R312" s="556">
        <f t="shared" si="172"/>
        <v>-2.168186779954584E-2</v>
      </c>
      <c r="S312" s="556">
        <f t="shared" si="172"/>
        <v>-2.168186779954584E-2</v>
      </c>
      <c r="T312" s="513"/>
      <c r="U312" s="509"/>
    </row>
    <row r="313" spans="2:22" x14ac:dyDescent="0.2">
      <c r="C313" s="462"/>
      <c r="D313" s="547">
        <f t="shared" si="169"/>
        <v>2016</v>
      </c>
      <c r="E313" s="513"/>
      <c r="F313" s="513"/>
      <c r="G313" s="555">
        <f t="shared" si="170"/>
        <v>-3.3411033411033464E-2</v>
      </c>
      <c r="H313" s="513"/>
      <c r="I313" s="560"/>
      <c r="J313" s="565"/>
      <c r="K313" s="545">
        <f t="shared" si="173"/>
        <v>2016</v>
      </c>
      <c r="L313" s="535">
        <f t="shared" si="171"/>
        <v>-4.405786145836954E-2</v>
      </c>
      <c r="M313" s="535">
        <f t="shared" si="171"/>
        <v>-4.405786145836954E-2</v>
      </c>
      <c r="N313" s="513"/>
      <c r="O313" s="509"/>
      <c r="P313" s="462"/>
      <c r="Q313" s="545">
        <f t="shared" si="174"/>
        <v>2016</v>
      </c>
      <c r="R313" s="556">
        <f t="shared" si="172"/>
        <v>-1.1014845415531771E-2</v>
      </c>
      <c r="S313" s="556">
        <f t="shared" si="172"/>
        <v>-1.1014845415531771E-2</v>
      </c>
      <c r="T313" s="513"/>
      <c r="U313" s="509"/>
    </row>
    <row r="314" spans="2:22" x14ac:dyDescent="0.2">
      <c r="C314" s="462"/>
      <c r="D314" s="547">
        <f t="shared" si="169"/>
        <v>2017</v>
      </c>
      <c r="E314" s="513"/>
      <c r="F314" s="513"/>
      <c r="G314" s="555">
        <f t="shared" si="170"/>
        <v>-2.7331189710610881E-2</v>
      </c>
      <c r="H314" s="513"/>
      <c r="I314" s="560"/>
      <c r="J314" s="565"/>
      <c r="K314" s="545">
        <f t="shared" si="173"/>
        <v>2017</v>
      </c>
      <c r="L314" s="535">
        <f t="shared" si="171"/>
        <v>-3.3040360379341993E-2</v>
      </c>
      <c r="M314" s="535">
        <f t="shared" si="171"/>
        <v>-3.3040360379341993E-2</v>
      </c>
      <c r="N314" s="513"/>
      <c r="O314" s="509"/>
      <c r="P314" s="462"/>
      <c r="Q314" s="545">
        <f t="shared" si="174"/>
        <v>2017</v>
      </c>
      <c r="R314" s="556">
        <f t="shared" si="172"/>
        <v>-5.8695936461995446E-3</v>
      </c>
      <c r="S314" s="556">
        <f t="shared" si="172"/>
        <v>-5.8695936461995446E-3</v>
      </c>
      <c r="T314" s="513"/>
      <c r="U314" s="509"/>
    </row>
    <row r="315" spans="2:22" x14ac:dyDescent="0.2">
      <c r="C315" s="462"/>
      <c r="D315" s="547">
        <f t="shared" si="169"/>
        <v>2018</v>
      </c>
      <c r="E315" s="513"/>
      <c r="F315" s="513"/>
      <c r="G315" s="555">
        <f t="shared" si="170"/>
        <v>-3.4710743801652844E-2</v>
      </c>
      <c r="H315" s="513"/>
      <c r="I315" s="560"/>
      <c r="J315" s="565"/>
      <c r="K315" s="545">
        <f t="shared" si="173"/>
        <v>2018</v>
      </c>
      <c r="L315" s="535">
        <f t="shared" si="171"/>
        <v>-3.8060226441870904E-2</v>
      </c>
      <c r="M315" s="535">
        <f t="shared" si="171"/>
        <v>-3.8060226441870904E-2</v>
      </c>
      <c r="N315" s="513"/>
      <c r="O315" s="509"/>
      <c r="P315" s="462"/>
      <c r="Q315" s="545">
        <f t="shared" si="174"/>
        <v>2018</v>
      </c>
      <c r="R315" s="556">
        <f t="shared" si="172"/>
        <v>-3.4699263652944179E-3</v>
      </c>
      <c r="S315" s="556">
        <f t="shared" si="172"/>
        <v>-3.4699263652944179E-3</v>
      </c>
      <c r="T315" s="513"/>
      <c r="U315" s="509"/>
    </row>
    <row r="316" spans="2:22" x14ac:dyDescent="0.2">
      <c r="C316" s="462"/>
      <c r="D316" s="547">
        <f t="shared" si="169"/>
        <v>2019</v>
      </c>
      <c r="E316" s="513"/>
      <c r="F316" s="513"/>
      <c r="G316" s="555">
        <f t="shared" si="170"/>
        <v>5.1369863013699391E-3</v>
      </c>
      <c r="H316" s="513"/>
      <c r="I316" s="560"/>
      <c r="J316" s="565"/>
      <c r="K316" s="545">
        <f t="shared" si="173"/>
        <v>2019</v>
      </c>
      <c r="L316" s="535">
        <f>IF(K306="Forecast","",IF(L305=0,"",L306/L305-1))</f>
        <v>-6.4798192985326963E-4</v>
      </c>
      <c r="M316" s="535">
        <f>IF(M305=0,"",M306/M305-1)</f>
        <v>-6.4798192985326963E-4</v>
      </c>
      <c r="N316" s="513"/>
      <c r="O316" s="509"/>
      <c r="P316" s="462"/>
      <c r="Q316" s="545">
        <f t="shared" si="174"/>
        <v>2019</v>
      </c>
      <c r="R316" s="556">
        <f>IF(Q306="Forecast","",IF(R305=0,"",R306/R305-1))</f>
        <v>-5.755402805850518E-3</v>
      </c>
      <c r="S316" s="556">
        <f>IF(S305="","",IF(S305=0,"",S306/S305-1))</f>
        <v>-5.755402805850518E-3</v>
      </c>
      <c r="T316" s="513"/>
      <c r="U316" s="509"/>
    </row>
    <row r="317" spans="2:22" x14ac:dyDescent="0.2">
      <c r="C317" s="462"/>
      <c r="D317" s="547">
        <f t="shared" si="169"/>
        <v>2020</v>
      </c>
      <c r="E317" s="513"/>
      <c r="F317" s="513"/>
      <c r="G317" s="555">
        <f t="shared" si="170"/>
        <v>-1.4017650466614295E-2</v>
      </c>
      <c r="H317" s="513"/>
      <c r="I317" s="561">
        <f>IF(I308=0,"",G307/I308-1)</f>
        <v>-0.16120052293319209</v>
      </c>
      <c r="J317" s="565"/>
      <c r="K317" s="545">
        <f t="shared" si="173"/>
        <v>2020</v>
      </c>
      <c r="L317" s="535" t="str">
        <f>IF(K307="Forecast","",IF(L306=0,"",L307/L306-1))</f>
        <v/>
      </c>
      <c r="M317" s="535">
        <f>IF(M306=0,"",M307/M306-1)</f>
        <v>-2.1309390610733336E-2</v>
      </c>
      <c r="N317" s="513"/>
      <c r="O317" s="536">
        <f>IF(O308=0,"",M307/O308-1)</f>
        <v>-0.23113967215655984</v>
      </c>
      <c r="P317" s="462"/>
      <c r="Q317" s="545">
        <f t="shared" si="174"/>
        <v>2020</v>
      </c>
      <c r="R317" s="556" t="str">
        <f>IF(Q307="Forecast","",IF(R306=0,"",R307/R306-1))</f>
        <v/>
      </c>
      <c r="S317" s="556">
        <f>IF(S306="","",IF(S306=0,"",S307/S306-1))</f>
        <v>-7.3954063656108682E-3</v>
      </c>
      <c r="T317" s="513"/>
      <c r="U317" s="536">
        <f>IF(U308=0,"",S307/U308-1)</f>
        <v>-8.3380058208831209E-2</v>
      </c>
    </row>
    <row r="318" spans="2:22" ht="26.25" thickBot="1" x14ac:dyDescent="0.25">
      <c r="C318" s="466"/>
      <c r="D318" s="584" t="s">
        <v>958</v>
      </c>
      <c r="E318" s="537"/>
      <c r="F318" s="537"/>
      <c r="G318" s="540">
        <f>IF(G300="","",IF(G300=0,"",(G307/G300)^(1/($D307-$D300-1))-1))</f>
        <v>-2.922367527753178E-2</v>
      </c>
      <c r="H318" s="537"/>
      <c r="I318" s="585">
        <f>IF(I308=0,"",(G307/I308)^(1/(TestYear-RebaseYear-1))-1)</f>
        <v>-2.8872262899005352E-2</v>
      </c>
      <c r="J318" s="542"/>
      <c r="K318" s="583" t="str">
        <f t="shared" si="173"/>
        <v>Geometric Mean</v>
      </c>
      <c r="L318" s="540">
        <f>IF(L300="","",IF(L300=0,"",(L305/L300)^(1/($D305-$D300-1))-1))</f>
        <v>-5.5334925577349869E-2</v>
      </c>
      <c r="M318" s="540">
        <f>IF(M300="","",IF(M300=0,"",(M307/M300)^(1/($D307-$D300-1))-1))</f>
        <v>-4.0792515903558035E-2</v>
      </c>
      <c r="N318" s="537"/>
      <c r="O318" s="553">
        <f>IF(O308=0,"",(M307/O308)^(1/(TestYear-RebaseYear-1))-1)</f>
        <v>-4.286196338566084E-2</v>
      </c>
      <c r="P318" s="466"/>
      <c r="Q318" s="583" t="str">
        <f t="shared" si="174"/>
        <v>Geometric Mean</v>
      </c>
      <c r="R318" s="540">
        <f>IF(R300="","",IF(R300=0,"",(R305/R300)^(1/($D305-$D300-1))-1))</f>
        <v>-1.4577002435362196E-2</v>
      </c>
      <c r="S318" s="540">
        <f>IF(S300="","",IF(S300=0,"",(S307/S300)^(1/($D307-$D300-1))-1))</f>
        <v>-1.1917102149492265E-2</v>
      </c>
      <c r="T318" s="537"/>
      <c r="U318" s="553">
        <f>IF(U308=0,"",(S307/U308)^(1/(TestYear-RebaseYear-1))-1)</f>
        <v>-1.4405623433656145E-2</v>
      </c>
    </row>
    <row r="320" spans="2:22" ht="13.5" thickBot="1" x14ac:dyDescent="0.25">
      <c r="Q320" s="537"/>
      <c r="R320" s="537"/>
      <c r="S320" s="537"/>
      <c r="T320" s="537"/>
      <c r="U320" s="537"/>
    </row>
    <row r="321" spans="3:21" x14ac:dyDescent="0.2">
      <c r="C321" s="461"/>
      <c r="D321" s="465" t="s">
        <v>945</v>
      </c>
      <c r="E321" s="465"/>
      <c r="F321" s="2198" t="s">
        <v>938</v>
      </c>
      <c r="G321" s="2199"/>
      <c r="H321" s="2199"/>
      <c r="I321" s="2200"/>
      <c r="K321" s="2201" t="str">
        <f>IF(ISBLANK(Q296),"",CONCATENATE("Demand (",Q296,")"))</f>
        <v>Demand (kWh)</v>
      </c>
      <c r="L321" s="2202"/>
      <c r="M321" s="2202"/>
      <c r="N321" s="2202"/>
      <c r="O321" s="2203"/>
      <c r="Q321" s="2204" t="str">
        <f>CONCATENATE("Demand (",Q296,") per ",LEFT(F298,LEN(F298)-1))</f>
        <v>Demand (kWh) per Customer</v>
      </c>
      <c r="R321" s="2205"/>
      <c r="S321" s="2205"/>
      <c r="T321" s="2205"/>
      <c r="U321" s="2206"/>
    </row>
    <row r="322" spans="3:21" ht="39" thickBot="1" x14ac:dyDescent="0.25">
      <c r="C322" s="466"/>
      <c r="D322" s="468" t="str">
        <f>CONCATENATE("(for ",TestYear," Cost of Service")</f>
        <v>(for 2020 Cost of Service</v>
      </c>
      <c r="E322" s="463"/>
      <c r="F322" s="2194"/>
      <c r="G322" s="2195"/>
      <c r="H322" s="2195"/>
      <c r="I322" s="1710"/>
      <c r="K322" s="472"/>
      <c r="L322" s="598" t="s">
        <v>962</v>
      </c>
      <c r="M322" s="598" t="s">
        <v>948</v>
      </c>
      <c r="N322" s="490"/>
      <c r="O322" s="491" t="str">
        <f>M322</f>
        <v>Weather-normalized</v>
      </c>
      <c r="Q322" s="582"/>
      <c r="R322" s="598" t="str">
        <f>L322</f>
        <v>Actual (Weather actual)</v>
      </c>
      <c r="S322" s="598" t="str">
        <f>M322</f>
        <v>Weather-normalized</v>
      </c>
      <c r="T322" s="598"/>
      <c r="U322" s="599" t="str">
        <f>O322</f>
        <v>Weather-normalized</v>
      </c>
    </row>
    <row r="323" spans="3:21" ht="13.5" thickBot="1" x14ac:dyDescent="0.25">
      <c r="C323" s="463" t="s">
        <v>786</v>
      </c>
      <c r="D323" s="545">
        <f t="shared" ref="D323:D329" si="175">D324-1</f>
        <v>2013</v>
      </c>
      <c r="E323" s="463"/>
      <c r="F323" s="498" t="str">
        <f t="shared" ref="F323:F330" si="176">F300</f>
        <v>Actual</v>
      </c>
      <c r="G323" s="496">
        <v>46555.83</v>
      </c>
      <c r="H323" t="str">
        <f>IF(D323=RebaseYear,"OEB-approved","")</f>
        <v>OEB-approved</v>
      </c>
      <c r="I323" s="1471">
        <v>43784</v>
      </c>
      <c r="K323" s="1730"/>
      <c r="L323" s="1731"/>
      <c r="M323" s="1731"/>
      <c r="N323" s="1732"/>
      <c r="O323" s="1733"/>
      <c r="Q323" s="1742"/>
      <c r="R323" s="1731"/>
      <c r="S323" s="1731"/>
      <c r="T323" s="1731"/>
      <c r="U323" s="1741"/>
    </row>
    <row r="324" spans="3:21" x14ac:dyDescent="0.2">
      <c r="C324" s="463" t="s">
        <v>786</v>
      </c>
      <c r="D324" s="545">
        <f t="shared" si="175"/>
        <v>2014</v>
      </c>
      <c r="E324" s="462"/>
      <c r="F324" s="498" t="str">
        <f t="shared" si="176"/>
        <v>Actual</v>
      </c>
      <c r="G324" s="496">
        <v>42454.58</v>
      </c>
      <c r="H324" s="2" t="str">
        <f>IF(D324=RebaseYear,"OEB-approved","")</f>
        <v/>
      </c>
      <c r="I324" s="1470"/>
      <c r="K324" s="470" t="str">
        <f t="shared" ref="K324:K330" si="177">K301</f>
        <v>Actual</v>
      </c>
      <c r="L324" s="479"/>
      <c r="M324" s="479"/>
      <c r="N324" s="459" t="str">
        <f t="shared" ref="N324:N330" si="178">N301</f>
        <v/>
      </c>
      <c r="O324" s="509"/>
      <c r="Q324" s="566" t="str">
        <f>K324</f>
        <v>Actual</v>
      </c>
      <c r="R324" s="513">
        <f>IF(G324=0,"",L324/G324)</f>
        <v>0</v>
      </c>
      <c r="S324" s="494">
        <f>IF(G324=0,"",M324/G324)</f>
        <v>0</v>
      </c>
      <c r="T324" s="494" t="str">
        <f>N324</f>
        <v/>
      </c>
      <c r="U324" s="462" t="str">
        <f>IF(T324="","",IF(I324=0,"",O324/I324))</f>
        <v/>
      </c>
    </row>
    <row r="325" spans="3:21" x14ac:dyDescent="0.2">
      <c r="C325" s="463" t="s">
        <v>786</v>
      </c>
      <c r="D325" s="545">
        <f t="shared" si="175"/>
        <v>2015</v>
      </c>
      <c r="E325" s="462"/>
      <c r="F325" s="499" t="str">
        <f t="shared" si="176"/>
        <v>Actual</v>
      </c>
      <c r="G325" s="496">
        <v>41307.26</v>
      </c>
      <c r="H325" s="2" t="str">
        <f t="shared" ref="H325:H330" si="179">IF(D325=RebaseYear,"OEB-approved","")</f>
        <v/>
      </c>
      <c r="I325" s="1471"/>
      <c r="K325" s="470" t="str">
        <f t="shared" si="177"/>
        <v>Actual</v>
      </c>
      <c r="L325" s="479"/>
      <c r="M325" s="479"/>
      <c r="N325" s="459" t="str">
        <f t="shared" si="178"/>
        <v/>
      </c>
      <c r="O325" s="509"/>
      <c r="Q325" s="566" t="str">
        <f t="shared" ref="Q325:Q330" si="180">K325</f>
        <v>Actual</v>
      </c>
      <c r="R325" s="513">
        <f t="shared" ref="R325:R330" si="181">IF(G325=0,"",L325/G325)</f>
        <v>0</v>
      </c>
      <c r="S325" s="494">
        <f t="shared" ref="S325:S330" si="182">IF(G325=0,"",M325/G325)</f>
        <v>0</v>
      </c>
      <c r="T325" s="494" t="str">
        <f t="shared" ref="T325:T330" si="183">N325</f>
        <v/>
      </c>
      <c r="U325" s="462" t="str">
        <f t="shared" ref="U325:U330" si="184">IF(T325="","",IF(I325=0,"",O325/I325))</f>
        <v/>
      </c>
    </row>
    <row r="326" spans="3:21" x14ac:dyDescent="0.2">
      <c r="C326" s="463" t="s">
        <v>786</v>
      </c>
      <c r="D326" s="545">
        <f t="shared" si="175"/>
        <v>2016</v>
      </c>
      <c r="E326" s="462"/>
      <c r="F326" s="499" t="str">
        <f t="shared" si="176"/>
        <v>Actual</v>
      </c>
      <c r="G326" s="496">
        <v>40063.26</v>
      </c>
      <c r="H326" s="2" t="str">
        <f t="shared" si="179"/>
        <v/>
      </c>
      <c r="I326" s="1472"/>
      <c r="K326" s="470" t="str">
        <f t="shared" si="177"/>
        <v>Actual</v>
      </c>
      <c r="L326" s="479"/>
      <c r="M326" s="479"/>
      <c r="N326" s="459" t="str">
        <f t="shared" si="178"/>
        <v/>
      </c>
      <c r="O326" s="510"/>
      <c r="Q326" s="566" t="str">
        <f t="shared" si="180"/>
        <v>Actual</v>
      </c>
      <c r="R326" s="513">
        <f t="shared" si="181"/>
        <v>0</v>
      </c>
      <c r="S326" s="494">
        <f t="shared" si="182"/>
        <v>0</v>
      </c>
      <c r="T326" s="494" t="str">
        <f t="shared" si="183"/>
        <v/>
      </c>
      <c r="U326" s="462" t="str">
        <f t="shared" si="184"/>
        <v/>
      </c>
    </row>
    <row r="327" spans="3:21" x14ac:dyDescent="0.2">
      <c r="C327" s="463" t="s">
        <v>786</v>
      </c>
      <c r="D327" s="545">
        <f t="shared" si="175"/>
        <v>2017</v>
      </c>
      <c r="E327" s="462"/>
      <c r="F327" s="499" t="str">
        <f t="shared" si="176"/>
        <v>Actual</v>
      </c>
      <c r="G327" s="496">
        <v>39239.49</v>
      </c>
      <c r="H327" s="2" t="str">
        <f t="shared" si="179"/>
        <v/>
      </c>
      <c r="I327" s="1471"/>
      <c r="K327" s="470" t="str">
        <f t="shared" si="177"/>
        <v>Actual</v>
      </c>
      <c r="L327" s="479"/>
      <c r="M327" s="479"/>
      <c r="N327" s="459" t="str">
        <f t="shared" si="178"/>
        <v/>
      </c>
      <c r="O327" s="509"/>
      <c r="Q327" s="566" t="str">
        <f t="shared" si="180"/>
        <v>Actual</v>
      </c>
      <c r="R327" s="513">
        <f t="shared" si="181"/>
        <v>0</v>
      </c>
      <c r="S327" s="494">
        <f t="shared" si="182"/>
        <v>0</v>
      </c>
      <c r="T327" s="494" t="str">
        <f t="shared" si="183"/>
        <v/>
      </c>
      <c r="U327" s="462" t="str">
        <f t="shared" si="184"/>
        <v/>
      </c>
    </row>
    <row r="328" spans="3:21" x14ac:dyDescent="0.2">
      <c r="C328" s="463" t="s">
        <v>786</v>
      </c>
      <c r="D328" s="545">
        <f t="shared" si="175"/>
        <v>2018</v>
      </c>
      <c r="E328" s="462"/>
      <c r="F328" s="499" t="str">
        <f t="shared" si="176"/>
        <v>Actual</v>
      </c>
      <c r="G328" s="496">
        <v>38273.43</v>
      </c>
      <c r="H328" s="2" t="str">
        <f t="shared" si="179"/>
        <v/>
      </c>
      <c r="I328" s="1471"/>
      <c r="K328" s="470" t="str">
        <f t="shared" si="177"/>
        <v>Actual</v>
      </c>
      <c r="L328" s="479"/>
      <c r="M328" s="479"/>
      <c r="N328" s="459" t="str">
        <f t="shared" si="178"/>
        <v/>
      </c>
      <c r="O328" s="509"/>
      <c r="Q328" s="566" t="str">
        <f t="shared" si="180"/>
        <v>Actual</v>
      </c>
      <c r="R328" s="513">
        <f t="shared" si="181"/>
        <v>0</v>
      </c>
      <c r="S328" s="494">
        <f t="shared" si="182"/>
        <v>0</v>
      </c>
      <c r="T328" s="494" t="str">
        <f t="shared" si="183"/>
        <v/>
      </c>
      <c r="U328" s="462" t="str">
        <f t="shared" si="184"/>
        <v/>
      </c>
    </row>
    <row r="329" spans="3:21" x14ac:dyDescent="0.2">
      <c r="C329" s="463" t="s">
        <v>943</v>
      </c>
      <c r="D329" s="545">
        <f t="shared" si="175"/>
        <v>2019</v>
      </c>
      <c r="E329" s="462"/>
      <c r="F329" s="499" t="str">
        <f t="shared" si="176"/>
        <v>Actual</v>
      </c>
      <c r="G329" s="496">
        <v>38040.522390964768</v>
      </c>
      <c r="H329" s="2" t="str">
        <f t="shared" si="179"/>
        <v/>
      </c>
      <c r="I329" s="1471"/>
      <c r="K329" s="470" t="str">
        <f t="shared" si="177"/>
        <v>Actual</v>
      </c>
      <c r="L329" s="488"/>
      <c r="M329" s="516"/>
      <c r="N329" s="459" t="str">
        <f t="shared" si="178"/>
        <v/>
      </c>
      <c r="O329" s="509"/>
      <c r="Q329" s="566" t="str">
        <f t="shared" si="180"/>
        <v>Actual</v>
      </c>
      <c r="R329" s="513">
        <f t="shared" si="181"/>
        <v>0</v>
      </c>
      <c r="S329" s="494">
        <f t="shared" si="182"/>
        <v>0</v>
      </c>
      <c r="T329" s="494" t="str">
        <f t="shared" si="183"/>
        <v/>
      </c>
      <c r="U329" s="462" t="str">
        <f t="shared" si="184"/>
        <v/>
      </c>
    </row>
    <row r="330" spans="3:21" ht="13.5" thickBot="1" x14ac:dyDescent="0.25">
      <c r="C330" s="464" t="s">
        <v>944</v>
      </c>
      <c r="D330" s="546">
        <f>TestYear</f>
        <v>2020</v>
      </c>
      <c r="E330" s="466"/>
      <c r="F330" s="500" t="str">
        <f t="shared" si="176"/>
        <v>Forecast</v>
      </c>
      <c r="G330" s="497">
        <v>43124.687320481855</v>
      </c>
      <c r="H330" s="492" t="str">
        <f t="shared" si="179"/>
        <v/>
      </c>
      <c r="I330" s="1473"/>
      <c r="K330" s="471" t="str">
        <f t="shared" si="177"/>
        <v>Forecast</v>
      </c>
      <c r="L330" s="489"/>
      <c r="M330" s="517"/>
      <c r="N330" s="460" t="str">
        <f t="shared" si="178"/>
        <v/>
      </c>
      <c r="O330" s="511"/>
      <c r="Q330" s="504" t="str">
        <f t="shared" si="180"/>
        <v>Forecast</v>
      </c>
      <c r="R330" s="495">
        <f t="shared" si="181"/>
        <v>0</v>
      </c>
      <c r="S330" s="495">
        <f t="shared" si="182"/>
        <v>0</v>
      </c>
      <c r="T330" s="495" t="str">
        <f t="shared" si="183"/>
        <v/>
      </c>
      <c r="U330" s="466" t="str">
        <f t="shared" si="184"/>
        <v/>
      </c>
    </row>
    <row r="331" spans="3:21" ht="13.5" thickBot="1" x14ac:dyDescent="0.25">
      <c r="C331" s="548"/>
      <c r="I331" s="1806">
        <f>SUM(I323:I329)</f>
        <v>43784</v>
      </c>
      <c r="J331" s="513"/>
      <c r="O331" s="587">
        <f>SUM(O324:O329)</f>
        <v>0</v>
      </c>
      <c r="U331" s="587">
        <f>SUM(U324:U329)</f>
        <v>0</v>
      </c>
    </row>
    <row r="332" spans="3:21" ht="39" customHeight="1" thickBot="1" x14ac:dyDescent="0.25">
      <c r="C332" s="579" t="s">
        <v>837</v>
      </c>
      <c r="D332" s="578" t="s">
        <v>10</v>
      </c>
      <c r="E332" s="1449"/>
      <c r="F332" s="1449"/>
      <c r="G332" s="1449" t="s">
        <v>959</v>
      </c>
      <c r="H332" s="1449"/>
      <c r="I332" s="573" t="str">
        <f>I309</f>
        <v>Test Year Versus OEB-approved</v>
      </c>
      <c r="J332" s="586"/>
      <c r="K332" s="574" t="s">
        <v>10</v>
      </c>
      <c r="L332" s="2196" t="s">
        <v>959</v>
      </c>
      <c r="M332" s="2196"/>
      <c r="N332" s="1449"/>
      <c r="O332" s="573" t="str">
        <f>I332</f>
        <v>Test Year Versus OEB-approved</v>
      </c>
      <c r="P332" s="562"/>
      <c r="Q332" s="574" t="s">
        <v>10</v>
      </c>
      <c r="R332" s="2196" t="s">
        <v>959</v>
      </c>
      <c r="S332" s="2196"/>
      <c r="T332" s="1449"/>
      <c r="U332" s="573" t="str">
        <f>O332</f>
        <v>Test Year Versus OEB-approved</v>
      </c>
    </row>
    <row r="333" spans="3:21" ht="13.15" customHeight="1" thickBot="1" x14ac:dyDescent="0.25">
      <c r="C333" s="1743"/>
      <c r="D333" s="581">
        <f t="shared" ref="D333:D340" si="185">D323</f>
        <v>2013</v>
      </c>
      <c r="E333" s="1749"/>
      <c r="F333" s="1739"/>
      <c r="G333" s="554"/>
      <c r="H333" s="1739"/>
      <c r="I333" s="1741"/>
      <c r="J333" s="586"/>
      <c r="K333" s="586"/>
      <c r="L333" s="1739"/>
      <c r="M333" s="1739"/>
      <c r="N333" s="1739"/>
      <c r="O333" s="1741"/>
      <c r="P333" s="586"/>
      <c r="Q333" s="586"/>
      <c r="R333" s="1739"/>
      <c r="S333" s="1739"/>
      <c r="T333" s="1739"/>
      <c r="U333" s="1741"/>
    </row>
    <row r="334" spans="3:21" x14ac:dyDescent="0.2">
      <c r="C334" s="462"/>
      <c r="D334" s="581">
        <f t="shared" si="185"/>
        <v>2014</v>
      </c>
      <c r="E334" s="527"/>
      <c r="F334" s="513"/>
      <c r="G334" s="555">
        <f t="shared" ref="G334:G340" si="186">IF(G323=0,"",G324/G323-1)</f>
        <v>-8.8093156109557036E-2</v>
      </c>
      <c r="H334" s="513"/>
      <c r="I334" s="560"/>
      <c r="J334" s="462"/>
      <c r="K334" s="545">
        <f>D334</f>
        <v>2014</v>
      </c>
      <c r="L334" s="533"/>
      <c r="M334" s="533"/>
      <c r="N334" s="513"/>
      <c r="O334" s="563"/>
      <c r="P334" s="462"/>
      <c r="Q334" s="545">
        <f>K334</f>
        <v>2014</v>
      </c>
      <c r="R334" s="514"/>
      <c r="S334" s="514"/>
      <c r="T334" s="513"/>
      <c r="U334" s="509"/>
    </row>
    <row r="335" spans="3:21" x14ac:dyDescent="0.2">
      <c r="C335" s="462"/>
      <c r="D335" s="547">
        <f t="shared" si="185"/>
        <v>2015</v>
      </c>
      <c r="E335" s="513"/>
      <c r="F335" s="513"/>
      <c r="G335" s="555">
        <f t="shared" si="186"/>
        <v>-2.7024646104142347E-2</v>
      </c>
      <c r="H335" s="513"/>
      <c r="I335" s="560"/>
      <c r="J335" s="462"/>
      <c r="K335" s="545">
        <f t="shared" ref="K335:K341" si="187">D335</f>
        <v>2015</v>
      </c>
      <c r="L335" s="535" t="str">
        <f t="shared" ref="L335:M338" si="188">IF(L324=0,"",L325/L324-1)</f>
        <v/>
      </c>
      <c r="M335" s="535" t="str">
        <f t="shared" si="188"/>
        <v/>
      </c>
      <c r="N335" s="513"/>
      <c r="O335" s="563"/>
      <c r="P335" s="462"/>
      <c r="Q335" s="545">
        <f t="shared" ref="Q335:Q341" si="189">K335</f>
        <v>2015</v>
      </c>
      <c r="R335" s="556" t="str">
        <f t="shared" ref="R335:S338" si="190">IF(R324="","",IF(R324=0,"",R325/R324-1))</f>
        <v/>
      </c>
      <c r="S335" s="556" t="str">
        <f t="shared" si="190"/>
        <v/>
      </c>
      <c r="T335" s="513"/>
      <c r="U335" s="509"/>
    </row>
    <row r="336" spans="3:21" x14ac:dyDescent="0.2">
      <c r="C336" s="462"/>
      <c r="D336" s="580">
        <f t="shared" si="185"/>
        <v>2016</v>
      </c>
      <c r="E336" s="513"/>
      <c r="F336" s="513"/>
      <c r="G336" s="555">
        <f t="shared" si="186"/>
        <v>-3.0115771416453163E-2</v>
      </c>
      <c r="H336" s="513"/>
      <c r="I336" s="560"/>
      <c r="J336" s="462"/>
      <c r="K336" s="545">
        <f t="shared" si="187"/>
        <v>2016</v>
      </c>
      <c r="L336" s="535" t="str">
        <f t="shared" si="188"/>
        <v/>
      </c>
      <c r="M336" s="535" t="str">
        <f t="shared" si="188"/>
        <v/>
      </c>
      <c r="N336" s="513"/>
      <c r="O336" s="563"/>
      <c r="P336" s="462"/>
      <c r="Q336" s="545">
        <f t="shared" si="189"/>
        <v>2016</v>
      </c>
      <c r="R336" s="556" t="str">
        <f t="shared" si="190"/>
        <v/>
      </c>
      <c r="S336" s="556" t="str">
        <f t="shared" si="190"/>
        <v/>
      </c>
      <c r="T336" s="513"/>
      <c r="U336" s="509"/>
    </row>
    <row r="337" spans="2:21" x14ac:dyDescent="0.2">
      <c r="C337" s="462"/>
      <c r="D337" s="547">
        <f t="shared" si="185"/>
        <v>2017</v>
      </c>
      <c r="E337" s="513"/>
      <c r="F337" s="513"/>
      <c r="G337" s="555">
        <f t="shared" si="186"/>
        <v>-2.0561731621440815E-2</v>
      </c>
      <c r="H337" s="513"/>
      <c r="I337" s="560"/>
      <c r="J337" s="462"/>
      <c r="K337" s="545">
        <f t="shared" si="187"/>
        <v>2017</v>
      </c>
      <c r="L337" s="535" t="str">
        <f t="shared" si="188"/>
        <v/>
      </c>
      <c r="M337" s="535" t="str">
        <f t="shared" si="188"/>
        <v/>
      </c>
      <c r="N337" s="513"/>
      <c r="O337" s="563"/>
      <c r="P337" s="462"/>
      <c r="Q337" s="545">
        <f t="shared" si="189"/>
        <v>2017</v>
      </c>
      <c r="R337" s="556" t="str">
        <f t="shared" si="190"/>
        <v/>
      </c>
      <c r="S337" s="556" t="str">
        <f t="shared" si="190"/>
        <v/>
      </c>
      <c r="T337" s="513"/>
      <c r="U337" s="509"/>
    </row>
    <row r="338" spans="2:21" x14ac:dyDescent="0.2">
      <c r="C338" s="462"/>
      <c r="D338" s="547">
        <f t="shared" si="185"/>
        <v>2018</v>
      </c>
      <c r="E338" s="513"/>
      <c r="F338" s="513"/>
      <c r="G338" s="555">
        <f t="shared" si="186"/>
        <v>-2.4619586034374974E-2</v>
      </c>
      <c r="H338" s="513"/>
      <c r="I338" s="560"/>
      <c r="J338" s="462"/>
      <c r="K338" s="545">
        <f t="shared" si="187"/>
        <v>2018</v>
      </c>
      <c r="L338" s="535" t="str">
        <f t="shared" si="188"/>
        <v/>
      </c>
      <c r="M338" s="535" t="str">
        <f t="shared" si="188"/>
        <v/>
      </c>
      <c r="N338" s="513"/>
      <c r="O338" s="563"/>
      <c r="P338" s="462"/>
      <c r="Q338" s="545">
        <f t="shared" si="189"/>
        <v>2018</v>
      </c>
      <c r="R338" s="556" t="str">
        <f t="shared" si="190"/>
        <v/>
      </c>
      <c r="S338" s="556" t="str">
        <f t="shared" si="190"/>
        <v/>
      </c>
      <c r="T338" s="513"/>
      <c r="U338" s="509"/>
    </row>
    <row r="339" spans="2:21" x14ac:dyDescent="0.2">
      <c r="C339" s="462"/>
      <c r="D339" s="547">
        <f t="shared" si="185"/>
        <v>2019</v>
      </c>
      <c r="E339" s="513"/>
      <c r="F339" s="513"/>
      <c r="G339" s="555">
        <f t="shared" si="186"/>
        <v>-6.0853602364677739E-3</v>
      </c>
      <c r="H339" s="513"/>
      <c r="I339" s="560"/>
      <c r="J339" s="462"/>
      <c r="K339" s="545">
        <f t="shared" si="187"/>
        <v>2019</v>
      </c>
      <c r="L339" s="535" t="str">
        <f>IF(K329="Forecast","",IF(L328=0,"",L329/L328-1))</f>
        <v/>
      </c>
      <c r="M339" s="535" t="str">
        <f>IF(M328=0,"",M329/M328-1)</f>
        <v/>
      </c>
      <c r="N339" s="513"/>
      <c r="O339" s="563"/>
      <c r="P339" s="462"/>
      <c r="Q339" s="545">
        <f t="shared" si="189"/>
        <v>2019</v>
      </c>
      <c r="R339" s="556" t="str">
        <f>IF(Q329="Forecast","",IF(R328=0,"",R329/R328-1))</f>
        <v/>
      </c>
      <c r="S339" s="556" t="str">
        <f>IF(S328="","",IF(S328=0,"",S329/S328-1))</f>
        <v/>
      </c>
      <c r="T339" s="513"/>
      <c r="U339" s="509"/>
    </row>
    <row r="340" spans="2:21" x14ac:dyDescent="0.2">
      <c r="C340" s="462"/>
      <c r="D340" s="580">
        <f t="shared" si="185"/>
        <v>2020</v>
      </c>
      <c r="E340" s="513"/>
      <c r="F340" s="513"/>
      <c r="G340" s="555">
        <f t="shared" si="186"/>
        <v>0.13365129104338114</v>
      </c>
      <c r="H340" s="513"/>
      <c r="I340" s="561">
        <f>IF(I331=0,"",G330/I331-1)</f>
        <v>-1.5058301651702521E-2</v>
      </c>
      <c r="J340" s="462"/>
      <c r="K340" s="545">
        <f t="shared" si="187"/>
        <v>2020</v>
      </c>
      <c r="L340" s="535" t="str">
        <f>IF(K330="Forecast","",IF(L329=0,"",L330/L329-1))</f>
        <v/>
      </c>
      <c r="M340" s="535" t="str">
        <f>IF(M329=0,"",M330/M329-1)</f>
        <v/>
      </c>
      <c r="N340" s="513"/>
      <c r="O340" s="564" t="str">
        <f>IF(O331=0,"",M330/O331-1)</f>
        <v/>
      </c>
      <c r="P340" s="462"/>
      <c r="Q340" s="545">
        <f t="shared" si="189"/>
        <v>2020</v>
      </c>
      <c r="R340" s="556" t="str">
        <f>IF(Q330="Forecast","",IF(R329=0,"",R330/R329-1))</f>
        <v/>
      </c>
      <c r="S340" s="556" t="str">
        <f>IF(S329="","",IF(S329=0,"",S330/S329-1))</f>
        <v/>
      </c>
      <c r="T340" s="513"/>
      <c r="U340" s="536" t="str">
        <f>IF(U331=0,"",S330/U331-1)</f>
        <v/>
      </c>
    </row>
    <row r="341" spans="2:21" ht="26.25" thickBot="1" x14ac:dyDescent="0.25">
      <c r="C341" s="466"/>
      <c r="D341" s="584" t="s">
        <v>958</v>
      </c>
      <c r="E341" s="537"/>
      <c r="F341" s="537"/>
      <c r="G341" s="557">
        <f>IF(G323=0,"",(G330/G323)^(1/($D330-$D323-1))-1)</f>
        <v>-1.2678378976416771E-2</v>
      </c>
      <c r="H341" s="537"/>
      <c r="I341" s="553">
        <f>IF(I331=0,"",(G330/I331)^(1/(TestYear-RebaseYear-1))-1)</f>
        <v>-2.5256101092087091E-3</v>
      </c>
      <c r="J341" s="462"/>
      <c r="K341" s="583" t="str">
        <f t="shared" si="187"/>
        <v>Geometric Mean</v>
      </c>
      <c r="L341" s="540" t="str">
        <f>IF(L324=0,"",(L328/L324)^(1/($D328-$D324-1))-1)</f>
        <v/>
      </c>
      <c r="M341" s="540" t="str">
        <f>IF(M324=0,"",(M330/M324)^(1/($D330-$D324-1))-1)</f>
        <v/>
      </c>
      <c r="N341" s="537"/>
      <c r="O341" s="553" t="str">
        <f>IF(O331=0,"",(M330/O331)^(1/(TestYear-RebaseYear-1))-1)</f>
        <v/>
      </c>
      <c r="P341" s="466"/>
      <c r="Q341" s="583" t="str">
        <f t="shared" si="189"/>
        <v>Geometric Mean</v>
      </c>
      <c r="R341" s="558" t="str">
        <f>IF(R324="","",IF(R324=0,"",(R328/R324)^(1/($D328-$D324-1))-1))</f>
        <v/>
      </c>
      <c r="S341" s="540" t="str">
        <f>IF(S324="","",IF(S324=0,"",(S330/S324)^(1/($D330-$D324-1))-1))</f>
        <v/>
      </c>
      <c r="T341" s="537"/>
      <c r="U341" s="553" t="str">
        <f>IF(U331=0,"",(S330/U331)^(1/(TestYear-RebaseYear-1))-1)</f>
        <v/>
      </c>
    </row>
    <row r="342" spans="2:21" x14ac:dyDescent="0.2">
      <c r="C342" s="513"/>
      <c r="D342" s="1478"/>
      <c r="E342" s="513"/>
      <c r="F342" s="513"/>
      <c r="G342" s="555"/>
      <c r="H342" s="513"/>
      <c r="I342" s="1479"/>
      <c r="J342" s="513"/>
      <c r="K342" s="1478"/>
      <c r="L342" s="535"/>
      <c r="M342" s="535"/>
      <c r="N342" s="513"/>
      <c r="O342" s="1479"/>
      <c r="P342" s="513"/>
      <c r="Q342" s="1478"/>
      <c r="R342" s="556"/>
      <c r="S342" s="535"/>
      <c r="T342" s="513"/>
      <c r="U342" s="1479"/>
    </row>
    <row r="343" spans="2:21" x14ac:dyDescent="0.2">
      <c r="C343" s="513"/>
      <c r="D343" s="1478"/>
      <c r="E343" s="513"/>
      <c r="F343" s="513"/>
      <c r="G343" s="555"/>
      <c r="H343" s="513"/>
      <c r="I343" s="1479"/>
      <c r="J343" s="513"/>
      <c r="K343" s="1478"/>
      <c r="L343" s="535"/>
      <c r="M343" s="535"/>
      <c r="N343" s="513"/>
      <c r="O343" s="1479"/>
      <c r="P343" s="513"/>
      <c r="Q343" s="1478"/>
      <c r="R343" s="556"/>
      <c r="S343" s="535"/>
      <c r="T343" s="513"/>
      <c r="U343" s="1479"/>
    </row>
    <row r="344" spans="2:21" x14ac:dyDescent="0.2">
      <c r="B344" s="9" t="s">
        <v>1007</v>
      </c>
    </row>
  </sheetData>
  <mergeCells count="89">
    <mergeCell ref="R191:S191"/>
    <mergeCell ref="F204:I204"/>
    <mergeCell ref="K204:O204"/>
    <mergeCell ref="L168:M168"/>
    <mergeCell ref="R168:S168"/>
    <mergeCell ref="F180:I180"/>
    <mergeCell ref="K180:O180"/>
    <mergeCell ref="Q180:U180"/>
    <mergeCell ref="F181:H181"/>
    <mergeCell ref="L191:M191"/>
    <mergeCell ref="F228:H228"/>
    <mergeCell ref="L238:M238"/>
    <mergeCell ref="R238:S238"/>
    <mergeCell ref="F205:H205"/>
    <mergeCell ref="L215:M215"/>
    <mergeCell ref="R215:S215"/>
    <mergeCell ref="F227:I227"/>
    <mergeCell ref="K227:O227"/>
    <mergeCell ref="Q227:U227"/>
    <mergeCell ref="D155:I155"/>
    <mergeCell ref="F157:I157"/>
    <mergeCell ref="K157:O157"/>
    <mergeCell ref="Q157:U157"/>
    <mergeCell ref="F158:H158"/>
    <mergeCell ref="F133:I133"/>
    <mergeCell ref="K133:O133"/>
    <mergeCell ref="Q133:U133"/>
    <mergeCell ref="D61:I61"/>
    <mergeCell ref="D108:I108"/>
    <mergeCell ref="F64:H64"/>
    <mergeCell ref="F63:I63"/>
    <mergeCell ref="Q110:U110"/>
    <mergeCell ref="F111:H111"/>
    <mergeCell ref="L74:M74"/>
    <mergeCell ref="K86:O86"/>
    <mergeCell ref="L97:M97"/>
    <mergeCell ref="F86:I86"/>
    <mergeCell ref="F87:H87"/>
    <mergeCell ref="B27:V27"/>
    <mergeCell ref="K63:O63"/>
    <mergeCell ref="Q63:U63"/>
    <mergeCell ref="K37:O37"/>
    <mergeCell ref="F38:H38"/>
    <mergeCell ref="B29:V29"/>
    <mergeCell ref="L48:M48"/>
    <mergeCell ref="B25:V25"/>
    <mergeCell ref="B9:V9"/>
    <mergeCell ref="B10:V10"/>
    <mergeCell ref="B19:V19"/>
    <mergeCell ref="B21:V21"/>
    <mergeCell ref="B23:V23"/>
    <mergeCell ref="F251:I251"/>
    <mergeCell ref="K251:O251"/>
    <mergeCell ref="Q251:U251"/>
    <mergeCell ref="F252:H252"/>
    <mergeCell ref="R74:S74"/>
    <mergeCell ref="Q86:U86"/>
    <mergeCell ref="R97:S97"/>
    <mergeCell ref="Q204:U204"/>
    <mergeCell ref="D202:I202"/>
    <mergeCell ref="L144:M144"/>
    <mergeCell ref="R144:S144"/>
    <mergeCell ref="F134:H134"/>
    <mergeCell ref="F110:I110"/>
    <mergeCell ref="K110:O110"/>
    <mergeCell ref="L121:M121"/>
    <mergeCell ref="R121:S121"/>
    <mergeCell ref="Q298:U298"/>
    <mergeCell ref="L262:M262"/>
    <mergeCell ref="R262:S262"/>
    <mergeCell ref="F274:I274"/>
    <mergeCell ref="K274:O274"/>
    <mergeCell ref="Q274:U274"/>
    <mergeCell ref="D249:I249"/>
    <mergeCell ref="D296:I296"/>
    <mergeCell ref="F322:H322"/>
    <mergeCell ref="L332:M332"/>
    <mergeCell ref="R332:S332"/>
    <mergeCell ref="F299:H299"/>
    <mergeCell ref="L309:M309"/>
    <mergeCell ref="R309:S309"/>
    <mergeCell ref="F321:I321"/>
    <mergeCell ref="K321:O321"/>
    <mergeCell ref="Q321:U321"/>
    <mergeCell ref="F275:H275"/>
    <mergeCell ref="L285:M285"/>
    <mergeCell ref="R285:S285"/>
    <mergeCell ref="F298:I298"/>
    <mergeCell ref="K298:O298"/>
  </mergeCells>
  <conditionalFormatting sqref="O40 I66 O66 I89 O89 O113 I136 O136 O160 I183 O183 O207 I230 O230 O254 I277 O277 O301 I324 O324">
    <cfRule type="expression" dxfId="314" priority="938">
      <formula>$H$66="Board-approved"</formula>
    </cfRule>
  </conditionalFormatting>
  <conditionalFormatting sqref="I67 O41 O67 I90 O90 O114 I137 O137 O161 I184 O184 O208 I231 O231 O255 I278 O278 O302 I325 O325">
    <cfRule type="expression" dxfId="313" priority="937">
      <formula>$H$67="Board-approved"</formula>
    </cfRule>
  </conditionalFormatting>
  <conditionalFormatting sqref="I68 O42 O68 I91 O91 O115 I138 O138 O162 I185 O185 O209 I232 O232 O256 I279 O279 O303 I326 O326">
    <cfRule type="expression" dxfId="312" priority="936">
      <formula>$H$68="Board-approved"</formula>
    </cfRule>
  </conditionalFormatting>
  <conditionalFormatting sqref="I69 O69 O43 I92 O92 O116 I139 O139 O163 I186 O186 O210 I233 O233 O257 I280 O280 O304 I327 O327">
    <cfRule type="expression" dxfId="311" priority="935">
      <formula>$H$69="Board-approved"</formula>
    </cfRule>
  </conditionalFormatting>
  <conditionalFormatting sqref="I70 O70 I93 O93 O44 O117 I140 O140 O164 I187 O187 O211 I234 O234 O258 I281 O281 O305 I328 O328">
    <cfRule type="expression" dxfId="310" priority="934">
      <formula>$H$70="Board-approved"</formula>
    </cfRule>
  </conditionalFormatting>
  <conditionalFormatting sqref="O66">
    <cfRule type="expression" dxfId="309" priority="926">
      <formula>$H$66="Board-approved"</formula>
    </cfRule>
  </conditionalFormatting>
  <conditionalFormatting sqref="O67">
    <cfRule type="expression" dxfId="308" priority="925">
      <formula>$H$67="Board-approved"</formula>
    </cfRule>
  </conditionalFormatting>
  <conditionalFormatting sqref="O68">
    <cfRule type="expression" dxfId="307" priority="924">
      <formula>$H$68="Board-approved"</formula>
    </cfRule>
  </conditionalFormatting>
  <conditionalFormatting sqref="O69">
    <cfRule type="expression" dxfId="306" priority="923">
      <formula>$H$69="Board-approved"</formula>
    </cfRule>
  </conditionalFormatting>
  <conditionalFormatting sqref="O70">
    <cfRule type="expression" dxfId="305" priority="922">
      <formula>$H$70="Board-approved"</formula>
    </cfRule>
  </conditionalFormatting>
  <conditionalFormatting sqref="L89">
    <cfRule type="expression" dxfId="304" priority="921">
      <formula>$K$66="Forecastl"</formula>
    </cfRule>
  </conditionalFormatting>
  <conditionalFormatting sqref="L90">
    <cfRule type="expression" dxfId="303" priority="920">
      <formula>$K$67="Forecast"</formula>
    </cfRule>
  </conditionalFormatting>
  <conditionalFormatting sqref="L91">
    <cfRule type="expression" dxfId="302" priority="919">
      <formula>$K$68="Forecast"</formula>
    </cfRule>
  </conditionalFormatting>
  <conditionalFormatting sqref="L92">
    <cfRule type="expression" dxfId="301" priority="918">
      <formula>$K$69="Forecast"</formula>
    </cfRule>
  </conditionalFormatting>
  <conditionalFormatting sqref="L93">
    <cfRule type="expression" dxfId="300" priority="917">
      <formula>$K$70="Forecast"</formula>
    </cfRule>
  </conditionalFormatting>
  <conditionalFormatting sqref="L94">
    <cfRule type="expression" dxfId="299" priority="1096">
      <formula>$K$71="Forecast"</formula>
    </cfRule>
  </conditionalFormatting>
  <conditionalFormatting sqref="L95">
    <cfRule type="expression" dxfId="298" priority="916">
      <formula>$K$72="Forecast"</formula>
    </cfRule>
  </conditionalFormatting>
  <conditionalFormatting sqref="O89">
    <cfRule type="expression" dxfId="297" priority="914">
      <formula>$H$66="Board-approved"</formula>
    </cfRule>
  </conditionalFormatting>
  <conditionalFormatting sqref="O90">
    <cfRule type="expression" dxfId="296" priority="915">
      <formula>$H$67="Board-approved"</formula>
    </cfRule>
  </conditionalFormatting>
  <conditionalFormatting sqref="O91">
    <cfRule type="expression" dxfId="295" priority="912">
      <formula>$H$68="Board-approved"</formula>
    </cfRule>
  </conditionalFormatting>
  <conditionalFormatting sqref="O92">
    <cfRule type="expression" dxfId="294" priority="911">
      <formula>$H$69="Board-approved"</formula>
    </cfRule>
  </conditionalFormatting>
  <conditionalFormatting sqref="O93">
    <cfRule type="expression" dxfId="293" priority="910">
      <formula>$H$70="Board-approved"</formula>
    </cfRule>
  </conditionalFormatting>
  <conditionalFormatting sqref="I89">
    <cfRule type="expression" dxfId="292" priority="909">
      <formula>$H$66="Board-approved"</formula>
    </cfRule>
  </conditionalFormatting>
  <conditionalFormatting sqref="I90">
    <cfRule type="expression" dxfId="291" priority="908">
      <formula>$H$67="Board-approved"</formula>
    </cfRule>
  </conditionalFormatting>
  <conditionalFormatting sqref="I91">
    <cfRule type="expression" dxfId="290" priority="907">
      <formula>$H$68="Board-approved"</formula>
    </cfRule>
  </conditionalFormatting>
  <conditionalFormatting sqref="I92">
    <cfRule type="expression" dxfId="289" priority="906">
      <formula>$H$69="Board-approved"</formula>
    </cfRule>
  </conditionalFormatting>
  <conditionalFormatting sqref="I93">
    <cfRule type="expression" dxfId="288" priority="905">
      <formula>$H$70="Board-approved"</formula>
    </cfRule>
  </conditionalFormatting>
  <conditionalFormatting sqref="K86:U106 K343:U343">
    <cfRule type="expression" dxfId="287" priority="913">
      <formula>$Q$61="kWh"</formula>
    </cfRule>
  </conditionalFormatting>
  <conditionalFormatting sqref="O40:O46">
    <cfRule type="expression" dxfId="286" priority="391">
      <formula>$O$40="Board-approved"</formula>
    </cfRule>
  </conditionalFormatting>
  <conditionalFormatting sqref="I113">
    <cfRule type="expression" dxfId="285" priority="389">
      <formula>$H$66="Board-approved"</formula>
    </cfRule>
  </conditionalFormatting>
  <conditionalFormatting sqref="I114">
    <cfRule type="expression" dxfId="284" priority="388">
      <formula>$H$67="Board-approved"</formula>
    </cfRule>
  </conditionalFormatting>
  <conditionalFormatting sqref="I115">
    <cfRule type="expression" dxfId="283" priority="387">
      <formula>$H$68="Board-approved"</formula>
    </cfRule>
  </conditionalFormatting>
  <conditionalFormatting sqref="I116">
    <cfRule type="expression" dxfId="282" priority="386">
      <formula>$H$69="Board-approved"</formula>
    </cfRule>
  </conditionalFormatting>
  <conditionalFormatting sqref="I117">
    <cfRule type="expression" dxfId="281" priority="385">
      <formula>$H$70="Board-approved"</formula>
    </cfRule>
  </conditionalFormatting>
  <conditionalFormatting sqref="O113">
    <cfRule type="expression" dxfId="280" priority="377">
      <formula>$H$66="Board-approved"</formula>
    </cfRule>
  </conditionalFormatting>
  <conditionalFormatting sqref="O114">
    <cfRule type="expression" dxfId="279" priority="376">
      <formula>$H$67="Board-approved"</formula>
    </cfRule>
  </conditionalFormatting>
  <conditionalFormatting sqref="O115">
    <cfRule type="expression" dxfId="278" priority="375">
      <formula>$H$68="Board-approved"</formula>
    </cfRule>
  </conditionalFormatting>
  <conditionalFormatting sqref="O116">
    <cfRule type="expression" dxfId="277" priority="374">
      <formula>$H$69="Board-approved"</formula>
    </cfRule>
  </conditionalFormatting>
  <conditionalFormatting sqref="O117">
    <cfRule type="expression" dxfId="276" priority="373">
      <formula>$H$70="Board-approved"</formula>
    </cfRule>
  </conditionalFormatting>
  <conditionalFormatting sqref="L136">
    <cfRule type="expression" dxfId="275" priority="372">
      <formula>$K$66="Forecastl"</formula>
    </cfRule>
  </conditionalFormatting>
  <conditionalFormatting sqref="L137">
    <cfRule type="expression" dxfId="274" priority="371">
      <formula>$K$67="Forecast"</formula>
    </cfRule>
  </conditionalFormatting>
  <conditionalFormatting sqref="L138">
    <cfRule type="expression" dxfId="273" priority="370">
      <formula>$K$68="Forecast"</formula>
    </cfRule>
  </conditionalFormatting>
  <conditionalFormatting sqref="L139">
    <cfRule type="expression" dxfId="272" priority="369">
      <formula>$K$69="Forecast"</formula>
    </cfRule>
  </conditionalFormatting>
  <conditionalFormatting sqref="L140">
    <cfRule type="expression" dxfId="271" priority="368">
      <formula>$K$70="Forecast"</formula>
    </cfRule>
  </conditionalFormatting>
  <conditionalFormatting sqref="L141">
    <cfRule type="expression" dxfId="270" priority="390">
      <formula>$K$71="Forecast"</formula>
    </cfRule>
  </conditionalFormatting>
  <conditionalFormatting sqref="L142">
    <cfRule type="expression" dxfId="269" priority="367">
      <formula>$K$72="Forecast"</formula>
    </cfRule>
  </conditionalFormatting>
  <conditionalFormatting sqref="O136">
    <cfRule type="expression" dxfId="268" priority="365">
      <formula>$H$66="Board-approved"</formula>
    </cfRule>
  </conditionalFormatting>
  <conditionalFormatting sqref="O137">
    <cfRule type="expression" dxfId="267" priority="366">
      <formula>$H$67="Board-approved"</formula>
    </cfRule>
  </conditionalFormatting>
  <conditionalFormatting sqref="O138">
    <cfRule type="expression" dxfId="266" priority="363">
      <formula>$H$68="Board-approved"</formula>
    </cfRule>
  </conditionalFormatting>
  <conditionalFormatting sqref="O139">
    <cfRule type="expression" dxfId="265" priority="362">
      <formula>$H$69="Board-approved"</formula>
    </cfRule>
  </conditionalFormatting>
  <conditionalFormatting sqref="O140">
    <cfRule type="expression" dxfId="264" priority="361">
      <formula>$H$70="Board-approved"</formula>
    </cfRule>
  </conditionalFormatting>
  <conditionalFormatting sqref="I136">
    <cfRule type="expression" dxfId="263" priority="360">
      <formula>$H$66="Board-approved"</formula>
    </cfRule>
  </conditionalFormatting>
  <conditionalFormatting sqref="I137">
    <cfRule type="expression" dxfId="262" priority="359">
      <formula>$H$67="Board-approved"</formula>
    </cfRule>
  </conditionalFormatting>
  <conditionalFormatting sqref="I138">
    <cfRule type="expression" dxfId="261" priority="358">
      <formula>$H$68="Board-approved"</formula>
    </cfRule>
  </conditionalFormatting>
  <conditionalFormatting sqref="I139">
    <cfRule type="expression" dxfId="260" priority="357">
      <formula>$H$69="Board-approved"</formula>
    </cfRule>
  </conditionalFormatting>
  <conditionalFormatting sqref="I140">
    <cfRule type="expression" dxfId="259" priority="356">
      <formula>$H$70="Board-approved"</formula>
    </cfRule>
  </conditionalFormatting>
  <conditionalFormatting sqref="K133:U154">
    <cfRule type="expression" dxfId="258" priority="364">
      <formula>$Q$61="kWh"</formula>
    </cfRule>
  </conditionalFormatting>
  <conditionalFormatting sqref="I160">
    <cfRule type="expression" dxfId="257" priority="354">
      <formula>$H$66="Board-approved"</formula>
    </cfRule>
  </conditionalFormatting>
  <conditionalFormatting sqref="I161">
    <cfRule type="expression" dxfId="256" priority="353">
      <formula>$H$67="Board-approved"</formula>
    </cfRule>
  </conditionalFormatting>
  <conditionalFormatting sqref="I162">
    <cfRule type="expression" dxfId="255" priority="352">
      <formula>$H$68="Board-approved"</formula>
    </cfRule>
  </conditionalFormatting>
  <conditionalFormatting sqref="I163">
    <cfRule type="expression" dxfId="254" priority="351">
      <formula>$H$69="Board-approved"</formula>
    </cfRule>
  </conditionalFormatting>
  <conditionalFormatting sqref="I164">
    <cfRule type="expression" dxfId="253" priority="350">
      <formula>$H$70="Board-approved"</formula>
    </cfRule>
  </conditionalFormatting>
  <conditionalFormatting sqref="O160">
    <cfRule type="expression" dxfId="252" priority="342">
      <formula>$H$66="Board-approved"</formula>
    </cfRule>
  </conditionalFormatting>
  <conditionalFormatting sqref="O161">
    <cfRule type="expression" dxfId="251" priority="341">
      <formula>$H$67="Board-approved"</formula>
    </cfRule>
  </conditionalFormatting>
  <conditionalFormatting sqref="O162">
    <cfRule type="expression" dxfId="250" priority="340">
      <formula>$H$68="Board-approved"</formula>
    </cfRule>
  </conditionalFormatting>
  <conditionalFormatting sqref="O163">
    <cfRule type="expression" dxfId="249" priority="339">
      <formula>$H$69="Board-approved"</formula>
    </cfRule>
  </conditionalFormatting>
  <conditionalFormatting sqref="O164">
    <cfRule type="expression" dxfId="248" priority="338">
      <formula>$H$70="Board-approved"</formula>
    </cfRule>
  </conditionalFormatting>
  <conditionalFormatting sqref="L183">
    <cfRule type="expression" dxfId="247" priority="337">
      <formula>$K$66="Forecastl"</formula>
    </cfRule>
  </conditionalFormatting>
  <conditionalFormatting sqref="L184">
    <cfRule type="expression" dxfId="246" priority="336">
      <formula>$K$67="Forecast"</formula>
    </cfRule>
  </conditionalFormatting>
  <conditionalFormatting sqref="L185">
    <cfRule type="expression" dxfId="245" priority="335">
      <formula>$K$68="Forecast"</formula>
    </cfRule>
  </conditionalFormatting>
  <conditionalFormatting sqref="L186">
    <cfRule type="expression" dxfId="244" priority="334">
      <formula>$K$69="Forecast"</formula>
    </cfRule>
  </conditionalFormatting>
  <conditionalFormatting sqref="L187">
    <cfRule type="expression" dxfId="243" priority="333">
      <formula>$K$70="Forecast"</formula>
    </cfRule>
  </conditionalFormatting>
  <conditionalFormatting sqref="L188">
    <cfRule type="expression" dxfId="242" priority="355">
      <formula>$K$71="Forecast"</formula>
    </cfRule>
  </conditionalFormatting>
  <conditionalFormatting sqref="L189">
    <cfRule type="expression" dxfId="241" priority="332">
      <formula>$K$72="Forecast"</formula>
    </cfRule>
  </conditionalFormatting>
  <conditionalFormatting sqref="O183">
    <cfRule type="expression" dxfId="240" priority="330">
      <formula>$H$66="Board-approved"</formula>
    </cfRule>
  </conditionalFormatting>
  <conditionalFormatting sqref="O184">
    <cfRule type="expression" dxfId="239" priority="331">
      <formula>$H$67="Board-approved"</formula>
    </cfRule>
  </conditionalFormatting>
  <conditionalFormatting sqref="O185">
    <cfRule type="expression" dxfId="238" priority="328">
      <formula>$H$68="Board-approved"</formula>
    </cfRule>
  </conditionalFormatting>
  <conditionalFormatting sqref="O186">
    <cfRule type="expression" dxfId="237" priority="327">
      <formula>$H$69="Board-approved"</formula>
    </cfRule>
  </conditionalFormatting>
  <conditionalFormatting sqref="O187">
    <cfRule type="expression" dxfId="236" priority="326">
      <formula>$H$70="Board-approved"</formula>
    </cfRule>
  </conditionalFormatting>
  <conditionalFormatting sqref="I183">
    <cfRule type="expression" dxfId="235" priority="325">
      <formula>$H$66="Board-approved"</formula>
    </cfRule>
  </conditionalFormatting>
  <conditionalFormatting sqref="I184">
    <cfRule type="expression" dxfId="234" priority="324">
      <formula>$H$67="Board-approved"</formula>
    </cfRule>
  </conditionalFormatting>
  <conditionalFormatting sqref="I185">
    <cfRule type="expression" dxfId="233" priority="323">
      <formula>$H$68="Board-approved"</formula>
    </cfRule>
  </conditionalFormatting>
  <conditionalFormatting sqref="I186">
    <cfRule type="expression" dxfId="232" priority="322">
      <formula>$H$69="Board-approved"</formula>
    </cfRule>
  </conditionalFormatting>
  <conditionalFormatting sqref="I187">
    <cfRule type="expression" dxfId="231" priority="321">
      <formula>$H$70="Board-approved"</formula>
    </cfRule>
  </conditionalFormatting>
  <conditionalFormatting sqref="K180:U200">
    <cfRule type="expression" dxfId="230" priority="329">
      <formula>$Q$61="kWh"</formula>
    </cfRule>
  </conditionalFormatting>
  <conditionalFormatting sqref="I207">
    <cfRule type="expression" dxfId="229" priority="319">
      <formula>$H$66="Board-approved"</formula>
    </cfRule>
  </conditionalFormatting>
  <conditionalFormatting sqref="I208">
    <cfRule type="expression" dxfId="228" priority="318">
      <formula>$H$67="Board-approved"</formula>
    </cfRule>
  </conditionalFormatting>
  <conditionalFormatting sqref="I209">
    <cfRule type="expression" dxfId="227" priority="317">
      <formula>$H$68="Board-approved"</formula>
    </cfRule>
  </conditionalFormatting>
  <conditionalFormatting sqref="I210">
    <cfRule type="expression" dxfId="226" priority="316">
      <formula>$H$69="Board-approved"</formula>
    </cfRule>
  </conditionalFormatting>
  <conditionalFormatting sqref="I211">
    <cfRule type="expression" dxfId="225" priority="315">
      <formula>$H$70="Board-approved"</formula>
    </cfRule>
  </conditionalFormatting>
  <conditionalFormatting sqref="O207">
    <cfRule type="expression" dxfId="224" priority="307">
      <formula>$H$66="Board-approved"</formula>
    </cfRule>
  </conditionalFormatting>
  <conditionalFormatting sqref="O208">
    <cfRule type="expression" dxfId="223" priority="306">
      <formula>$H$67="Board-approved"</formula>
    </cfRule>
  </conditionalFormatting>
  <conditionalFormatting sqref="O209">
    <cfRule type="expression" dxfId="222" priority="305">
      <formula>$H$68="Board-approved"</formula>
    </cfRule>
  </conditionalFormatting>
  <conditionalFormatting sqref="O210">
    <cfRule type="expression" dxfId="221" priority="304">
      <formula>$H$69="Board-approved"</formula>
    </cfRule>
  </conditionalFormatting>
  <conditionalFormatting sqref="O211">
    <cfRule type="expression" dxfId="220" priority="303">
      <formula>$H$70="Board-approved"</formula>
    </cfRule>
  </conditionalFormatting>
  <conditionalFormatting sqref="L230">
    <cfRule type="expression" dxfId="219" priority="302">
      <formula>$K$66="Forecastl"</formula>
    </cfRule>
  </conditionalFormatting>
  <conditionalFormatting sqref="L231">
    <cfRule type="expression" dxfId="218" priority="301">
      <formula>$K$67="Forecast"</formula>
    </cfRule>
  </conditionalFormatting>
  <conditionalFormatting sqref="L232">
    <cfRule type="expression" dxfId="217" priority="300">
      <formula>$K$68="Forecast"</formula>
    </cfRule>
  </conditionalFormatting>
  <conditionalFormatting sqref="L233">
    <cfRule type="expression" dxfId="216" priority="299">
      <formula>$K$69="Forecast"</formula>
    </cfRule>
  </conditionalFormatting>
  <conditionalFormatting sqref="L234">
    <cfRule type="expression" dxfId="215" priority="298">
      <formula>$K$70="Forecast"</formula>
    </cfRule>
  </conditionalFormatting>
  <conditionalFormatting sqref="L235">
    <cfRule type="expression" dxfId="214" priority="320">
      <formula>$K$71="Forecast"</formula>
    </cfRule>
  </conditionalFormatting>
  <conditionalFormatting sqref="L236">
    <cfRule type="expression" dxfId="213" priority="297">
      <formula>$K$72="Forecast"</formula>
    </cfRule>
  </conditionalFormatting>
  <conditionalFormatting sqref="O230">
    <cfRule type="expression" dxfId="212" priority="295">
      <formula>$H$66="Board-approved"</formula>
    </cfRule>
  </conditionalFormatting>
  <conditionalFormatting sqref="O231">
    <cfRule type="expression" dxfId="211" priority="296">
      <formula>$H$67="Board-approved"</formula>
    </cfRule>
  </conditionalFormatting>
  <conditionalFormatting sqref="O232">
    <cfRule type="expression" dxfId="210" priority="293">
      <formula>$H$68="Board-approved"</formula>
    </cfRule>
  </conditionalFormatting>
  <conditionalFormatting sqref="O233">
    <cfRule type="expression" dxfId="209" priority="292">
      <formula>$H$69="Board-approved"</formula>
    </cfRule>
  </conditionalFormatting>
  <conditionalFormatting sqref="O234">
    <cfRule type="expression" dxfId="208" priority="291">
      <formula>$H$70="Board-approved"</formula>
    </cfRule>
  </conditionalFormatting>
  <conditionalFormatting sqref="I230">
    <cfRule type="expression" dxfId="207" priority="290">
      <formula>$H$66="Board-approved"</formula>
    </cfRule>
  </conditionalFormatting>
  <conditionalFormatting sqref="I231">
    <cfRule type="expression" dxfId="206" priority="289">
      <formula>$H$67="Board-approved"</formula>
    </cfRule>
  </conditionalFormatting>
  <conditionalFormatting sqref="I232">
    <cfRule type="expression" dxfId="205" priority="288">
      <formula>$H$68="Board-approved"</formula>
    </cfRule>
  </conditionalFormatting>
  <conditionalFormatting sqref="I233">
    <cfRule type="expression" dxfId="204" priority="287">
      <formula>$H$69="Board-approved"</formula>
    </cfRule>
  </conditionalFormatting>
  <conditionalFormatting sqref="I234">
    <cfRule type="expression" dxfId="203" priority="286">
      <formula>$H$70="Board-approved"</formula>
    </cfRule>
  </conditionalFormatting>
  <conditionalFormatting sqref="K227:U248">
    <cfRule type="expression" dxfId="202" priority="294">
      <formula>$Q$61="kWh"</formula>
    </cfRule>
  </conditionalFormatting>
  <conditionalFormatting sqref="I254">
    <cfRule type="expression" dxfId="201" priority="284">
      <formula>$H$66="Board-approved"</formula>
    </cfRule>
  </conditionalFormatting>
  <conditionalFormatting sqref="I255">
    <cfRule type="expression" dxfId="200" priority="283">
      <formula>$H$67="Board-approved"</formula>
    </cfRule>
  </conditionalFormatting>
  <conditionalFormatting sqref="I256">
    <cfRule type="expression" dxfId="199" priority="282">
      <formula>$H$68="Board-approved"</formula>
    </cfRule>
  </conditionalFormatting>
  <conditionalFormatting sqref="I257">
    <cfRule type="expression" dxfId="198" priority="281">
      <formula>$H$69="Board-approved"</formula>
    </cfRule>
  </conditionalFormatting>
  <conditionalFormatting sqref="I258">
    <cfRule type="expression" dxfId="197" priority="280">
      <formula>$H$70="Board-approved"</formula>
    </cfRule>
  </conditionalFormatting>
  <conditionalFormatting sqref="O254">
    <cfRule type="expression" dxfId="196" priority="272">
      <formula>$H$66="Board-approved"</formula>
    </cfRule>
  </conditionalFormatting>
  <conditionalFormatting sqref="O255">
    <cfRule type="expression" dxfId="195" priority="271">
      <formula>$H$67="Board-approved"</formula>
    </cfRule>
  </conditionalFormatting>
  <conditionalFormatting sqref="O256">
    <cfRule type="expression" dxfId="194" priority="270">
      <formula>$H$68="Board-approved"</formula>
    </cfRule>
  </conditionalFormatting>
  <conditionalFormatting sqref="O257">
    <cfRule type="expression" dxfId="193" priority="269">
      <formula>$H$69="Board-approved"</formula>
    </cfRule>
  </conditionalFormatting>
  <conditionalFormatting sqref="O258">
    <cfRule type="expression" dxfId="192" priority="268">
      <formula>$H$70="Board-approved"</formula>
    </cfRule>
  </conditionalFormatting>
  <conditionalFormatting sqref="L277">
    <cfRule type="expression" dxfId="191" priority="267">
      <formula>$K$66="Forecastl"</formula>
    </cfRule>
  </conditionalFormatting>
  <conditionalFormatting sqref="L278">
    <cfRule type="expression" dxfId="190" priority="266">
      <formula>$K$67="Forecast"</formula>
    </cfRule>
  </conditionalFormatting>
  <conditionalFormatting sqref="L279">
    <cfRule type="expression" dxfId="189" priority="265">
      <formula>$K$68="Forecast"</formula>
    </cfRule>
  </conditionalFormatting>
  <conditionalFormatting sqref="L280">
    <cfRule type="expression" dxfId="188" priority="264">
      <formula>$K$69="Forecast"</formula>
    </cfRule>
  </conditionalFormatting>
  <conditionalFormatting sqref="L281">
    <cfRule type="expression" dxfId="187" priority="263">
      <formula>$K$70="Forecast"</formula>
    </cfRule>
  </conditionalFormatting>
  <conditionalFormatting sqref="L282">
    <cfRule type="expression" dxfId="186" priority="285">
      <formula>$K$71="Forecast"</formula>
    </cfRule>
  </conditionalFormatting>
  <conditionalFormatting sqref="L283">
    <cfRule type="expression" dxfId="185" priority="262">
      <formula>$K$72="Forecast"</formula>
    </cfRule>
  </conditionalFormatting>
  <conditionalFormatting sqref="O277">
    <cfRule type="expression" dxfId="184" priority="260">
      <formula>$H$66="Board-approved"</formula>
    </cfRule>
  </conditionalFormatting>
  <conditionalFormatting sqref="O278">
    <cfRule type="expression" dxfId="183" priority="261">
      <formula>$H$67="Board-approved"</formula>
    </cfRule>
  </conditionalFormatting>
  <conditionalFormatting sqref="O279">
    <cfRule type="expression" dxfId="182" priority="258">
      <formula>$H$68="Board-approved"</formula>
    </cfRule>
  </conditionalFormatting>
  <conditionalFormatting sqref="O280">
    <cfRule type="expression" dxfId="181" priority="257">
      <formula>$H$69="Board-approved"</formula>
    </cfRule>
  </conditionalFormatting>
  <conditionalFormatting sqref="O281">
    <cfRule type="expression" dxfId="180" priority="256">
      <formula>$H$70="Board-approved"</formula>
    </cfRule>
  </conditionalFormatting>
  <conditionalFormatting sqref="I277">
    <cfRule type="expression" dxfId="179" priority="255">
      <formula>$H$66="Board-approved"</formula>
    </cfRule>
  </conditionalFormatting>
  <conditionalFormatting sqref="I278">
    <cfRule type="expression" dxfId="178" priority="254">
      <formula>$H$67="Board-approved"</formula>
    </cfRule>
  </conditionalFormatting>
  <conditionalFormatting sqref="I279">
    <cfRule type="expression" dxfId="177" priority="253">
      <formula>$H$68="Board-approved"</formula>
    </cfRule>
  </conditionalFormatting>
  <conditionalFormatting sqref="I280">
    <cfRule type="expression" dxfId="176" priority="252">
      <formula>$H$69="Board-approved"</formula>
    </cfRule>
  </conditionalFormatting>
  <conditionalFormatting sqref="I281">
    <cfRule type="expression" dxfId="175" priority="251">
      <formula>$H$70="Board-approved"</formula>
    </cfRule>
  </conditionalFormatting>
  <conditionalFormatting sqref="K274:U294">
    <cfRule type="expression" dxfId="174" priority="259">
      <formula>$Q$61="kWh"</formula>
    </cfRule>
  </conditionalFormatting>
  <conditionalFormatting sqref="I301">
    <cfRule type="expression" dxfId="173" priority="249">
      <formula>$H$66="Board-approved"</formula>
    </cfRule>
  </conditionalFormatting>
  <conditionalFormatting sqref="I302">
    <cfRule type="expression" dxfId="172" priority="248">
      <formula>$H$67="Board-approved"</formula>
    </cfRule>
  </conditionalFormatting>
  <conditionalFormatting sqref="I303">
    <cfRule type="expression" dxfId="171" priority="247">
      <formula>$H$68="Board-approved"</formula>
    </cfRule>
  </conditionalFormatting>
  <conditionalFormatting sqref="I304">
    <cfRule type="expression" dxfId="170" priority="246">
      <formula>$H$69="Board-approved"</formula>
    </cfRule>
  </conditionalFormatting>
  <conditionalFormatting sqref="I305">
    <cfRule type="expression" dxfId="169" priority="245">
      <formula>$H$70="Board-approved"</formula>
    </cfRule>
  </conditionalFormatting>
  <conditionalFormatting sqref="O301">
    <cfRule type="expression" dxfId="168" priority="237">
      <formula>$H$66="Board-approved"</formula>
    </cfRule>
  </conditionalFormatting>
  <conditionalFormatting sqref="O302">
    <cfRule type="expression" dxfId="167" priority="236">
      <formula>$H$67="Board-approved"</formula>
    </cfRule>
  </conditionalFormatting>
  <conditionalFormatting sqref="O303">
    <cfRule type="expression" dxfId="166" priority="235">
      <formula>$H$68="Board-approved"</formula>
    </cfRule>
  </conditionalFormatting>
  <conditionalFormatting sqref="O304">
    <cfRule type="expression" dxfId="165" priority="234">
      <formula>$H$69="Board-approved"</formula>
    </cfRule>
  </conditionalFormatting>
  <conditionalFormatting sqref="O305">
    <cfRule type="expression" dxfId="164" priority="233">
      <formula>$H$70="Board-approved"</formula>
    </cfRule>
  </conditionalFormatting>
  <conditionalFormatting sqref="L324">
    <cfRule type="expression" dxfId="163" priority="232">
      <formula>$K$66="Forecastl"</formula>
    </cfRule>
  </conditionalFormatting>
  <conditionalFormatting sqref="L325">
    <cfRule type="expression" dxfId="162" priority="231">
      <formula>$K$67="Forecast"</formula>
    </cfRule>
  </conditionalFormatting>
  <conditionalFormatting sqref="L326">
    <cfRule type="expression" dxfId="161" priority="230">
      <formula>$K$68="Forecast"</formula>
    </cfRule>
  </conditionalFormatting>
  <conditionalFormatting sqref="L327">
    <cfRule type="expression" dxfId="160" priority="229">
      <formula>$K$69="Forecast"</formula>
    </cfRule>
  </conditionalFormatting>
  <conditionalFormatting sqref="L328">
    <cfRule type="expression" dxfId="159" priority="228">
      <formula>$K$70="Forecast"</formula>
    </cfRule>
  </conditionalFormatting>
  <conditionalFormatting sqref="L329">
    <cfRule type="expression" dxfId="158" priority="250">
      <formula>$K$71="Forecast"</formula>
    </cfRule>
  </conditionalFormatting>
  <conditionalFormatting sqref="L330">
    <cfRule type="expression" dxfId="157" priority="227">
      <formula>$K$72="Forecast"</formula>
    </cfRule>
  </conditionalFormatting>
  <conditionalFormatting sqref="O324">
    <cfRule type="expression" dxfId="156" priority="225">
      <formula>$H$66="Board-approved"</formula>
    </cfRule>
  </conditionalFormatting>
  <conditionalFormatting sqref="O325">
    <cfRule type="expression" dxfId="155" priority="226">
      <formula>$H$67="Board-approved"</formula>
    </cfRule>
  </conditionalFormatting>
  <conditionalFormatting sqref="O326">
    <cfRule type="expression" dxfId="154" priority="223">
      <formula>$H$68="Board-approved"</formula>
    </cfRule>
  </conditionalFormatting>
  <conditionalFormatting sqref="O327">
    <cfRule type="expression" dxfId="153" priority="222">
      <formula>$H$69="Board-approved"</formula>
    </cfRule>
  </conditionalFormatting>
  <conditionalFormatting sqref="O328">
    <cfRule type="expression" dxfId="152" priority="221">
      <formula>$H$70="Board-approved"</formula>
    </cfRule>
  </conditionalFormatting>
  <conditionalFormatting sqref="I324">
    <cfRule type="expression" dxfId="151" priority="220">
      <formula>$H$66="Board-approved"</formula>
    </cfRule>
  </conditionalFormatting>
  <conditionalFormatting sqref="I325">
    <cfRule type="expression" dxfId="150" priority="219">
      <formula>$H$67="Board-approved"</formula>
    </cfRule>
  </conditionalFormatting>
  <conditionalFormatting sqref="I326">
    <cfRule type="expression" dxfId="149" priority="218">
      <formula>$H$68="Board-approved"</formula>
    </cfRule>
  </conditionalFormatting>
  <conditionalFormatting sqref="I327">
    <cfRule type="expression" dxfId="148" priority="217">
      <formula>$H$69="Board-approved"</formula>
    </cfRule>
  </conditionalFormatting>
  <conditionalFormatting sqref="I328">
    <cfRule type="expression" dxfId="147" priority="216">
      <formula>$H$70="Board-approved"</formula>
    </cfRule>
  </conditionalFormatting>
  <conditionalFormatting sqref="K321:U342">
    <cfRule type="expression" dxfId="146" priority="224">
      <formula>$Q$61="kWh"</formula>
    </cfRule>
  </conditionalFormatting>
  <conditionalFormatting sqref="L65">
    <cfRule type="expression" dxfId="145" priority="75">
      <formula>$K$65="Forecastl"</formula>
    </cfRule>
  </conditionalFormatting>
  <conditionalFormatting sqref="L66:L67">
    <cfRule type="expression" dxfId="144" priority="74">
      <formula>$K$67="Forecast"</formula>
    </cfRule>
  </conditionalFormatting>
  <conditionalFormatting sqref="L68">
    <cfRule type="expression" dxfId="143" priority="73">
      <formula>$K$68="Forecast"</formula>
    </cfRule>
  </conditionalFormatting>
  <conditionalFormatting sqref="L69">
    <cfRule type="expression" dxfId="142" priority="72">
      <formula>$K$69="Forecast"</formula>
    </cfRule>
  </conditionalFormatting>
  <conditionalFormatting sqref="L70">
    <cfRule type="expression" dxfId="141" priority="71">
      <formula>$K$70="Forecast"</formula>
    </cfRule>
  </conditionalFormatting>
  <conditionalFormatting sqref="L71">
    <cfRule type="expression" dxfId="140" priority="70">
      <formula>$K$71="Forecast"</formula>
    </cfRule>
  </conditionalFormatting>
  <conditionalFormatting sqref="L72">
    <cfRule type="expression" dxfId="139" priority="69">
      <formula>$K$72="Forecast"</formula>
    </cfRule>
  </conditionalFormatting>
  <conditionalFormatting sqref="L112">
    <cfRule type="expression" dxfId="138" priority="68">
      <formula>$K$65="Forecastl"</formula>
    </cfRule>
  </conditionalFormatting>
  <conditionalFormatting sqref="L113:L114">
    <cfRule type="expression" dxfId="137" priority="67">
      <formula>$K$67="Forecast"</formula>
    </cfRule>
  </conditionalFormatting>
  <conditionalFormatting sqref="L115">
    <cfRule type="expression" dxfId="136" priority="66">
      <formula>$K$68="Forecast"</formula>
    </cfRule>
  </conditionalFormatting>
  <conditionalFormatting sqref="L116">
    <cfRule type="expression" dxfId="135" priority="65">
      <formula>$K$69="Forecast"</formula>
    </cfRule>
  </conditionalFormatting>
  <conditionalFormatting sqref="L117">
    <cfRule type="expression" dxfId="134" priority="64">
      <formula>$K$70="Forecast"</formula>
    </cfRule>
  </conditionalFormatting>
  <conditionalFormatting sqref="L118">
    <cfRule type="expression" dxfId="133" priority="63">
      <formula>$K$71="Forecast"</formula>
    </cfRule>
  </conditionalFormatting>
  <conditionalFormatting sqref="L119">
    <cfRule type="expression" dxfId="132" priority="62">
      <formula>$K$72="Forecast"</formula>
    </cfRule>
  </conditionalFormatting>
  <conditionalFormatting sqref="L159">
    <cfRule type="expression" dxfId="131" priority="61">
      <formula>$K$65="Forecastl"</formula>
    </cfRule>
  </conditionalFormatting>
  <conditionalFormatting sqref="L160:L162">
    <cfRule type="expression" dxfId="130" priority="60">
      <formula>$K$68="Forecast"</formula>
    </cfRule>
  </conditionalFormatting>
  <conditionalFormatting sqref="L163">
    <cfRule type="expression" dxfId="129" priority="59">
      <formula>$K$69="Forecast"</formula>
    </cfRule>
  </conditionalFormatting>
  <conditionalFormatting sqref="L164">
    <cfRule type="expression" dxfId="128" priority="58">
      <formula>$K$70="Forecast"</formula>
    </cfRule>
  </conditionalFormatting>
  <conditionalFormatting sqref="L165">
    <cfRule type="expression" dxfId="127" priority="57">
      <formula>$K$71="Forecast"</formula>
    </cfRule>
  </conditionalFormatting>
  <conditionalFormatting sqref="L166">
    <cfRule type="expression" dxfId="126" priority="56">
      <formula>$K$72="Forecast"</formula>
    </cfRule>
  </conditionalFormatting>
  <conditionalFormatting sqref="L206">
    <cfRule type="expression" dxfId="125" priority="55">
      <formula>$K$65="Forecastl"</formula>
    </cfRule>
  </conditionalFormatting>
  <conditionalFormatting sqref="L207:L208">
    <cfRule type="expression" dxfId="124" priority="54">
      <formula>$K$67="Forecast"</formula>
    </cfRule>
  </conditionalFormatting>
  <conditionalFormatting sqref="L209">
    <cfRule type="expression" dxfId="123" priority="53">
      <formula>$K$68="Forecast"</formula>
    </cfRule>
  </conditionalFormatting>
  <conditionalFormatting sqref="L210">
    <cfRule type="expression" dxfId="122" priority="52">
      <formula>$K$69="Forecast"</formula>
    </cfRule>
  </conditionalFormatting>
  <conditionalFormatting sqref="L211">
    <cfRule type="expression" dxfId="121" priority="51">
      <formula>$K$70="Forecast"</formula>
    </cfRule>
  </conditionalFormatting>
  <conditionalFormatting sqref="L213">
    <cfRule type="expression" dxfId="120" priority="49">
      <formula>$K$72="Forecast"</formula>
    </cfRule>
  </conditionalFormatting>
  <conditionalFormatting sqref="L253:L255">
    <cfRule type="expression" dxfId="119" priority="48">
      <formula>$K$67="Forecast"</formula>
    </cfRule>
  </conditionalFormatting>
  <conditionalFormatting sqref="L256">
    <cfRule type="expression" dxfId="118" priority="47">
      <formula>$K$68="Forecast"</formula>
    </cfRule>
  </conditionalFormatting>
  <conditionalFormatting sqref="L257">
    <cfRule type="expression" dxfId="117" priority="46">
      <formula>$K$69="Forecast"</formula>
    </cfRule>
  </conditionalFormatting>
  <conditionalFormatting sqref="L258">
    <cfRule type="expression" dxfId="116" priority="45">
      <formula>$K$70="Forecast"</formula>
    </cfRule>
  </conditionalFormatting>
  <conditionalFormatting sqref="L260">
    <cfRule type="expression" dxfId="115" priority="43">
      <formula>$K$72="Forecast"</formula>
    </cfRule>
  </conditionalFormatting>
  <conditionalFormatting sqref="L300">
    <cfRule type="expression" dxfId="114" priority="42">
      <formula>$K$65="Forecastl"</formula>
    </cfRule>
  </conditionalFormatting>
  <conditionalFormatting sqref="L301:L302">
    <cfRule type="expression" dxfId="113" priority="41">
      <formula>$K$67="Forecast"</formula>
    </cfRule>
  </conditionalFormatting>
  <conditionalFormatting sqref="L303">
    <cfRule type="expression" dxfId="112" priority="40">
      <formula>$K$68="Forecast"</formula>
    </cfRule>
  </conditionalFormatting>
  <conditionalFormatting sqref="L304">
    <cfRule type="expression" dxfId="111" priority="39">
      <formula>$K$69="Forecast"</formula>
    </cfRule>
  </conditionalFormatting>
  <conditionalFormatting sqref="L305">
    <cfRule type="expression" dxfId="110" priority="38">
      <formula>$K$70="Forecast"</formula>
    </cfRule>
  </conditionalFormatting>
  <conditionalFormatting sqref="L307">
    <cfRule type="expression" dxfId="109" priority="36">
      <formula>$K$72="Forecast"</formula>
    </cfRule>
  </conditionalFormatting>
  <conditionalFormatting sqref="O39">
    <cfRule type="expression" dxfId="108" priority="35">
      <formula>$H$65="Board-approved"</formula>
    </cfRule>
  </conditionalFormatting>
  <conditionalFormatting sqref="O39">
    <cfRule type="expression" dxfId="107" priority="34">
      <formula>$O$39="Board-approved"</formula>
    </cfRule>
  </conditionalFormatting>
  <conditionalFormatting sqref="I65">
    <cfRule type="expression" dxfId="106" priority="33">
      <formula>$H$65="Board-approved"</formula>
    </cfRule>
  </conditionalFormatting>
  <conditionalFormatting sqref="O65">
    <cfRule type="expression" dxfId="105" priority="32">
      <formula>$H$65="Board-approved"</formula>
    </cfRule>
  </conditionalFormatting>
  <conditionalFormatting sqref="O65">
    <cfRule type="expression" dxfId="104" priority="31">
      <formula>$H$65="Board-approved"</formula>
    </cfRule>
  </conditionalFormatting>
  <conditionalFormatting sqref="I88">
    <cfRule type="expression" dxfId="103" priority="30">
      <formula>$H$65="Board-approved"</formula>
    </cfRule>
  </conditionalFormatting>
  <conditionalFormatting sqref="I88">
    <cfRule type="expression" dxfId="102" priority="29">
      <formula>$H$65="Board-approved"</formula>
    </cfRule>
  </conditionalFormatting>
  <conditionalFormatting sqref="I112">
    <cfRule type="expression" dxfId="101" priority="28">
      <formula>$H$65="Board-approved"</formula>
    </cfRule>
  </conditionalFormatting>
  <conditionalFormatting sqref="O112">
    <cfRule type="expression" dxfId="100" priority="27">
      <formula>$H$65="Board-approved"</formula>
    </cfRule>
  </conditionalFormatting>
  <conditionalFormatting sqref="O112">
    <cfRule type="expression" dxfId="99" priority="26">
      <formula>$H$65="Board-approved"</formula>
    </cfRule>
  </conditionalFormatting>
  <conditionalFormatting sqref="I135">
    <cfRule type="expression" dxfId="98" priority="25">
      <formula>$H$65="Board-approved"</formula>
    </cfRule>
  </conditionalFormatting>
  <conditionalFormatting sqref="I135">
    <cfRule type="expression" dxfId="97" priority="24">
      <formula>$H$65="Board-approved"</formula>
    </cfRule>
  </conditionalFormatting>
  <conditionalFormatting sqref="I159">
    <cfRule type="expression" dxfId="96" priority="23">
      <formula>$H$65="Board-approved"</formula>
    </cfRule>
  </conditionalFormatting>
  <conditionalFormatting sqref="O159">
    <cfRule type="expression" dxfId="95" priority="22">
      <formula>$H$65="Board-approved"</formula>
    </cfRule>
  </conditionalFormatting>
  <conditionalFormatting sqref="O159">
    <cfRule type="expression" dxfId="94" priority="21">
      <formula>$H$65="Board-approved"</formula>
    </cfRule>
  </conditionalFormatting>
  <conditionalFormatting sqref="I182">
    <cfRule type="expression" dxfId="93" priority="20">
      <formula>$H$65="Board-approved"</formula>
    </cfRule>
  </conditionalFormatting>
  <conditionalFormatting sqref="I182">
    <cfRule type="expression" dxfId="92" priority="19">
      <formula>$H$65="Board-approved"</formula>
    </cfRule>
  </conditionalFormatting>
  <conditionalFormatting sqref="I206">
    <cfRule type="expression" dxfId="91" priority="18">
      <formula>$H$65="Board-approved"</formula>
    </cfRule>
  </conditionalFormatting>
  <conditionalFormatting sqref="O206">
    <cfRule type="expression" dxfId="90" priority="17">
      <formula>$H$65="Board-approved"</formula>
    </cfRule>
  </conditionalFormatting>
  <conditionalFormatting sqref="O206">
    <cfRule type="expression" dxfId="89" priority="16">
      <formula>$H$65="Board-approved"</formula>
    </cfRule>
  </conditionalFormatting>
  <conditionalFormatting sqref="I229">
    <cfRule type="expression" dxfId="88" priority="15">
      <formula>$H$65="Board-approved"</formula>
    </cfRule>
  </conditionalFormatting>
  <conditionalFormatting sqref="I229">
    <cfRule type="expression" dxfId="87" priority="14">
      <formula>$H$65="Board-approved"</formula>
    </cfRule>
  </conditionalFormatting>
  <conditionalFormatting sqref="I253">
    <cfRule type="expression" dxfId="86" priority="13">
      <formula>$H$67="Board-approved"</formula>
    </cfRule>
  </conditionalFormatting>
  <conditionalFormatting sqref="O253">
    <cfRule type="expression" dxfId="85" priority="12">
      <formula>$H$67="Board-approved"</formula>
    </cfRule>
  </conditionalFormatting>
  <conditionalFormatting sqref="O253">
    <cfRule type="expression" dxfId="84" priority="11">
      <formula>$H$67="Board-approved"</formula>
    </cfRule>
  </conditionalFormatting>
  <conditionalFormatting sqref="I276">
    <cfRule type="expression" dxfId="83" priority="10">
      <formula>$H$67="Board-approved"</formula>
    </cfRule>
  </conditionalFormatting>
  <conditionalFormatting sqref="I276">
    <cfRule type="expression" dxfId="82" priority="9">
      <formula>$H$67="Board-approved"</formula>
    </cfRule>
  </conditionalFormatting>
  <conditionalFormatting sqref="I300">
    <cfRule type="expression" dxfId="81" priority="8">
      <formula>$H$65="Board-approved"</formula>
    </cfRule>
  </conditionalFormatting>
  <conditionalFormatting sqref="O300">
    <cfRule type="expression" dxfId="80" priority="7">
      <formula>$H$65="Board-approved"</formula>
    </cfRule>
  </conditionalFormatting>
  <conditionalFormatting sqref="O300">
    <cfRule type="expression" dxfId="79" priority="6">
      <formula>$H$65="Board-approved"</formula>
    </cfRule>
  </conditionalFormatting>
  <conditionalFormatting sqref="I323">
    <cfRule type="expression" dxfId="78" priority="5">
      <formula>$H$67="Board-approved"</formula>
    </cfRule>
  </conditionalFormatting>
  <conditionalFormatting sqref="I323">
    <cfRule type="expression" dxfId="77" priority="4">
      <formula>$H$67="Board-approved"</formula>
    </cfRule>
  </conditionalFormatting>
  <conditionalFormatting sqref="L212">
    <cfRule type="expression" dxfId="76" priority="3">
      <formula>$K$70="Forecast"</formula>
    </cfRule>
  </conditionalFormatting>
  <conditionalFormatting sqref="L259">
    <cfRule type="expression" dxfId="75" priority="2">
      <formula>$K$70="Forecast"</formula>
    </cfRule>
  </conditionalFormatting>
  <conditionalFormatting sqref="L306">
    <cfRule type="expression" dxfId="74" priority="1">
      <formula>$K$70="Forecast"</formula>
    </cfRule>
  </conditionalFormatting>
  <dataValidations count="3">
    <dataValidation type="list" allowBlank="1" showInputMessage="1" showErrorMessage="1" sqref="K39:K46" xr:uid="{00000000-0002-0000-1D00-000000000000}">
      <formula1>"Actual, Forecast"</formula1>
    </dataValidation>
    <dataValidation type="list" allowBlank="1" showInputMessage="1" showErrorMessage="1" sqref="F63:I63 F110:I110 F157:I157 F204:I204 F251:I251 F298:I298" xr:uid="{00000000-0002-0000-1D00-000001000000}">
      <formula1>"Customers, Connections"</formula1>
    </dataValidation>
    <dataValidation type="list" allowBlank="1" showInputMessage="1" showErrorMessage="1" sqref="Q61 Q108 Q155 Q202 Q249 Q296" xr:uid="{00000000-0002-0000-1D00-000002000000}">
      <formula1>"kWh, kW, kVA"</formula1>
    </dataValidation>
  </dataValidations>
  <pageMargins left="0.7" right="0.7" top="0.75" bottom="0.75" header="0.3" footer="0.3"/>
  <pageSetup scale="53" fitToHeight="0" orientation="landscape" r:id="rId1"/>
  <rowBreaks count="7" manualBreakCount="7">
    <brk id="58" max="16383" man="1"/>
    <brk id="106" max="16383" man="1"/>
    <brk id="153" max="16383" man="1"/>
    <brk id="200" max="16383" man="1"/>
    <brk id="247" max="16383" man="1"/>
    <brk id="294" max="16383" man="1"/>
    <brk id="34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8">
    <tabColor theme="7" tint="0.39997558519241921"/>
    <pageSetUpPr fitToPage="1"/>
  </sheetPr>
  <dimension ref="A1:AQ114"/>
  <sheetViews>
    <sheetView showGridLines="0" topLeftCell="A4" zoomScaleNormal="100" workbookViewId="0">
      <selection activeCell="K25" sqref="K25"/>
    </sheetView>
  </sheetViews>
  <sheetFormatPr defaultColWidth="9.28515625" defaultRowHeight="12.75" x14ac:dyDescent="0.2"/>
  <cols>
    <col min="1" max="1" width="29" style="1" customWidth="1"/>
    <col min="2" max="2" width="17.28515625" style="1" customWidth="1"/>
    <col min="3" max="3" width="15" style="1" customWidth="1"/>
    <col min="4" max="5" width="15" style="1" hidden="1" customWidth="1"/>
    <col min="6" max="9" width="15" style="1" customWidth="1"/>
    <col min="10" max="10" width="13.28515625" style="1" customWidth="1"/>
    <col min="11" max="12" width="12.7109375" style="1" customWidth="1"/>
    <col min="13" max="13" width="13.28515625" style="1" bestFit="1" customWidth="1"/>
    <col min="14" max="14" width="11.28515625" style="1" bestFit="1" customWidth="1"/>
    <col min="15" max="15" width="27.42578125" style="1" customWidth="1"/>
    <col min="16" max="18" width="13.28515625" style="1" customWidth="1"/>
    <col min="19" max="20" width="13.28515625" style="1" hidden="1" customWidth="1"/>
    <col min="21" max="43" width="13.28515625" style="1" customWidth="1"/>
    <col min="44" max="16384" width="9.28515625" style="1"/>
  </cols>
  <sheetData>
    <row r="1" spans="1:29" x14ac:dyDescent="0.2">
      <c r="K1" s="993" t="s">
        <v>264</v>
      </c>
      <c r="L1" s="875" t="str">
        <f>EBNUMBER</f>
        <v>EB-2019-0037</v>
      </c>
      <c r="M1" s="1129">
        <f>'LDC Info'!$E$28</f>
        <v>2013</v>
      </c>
      <c r="N1" s="1129" t="s">
        <v>275</v>
      </c>
      <c r="O1" s="1129" t="s">
        <v>1123</v>
      </c>
      <c r="P1" s="1129"/>
    </row>
    <row r="2" spans="1:29" x14ac:dyDescent="0.2">
      <c r="K2" s="993" t="s">
        <v>265</v>
      </c>
      <c r="L2" s="41"/>
      <c r="M2" s="1129">
        <f>TestYear</f>
        <v>2020</v>
      </c>
      <c r="N2" s="1129">
        <v>2010</v>
      </c>
      <c r="O2" s="1129" t="s">
        <v>128</v>
      </c>
      <c r="P2" s="1129" t="s">
        <v>1128</v>
      </c>
    </row>
    <row r="3" spans="1:29" x14ac:dyDescent="0.2">
      <c r="K3" s="993" t="s">
        <v>266</v>
      </c>
      <c r="L3" s="41"/>
      <c r="M3" s="1129">
        <f>'LDC Info'!$E$28</f>
        <v>2013</v>
      </c>
      <c r="N3" s="1129">
        <v>2011</v>
      </c>
      <c r="O3" s="1129" t="s">
        <v>131</v>
      </c>
      <c r="P3" s="1129" t="s">
        <v>1129</v>
      </c>
    </row>
    <row r="4" spans="1:29" ht="15" x14ac:dyDescent="0.25">
      <c r="A4" s="1038" t="s">
        <v>1143</v>
      </c>
      <c r="K4" s="993" t="s">
        <v>267</v>
      </c>
      <c r="L4" s="41"/>
      <c r="M4" s="1129"/>
      <c r="N4" s="1129">
        <v>2012</v>
      </c>
      <c r="O4" s="1129" t="s">
        <v>136</v>
      </c>
      <c r="P4" s="1129" t="s">
        <v>1130</v>
      </c>
    </row>
    <row r="5" spans="1:29" x14ac:dyDescent="0.2">
      <c r="K5" s="993" t="s">
        <v>268</v>
      </c>
      <c r="L5" s="42"/>
      <c r="M5" s="1129"/>
      <c r="N5" s="1129">
        <v>2013</v>
      </c>
      <c r="O5" s="1129" t="s">
        <v>1125</v>
      </c>
      <c r="P5" s="1129" t="s">
        <v>1131</v>
      </c>
    </row>
    <row r="6" spans="1:29" x14ac:dyDescent="0.2">
      <c r="K6" s="993"/>
      <c r="L6" s="875"/>
      <c r="M6" s="1129"/>
      <c r="N6" s="1129">
        <v>2014</v>
      </c>
      <c r="O6" s="1129" t="s">
        <v>1124</v>
      </c>
      <c r="P6" s="1129" t="s">
        <v>1132</v>
      </c>
    </row>
    <row r="7" spans="1:29" x14ac:dyDescent="0.2">
      <c r="K7" s="993" t="s">
        <v>269</v>
      </c>
      <c r="L7" s="1448"/>
      <c r="M7" s="1129"/>
      <c r="N7" s="1129">
        <v>2015</v>
      </c>
      <c r="O7" s="1129" t="s">
        <v>1126</v>
      </c>
      <c r="P7" s="1129" t="s">
        <v>1133</v>
      </c>
    </row>
    <row r="8" spans="1:29" x14ac:dyDescent="0.2">
      <c r="M8" s="1129"/>
      <c r="N8" s="1129">
        <v>2016</v>
      </c>
      <c r="O8" s="1129" t="s">
        <v>729</v>
      </c>
      <c r="P8" s="1129" t="s">
        <v>1134</v>
      </c>
    </row>
    <row r="9" spans="1:29" ht="18" x14ac:dyDescent="0.2">
      <c r="A9" s="2216" t="s">
        <v>768</v>
      </c>
      <c r="B9" s="2216"/>
      <c r="C9" s="2216"/>
      <c r="D9" s="2216"/>
      <c r="E9" s="2216"/>
      <c r="F9" s="2216"/>
      <c r="G9" s="2216"/>
      <c r="H9" s="2216"/>
      <c r="I9" s="2216"/>
      <c r="J9" s="2216"/>
      <c r="K9" s="2216"/>
      <c r="L9" s="2216"/>
      <c r="M9" s="1129"/>
      <c r="N9" s="1129">
        <v>2017</v>
      </c>
      <c r="O9" s="1129" t="s">
        <v>1127</v>
      </c>
      <c r="P9" s="1129" t="s">
        <v>1135</v>
      </c>
    </row>
    <row r="10" spans="1:29" ht="34.5" customHeight="1" x14ac:dyDescent="0.2">
      <c r="A10" s="2216" t="s">
        <v>72</v>
      </c>
      <c r="B10" s="2216"/>
      <c r="C10" s="2216"/>
      <c r="D10" s="2216"/>
      <c r="E10" s="2216"/>
      <c r="F10" s="2216"/>
      <c r="G10" s="2216"/>
      <c r="H10" s="2216"/>
      <c r="I10" s="2216"/>
      <c r="J10" s="2216"/>
      <c r="K10" s="2216"/>
      <c r="L10" s="2216"/>
      <c r="M10" s="1129"/>
      <c r="N10" s="1129"/>
      <c r="O10" s="1129"/>
      <c r="P10" s="1129"/>
    </row>
    <row r="11" spans="1:29" ht="13.5" thickBot="1" x14ac:dyDescent="0.25">
      <c r="C11" s="1395">
        <f>RebaseYear</f>
        <v>2013</v>
      </c>
      <c r="D11" s="1395">
        <f>TestYear-8</f>
        <v>2012</v>
      </c>
      <c r="E11" s="1395">
        <f>TestYear-7</f>
        <v>2013</v>
      </c>
      <c r="F11" s="1395">
        <f>TestYear-6</f>
        <v>2014</v>
      </c>
      <c r="G11" s="1395">
        <f>TestYear-5</f>
        <v>2015</v>
      </c>
      <c r="H11" s="1395">
        <f>TestYear-4</f>
        <v>2016</v>
      </c>
      <c r="I11" s="1395">
        <f>TestYear-3</f>
        <v>2017</v>
      </c>
      <c r="J11" s="1395">
        <f>TestYear-2</f>
        <v>2018</v>
      </c>
      <c r="K11" s="942">
        <f>BridgeYear</f>
        <v>2019</v>
      </c>
      <c r="L11" s="942">
        <f>TestYear</f>
        <v>2020</v>
      </c>
      <c r="M11" s="953"/>
      <c r="N11" s="953"/>
      <c r="P11" s="1399">
        <f>C11</f>
        <v>2013</v>
      </c>
      <c r="Q11" s="1399"/>
      <c r="R11" s="1399"/>
      <c r="S11" s="1399">
        <f>D11</f>
        <v>2012</v>
      </c>
      <c r="T11" s="1399">
        <f t="shared" ref="T11:Z11" si="0">E11</f>
        <v>2013</v>
      </c>
      <c r="U11" s="1399">
        <f t="shared" si="0"/>
        <v>2014</v>
      </c>
      <c r="V11" s="1399">
        <f t="shared" si="0"/>
        <v>2015</v>
      </c>
      <c r="W11" s="1399">
        <f t="shared" si="0"/>
        <v>2016</v>
      </c>
      <c r="X11" s="1399">
        <f t="shared" si="0"/>
        <v>2017</v>
      </c>
      <c r="Y11" s="1399">
        <f t="shared" si="0"/>
        <v>2018</v>
      </c>
      <c r="Z11" s="1399">
        <f t="shared" si="0"/>
        <v>2019</v>
      </c>
      <c r="AA11" s="1399"/>
      <c r="AB11" s="1399">
        <f>L11</f>
        <v>2020</v>
      </c>
    </row>
    <row r="12" spans="1:29" ht="39" thickBot="1" x14ac:dyDescent="0.25">
      <c r="A12" s="1130"/>
      <c r="B12" s="1131" t="str">
        <f>CONCATENATE(C11," ",IF($M1=C11,"Last Rebasing Year ",""),"OEB Approved")</f>
        <v>2013 Last Rebasing Year OEB Approved</v>
      </c>
      <c r="C12" s="1131" t="str">
        <f t="shared" ref="C12:J12" si="1">CONCATENATE(C11," ",IF($M1=C11,"Last Rebasing Year ",""),"Actuals")</f>
        <v>2013 Last Rebasing Year Actuals</v>
      </c>
      <c r="D12" s="1131" t="str">
        <f t="shared" si="1"/>
        <v>2012 Actuals</v>
      </c>
      <c r="E12" s="1131" t="str">
        <f t="shared" si="1"/>
        <v>2013 Last Rebasing Year Actuals</v>
      </c>
      <c r="F12" s="1131" t="str">
        <f t="shared" si="1"/>
        <v>2014 Actuals</v>
      </c>
      <c r="G12" s="1131" t="str">
        <f t="shared" si="1"/>
        <v>2015 Actuals</v>
      </c>
      <c r="H12" s="1131" t="str">
        <f t="shared" si="1"/>
        <v>2016 Actuals</v>
      </c>
      <c r="I12" s="1131" t="str">
        <f t="shared" si="1"/>
        <v>2017 Actuals</v>
      </c>
      <c r="J12" s="1131" t="str">
        <f t="shared" si="1"/>
        <v>2018 Actuals</v>
      </c>
      <c r="K12" s="1131" t="str">
        <f>BridgeYear &amp; " Bridge Year"</f>
        <v>2019 Bridge Year</v>
      </c>
      <c r="L12" s="1132" t="str">
        <f>TestYear &amp; " Test Year"</f>
        <v>2020 Test Year</v>
      </c>
      <c r="M12" s="2217"/>
      <c r="N12" s="2217"/>
      <c r="O12" s="1133"/>
      <c r="P12" s="1134" t="str">
        <f>CONCATENATE(IF($M1=P11,"Last Rebasing Year ",""),,P11," OEB Approved")</f>
        <v>Last Rebasing Year 2013 OEB Approved</v>
      </c>
      <c r="Q12" s="1134" t="str">
        <f>CONCATENATE(IF($M1=P11,"Last Rebasing Year ",""),P11," Actuals")</f>
        <v>Last Rebasing Year 2013 Actuals</v>
      </c>
      <c r="R12" s="1134" t="str">
        <f>CONCATENATE("Variance ",P11," OEB Approved - ",P11," Actuals")</f>
        <v>Variance 2013 OEB Approved - 2013 Actuals</v>
      </c>
      <c r="S12" s="1134" t="str">
        <f t="shared" ref="S12:Y12" si="2">CONCATENATE(IF($M1=S11,"Last Rebasing Year ",""),S11," Actuals")</f>
        <v>2012 Actuals</v>
      </c>
      <c r="T12" s="1134" t="str">
        <f t="shared" si="2"/>
        <v>Last Rebasing Year 2013 Actuals</v>
      </c>
      <c r="U12" s="1134" t="str">
        <f t="shared" si="2"/>
        <v>2014 Actuals</v>
      </c>
      <c r="V12" s="1134" t="str">
        <f t="shared" si="2"/>
        <v>2015 Actuals</v>
      </c>
      <c r="W12" s="1134" t="str">
        <f t="shared" si="2"/>
        <v>2016 Actuals</v>
      </c>
      <c r="X12" s="1134" t="str">
        <f t="shared" si="2"/>
        <v>2017 Actuals</v>
      </c>
      <c r="Y12" s="1134" t="str">
        <f t="shared" si="2"/>
        <v>2018 Actuals</v>
      </c>
      <c r="Z12" s="1134" t="str">
        <f>CONCATENATE(Z11," Bridge Year")</f>
        <v>2019 Bridge Year</v>
      </c>
      <c r="AA12" s="1134" t="str">
        <f>CONCATENATE("Variance ",Z11," Bridge vs. ",Z11-1," Actuals")</f>
        <v>Variance 2019 Bridge vs. 2018 Actuals</v>
      </c>
      <c r="AB12" s="1134" t="str">
        <f>CONCATENATE(AB11," Test Year")</f>
        <v>2020 Test Year</v>
      </c>
      <c r="AC12" s="1134" t="str">
        <f>CONCATENATE("Variance ",AB11," Test vs. ",AB11-1," Bridge")</f>
        <v>Variance 2020 Test vs. 2019 Bridge</v>
      </c>
    </row>
    <row r="13" spans="1:29" ht="13.5" thickBot="1" x14ac:dyDescent="0.25">
      <c r="A13" s="1135" t="s">
        <v>90</v>
      </c>
      <c r="B13" s="226" t="s">
        <v>91</v>
      </c>
      <c r="C13" s="226" t="s">
        <v>91</v>
      </c>
      <c r="D13" s="226"/>
      <c r="E13" s="226"/>
      <c r="F13" s="226" t="s">
        <v>91</v>
      </c>
      <c r="G13" s="226" t="s">
        <v>92</v>
      </c>
      <c r="H13" s="226" t="s">
        <v>92</v>
      </c>
      <c r="I13" s="226" t="s">
        <v>92</v>
      </c>
      <c r="J13" s="226" t="s">
        <v>92</v>
      </c>
      <c r="K13" s="226" t="s">
        <v>92</v>
      </c>
      <c r="L13" s="227" t="s">
        <v>92</v>
      </c>
      <c r="M13" s="1136"/>
      <c r="N13" s="1136"/>
      <c r="O13" s="1137" t="s">
        <v>98</v>
      </c>
      <c r="P13" s="1138">
        <f>B14</f>
        <v>5993671</v>
      </c>
      <c r="Q13" s="1138">
        <f>C14</f>
        <v>4735948.3400000101</v>
      </c>
      <c r="R13" s="1138">
        <f t="shared" ref="R13:R18" si="3">P13-Q13</f>
        <v>1257722.6599999899</v>
      </c>
      <c r="S13" s="1138">
        <f t="shared" ref="S13:Z14" si="4">D14</f>
        <v>0</v>
      </c>
      <c r="T13" s="1138">
        <f t="shared" si="4"/>
        <v>0</v>
      </c>
      <c r="U13" s="1138">
        <f t="shared" si="4"/>
        <v>4884928.0700000413</v>
      </c>
      <c r="V13" s="1138">
        <f t="shared" si="4"/>
        <v>5487597.1400000043</v>
      </c>
      <c r="W13" s="1138">
        <f t="shared" si="4"/>
        <v>5377304.0399999991</v>
      </c>
      <c r="X13" s="1138">
        <f t="shared" si="4"/>
        <v>5851329.9899999592</v>
      </c>
      <c r="Y13" s="1138">
        <f t="shared" si="4"/>
        <v>5738060.1699999785</v>
      </c>
      <c r="Z13" s="1138">
        <f t="shared" si="4"/>
        <v>6138110.25</v>
      </c>
      <c r="AA13" s="1138">
        <f t="shared" ref="AA13:AA18" si="5">Z13-Y13</f>
        <v>400050.08000002149</v>
      </c>
      <c r="AB13" s="1138">
        <f>L14</f>
        <v>6893900</v>
      </c>
      <c r="AC13" s="1138">
        <f t="shared" ref="AC13:AC18" si="6">AB13-Z13</f>
        <v>755789.75</v>
      </c>
    </row>
    <row r="14" spans="1:29" x14ac:dyDescent="0.2">
      <c r="A14" s="1139" t="s">
        <v>98</v>
      </c>
      <c r="B14" s="834">
        <v>5993671</v>
      </c>
      <c r="C14" s="834">
        <v>4735948.3400000101</v>
      </c>
      <c r="D14" s="834"/>
      <c r="E14" s="834"/>
      <c r="F14" s="834">
        <v>4884928.0700000413</v>
      </c>
      <c r="G14" s="834">
        <v>5487597.1400000043</v>
      </c>
      <c r="H14" s="834">
        <v>5377304.0399999991</v>
      </c>
      <c r="I14" s="834">
        <v>5851329.9899999592</v>
      </c>
      <c r="J14" s="228">
        <v>5738060.1699999785</v>
      </c>
      <c r="K14" s="228">
        <v>6138110.25</v>
      </c>
      <c r="L14" s="229">
        <v>6893900</v>
      </c>
      <c r="M14" s="1140"/>
      <c r="N14" s="1140"/>
      <c r="O14" s="1141" t="s">
        <v>351</v>
      </c>
      <c r="P14" s="1138">
        <f>B15</f>
        <v>1994623</v>
      </c>
      <c r="Q14" s="1138">
        <f>C15</f>
        <v>2614037.3699999885</v>
      </c>
      <c r="R14" s="1138">
        <f t="shared" si="3"/>
        <v>-619414.36999998847</v>
      </c>
      <c r="S14" s="1138">
        <f t="shared" si="4"/>
        <v>0</v>
      </c>
      <c r="T14" s="1138">
        <f t="shared" si="4"/>
        <v>0</v>
      </c>
      <c r="U14" s="1142">
        <f t="shared" si="4"/>
        <v>1787401.3000000059</v>
      </c>
      <c r="V14" s="1142">
        <f t="shared" si="4"/>
        <v>2011057.5</v>
      </c>
      <c r="W14" s="1142">
        <f t="shared" si="4"/>
        <v>2165932.5400000038</v>
      </c>
      <c r="X14" s="1142">
        <f t="shared" si="4"/>
        <v>1815396.2299999991</v>
      </c>
      <c r="Y14" s="1142">
        <f t="shared" si="4"/>
        <v>1840611.4799999993</v>
      </c>
      <c r="Z14" s="1142">
        <f t="shared" si="4"/>
        <v>1863409.25</v>
      </c>
      <c r="AA14" s="1138">
        <f t="shared" si="5"/>
        <v>22797.770000000717</v>
      </c>
      <c r="AB14" s="1142">
        <f>L15</f>
        <v>2032385</v>
      </c>
      <c r="AC14" s="1138">
        <f t="shared" si="6"/>
        <v>168975.75</v>
      </c>
    </row>
    <row r="15" spans="1:29" x14ac:dyDescent="0.2">
      <c r="A15" s="1143" t="s">
        <v>99</v>
      </c>
      <c r="B15" s="835">
        <v>1994623</v>
      </c>
      <c r="C15" s="835">
        <v>2614037.3699999885</v>
      </c>
      <c r="D15" s="835"/>
      <c r="E15" s="835"/>
      <c r="F15" s="835">
        <v>1787401.3000000059</v>
      </c>
      <c r="G15" s="835">
        <v>2011057.5</v>
      </c>
      <c r="H15" s="835">
        <v>2165932.5400000038</v>
      </c>
      <c r="I15" s="835">
        <v>1815396.2299999991</v>
      </c>
      <c r="J15" s="230">
        <v>1840611.4799999993</v>
      </c>
      <c r="K15" s="230">
        <v>1863409.25</v>
      </c>
      <c r="L15" s="231">
        <v>2032385</v>
      </c>
      <c r="M15" s="1140"/>
      <c r="N15" s="1140"/>
      <c r="O15" s="1141" t="s">
        <v>352</v>
      </c>
      <c r="P15" s="1138">
        <f t="shared" ref="P15:Q18" si="7">B19</f>
        <v>2114055</v>
      </c>
      <c r="Q15" s="1138">
        <f t="shared" si="7"/>
        <v>1866995.2000000014</v>
      </c>
      <c r="R15" s="1138">
        <f t="shared" si="3"/>
        <v>247059.79999999865</v>
      </c>
      <c r="S15" s="1138">
        <f t="shared" ref="S15:Z18" si="8">D19</f>
        <v>0</v>
      </c>
      <c r="T15" s="1138">
        <f t="shared" si="8"/>
        <v>0</v>
      </c>
      <c r="U15" s="1142">
        <f t="shared" si="8"/>
        <v>2075374.2400000005</v>
      </c>
      <c r="V15" s="1142">
        <f t="shared" si="8"/>
        <v>1839665.2799999968</v>
      </c>
      <c r="W15" s="1142">
        <f t="shared" si="8"/>
        <v>2305885.4600000023</v>
      </c>
      <c r="X15" s="1142">
        <f t="shared" si="8"/>
        <v>2043286.8300000075</v>
      </c>
      <c r="Y15" s="1142">
        <f t="shared" si="8"/>
        <v>2431549.8399999994</v>
      </c>
      <c r="Z15" s="1142">
        <f t="shared" si="8"/>
        <v>2491373.25</v>
      </c>
      <c r="AA15" s="1138">
        <f t="shared" si="5"/>
        <v>59823.410000000615</v>
      </c>
      <c r="AB15" s="1142">
        <f>L19</f>
        <v>2533693</v>
      </c>
      <c r="AC15" s="1138">
        <f t="shared" si="6"/>
        <v>42319.75</v>
      </c>
    </row>
    <row r="16" spans="1:29" x14ac:dyDescent="0.2">
      <c r="A16" s="1144" t="s">
        <v>348</v>
      </c>
      <c r="B16" s="1145">
        <f>SUM(B14:B15)</f>
        <v>7988294</v>
      </c>
      <c r="C16" s="1145">
        <f t="shared" ref="C16:L16" si="9">SUM(C14:C15)</f>
        <v>7349985.709999999</v>
      </c>
      <c r="D16" s="1145">
        <f t="shared" si="9"/>
        <v>0</v>
      </c>
      <c r="E16" s="1145">
        <f t="shared" si="9"/>
        <v>0</v>
      </c>
      <c r="F16" s="1145">
        <f t="shared" si="9"/>
        <v>6672329.3700000476</v>
      </c>
      <c r="G16" s="1145">
        <f>SUM(G14:G15)</f>
        <v>7498654.6400000043</v>
      </c>
      <c r="H16" s="1145">
        <f t="shared" si="9"/>
        <v>7543236.5800000029</v>
      </c>
      <c r="I16" s="1145">
        <f t="shared" si="9"/>
        <v>7666726.2199999578</v>
      </c>
      <c r="J16" s="1145">
        <f t="shared" si="9"/>
        <v>7578671.649999978</v>
      </c>
      <c r="K16" s="1145">
        <f t="shared" si="9"/>
        <v>8001519.5</v>
      </c>
      <c r="L16" s="1146">
        <f t="shared" si="9"/>
        <v>8926285</v>
      </c>
      <c r="M16" s="1147"/>
      <c r="N16" s="1147"/>
      <c r="O16" s="1141" t="s">
        <v>353</v>
      </c>
      <c r="P16" s="1138">
        <f t="shared" si="7"/>
        <v>0</v>
      </c>
      <c r="Q16" s="1138">
        <f t="shared" si="7"/>
        <v>524978.45999999461</v>
      </c>
      <c r="R16" s="1138">
        <f t="shared" si="3"/>
        <v>-524978.45999999461</v>
      </c>
      <c r="S16" s="1138">
        <f t="shared" si="8"/>
        <v>0</v>
      </c>
      <c r="T16" s="1138">
        <f t="shared" si="8"/>
        <v>0</v>
      </c>
      <c r="U16" s="1142">
        <f t="shared" si="8"/>
        <v>39447.999999999818</v>
      </c>
      <c r="V16" s="1142">
        <f t="shared" si="8"/>
        <v>65137.139999997853</v>
      </c>
      <c r="W16" s="1142">
        <f t="shared" si="8"/>
        <v>-1.0000000266956022E-2</v>
      </c>
      <c r="X16" s="1142">
        <f t="shared" si="8"/>
        <v>2217.4099999980326</v>
      </c>
      <c r="Y16" s="1142">
        <f t="shared" si="8"/>
        <v>9126.1699999985321</v>
      </c>
      <c r="Z16" s="1142">
        <f t="shared" si="8"/>
        <v>-10484</v>
      </c>
      <c r="AA16" s="1138">
        <f t="shared" si="5"/>
        <v>-19610.169999998532</v>
      </c>
      <c r="AB16" s="1142">
        <f>L20</f>
        <v>0</v>
      </c>
      <c r="AC16" s="1138">
        <f t="shared" si="6"/>
        <v>10484</v>
      </c>
    </row>
    <row r="17" spans="1:43" x14ac:dyDescent="0.2">
      <c r="A17" s="1143" t="s">
        <v>349</v>
      </c>
      <c r="B17" s="1148"/>
      <c r="C17" s="1149">
        <f>IF(ISERROR((C16-B16)/B16), "", (C16-B16)/B16)</f>
        <v>-7.9905457911288821E-2</v>
      </c>
      <c r="D17" s="1149" t="str">
        <f>IF(ISERROR((D16-HLOOKUP(D11-1,$A$11:C26,6,FALSE))/HLOOKUP(D11-1,$A$11:C26,6,FALSE)), "", (D16-HLOOKUP(D11-1,$A$11:C26,6,FALSE))/HLOOKUP(D11-1,$A$11:C26,6,FALSE))</f>
        <v/>
      </c>
      <c r="E17" s="1149" t="str">
        <f>IF(ISERROR((E16-HLOOKUP(E11-1,$A$11:D26,6,FALSE))/HLOOKUP(E11-1,$A$11:D26,6,FALSE)), "", (E16-HLOOKUP(E11-1,$A$11:D26,6,FALSE))/HLOOKUP(E11-1,$A$11:D26,6,FALSE))</f>
        <v/>
      </c>
      <c r="F17" s="1149">
        <f>IF(ISERROR((F16-HLOOKUP(F11-1,$A$11:E26,6,FALSE))/HLOOKUP(F11-1,$A$11:E26,6,FALSE)), "", (F16-HLOOKUP(F11-1,$A$11:E26,6,FALSE))/HLOOKUP(F11-1,$A$11:E26,6,FALSE))</f>
        <v>-9.219832075019796E-2</v>
      </c>
      <c r="G17" s="1149">
        <f>IF(ISERROR((G16-HLOOKUP(G11-1,$A$11:F26,6,FALSE))/HLOOKUP(G11-1,$A$11:F26,6,FALSE)), "", (G16-HLOOKUP(G11-1,$A$11:F26,6,FALSE))/HLOOKUP(G11-1,$A$11:F26,6,FALSE))</f>
        <v>0.1238435970675037</v>
      </c>
      <c r="H17" s="1149">
        <f>IF(ISERROR((H16-HLOOKUP(H11-1,$A$11:G26,6,FALSE))/HLOOKUP(H11-1,$A$11:G26,6,FALSE)), "", (H16-HLOOKUP(H11-1,$A$11:G26,6,FALSE))/HLOOKUP(H11-1,$A$11:G26,6,FALSE))</f>
        <v>5.9453251470184421E-3</v>
      </c>
      <c r="I17" s="1149">
        <f>IF(ISERROR((I16-HLOOKUP(I11-1,$A$11:H26,6,FALSE))/HLOOKUP(I11-1,$A$11:H26,6,FALSE)), "", (I16-HLOOKUP(I11-1,$A$11:H26,6,FALSE))/HLOOKUP(I11-1,$A$11:H26,6,FALSE))</f>
        <v>1.637090905081422E-2</v>
      </c>
      <c r="J17" s="1149">
        <f>IF(ISERROR((J16-HLOOKUP(J11-1,$A$11:I26,6,FALSE))/HLOOKUP(J11-1,$A$11:I26,6,FALSE)), "", (J16-HLOOKUP(J11-1,$A$11:I26,6,FALSE))/HLOOKUP(J11-1,$A$11:I26,6,FALSE))</f>
        <v>-1.1485289479918365E-2</v>
      </c>
      <c r="K17" s="1149">
        <f>IF(ISERROR((K16-HLOOKUP(K11-1,$A$11:J26,6,FALSE))/HLOOKUP(K11-1,$A$11:J26,6,FALSE)), "", (K16-HLOOKUP(K11-1,$A$11:J26,6,FALSE))/HLOOKUP(K11-1,$A$11:J26,6,FALSE))</f>
        <v>5.5794454427910624E-2</v>
      </c>
      <c r="L17" s="1150">
        <f>IF(ISERROR((L16-K16)/K16), "", (L16-K16)/K16)</f>
        <v>0.11557373571357291</v>
      </c>
      <c r="M17" s="1151"/>
      <c r="N17" s="1151"/>
      <c r="O17" s="1141" t="s">
        <v>354</v>
      </c>
      <c r="P17" s="1138">
        <f t="shared" si="7"/>
        <v>3835190</v>
      </c>
      <c r="Q17" s="1138">
        <f t="shared" si="7"/>
        <v>4502706.5699999901</v>
      </c>
      <c r="R17" s="1138">
        <f t="shared" si="3"/>
        <v>-667516.56999999005</v>
      </c>
      <c r="S17" s="1138">
        <f t="shared" si="8"/>
        <v>0</v>
      </c>
      <c r="T17" s="1138">
        <f t="shared" si="8"/>
        <v>0</v>
      </c>
      <c r="U17" s="1142">
        <f t="shared" si="8"/>
        <v>4942813.4700000118</v>
      </c>
      <c r="V17" s="1142">
        <f t="shared" si="8"/>
        <v>4910477.7600000054</v>
      </c>
      <c r="W17" s="1142">
        <f t="shared" si="8"/>
        <v>5313722.810000007</v>
      </c>
      <c r="X17" s="1142">
        <f t="shared" si="8"/>
        <v>4935241.9300000025</v>
      </c>
      <c r="Y17" s="1142">
        <f t="shared" si="8"/>
        <v>4922433.0500000007</v>
      </c>
      <c r="Z17" s="1142">
        <f t="shared" si="8"/>
        <v>4877206.25</v>
      </c>
      <c r="AA17" s="1138">
        <f t="shared" si="5"/>
        <v>-45226.800000000745</v>
      </c>
      <c r="AB17" s="1142">
        <f>L21</f>
        <v>4777799</v>
      </c>
      <c r="AC17" s="1138">
        <f t="shared" si="6"/>
        <v>-99407.25</v>
      </c>
    </row>
    <row r="18" spans="1:43" ht="24" x14ac:dyDescent="0.2">
      <c r="A18" s="1143" t="s">
        <v>350</v>
      </c>
      <c r="B18" s="1152"/>
      <c r="C18" s="1153"/>
      <c r="D18" s="1153"/>
      <c r="E18" s="1153"/>
      <c r="F18" s="1153"/>
      <c r="G18" s="1153"/>
      <c r="H18" s="1153"/>
      <c r="I18" s="1153"/>
      <c r="J18" s="1153"/>
      <c r="K18" s="1154"/>
      <c r="L18" s="1150">
        <f>IF(ISERROR((L16-C16)/C16), "", (L16-C16)/C16)</f>
        <v>0.21446290539794821</v>
      </c>
      <c r="M18" s="1151"/>
      <c r="N18" s="1151"/>
      <c r="O18" s="1141" t="s">
        <v>535</v>
      </c>
      <c r="P18" s="1138">
        <f t="shared" si="7"/>
        <v>5949245</v>
      </c>
      <c r="Q18" s="1138">
        <f t="shared" si="7"/>
        <v>6894680.2299999855</v>
      </c>
      <c r="R18" s="1138">
        <f t="shared" si="3"/>
        <v>-945435.22999998555</v>
      </c>
      <c r="S18" s="1138">
        <f t="shared" si="8"/>
        <v>0</v>
      </c>
      <c r="T18" s="1138">
        <f t="shared" si="8"/>
        <v>0</v>
      </c>
      <c r="U18" s="1142">
        <f t="shared" si="8"/>
        <v>7057635.7100000121</v>
      </c>
      <c r="V18" s="1142">
        <f t="shared" si="8"/>
        <v>6815280.1799999997</v>
      </c>
      <c r="W18" s="1142">
        <f t="shared" si="8"/>
        <v>7619608.2600000091</v>
      </c>
      <c r="X18" s="1142">
        <f t="shared" si="8"/>
        <v>6980746.1700000083</v>
      </c>
      <c r="Y18" s="1142">
        <f t="shared" si="8"/>
        <v>7363109.0599999987</v>
      </c>
      <c r="Z18" s="1142">
        <f t="shared" si="8"/>
        <v>7358095.5</v>
      </c>
      <c r="AA18" s="1138">
        <f t="shared" si="5"/>
        <v>-5013.5599999986589</v>
      </c>
      <c r="AB18" s="1142">
        <f>L22</f>
        <v>7311492</v>
      </c>
      <c r="AC18" s="1138">
        <f t="shared" si="6"/>
        <v>-46603.5</v>
      </c>
    </row>
    <row r="19" spans="1:43" ht="72.400000000000006" customHeight="1" x14ac:dyDescent="0.2">
      <c r="A19" s="1143" t="s">
        <v>87</v>
      </c>
      <c r="B19" s="835">
        <v>2114055</v>
      </c>
      <c r="C19" s="835">
        <v>1866995.2000000014</v>
      </c>
      <c r="D19" s="835"/>
      <c r="E19" s="835"/>
      <c r="F19" s="835">
        <v>2075374.2400000005</v>
      </c>
      <c r="G19" s="835">
        <v>1839665.2799999968</v>
      </c>
      <c r="H19" s="835">
        <v>2305885.4600000023</v>
      </c>
      <c r="I19" s="835">
        <v>2043286.8300000075</v>
      </c>
      <c r="J19" s="230">
        <v>2431549.8399999994</v>
      </c>
      <c r="K19" s="230">
        <v>2491373.25</v>
      </c>
      <c r="L19" s="231">
        <v>2533693</v>
      </c>
      <c r="M19" s="1140"/>
      <c r="N19" s="1140"/>
      <c r="O19" s="1141" t="s">
        <v>534</v>
      </c>
      <c r="P19" s="1138"/>
      <c r="Q19" s="1155"/>
      <c r="R19" s="1155"/>
      <c r="S19" s="1138"/>
      <c r="T19" s="1138"/>
      <c r="U19" s="1155"/>
      <c r="V19" s="1155"/>
      <c r="W19" s="1155"/>
      <c r="X19" s="1155"/>
      <c r="Y19" s="1155"/>
      <c r="Z19" s="1155"/>
      <c r="AA19" s="1155"/>
      <c r="AB19" s="1155"/>
      <c r="AC19" s="1155"/>
    </row>
    <row r="20" spans="1:43" ht="24" x14ac:dyDescent="0.2">
      <c r="A20" s="1143" t="s">
        <v>100</v>
      </c>
      <c r="B20" s="835">
        <v>0</v>
      </c>
      <c r="C20" s="835">
        <v>524978.45999999461</v>
      </c>
      <c r="D20" s="835"/>
      <c r="E20" s="835"/>
      <c r="F20" s="835">
        <v>39447.999999999818</v>
      </c>
      <c r="G20" s="835">
        <v>65137.139999997853</v>
      </c>
      <c r="H20" s="835">
        <v>-1.0000000266956022E-2</v>
      </c>
      <c r="I20" s="835">
        <v>2217.4099999980326</v>
      </c>
      <c r="J20" s="230">
        <v>9126.1699999985321</v>
      </c>
      <c r="K20" s="230">
        <v>-10484</v>
      </c>
      <c r="L20" s="231">
        <v>0</v>
      </c>
      <c r="M20" s="1140"/>
      <c r="N20" s="1140"/>
      <c r="O20" s="1141" t="s">
        <v>504</v>
      </c>
      <c r="P20" s="1138">
        <f>P18-P19</f>
        <v>5949245</v>
      </c>
      <c r="Q20" s="1138">
        <f>Q18-Q19</f>
        <v>6894680.2299999855</v>
      </c>
      <c r="R20" s="1138">
        <f>R18-R19</f>
        <v>-945435.22999998555</v>
      </c>
      <c r="S20" s="1138">
        <f t="shared" ref="S20:Z20" si="10">IF(S11&lt;=RebaseYear, 0, S18-S19)</f>
        <v>0</v>
      </c>
      <c r="T20" s="1138">
        <f t="shared" si="10"/>
        <v>0</v>
      </c>
      <c r="U20" s="1138">
        <f t="shared" si="10"/>
        <v>7057635.7100000121</v>
      </c>
      <c r="V20" s="1138">
        <f t="shared" si="10"/>
        <v>6815280.1799999997</v>
      </c>
      <c r="W20" s="1138">
        <f t="shared" si="10"/>
        <v>7619608.2600000091</v>
      </c>
      <c r="X20" s="1138">
        <f t="shared" si="10"/>
        <v>6980746.1700000083</v>
      </c>
      <c r="Y20" s="1138">
        <f t="shared" si="10"/>
        <v>7363109.0599999987</v>
      </c>
      <c r="Z20" s="1138">
        <f t="shared" si="10"/>
        <v>7358095.5</v>
      </c>
      <c r="AA20" s="1138">
        <f>AA18-AA19</f>
        <v>-5013.5599999986589</v>
      </c>
      <c r="AB20" s="1138">
        <f>AB18-AB19</f>
        <v>7311492</v>
      </c>
      <c r="AC20" s="1138">
        <f>AC18-AC19</f>
        <v>-46603.5</v>
      </c>
    </row>
    <row r="21" spans="1:43" x14ac:dyDescent="0.2">
      <c r="A21" s="1143" t="s">
        <v>146</v>
      </c>
      <c r="B21" s="835">
        <v>3835190</v>
      </c>
      <c r="C21" s="835">
        <v>4502706.5699999901</v>
      </c>
      <c r="D21" s="835"/>
      <c r="E21" s="835"/>
      <c r="F21" s="835">
        <v>4942813.4700000118</v>
      </c>
      <c r="G21" s="835">
        <v>4910477.7600000054</v>
      </c>
      <c r="H21" s="835">
        <v>5313722.810000007</v>
      </c>
      <c r="I21" s="835">
        <v>4935241.9300000025</v>
      </c>
      <c r="J21" s="230">
        <v>4922433.0500000007</v>
      </c>
      <c r="K21" s="230">
        <v>4877206.25</v>
      </c>
      <c r="L21" s="231">
        <v>4777799</v>
      </c>
      <c r="M21" s="1140"/>
      <c r="N21" s="1140"/>
      <c r="O21" s="1141" t="s">
        <v>355</v>
      </c>
      <c r="P21" s="1156"/>
      <c r="Q21" s="1156"/>
      <c r="R21" s="1157"/>
      <c r="S21" s="1159">
        <f>IF(S11&lt;=RebaseYear, 0, S20-Q20)</f>
        <v>0</v>
      </c>
      <c r="T21" s="1159">
        <f t="shared" ref="T21:Z21" si="11">IF(T11&lt;=RebaseYear, 0, IF(T11=RebaseYear+1, T20-$Q$20, T20-S20))</f>
        <v>0</v>
      </c>
      <c r="U21" s="1159">
        <f t="shared" si="11"/>
        <v>162955.48000002652</v>
      </c>
      <c r="V21" s="1159">
        <f t="shared" si="11"/>
        <v>-242355.53000001237</v>
      </c>
      <c r="W21" s="1159">
        <f t="shared" si="11"/>
        <v>804328.08000000939</v>
      </c>
      <c r="X21" s="1159">
        <f t="shared" si="11"/>
        <v>-638862.09000000078</v>
      </c>
      <c r="Y21" s="1159">
        <f t="shared" si="11"/>
        <v>382362.88999999035</v>
      </c>
      <c r="Z21" s="1159">
        <f t="shared" si="11"/>
        <v>-5013.5599999986589</v>
      </c>
      <c r="AA21" s="1158"/>
      <c r="AB21" s="1159">
        <f>AB20-Z20</f>
        <v>-46603.5</v>
      </c>
      <c r="AC21" s="1160"/>
    </row>
    <row r="22" spans="1:43" ht="24" x14ac:dyDescent="0.2">
      <c r="A22" s="1144" t="s">
        <v>348</v>
      </c>
      <c r="B22" s="1145">
        <f>SUM(B19:B21)</f>
        <v>5949245</v>
      </c>
      <c r="C22" s="1145">
        <f t="shared" ref="C22:I22" si="12">SUM(C19:C21)</f>
        <v>6894680.2299999855</v>
      </c>
      <c r="D22" s="1145">
        <f t="shared" si="12"/>
        <v>0</v>
      </c>
      <c r="E22" s="1145">
        <f t="shared" si="12"/>
        <v>0</v>
      </c>
      <c r="F22" s="1145">
        <f t="shared" si="12"/>
        <v>7057635.7100000121</v>
      </c>
      <c r="G22" s="1145">
        <f t="shared" si="12"/>
        <v>6815280.1799999997</v>
      </c>
      <c r="H22" s="1145">
        <f t="shared" si="12"/>
        <v>7619608.2600000091</v>
      </c>
      <c r="I22" s="1145">
        <f t="shared" si="12"/>
        <v>6980746.1700000083</v>
      </c>
      <c r="J22" s="1145">
        <f>SUM(J19:J21)</f>
        <v>7363109.0599999987</v>
      </c>
      <c r="K22" s="1145">
        <f>SUM(K19:K21)</f>
        <v>7358095.5</v>
      </c>
      <c r="L22" s="1146">
        <f>SUM(L19:L21)</f>
        <v>7311492</v>
      </c>
      <c r="M22" s="1147"/>
      <c r="N22" s="1147"/>
      <c r="O22" s="1141" t="s">
        <v>356</v>
      </c>
      <c r="P22" s="1161"/>
      <c r="Q22" s="1161"/>
      <c r="R22" s="1162"/>
      <c r="S22" s="1164">
        <f>IF(S11&lt;=RebaseYear, 0, IF(ISERROR(S21/Q20), "", S21/Q20))</f>
        <v>0</v>
      </c>
      <c r="T22" s="1164">
        <f t="shared" ref="T22:Z22" si="13">IF(S11&lt;=RebaseYear, 0, IF(T11=RebaseYear+1, IF(ISERROR(T21/$Q$20), "", T21/$Q$20),IF(ISERROR(T21/S20), "", T21/S20)))</f>
        <v>0</v>
      </c>
      <c r="U22" s="1164">
        <f t="shared" si="13"/>
        <v>0</v>
      </c>
      <c r="V22" s="1164">
        <f t="shared" si="13"/>
        <v>-3.4339478539054821E-2</v>
      </c>
      <c r="W22" s="1164">
        <f t="shared" si="13"/>
        <v>0.11801834389147732</v>
      </c>
      <c r="X22" s="1164">
        <f t="shared" si="13"/>
        <v>-8.3844479689825946E-2</v>
      </c>
      <c r="Y22" s="1164">
        <f t="shared" si="13"/>
        <v>5.4773928271909918E-2</v>
      </c>
      <c r="Z22" s="1164">
        <f t="shared" si="13"/>
        <v>-6.8090258600606143E-4</v>
      </c>
      <c r="AA22" s="1163"/>
      <c r="AB22" s="1164">
        <f>IF(ISERROR(AB21/Z20), "", AB21/Z20)</f>
        <v>-6.333636197029517E-3</v>
      </c>
      <c r="AC22" s="1165"/>
    </row>
    <row r="23" spans="1:43" ht="36" x14ac:dyDescent="0.2">
      <c r="A23" s="1143" t="s">
        <v>349</v>
      </c>
      <c r="B23" s="1148"/>
      <c r="C23" s="1166">
        <f>IF(ISERROR((C22-B22)/B22), "", (C22-B22)/B22)</f>
        <v>0.15891684238924192</v>
      </c>
      <c r="D23" s="1149" t="str">
        <f>IF(ISERROR((D22-HLOOKUP(D11-1,$A$11:C26,12,FALSE))/HLOOKUP(D11-1,$A$11:C26,12,FALSE)), "", (D22-HLOOKUP(D11-1,$A$11:C26,12,FALSE))/HLOOKUP(D11-1,$A$11:C26,12,FALSE))</f>
        <v/>
      </c>
      <c r="E23" s="1149" t="str">
        <f>IF(ISERROR((E22-HLOOKUP(E11-1,$A$11:D26,12,FALSE))/HLOOKUP(E11-1,$A$11:D26,12,FALSE)), "", (E22-HLOOKUP(E11-1,$A$11:D26,12,FALSE))/HLOOKUP(E11-1,$A$11:D26,12,FALSE))</f>
        <v/>
      </c>
      <c r="F23" s="1149">
        <f>IF(ISERROR((F22-HLOOKUP(F11-1,$A$11:E26,12,FALSE))/HLOOKUP(F11-1,$A$11:E26,12,FALSE)), "", (F22-HLOOKUP(F11-1,$A$11:E26,12,FALSE))/HLOOKUP(F11-1,$A$11:E26,12,FALSE))</f>
        <v>2.3634958339471369E-2</v>
      </c>
      <c r="G23" s="1149">
        <f>IF(ISERROR((G22-HLOOKUP(G11-1,$A$11:F26,12,FALSE))/HLOOKUP(G11-1,$A$11:F26,12,FALSE)), "", (G22-HLOOKUP(G11-1,$A$11:F26,12,FALSE))/HLOOKUP(G11-1,$A$11:F26,12,FALSE))</f>
        <v>-3.4339478539054821E-2</v>
      </c>
      <c r="H23" s="1149">
        <f>IF(ISERROR((H22-HLOOKUP(H11-1,$A$11:G26,12,FALSE))/HLOOKUP(H11-1,$A$11:G26,12,FALSE)), "", (H22-HLOOKUP(H11-1,$A$11:G26,12,FALSE))/HLOOKUP(H11-1,$A$11:G26,12,FALSE))</f>
        <v>0.11801834389147732</v>
      </c>
      <c r="I23" s="1149">
        <f>IF(ISERROR((I22-HLOOKUP(I11-1,$A$11:H26,12,FALSE))/HLOOKUP(I11-1,$A$11:H26,12,FALSE)), "", (I22-HLOOKUP(I11-1,$A$11:H26,12,FALSE))/HLOOKUP(I11-1,$A$11:H26,12,FALSE))</f>
        <v>-8.3844479689825946E-2</v>
      </c>
      <c r="J23" s="1149">
        <f>IF(ISERROR((J22-HLOOKUP(J11-1,$A$11:I26,12,FALSE))/HLOOKUP(J11-1,$A$11:I26,12,FALSE)), "", (J22-HLOOKUP(J11-1,$A$11:I26,12,FALSE))/HLOOKUP(J11-1,$A$11:I26,12,FALSE))</f>
        <v>5.4773928271909918E-2</v>
      </c>
      <c r="K23" s="1149">
        <f>IF(ISERROR((K22-HLOOKUP(K11-1,$A$11:J26,12,FALSE))/HLOOKUP(K11-1,$A$11:J26,12,FALSE)), "", (K22-HLOOKUP(K11-1,$A$11:J26,12,FALSE))/HLOOKUP(K11-1,$A$11:J26,12,FALSE))</f>
        <v>-6.8090258600606143E-4</v>
      </c>
      <c r="L23" s="1150">
        <f>IF(ISERROR((L22-K22)/K22), "", (L22-K22)/K22)</f>
        <v>-6.333636197029517E-3</v>
      </c>
      <c r="M23" s="1151"/>
      <c r="N23" s="1151"/>
      <c r="O23" s="1141" t="s">
        <v>357</v>
      </c>
      <c r="P23" s="1167"/>
      <c r="Q23" s="1167"/>
      <c r="R23" s="1168"/>
      <c r="S23" s="1169"/>
      <c r="T23" s="1169"/>
      <c r="U23" s="1169"/>
      <c r="V23" s="1169"/>
      <c r="W23" s="1169"/>
      <c r="X23" s="1169"/>
      <c r="Y23" s="1169"/>
      <c r="Z23" s="1169"/>
      <c r="AA23" s="1169"/>
      <c r="AB23" s="1170">
        <f>IF(ISERROR((AB20-Y20)/Y20), "", (AB20-Y20)/Y20)</f>
        <v>-7.0102261937701991E-3</v>
      </c>
      <c r="AC23" s="1400"/>
    </row>
    <row r="24" spans="1:43" ht="24" x14ac:dyDescent="0.2">
      <c r="A24" s="1143" t="s">
        <v>350</v>
      </c>
      <c r="B24" s="1152"/>
      <c r="C24" s="1153"/>
      <c r="D24" s="1153"/>
      <c r="E24" s="1153"/>
      <c r="F24" s="1153"/>
      <c r="G24" s="1153"/>
      <c r="H24" s="1153"/>
      <c r="I24" s="1153"/>
      <c r="J24" s="1153"/>
      <c r="K24" s="1154"/>
      <c r="L24" s="1150">
        <f>IF(ISERROR((L22-C22)/C22), "", (L22-C22)/C22)</f>
        <v>6.0454111879821776E-2</v>
      </c>
      <c r="M24" s="1151"/>
      <c r="N24" s="1151"/>
      <c r="O24" s="1141" t="s">
        <v>147</v>
      </c>
      <c r="P24" s="1168"/>
      <c r="Q24" s="1168"/>
      <c r="R24" s="1168"/>
      <c r="S24" s="1169"/>
      <c r="T24" s="1169"/>
      <c r="U24" s="1169"/>
      <c r="V24" s="1169"/>
      <c r="W24" s="1169"/>
      <c r="X24" s="1169"/>
      <c r="Y24" s="1169"/>
      <c r="Z24" s="1169"/>
      <c r="AA24" s="1169"/>
      <c r="AB24" s="1170">
        <f>IF(ISERROR(AVERAGEIF(S22:AB22,"&lt;&gt;0")),0,AVERAGEIF(S22:AB22,"&lt;&gt;0"))</f>
        <v>7.9322958585784833E-3</v>
      </c>
      <c r="AC24" s="1400"/>
    </row>
    <row r="25" spans="1:43" ht="24" x14ac:dyDescent="0.2">
      <c r="A25" s="1144" t="s">
        <v>259</v>
      </c>
      <c r="B25" s="1145">
        <f>SUM(B22,B16)</f>
        <v>13937539</v>
      </c>
      <c r="C25" s="1145">
        <f t="shared" ref="C25:I25" si="14">SUM(C22,C16)</f>
        <v>14244665.939999985</v>
      </c>
      <c r="D25" s="1145">
        <f t="shared" si="14"/>
        <v>0</v>
      </c>
      <c r="E25" s="1145">
        <f t="shared" si="14"/>
        <v>0</v>
      </c>
      <c r="F25" s="1145">
        <f t="shared" si="14"/>
        <v>13729965.08000006</v>
      </c>
      <c r="G25" s="1145">
        <f>SUM(G22,G16)</f>
        <v>14313934.820000004</v>
      </c>
      <c r="H25" s="1145">
        <f>SUM(H22,H16)</f>
        <v>15162844.840000011</v>
      </c>
      <c r="I25" s="1145">
        <f t="shared" si="14"/>
        <v>14647472.389999967</v>
      </c>
      <c r="J25" s="1145">
        <f>SUM(J22,J16)</f>
        <v>14941780.709999977</v>
      </c>
      <c r="K25" s="1145">
        <f>SUM(K22,K16)</f>
        <v>15359615</v>
      </c>
      <c r="L25" s="1146">
        <f>SUM(L22,L16)</f>
        <v>16237777</v>
      </c>
      <c r="M25" s="1147"/>
      <c r="N25" s="1147"/>
      <c r="O25" s="1141" t="s">
        <v>373</v>
      </c>
      <c r="P25" s="1168"/>
      <c r="Q25" s="1168"/>
      <c r="R25" s="1168"/>
      <c r="S25" s="1169"/>
      <c r="T25" s="1169"/>
      <c r="U25" s="1169"/>
      <c r="V25" s="1169"/>
      <c r="W25" s="1169"/>
      <c r="X25" s="1169"/>
      <c r="Y25" s="1169"/>
      <c r="Z25" s="1169"/>
      <c r="AA25" s="1169"/>
      <c r="AB25" s="1169"/>
      <c r="AC25" s="1171">
        <f>IF((AB20-Q20)=0, "", (AB20/Q20)^(1/(TestYear-RebaseYear))-1)</f>
        <v>8.4205729378399319E-3</v>
      </c>
    </row>
    <row r="26" spans="1:43" ht="25.9" customHeight="1" thickBot="1" x14ac:dyDescent="0.25">
      <c r="A26" s="1172" t="s">
        <v>349</v>
      </c>
      <c r="B26" s="1396"/>
      <c r="C26" s="1397">
        <f>IF(ISERROR((C25-B25)/B25), "", (C25-B25)/B25)</f>
        <v>2.2035951971146741E-2</v>
      </c>
      <c r="D26" s="1398" t="str">
        <f>IF(ISERROR((D25-HLOOKUP(D11-1,$A$11:C26,15,FALSE))/HLOOKUP(D11-1,$A$11:C26,15,FALSE)), "", (D25-HLOOKUP(D11-1,$A$11:C26,15,FALSE))/HLOOKUP(D11-1,$A$11:C26,15,FALSE))</f>
        <v/>
      </c>
      <c r="E26" s="1398" t="str">
        <f>IF(ISERROR((E25-HLOOKUP(E11-1,$A$11:D26,15,FALSE))/HLOOKUP(E11-1,$A$11:D26,15,FALSE)), "", (E25-HLOOKUP(E11-1,$A$11:D26,15,FALSE))/HLOOKUP(E11-1,$A$11:D26,15,FALSE))</f>
        <v/>
      </c>
      <c r="F26" s="1398">
        <f>IF(ISERROR((F25-HLOOKUP(F11-1,$A$11:E26,15,FALSE))/HLOOKUP(F11-1,$A$11:E26,15,FALSE)), "", (F25-HLOOKUP(F11-1,$A$11:E26,15,FALSE))/HLOOKUP(F11-1,$A$11:E26,15,FALSE))</f>
        <v>-3.613288385757156E-2</v>
      </c>
      <c r="G26" s="1398">
        <f>IF(ISERROR((G25-HLOOKUP(G11-1,$A$11:F26,15,FALSE))/HLOOKUP(G11-1,$A$11:F26,15,FALSE)), "", (G25-HLOOKUP(G11-1,$A$11:F26,15,FALSE))/HLOOKUP(G11-1,$A$11:F26,15,FALSE))</f>
        <v>4.2532500017104326E-2</v>
      </c>
      <c r="H26" s="1398">
        <f>IF(ISERROR((H25-HLOOKUP(H11-1,$A$11:G26,15,FALSE))/HLOOKUP(H11-1,$A$11:G26,15,FALSE)), "", (H25-HLOOKUP(H11-1,$A$11:G26,15,FALSE))/HLOOKUP(H11-1,$A$11:G26,15,FALSE))</f>
        <v>5.9306545032877744E-2</v>
      </c>
      <c r="I26" s="1398">
        <f>IF(ISERROR((I25-HLOOKUP(I11-1,$A$11:H26,15,FALSE))/HLOOKUP(I11-1,$A$11:H26,15,FALSE)), "", (I25-HLOOKUP(I11-1,$A$11:H26,15,FALSE))/HLOOKUP(I11-1,$A$11:H26,15,FALSE))</f>
        <v>-3.3989165980283391E-2</v>
      </c>
      <c r="J26" s="1398">
        <f>IF(ISERROR((J25-HLOOKUP(J11-1,$A$11:I26,15,FALSE))/HLOOKUP(J11-1,$A$11:I26,15,FALSE)), "", (J25-HLOOKUP(J11-1,$A$11:I26,15,FALSE))/HLOOKUP(J11-1,$A$11:I26,15,FALSE))</f>
        <v>2.0092771787775344E-2</v>
      </c>
      <c r="K26" s="1398">
        <f>IF(ISERROR((K25-HLOOKUP(K11-1,$A$11:J26,15,FALSE))/HLOOKUP(K11-1,$A$11:J26,15,FALSE)), "", (K25-HLOOKUP(K11-1,$A$11:J26,15,FALSE))/HLOOKUP(K11-1,$A$11:J26,15,FALSE))</f>
        <v>2.796415622137878E-2</v>
      </c>
      <c r="L26" s="1173">
        <f>IF(ISERROR((L25-K25)/K25), "", (L25-K25)/K25)</f>
        <v>5.717343826651905E-2</v>
      </c>
      <c r="M26" s="1151"/>
      <c r="N26" s="1151"/>
      <c r="O26" s="1174" t="str">
        <f>"Compound Growth Rate                                                            (" &amp; TestYear - 2 &amp; " vs. " &amp; 'LDC Info'!E28 &amp; " Actuals)"</f>
        <v>Compound Growth Rate                                                            (2018 vs. 2013 Actuals)</v>
      </c>
      <c r="P26" s="1175"/>
      <c r="Q26" s="1175"/>
      <c r="R26" s="1175"/>
      <c r="S26" s="1176"/>
      <c r="T26" s="1176"/>
      <c r="U26" s="1176"/>
      <c r="V26" s="1176"/>
      <c r="W26" s="1176"/>
      <c r="X26" s="1176"/>
      <c r="Y26" s="1176"/>
      <c r="Z26" s="1176"/>
      <c r="AA26" s="1176"/>
      <c r="AB26" s="1171">
        <f>IF((Y20-Q20)=0, "", (Y20/Q20)^(1/(TestYear-2-RebaseYear))-1)</f>
        <v>1.3233221622298341E-2</v>
      </c>
      <c r="AC26" s="1401"/>
    </row>
    <row r="27" spans="1:43" x14ac:dyDescent="0.2">
      <c r="A27" s="1177"/>
      <c r="B27" s="1178"/>
      <c r="C27" s="1178"/>
      <c r="D27" s="1178"/>
      <c r="E27" s="1178"/>
      <c r="F27" s="1178"/>
      <c r="G27" s="1178"/>
      <c r="H27" s="1178"/>
      <c r="I27" s="1178"/>
      <c r="J27" s="1179"/>
      <c r="K27" s="1179"/>
      <c r="L27" s="1178"/>
      <c r="M27" s="1180"/>
      <c r="N27" s="1180"/>
      <c r="O27" s="1181"/>
      <c r="P27" s="1181"/>
      <c r="Q27" s="1181"/>
      <c r="R27" s="1181"/>
      <c r="S27" s="1181"/>
      <c r="T27" s="1181"/>
      <c r="U27" s="1181"/>
      <c r="V27" s="1181"/>
      <c r="W27" s="1181"/>
      <c r="X27" s="1181"/>
      <c r="Y27" s="1181"/>
      <c r="Z27" s="1181"/>
      <c r="AA27" s="1181"/>
      <c r="AB27" s="1181"/>
      <c r="AC27" s="1181"/>
    </row>
    <row r="28" spans="1:43" ht="13.5" thickBot="1" x14ac:dyDescent="0.25">
      <c r="A28" s="1177"/>
      <c r="B28" s="1177"/>
      <c r="C28" s="1177"/>
      <c r="D28" s="1177"/>
      <c r="E28" s="1177"/>
      <c r="F28" s="1177"/>
      <c r="G28" s="1177"/>
      <c r="H28" s="1177"/>
      <c r="I28" s="1177"/>
      <c r="J28" s="1177"/>
      <c r="K28" s="1177"/>
      <c r="L28" s="1177"/>
      <c r="M28" s="1181"/>
      <c r="N28" s="1181"/>
      <c r="O28" s="1181"/>
      <c r="P28" s="1181"/>
      <c r="Q28" s="1181"/>
      <c r="R28" s="1181"/>
      <c r="S28" s="1181"/>
      <c r="T28" s="1181"/>
      <c r="U28" s="1181"/>
      <c r="V28" s="1181"/>
      <c r="W28" s="1181"/>
      <c r="X28" s="1181"/>
      <c r="Y28" s="1181"/>
      <c r="Z28" s="1181"/>
      <c r="AA28" s="1181"/>
      <c r="AB28" s="1181"/>
      <c r="AC28" s="1181"/>
      <c r="AD28" s="1181"/>
      <c r="AE28" s="1181"/>
      <c r="AF28" s="1181"/>
      <c r="AG28" s="1181"/>
      <c r="AH28" s="1181"/>
      <c r="AI28" s="1181"/>
      <c r="AJ28" s="1181"/>
      <c r="AK28" s="1181"/>
      <c r="AL28" s="1181"/>
      <c r="AM28" s="1181"/>
      <c r="AN28" s="1181"/>
      <c r="AO28" s="1181"/>
      <c r="AP28" s="1181"/>
      <c r="AQ28" s="1181"/>
    </row>
    <row r="29" spans="1:43" ht="36.75" thickBot="1" x14ac:dyDescent="0.25">
      <c r="M29" s="1181"/>
      <c r="N29" s="1181"/>
      <c r="O29" s="1182"/>
      <c r="P29" s="1183" t="str">
        <f>B12</f>
        <v>2013 Last Rebasing Year OEB Approved</v>
      </c>
      <c r="Q29" s="1183" t="str">
        <f>C12</f>
        <v>2013 Last Rebasing Year Actuals</v>
      </c>
      <c r="R29" s="1402"/>
      <c r="S29" s="1131" t="s">
        <v>1094</v>
      </c>
      <c r="T29" s="1131" t="s">
        <v>1095</v>
      </c>
      <c r="U29" s="1131" t="s">
        <v>1096</v>
      </c>
      <c r="V29" s="1131" t="s">
        <v>1097</v>
      </c>
      <c r="W29" s="1131" t="str">
        <f>BridgeYear -2 &amp; " Actuals"</f>
        <v>2017 Actuals</v>
      </c>
      <c r="X29" s="1131" t="str">
        <f>BridgeYear -1 &amp; " Actuals"</f>
        <v>2018 Actuals</v>
      </c>
      <c r="Y29" s="1131" t="str">
        <f>BridgeYear &amp; " Bridge Year"</f>
        <v>2019 Bridge Year</v>
      </c>
      <c r="Z29" s="1132" t="str">
        <f>TestYear &amp; " Test Year"</f>
        <v>2020 Test Year</v>
      </c>
      <c r="AC29" s="1181"/>
    </row>
    <row r="30" spans="1:43" x14ac:dyDescent="0.2">
      <c r="M30" s="1181"/>
      <c r="N30" s="1181"/>
      <c r="O30" s="1143" t="s">
        <v>98</v>
      </c>
      <c r="P30" s="1184">
        <f>B14</f>
        <v>5993671</v>
      </c>
      <c r="Q30" s="1184">
        <f>C14</f>
        <v>4735948.3400000101</v>
      </c>
      <c r="R30" s="1237"/>
      <c r="S30" s="1184">
        <f t="shared" ref="S30:Z31" si="15">E14</f>
        <v>0</v>
      </c>
      <c r="T30" s="1184">
        <f t="shared" si="15"/>
        <v>4884928.0700000413</v>
      </c>
      <c r="U30" s="1184">
        <f t="shared" si="15"/>
        <v>5487597.1400000043</v>
      </c>
      <c r="V30" s="1184">
        <f t="shared" si="15"/>
        <v>5377304.0399999991</v>
      </c>
      <c r="W30" s="1184">
        <f t="shared" si="15"/>
        <v>5851329.9899999592</v>
      </c>
      <c r="X30" s="1184">
        <f t="shared" si="15"/>
        <v>5738060.1699999785</v>
      </c>
      <c r="Y30" s="1184">
        <f t="shared" si="15"/>
        <v>6138110.25</v>
      </c>
      <c r="Z30" s="1403">
        <f t="shared" si="15"/>
        <v>6893900</v>
      </c>
      <c r="AC30" s="1181"/>
    </row>
    <row r="31" spans="1:43" x14ac:dyDescent="0.2">
      <c r="M31" s="1181"/>
      <c r="N31" s="1181"/>
      <c r="O31" s="1143" t="s">
        <v>99</v>
      </c>
      <c r="P31" s="1184">
        <f>B15</f>
        <v>1994623</v>
      </c>
      <c r="Q31" s="1184">
        <f>C15</f>
        <v>2614037.3699999885</v>
      </c>
      <c r="R31" s="1237"/>
      <c r="S31" s="1184">
        <f t="shared" si="15"/>
        <v>0</v>
      </c>
      <c r="T31" s="1184">
        <f t="shared" si="15"/>
        <v>1787401.3000000059</v>
      </c>
      <c r="U31" s="1184">
        <f t="shared" si="15"/>
        <v>2011057.5</v>
      </c>
      <c r="V31" s="1184">
        <f t="shared" si="15"/>
        <v>2165932.5400000038</v>
      </c>
      <c r="W31" s="1184">
        <f t="shared" si="15"/>
        <v>1815396.2299999991</v>
      </c>
      <c r="X31" s="1184">
        <f t="shared" si="15"/>
        <v>1840611.4799999993</v>
      </c>
      <c r="Y31" s="1184">
        <f t="shared" si="15"/>
        <v>1863409.25</v>
      </c>
      <c r="Z31" s="1403">
        <f t="shared" si="15"/>
        <v>2032385</v>
      </c>
      <c r="AC31" s="1181"/>
    </row>
    <row r="32" spans="1:43" x14ac:dyDescent="0.2">
      <c r="M32" s="1181"/>
      <c r="N32" s="1181"/>
      <c r="O32" s="1143" t="s">
        <v>87</v>
      </c>
      <c r="P32" s="1184">
        <f t="shared" ref="P32:Q34" si="16">B19</f>
        <v>2114055</v>
      </c>
      <c r="Q32" s="1184">
        <f t="shared" si="16"/>
        <v>1866995.2000000014</v>
      </c>
      <c r="R32" s="1237"/>
      <c r="S32" s="1184">
        <f t="shared" ref="S32:Z34" si="17">E19</f>
        <v>0</v>
      </c>
      <c r="T32" s="1184">
        <f t="shared" si="17"/>
        <v>2075374.2400000005</v>
      </c>
      <c r="U32" s="1184">
        <f t="shared" si="17"/>
        <v>1839665.2799999968</v>
      </c>
      <c r="V32" s="1184">
        <f t="shared" si="17"/>
        <v>2305885.4600000023</v>
      </c>
      <c r="W32" s="1184">
        <f t="shared" si="17"/>
        <v>2043286.8300000075</v>
      </c>
      <c r="X32" s="1184">
        <f t="shared" si="17"/>
        <v>2431549.8399999994</v>
      </c>
      <c r="Y32" s="1184">
        <f t="shared" si="17"/>
        <v>2491373.25</v>
      </c>
      <c r="Z32" s="1403">
        <f t="shared" si="17"/>
        <v>2533693</v>
      </c>
      <c r="AC32" s="1181"/>
    </row>
    <row r="33" spans="1:43" x14ac:dyDescent="0.2">
      <c r="M33" s="1181"/>
      <c r="N33" s="1181"/>
      <c r="O33" s="1143" t="s">
        <v>100</v>
      </c>
      <c r="P33" s="1184">
        <f t="shared" si="16"/>
        <v>0</v>
      </c>
      <c r="Q33" s="1184">
        <f t="shared" si="16"/>
        <v>524978.45999999461</v>
      </c>
      <c r="R33" s="1237"/>
      <c r="S33" s="1184">
        <f t="shared" si="17"/>
        <v>0</v>
      </c>
      <c r="T33" s="1184">
        <f t="shared" si="17"/>
        <v>39447.999999999818</v>
      </c>
      <c r="U33" s="1184">
        <f t="shared" si="17"/>
        <v>65137.139999997853</v>
      </c>
      <c r="V33" s="1184">
        <f t="shared" si="17"/>
        <v>-1.0000000266956022E-2</v>
      </c>
      <c r="W33" s="1184">
        <f t="shared" si="17"/>
        <v>2217.4099999980326</v>
      </c>
      <c r="X33" s="1184">
        <f t="shared" si="17"/>
        <v>9126.1699999985321</v>
      </c>
      <c r="Y33" s="1184">
        <f t="shared" si="17"/>
        <v>-10484</v>
      </c>
      <c r="Z33" s="1403">
        <f t="shared" si="17"/>
        <v>0</v>
      </c>
      <c r="AC33" s="1181"/>
    </row>
    <row r="34" spans="1:43" x14ac:dyDescent="0.2">
      <c r="M34" s="1181"/>
      <c r="N34" s="1181"/>
      <c r="O34" s="1143" t="s">
        <v>146</v>
      </c>
      <c r="P34" s="1184">
        <f t="shared" si="16"/>
        <v>3835190</v>
      </c>
      <c r="Q34" s="1184">
        <f t="shared" si="16"/>
        <v>4502706.5699999901</v>
      </c>
      <c r="R34" s="1237"/>
      <c r="S34" s="1184">
        <f t="shared" si="17"/>
        <v>0</v>
      </c>
      <c r="T34" s="1184">
        <f t="shared" si="17"/>
        <v>4942813.4700000118</v>
      </c>
      <c r="U34" s="1184">
        <f t="shared" si="17"/>
        <v>4910477.7600000054</v>
      </c>
      <c r="V34" s="1184">
        <f t="shared" si="17"/>
        <v>5313722.810000007</v>
      </c>
      <c r="W34" s="1184">
        <f t="shared" si="17"/>
        <v>4935241.9300000025</v>
      </c>
      <c r="X34" s="1184">
        <f t="shared" si="17"/>
        <v>4922433.0500000007</v>
      </c>
      <c r="Y34" s="1184">
        <f t="shared" si="17"/>
        <v>4877206.25</v>
      </c>
      <c r="Z34" s="1403">
        <f t="shared" si="17"/>
        <v>4777799</v>
      </c>
      <c r="AC34" s="1181"/>
    </row>
    <row r="35" spans="1:43" x14ac:dyDescent="0.2">
      <c r="M35" s="1181"/>
      <c r="N35" s="1181"/>
      <c r="O35" s="1144" t="s">
        <v>259</v>
      </c>
      <c r="P35" s="1145">
        <f>SUM(P30:P34)</f>
        <v>13937539</v>
      </c>
      <c r="Q35" s="1145">
        <f>SUM(Q30:Q34)</f>
        <v>14244665.939999986</v>
      </c>
      <c r="R35" s="1237"/>
      <c r="S35" s="1145">
        <f t="shared" ref="S35:Z35" si="18">SUM(S30:S34)</f>
        <v>0</v>
      </c>
      <c r="T35" s="1145">
        <f t="shared" si="18"/>
        <v>13729965.08000006</v>
      </c>
      <c r="U35" s="1145">
        <f t="shared" si="18"/>
        <v>14313934.820000006</v>
      </c>
      <c r="V35" s="1145">
        <f t="shared" si="18"/>
        <v>15162844.840000011</v>
      </c>
      <c r="W35" s="1145">
        <f t="shared" si="18"/>
        <v>14647472.389999967</v>
      </c>
      <c r="X35" s="1145">
        <f t="shared" si="18"/>
        <v>14941780.709999977</v>
      </c>
      <c r="Y35" s="1145">
        <f t="shared" si="18"/>
        <v>15359615</v>
      </c>
      <c r="Z35" s="1146">
        <f t="shared" si="18"/>
        <v>16237777</v>
      </c>
      <c r="AC35" s="1181"/>
    </row>
    <row r="36" spans="1:43" ht="13.5" thickBot="1" x14ac:dyDescent="0.25">
      <c r="M36" s="1181"/>
      <c r="N36" s="1181"/>
      <c r="O36" s="1172" t="s">
        <v>349</v>
      </c>
      <c r="P36" s="1396"/>
      <c r="Q36" s="1397">
        <f>IF(ISERROR((Q35-P35)/P35), "", (Q35-P35)/P35)</f>
        <v>2.2035951971146876E-2</v>
      </c>
      <c r="R36" s="1404"/>
      <c r="S36" s="1397">
        <f>IF(S11&lt;=RebaseYear, 0, IF(ISERROR((S35-Q35)/Q35), "", (S35-Q35)/Q35))</f>
        <v>0</v>
      </c>
      <c r="T36" s="1397">
        <f t="shared" ref="T36:Z36" si="19">IF(T11&lt;=RebaseYear,0,IF(T11=RebaseYear+1,IF(ISERROR((T35-$Q$35)/$Q$35),"",(T35-$Q$35)/$Q$35),IF(ISERROR((T35-S35)/S35),"",(T35-S35)/S35)))</f>
        <v>0</v>
      </c>
      <c r="U36" s="1397">
        <f t="shared" si="19"/>
        <v>4.8627942762425715E-3</v>
      </c>
      <c r="V36" s="1397">
        <f t="shared" si="19"/>
        <v>5.9306545032877606E-2</v>
      </c>
      <c r="W36" s="1397">
        <f t="shared" si="19"/>
        <v>-3.3989165980283391E-2</v>
      </c>
      <c r="X36" s="1397">
        <f t="shared" si="19"/>
        <v>2.0092771787775344E-2</v>
      </c>
      <c r="Y36" s="1397">
        <f t="shared" si="19"/>
        <v>2.796415622137878E-2</v>
      </c>
      <c r="Z36" s="1480">
        <f t="shared" si="19"/>
        <v>5.717343826651905E-2</v>
      </c>
      <c r="AA36" s="1481"/>
      <c r="AC36" s="1181"/>
    </row>
    <row r="37" spans="1:43" x14ac:dyDescent="0.2">
      <c r="A37" s="1181"/>
      <c r="B37" s="1181"/>
      <c r="C37" s="1181"/>
      <c r="D37" s="1181"/>
      <c r="E37" s="1181"/>
      <c r="F37" s="1181"/>
      <c r="G37" s="1181"/>
      <c r="H37" s="1181"/>
      <c r="I37" s="1181"/>
      <c r="J37" s="1181"/>
      <c r="K37" s="1181"/>
      <c r="L37" s="1181"/>
      <c r="M37" s="1181"/>
      <c r="N37" s="1181"/>
      <c r="O37" s="1181"/>
      <c r="P37" s="1181"/>
      <c r="Q37" s="1181"/>
      <c r="R37" s="1181"/>
      <c r="S37" s="1181"/>
      <c r="T37" s="1181"/>
      <c r="U37" s="1181"/>
      <c r="V37" s="1181"/>
      <c r="W37" s="1181"/>
      <c r="X37" s="1181"/>
      <c r="Y37" s="1181"/>
      <c r="Z37" s="1181"/>
      <c r="AA37" s="1181"/>
      <c r="AB37" s="1181"/>
      <c r="AC37" s="1181"/>
      <c r="AD37" s="1181"/>
      <c r="AE37" s="1181"/>
      <c r="AF37" s="1181"/>
      <c r="AG37" s="1181"/>
      <c r="AH37" s="1181"/>
      <c r="AI37" s="1181"/>
      <c r="AJ37" s="1181"/>
      <c r="AK37" s="1181"/>
      <c r="AL37" s="1181"/>
      <c r="AM37" s="1181"/>
      <c r="AN37" s="1181"/>
      <c r="AO37" s="1181"/>
      <c r="AP37" s="1181"/>
      <c r="AQ37" s="1181"/>
    </row>
    <row r="38" spans="1:43" x14ac:dyDescent="0.2">
      <c r="A38" s="1185" t="s">
        <v>101</v>
      </c>
      <c r="B38" s="1181"/>
      <c r="C38" s="1181"/>
      <c r="D38" s="1181"/>
      <c r="E38" s="1181"/>
      <c r="F38" s="1181"/>
      <c r="G38" s="1181"/>
      <c r="H38" s="1181"/>
      <c r="I38" s="1181"/>
      <c r="J38" s="1181"/>
      <c r="K38" s="1181"/>
      <c r="L38" s="1181"/>
      <c r="M38" s="1181"/>
      <c r="N38" s="1181"/>
      <c r="O38" s="1181"/>
      <c r="P38" s="1181"/>
      <c r="Q38" s="1181"/>
      <c r="R38" s="1181"/>
      <c r="S38" s="1181"/>
      <c r="T38" s="1181"/>
      <c r="U38" s="1181"/>
      <c r="V38" s="1181"/>
      <c r="W38" s="1181"/>
      <c r="X38" s="1181"/>
      <c r="Y38" s="1181"/>
      <c r="Z38" s="1181"/>
      <c r="AA38" s="1181"/>
      <c r="AB38" s="1181"/>
      <c r="AC38" s="1181"/>
      <c r="AD38" s="1181"/>
      <c r="AE38" s="1181"/>
      <c r="AF38" s="1181"/>
      <c r="AG38" s="1181"/>
      <c r="AH38" s="1181"/>
      <c r="AI38" s="1181"/>
      <c r="AJ38" s="1181"/>
      <c r="AK38" s="1181"/>
      <c r="AL38" s="1181"/>
      <c r="AM38" s="1181"/>
      <c r="AN38" s="1181"/>
      <c r="AO38" s="1181"/>
      <c r="AP38" s="1181"/>
      <c r="AQ38" s="1181"/>
    </row>
    <row r="39" spans="1:43" x14ac:dyDescent="0.2">
      <c r="A39" s="1185"/>
      <c r="B39" s="1181"/>
      <c r="C39" s="1181"/>
      <c r="D39" s="1181"/>
      <c r="E39" s="1181"/>
      <c r="F39" s="1181"/>
      <c r="G39" s="1181"/>
      <c r="H39" s="1181"/>
      <c r="I39" s="1181"/>
      <c r="J39" s="1181"/>
      <c r="K39" s="1181"/>
      <c r="L39" s="1181"/>
      <c r="M39" s="1181"/>
      <c r="N39" s="1181"/>
      <c r="O39" s="1181"/>
      <c r="P39" s="1181"/>
      <c r="Q39" s="1181"/>
      <c r="R39" s="1181"/>
      <c r="S39" s="1181"/>
      <c r="T39" s="1181"/>
      <c r="U39" s="1181"/>
      <c r="V39" s="1181"/>
      <c r="W39" s="1181"/>
      <c r="X39" s="1181"/>
      <c r="Y39" s="1181"/>
      <c r="Z39" s="1181"/>
      <c r="AA39" s="1181"/>
      <c r="AB39" s="1181"/>
      <c r="AC39" s="1181"/>
      <c r="AD39" s="1181"/>
      <c r="AE39" s="1181"/>
      <c r="AF39" s="1181"/>
      <c r="AG39" s="1181"/>
      <c r="AH39" s="1181"/>
      <c r="AI39" s="1181"/>
      <c r="AJ39" s="1181"/>
      <c r="AK39" s="1181"/>
      <c r="AL39" s="1181"/>
      <c r="AM39" s="1181"/>
      <c r="AN39" s="1181"/>
      <c r="AO39" s="1181"/>
      <c r="AP39" s="1181"/>
      <c r="AQ39" s="1181"/>
    </row>
    <row r="40" spans="1:43" s="1029" customFormat="1" ht="12.75" customHeight="1" x14ac:dyDescent="0.2">
      <c r="A40" s="2215" t="s">
        <v>1098</v>
      </c>
      <c r="B40" s="2215"/>
      <c r="C40" s="2215"/>
      <c r="D40" s="2215"/>
      <c r="E40" s="2215"/>
      <c r="F40" s="2215"/>
      <c r="G40" s="2215"/>
      <c r="H40" s="2215"/>
      <c r="I40" s="2215"/>
      <c r="J40" s="2215"/>
      <c r="K40" s="2215"/>
      <c r="L40" s="2215"/>
      <c r="M40" s="2215"/>
      <c r="N40" s="2215"/>
      <c r="O40" s="2215"/>
      <c r="P40" s="2215"/>
      <c r="Q40" s="2215"/>
      <c r="R40" s="2215"/>
      <c r="S40" s="2215"/>
      <c r="T40" s="2215"/>
      <c r="U40" s="2215"/>
      <c r="V40" s="2215"/>
      <c r="W40" s="2215"/>
      <c r="X40" s="2215"/>
      <c r="Y40" s="2215"/>
      <c r="Z40" s="2215"/>
      <c r="AA40" s="2215"/>
      <c r="AB40" s="2215"/>
      <c r="AC40" s="2215"/>
      <c r="AD40" s="2215"/>
      <c r="AE40" s="2215"/>
      <c r="AF40" s="2215"/>
      <c r="AG40" s="2215"/>
      <c r="AH40" s="2215"/>
      <c r="AI40" s="2215"/>
      <c r="AJ40" s="2215"/>
      <c r="AK40" s="2215"/>
      <c r="AL40" s="2215"/>
      <c r="AM40" s="2215"/>
      <c r="AN40" s="2215"/>
      <c r="AO40" s="2215"/>
      <c r="AP40" s="2215"/>
      <c r="AQ40" s="2215"/>
    </row>
    <row r="41" spans="1:43" x14ac:dyDescent="0.2">
      <c r="A41" s="2051" t="s">
        <v>1008</v>
      </c>
      <c r="B41" s="2051"/>
      <c r="C41" s="2051"/>
      <c r="D41" s="2051"/>
      <c r="E41" s="2051"/>
      <c r="F41" s="2051"/>
      <c r="G41" s="2051"/>
      <c r="H41" s="2051"/>
      <c r="I41" s="2051"/>
      <c r="J41" s="2051"/>
      <c r="K41" s="2051"/>
      <c r="L41" s="2051"/>
      <c r="M41" s="2051"/>
      <c r="N41" s="2051"/>
      <c r="O41" s="2051"/>
      <c r="P41" s="2051"/>
      <c r="Q41" s="2051"/>
      <c r="R41" s="2051"/>
      <c r="S41" s="2051"/>
      <c r="T41" s="2051"/>
      <c r="U41" s="2051"/>
      <c r="V41" s="2051"/>
      <c r="W41" s="2051"/>
      <c r="X41" s="2051"/>
      <c r="Y41" s="2051"/>
      <c r="Z41" s="2051"/>
      <c r="AA41" s="2051"/>
      <c r="AB41" s="2051"/>
      <c r="AC41" s="2051"/>
      <c r="AD41" s="2051"/>
      <c r="AE41" s="2051"/>
      <c r="AF41" s="2051"/>
      <c r="AG41" s="2051"/>
      <c r="AH41" s="2051"/>
      <c r="AI41" s="2051"/>
      <c r="AJ41" s="2051"/>
      <c r="AK41" s="2051"/>
      <c r="AL41" s="2051"/>
      <c r="AM41" s="2051"/>
      <c r="AN41" s="2051"/>
      <c r="AO41" s="2051"/>
      <c r="AP41" s="2051"/>
      <c r="AQ41" s="2051"/>
    </row>
    <row r="42" spans="1:43" x14ac:dyDescent="0.2">
      <c r="A42" s="1186"/>
      <c r="B42" s="1186"/>
      <c r="C42" s="1186"/>
      <c r="D42" s="1186"/>
      <c r="E42" s="1186"/>
      <c r="F42" s="1186"/>
      <c r="G42" s="1186"/>
      <c r="H42" s="1186"/>
      <c r="I42" s="1186"/>
      <c r="J42" s="1186"/>
      <c r="K42" s="1186"/>
      <c r="L42" s="1186"/>
      <c r="M42" s="1186"/>
      <c r="N42" s="1186"/>
      <c r="O42" s="1186"/>
      <c r="P42" s="1186"/>
      <c r="Q42" s="1186"/>
      <c r="R42" s="1186"/>
      <c r="S42" s="1186"/>
      <c r="T42" s="1186"/>
      <c r="U42" s="1186"/>
      <c r="V42" s="1186"/>
      <c r="W42" s="1186"/>
      <c r="X42" s="1186"/>
      <c r="Y42" s="1186"/>
      <c r="Z42" s="1186"/>
      <c r="AA42" s="1186"/>
      <c r="AB42" s="1186"/>
      <c r="AC42" s="1186"/>
      <c r="AD42" s="1186"/>
      <c r="AE42" s="1186"/>
      <c r="AF42" s="1186"/>
      <c r="AG42" s="1186"/>
      <c r="AH42" s="1186"/>
      <c r="AI42" s="1186"/>
      <c r="AJ42" s="1186"/>
      <c r="AK42" s="1186"/>
      <c r="AL42" s="1186"/>
      <c r="AM42" s="1186"/>
      <c r="AN42" s="1186"/>
      <c r="AO42" s="1186"/>
      <c r="AP42" s="1186"/>
      <c r="AQ42" s="1186"/>
    </row>
    <row r="43" spans="1:43" x14ac:dyDescent="0.2">
      <c r="A43" s="1187"/>
      <c r="B43" s="1186"/>
      <c r="C43" s="1186"/>
      <c r="D43" s="1186"/>
      <c r="E43" s="1186"/>
      <c r="F43" s="1186"/>
      <c r="G43" s="1186"/>
      <c r="H43" s="1186"/>
      <c r="I43" s="1186"/>
      <c r="J43" s="1186"/>
      <c r="K43" s="1186"/>
      <c r="L43" s="1181"/>
      <c r="M43" s="1181"/>
      <c r="N43" s="1181"/>
      <c r="O43" s="1181"/>
      <c r="P43" s="1181"/>
      <c r="Q43" s="1181"/>
      <c r="R43" s="1181"/>
      <c r="S43" s="1181"/>
      <c r="T43" s="1181"/>
      <c r="U43" s="1181"/>
      <c r="V43" s="1181"/>
      <c r="W43" s="1181"/>
      <c r="X43" s="1181"/>
      <c r="Y43" s="1181"/>
      <c r="Z43" s="1181"/>
      <c r="AA43" s="1181"/>
      <c r="AB43" s="1181"/>
      <c r="AC43" s="1181"/>
      <c r="AD43" s="1181"/>
      <c r="AE43" s="1181"/>
      <c r="AF43" s="1181"/>
      <c r="AG43" s="1181"/>
      <c r="AH43" s="1181"/>
      <c r="AI43" s="1181"/>
      <c r="AJ43" s="1181"/>
      <c r="AK43" s="1181"/>
      <c r="AL43" s="1181"/>
      <c r="AM43" s="1181"/>
      <c r="AN43" s="1181"/>
      <c r="AO43" s="1181"/>
      <c r="AP43" s="1181"/>
      <c r="AQ43" s="1181"/>
    </row>
    <row r="44" spans="1:43" x14ac:dyDescent="0.2">
      <c r="B44" s="1905"/>
      <c r="C44" s="1905"/>
      <c r="D44" s="1905"/>
      <c r="E44" s="1905"/>
      <c r="F44" s="1905"/>
      <c r="G44" s="1905"/>
      <c r="H44" s="1905"/>
      <c r="I44" s="1905"/>
      <c r="J44" s="1905"/>
      <c r="K44" s="1905"/>
      <c r="L44" s="1181"/>
      <c r="M44" s="1181"/>
      <c r="N44" s="1181"/>
      <c r="O44" s="1181"/>
      <c r="P44" s="1181"/>
      <c r="Q44" s="1181"/>
      <c r="R44" s="1181"/>
      <c r="S44" s="1181"/>
      <c r="T44" s="1181"/>
      <c r="U44" s="1181"/>
      <c r="V44" s="1181"/>
      <c r="W44" s="1181"/>
      <c r="X44" s="1181"/>
      <c r="Y44" s="1181"/>
      <c r="Z44" s="1181"/>
      <c r="AA44" s="1181"/>
      <c r="AB44" s="1181"/>
      <c r="AC44" s="1181"/>
      <c r="AD44" s="1181"/>
      <c r="AE44" s="1181"/>
      <c r="AF44" s="1181"/>
      <c r="AG44" s="1181"/>
      <c r="AH44" s="1181"/>
      <c r="AI44" s="1181"/>
      <c r="AJ44" s="1181"/>
      <c r="AK44" s="1181"/>
      <c r="AL44" s="1181"/>
      <c r="AM44" s="1181"/>
      <c r="AN44" s="1181"/>
      <c r="AO44" s="1181"/>
      <c r="AP44" s="1181"/>
      <c r="AQ44" s="1181"/>
    </row>
    <row r="45" spans="1:43" x14ac:dyDescent="0.2">
      <c r="A45" s="860"/>
      <c r="B45" s="1905"/>
      <c r="C45" s="1905"/>
      <c r="D45" s="1905"/>
      <c r="E45" s="1905"/>
      <c r="F45" s="1905"/>
      <c r="G45" s="1905"/>
      <c r="H45" s="1905"/>
      <c r="I45" s="1905"/>
      <c r="J45" s="1905"/>
      <c r="K45" s="1905"/>
      <c r="L45" s="1181"/>
      <c r="M45" s="1181"/>
      <c r="N45" s="1181"/>
      <c r="O45" s="1181"/>
      <c r="P45" s="1181"/>
      <c r="Q45" s="1181"/>
      <c r="R45" s="1181"/>
      <c r="S45" s="1181"/>
      <c r="T45" s="1181"/>
      <c r="U45" s="1181"/>
      <c r="V45" s="1181"/>
      <c r="W45" s="1181"/>
      <c r="X45" s="1181"/>
      <c r="Y45" s="1181"/>
      <c r="Z45" s="1181"/>
      <c r="AA45" s="1181"/>
      <c r="AB45" s="1181"/>
      <c r="AC45" s="1181"/>
      <c r="AD45" s="1181"/>
      <c r="AE45" s="1181"/>
      <c r="AF45" s="1181"/>
      <c r="AG45" s="1181"/>
      <c r="AH45" s="1181"/>
      <c r="AI45" s="1181"/>
      <c r="AJ45" s="1181"/>
      <c r="AK45" s="1181"/>
      <c r="AL45" s="1181"/>
      <c r="AM45" s="1181"/>
      <c r="AN45" s="1181"/>
      <c r="AO45" s="1181"/>
      <c r="AP45" s="1181"/>
      <c r="AQ45" s="1181"/>
    </row>
    <row r="46" spans="1:43" x14ac:dyDescent="0.2">
      <c r="A46" s="1181"/>
      <c r="B46" s="1181"/>
      <c r="C46" s="1181"/>
      <c r="D46" s="1181"/>
      <c r="E46" s="1181"/>
      <c r="F46" s="1181"/>
      <c r="G46" s="1181"/>
      <c r="H46" s="1181"/>
      <c r="I46" s="1181"/>
      <c r="J46" s="1181"/>
      <c r="K46" s="1181"/>
      <c r="L46" s="1181"/>
      <c r="M46" s="1181"/>
      <c r="N46" s="1181"/>
      <c r="O46" s="1181"/>
      <c r="P46" s="1181"/>
      <c r="Q46" s="1181"/>
      <c r="R46" s="1181"/>
      <c r="S46" s="1181"/>
      <c r="T46" s="1181"/>
      <c r="U46" s="1181"/>
      <c r="V46" s="1181"/>
      <c r="W46" s="1181"/>
      <c r="X46" s="1181"/>
      <c r="Y46" s="1181"/>
      <c r="Z46" s="1181"/>
      <c r="AA46" s="1181"/>
      <c r="AB46" s="1181"/>
      <c r="AC46" s="1181"/>
      <c r="AD46" s="1181"/>
      <c r="AE46" s="1181"/>
      <c r="AF46" s="1181"/>
      <c r="AG46" s="1181"/>
      <c r="AH46" s="1181"/>
      <c r="AI46" s="1181"/>
      <c r="AJ46" s="1181"/>
      <c r="AK46" s="1181"/>
      <c r="AL46" s="1181"/>
      <c r="AM46" s="1181"/>
      <c r="AN46" s="1181"/>
      <c r="AO46" s="1181"/>
      <c r="AP46" s="1181"/>
      <c r="AQ46" s="1181"/>
    </row>
    <row r="47" spans="1:43" x14ac:dyDescent="0.2">
      <c r="A47" s="1181"/>
      <c r="B47" s="1181"/>
      <c r="C47" s="1181"/>
      <c r="D47" s="1181"/>
      <c r="E47" s="1181"/>
      <c r="F47" s="1181"/>
      <c r="G47" s="1181"/>
      <c r="H47" s="1181"/>
      <c r="I47" s="1181"/>
      <c r="J47" s="1181"/>
      <c r="K47" s="1181"/>
      <c r="L47" s="1181"/>
      <c r="M47" s="1181"/>
      <c r="N47" s="1181"/>
      <c r="O47" s="1181"/>
      <c r="P47" s="1181"/>
      <c r="Q47" s="1181"/>
      <c r="R47" s="1181"/>
      <c r="S47" s="1181"/>
      <c r="T47" s="1181"/>
      <c r="U47" s="1181"/>
      <c r="V47" s="1181"/>
      <c r="W47" s="1181"/>
      <c r="X47" s="1181"/>
      <c r="Y47" s="1181"/>
      <c r="Z47" s="1181"/>
      <c r="AA47" s="1181"/>
      <c r="AB47" s="1181"/>
      <c r="AC47" s="1181"/>
      <c r="AD47" s="1181"/>
      <c r="AE47" s="1181"/>
      <c r="AF47" s="1181"/>
      <c r="AG47" s="1181"/>
      <c r="AH47" s="1181"/>
      <c r="AI47" s="1181"/>
      <c r="AJ47" s="1181"/>
      <c r="AK47" s="1181"/>
      <c r="AL47" s="1181"/>
      <c r="AM47" s="1181"/>
      <c r="AN47" s="1181"/>
      <c r="AO47" s="1181"/>
      <c r="AP47" s="1181"/>
      <c r="AQ47" s="1181"/>
    </row>
    <row r="48" spans="1:43" x14ac:dyDescent="0.2">
      <c r="A48" s="1181"/>
      <c r="B48" s="1181"/>
      <c r="C48" s="1181"/>
      <c r="D48" s="1181"/>
      <c r="E48" s="1181"/>
      <c r="F48" s="1181"/>
      <c r="G48" s="1181"/>
      <c r="H48" s="1181"/>
      <c r="I48" s="1181"/>
      <c r="J48" s="1181"/>
      <c r="K48" s="1181"/>
      <c r="L48" s="1181"/>
      <c r="M48" s="1181"/>
      <c r="N48" s="1181"/>
      <c r="O48" s="1181"/>
      <c r="P48" s="1181"/>
      <c r="Q48" s="1181"/>
      <c r="R48" s="1181"/>
      <c r="S48" s="1181"/>
      <c r="T48" s="1181"/>
      <c r="U48" s="1181"/>
      <c r="V48" s="1181"/>
      <c r="W48" s="1181"/>
      <c r="X48" s="1181"/>
      <c r="Y48" s="1181"/>
      <c r="Z48" s="1181"/>
      <c r="AA48" s="1181"/>
      <c r="AB48" s="1181"/>
      <c r="AC48" s="1181"/>
      <c r="AD48" s="1181"/>
      <c r="AE48" s="1181"/>
      <c r="AF48" s="1181"/>
      <c r="AG48" s="1181"/>
      <c r="AH48" s="1181"/>
      <c r="AI48" s="1181"/>
      <c r="AJ48" s="1181"/>
      <c r="AK48" s="1181"/>
      <c r="AL48" s="1181"/>
      <c r="AM48" s="1181"/>
      <c r="AN48" s="1181"/>
      <c r="AO48" s="1181"/>
      <c r="AP48" s="1181"/>
      <c r="AQ48" s="1181"/>
    </row>
    <row r="49" spans="1:43" x14ac:dyDescent="0.2">
      <c r="A49" s="1181"/>
      <c r="B49" s="1181"/>
      <c r="C49" s="1181"/>
      <c r="D49" s="1181"/>
      <c r="E49" s="1181"/>
      <c r="F49" s="1181"/>
      <c r="G49" s="1181"/>
      <c r="H49" s="1181"/>
      <c r="I49" s="1181"/>
      <c r="J49" s="1181"/>
      <c r="K49" s="1181"/>
      <c r="L49" s="1181"/>
      <c r="M49" s="1181"/>
      <c r="N49" s="1181"/>
      <c r="O49" s="1181"/>
      <c r="P49" s="1181"/>
      <c r="Q49" s="1181"/>
      <c r="R49" s="1181"/>
      <c r="S49" s="1181"/>
      <c r="T49" s="1181"/>
      <c r="U49" s="1181"/>
      <c r="V49" s="1181"/>
      <c r="W49" s="1181"/>
      <c r="X49" s="1181"/>
      <c r="Y49" s="1181"/>
      <c r="Z49" s="1181"/>
      <c r="AA49" s="1181"/>
      <c r="AB49" s="1181"/>
      <c r="AC49" s="1181"/>
      <c r="AD49" s="1181"/>
      <c r="AE49" s="1181"/>
      <c r="AF49" s="1181"/>
      <c r="AG49" s="1181"/>
      <c r="AH49" s="1181"/>
      <c r="AI49" s="1181"/>
      <c r="AJ49" s="1181"/>
      <c r="AK49" s="1181"/>
      <c r="AL49" s="1181"/>
      <c r="AM49" s="1181"/>
      <c r="AN49" s="1181"/>
      <c r="AO49" s="1181"/>
      <c r="AP49" s="1181"/>
      <c r="AQ49" s="1181"/>
    </row>
    <row r="50" spans="1:43" x14ac:dyDescent="0.2">
      <c r="A50" s="1181"/>
      <c r="B50" s="1181"/>
      <c r="C50" s="1181"/>
      <c r="D50" s="1181"/>
      <c r="E50" s="1181"/>
      <c r="F50" s="1181"/>
      <c r="G50" s="1181"/>
      <c r="H50" s="1181"/>
      <c r="I50" s="1181"/>
      <c r="J50" s="1181"/>
      <c r="K50" s="1181"/>
      <c r="L50" s="1181"/>
      <c r="M50" s="1181"/>
      <c r="N50" s="1181"/>
      <c r="O50" s="1181"/>
      <c r="P50" s="1181"/>
      <c r="Q50" s="1181"/>
      <c r="R50" s="1181"/>
      <c r="S50" s="1181"/>
      <c r="T50" s="1181"/>
      <c r="U50" s="1181"/>
      <c r="V50" s="1181"/>
      <c r="W50" s="1181"/>
      <c r="X50" s="1181"/>
      <c r="Y50" s="1181"/>
      <c r="Z50" s="1181"/>
      <c r="AA50" s="1181"/>
      <c r="AB50" s="1181"/>
      <c r="AC50" s="1181"/>
      <c r="AD50" s="1181"/>
      <c r="AE50" s="1181"/>
      <c r="AF50" s="1181"/>
      <c r="AG50" s="1181"/>
      <c r="AH50" s="1181"/>
      <c r="AI50" s="1181"/>
      <c r="AJ50" s="1181"/>
      <c r="AK50" s="1181"/>
      <c r="AL50" s="1181"/>
      <c r="AM50" s="1181"/>
      <c r="AN50" s="1181"/>
      <c r="AO50" s="1181"/>
      <c r="AP50" s="1181"/>
      <c r="AQ50" s="1181"/>
    </row>
    <row r="51" spans="1:43" x14ac:dyDescent="0.2">
      <c r="A51" s="1181"/>
      <c r="B51" s="1181"/>
      <c r="C51" s="1181"/>
      <c r="D51" s="1181"/>
      <c r="E51" s="1181"/>
      <c r="F51" s="1181"/>
      <c r="G51" s="1181"/>
      <c r="H51" s="1181"/>
      <c r="I51" s="1181"/>
      <c r="J51" s="1181"/>
      <c r="K51" s="1181"/>
      <c r="L51" s="1181"/>
      <c r="M51" s="1181"/>
      <c r="N51" s="1181"/>
      <c r="O51" s="1181"/>
      <c r="P51" s="1181"/>
      <c r="Q51" s="1181"/>
      <c r="R51" s="1181"/>
      <c r="S51" s="1181"/>
      <c r="T51" s="1181"/>
      <c r="U51" s="1181"/>
      <c r="V51" s="1181"/>
      <c r="W51" s="1181"/>
      <c r="X51" s="1181"/>
      <c r="Y51" s="1181"/>
      <c r="Z51" s="1181"/>
      <c r="AA51" s="1181"/>
      <c r="AB51" s="1181"/>
      <c r="AC51" s="1181"/>
      <c r="AD51" s="1181"/>
      <c r="AE51" s="1181"/>
      <c r="AF51" s="1181"/>
      <c r="AG51" s="1181"/>
      <c r="AH51" s="1181"/>
      <c r="AI51" s="1181"/>
      <c r="AJ51" s="1181"/>
      <c r="AK51" s="1181"/>
      <c r="AL51" s="1181"/>
      <c r="AM51" s="1181"/>
      <c r="AN51" s="1181"/>
      <c r="AO51" s="1181"/>
      <c r="AP51" s="1181"/>
      <c r="AQ51" s="1181"/>
    </row>
    <row r="52" spans="1:43" x14ac:dyDescent="0.2">
      <c r="A52" s="1181"/>
      <c r="B52" s="1181"/>
      <c r="C52" s="1181"/>
      <c r="D52" s="1181"/>
      <c r="E52" s="1181"/>
      <c r="F52" s="1181"/>
      <c r="G52" s="1181"/>
      <c r="H52" s="1181"/>
      <c r="I52" s="1181"/>
      <c r="J52" s="1181"/>
      <c r="K52" s="1181"/>
      <c r="L52" s="1181"/>
      <c r="M52" s="1181"/>
      <c r="N52" s="1181"/>
      <c r="O52" s="1181"/>
      <c r="P52" s="1181"/>
      <c r="Q52" s="1181"/>
      <c r="R52" s="1181"/>
      <c r="S52" s="1181"/>
      <c r="T52" s="1181"/>
      <c r="U52" s="1181"/>
      <c r="V52" s="1181"/>
      <c r="W52" s="1181"/>
      <c r="X52" s="1181"/>
      <c r="Y52" s="1181"/>
      <c r="Z52" s="1181"/>
      <c r="AA52" s="1181"/>
      <c r="AB52" s="1181"/>
      <c r="AC52" s="1181"/>
      <c r="AD52" s="1181"/>
      <c r="AE52" s="1181"/>
      <c r="AF52" s="1181"/>
      <c r="AG52" s="1181"/>
      <c r="AH52" s="1181"/>
      <c r="AI52" s="1181"/>
      <c r="AJ52" s="1181"/>
      <c r="AK52" s="1181"/>
      <c r="AL52" s="1181"/>
      <c r="AM52" s="1181"/>
      <c r="AN52" s="1181"/>
      <c r="AO52" s="1181"/>
      <c r="AP52" s="1181"/>
      <c r="AQ52" s="1181"/>
    </row>
    <row r="53" spans="1:43" x14ac:dyDescent="0.2">
      <c r="A53" s="1181"/>
      <c r="B53" s="1181"/>
      <c r="C53" s="1181"/>
      <c r="D53" s="1181"/>
      <c r="E53" s="1181"/>
      <c r="F53" s="1181"/>
      <c r="G53" s="1181"/>
      <c r="H53" s="1181"/>
      <c r="I53" s="1181"/>
      <c r="J53" s="1181"/>
      <c r="K53" s="1181"/>
      <c r="L53" s="1181"/>
      <c r="M53" s="1181"/>
      <c r="N53" s="1181"/>
      <c r="O53" s="1181"/>
      <c r="P53" s="1181"/>
      <c r="Q53" s="1181"/>
      <c r="R53" s="1181"/>
      <c r="S53" s="1181"/>
      <c r="T53" s="1181"/>
      <c r="U53" s="1181"/>
      <c r="V53" s="1181"/>
      <c r="W53" s="1181"/>
      <c r="X53" s="1181"/>
      <c r="Y53" s="1181"/>
      <c r="Z53" s="1181"/>
      <c r="AA53" s="1181"/>
      <c r="AB53" s="1181"/>
      <c r="AC53" s="1181"/>
      <c r="AD53" s="1181"/>
      <c r="AE53" s="1181"/>
      <c r="AF53" s="1181"/>
      <c r="AG53" s="1181"/>
      <c r="AH53" s="1181"/>
      <c r="AI53" s="1181"/>
      <c r="AJ53" s="1181"/>
      <c r="AK53" s="1181"/>
      <c r="AL53" s="1181"/>
      <c r="AM53" s="1181"/>
      <c r="AN53" s="1181"/>
      <c r="AO53" s="1181"/>
      <c r="AP53" s="1181"/>
      <c r="AQ53" s="1181"/>
    </row>
    <row r="54" spans="1:43" x14ac:dyDescent="0.2">
      <c r="A54" s="1181"/>
      <c r="B54" s="1181"/>
      <c r="C54" s="1181"/>
      <c r="D54" s="1181"/>
      <c r="E54" s="1181"/>
      <c r="F54" s="1181"/>
      <c r="G54" s="1181"/>
      <c r="H54" s="1181"/>
      <c r="I54" s="1181"/>
      <c r="J54" s="1181"/>
      <c r="K54" s="1181"/>
      <c r="L54" s="1181"/>
      <c r="M54" s="1181"/>
      <c r="N54" s="1181"/>
      <c r="O54" s="1181"/>
      <c r="P54" s="1181"/>
      <c r="Q54" s="1181"/>
      <c r="R54" s="1181"/>
      <c r="S54" s="1181"/>
      <c r="T54" s="1181"/>
      <c r="U54" s="1181"/>
      <c r="V54" s="1181"/>
      <c r="W54" s="1181"/>
      <c r="X54" s="1181"/>
      <c r="Y54" s="1181"/>
      <c r="Z54" s="1181"/>
      <c r="AA54" s="1181"/>
      <c r="AB54" s="1181"/>
      <c r="AC54" s="1181"/>
      <c r="AD54" s="1181"/>
      <c r="AE54" s="1181"/>
      <c r="AF54" s="1181"/>
      <c r="AG54" s="1181"/>
      <c r="AH54" s="1181"/>
      <c r="AI54" s="1181"/>
      <c r="AJ54" s="1181"/>
      <c r="AK54" s="1181"/>
      <c r="AL54" s="1181"/>
      <c r="AM54" s="1181"/>
      <c r="AN54" s="1181"/>
      <c r="AO54" s="1181"/>
      <c r="AP54" s="1181"/>
      <c r="AQ54" s="1181"/>
    </row>
    <row r="55" spans="1:43" x14ac:dyDescent="0.2">
      <c r="A55" s="1181"/>
      <c r="B55" s="1181"/>
      <c r="C55" s="1181"/>
      <c r="D55" s="1181"/>
      <c r="E55" s="1181"/>
      <c r="F55" s="1181"/>
      <c r="G55" s="1181"/>
      <c r="H55" s="1181"/>
      <c r="I55" s="1181"/>
      <c r="J55" s="1181"/>
      <c r="K55" s="1181"/>
      <c r="L55" s="1181"/>
      <c r="M55" s="1181"/>
      <c r="N55" s="1181"/>
      <c r="O55" s="1181"/>
      <c r="P55" s="1181"/>
      <c r="Q55" s="1181"/>
      <c r="R55" s="1181"/>
      <c r="S55" s="1181"/>
      <c r="T55" s="1181"/>
      <c r="U55" s="1181"/>
      <c r="V55" s="1181"/>
      <c r="W55" s="1181"/>
      <c r="X55" s="1181"/>
      <c r="Y55" s="1181"/>
      <c r="Z55" s="1181"/>
      <c r="AA55" s="1181"/>
      <c r="AB55" s="1181"/>
      <c r="AC55" s="1181"/>
      <c r="AD55" s="1181"/>
      <c r="AE55" s="1181"/>
      <c r="AF55" s="1181"/>
      <c r="AG55" s="1181"/>
      <c r="AH55" s="1181"/>
      <c r="AI55" s="1181"/>
      <c r="AJ55" s="1181"/>
      <c r="AK55" s="1181"/>
      <c r="AL55" s="1181"/>
      <c r="AM55" s="1181"/>
      <c r="AN55" s="1181"/>
      <c r="AO55" s="1181"/>
      <c r="AP55" s="1181"/>
      <c r="AQ55" s="1181"/>
    </row>
    <row r="56" spans="1:43" x14ac:dyDescent="0.2">
      <c r="A56" s="1181"/>
      <c r="B56" s="1181"/>
      <c r="C56" s="1181"/>
      <c r="D56" s="1181"/>
      <c r="E56" s="1181"/>
      <c r="F56" s="1181"/>
      <c r="G56" s="1181"/>
      <c r="H56" s="1181"/>
      <c r="I56" s="1181"/>
      <c r="J56" s="1181"/>
      <c r="K56" s="1181"/>
      <c r="L56" s="1181"/>
      <c r="M56" s="1181"/>
      <c r="N56" s="1181"/>
      <c r="O56" s="1181"/>
      <c r="P56" s="1181"/>
      <c r="Q56" s="1181"/>
      <c r="R56" s="1181"/>
      <c r="S56" s="1181"/>
      <c r="T56" s="1181"/>
      <c r="U56" s="1181"/>
      <c r="V56" s="1181"/>
      <c r="W56" s="1181"/>
      <c r="X56" s="1181"/>
      <c r="Y56" s="1181"/>
      <c r="Z56" s="1181"/>
      <c r="AA56" s="1181"/>
      <c r="AB56" s="1181"/>
      <c r="AC56" s="1181"/>
      <c r="AD56" s="1181"/>
      <c r="AE56" s="1181"/>
      <c r="AF56" s="1181"/>
      <c r="AG56" s="1181"/>
      <c r="AH56" s="1181"/>
      <c r="AI56" s="1181"/>
      <c r="AJ56" s="1181"/>
      <c r="AK56" s="1181"/>
      <c r="AL56" s="1181"/>
      <c r="AM56" s="1181"/>
      <c r="AN56" s="1181"/>
      <c r="AO56" s="1181"/>
      <c r="AP56" s="1181"/>
      <c r="AQ56" s="1181"/>
    </row>
    <row r="57" spans="1:43" x14ac:dyDescent="0.2">
      <c r="A57" s="1181"/>
      <c r="B57" s="1181"/>
      <c r="C57" s="1181"/>
      <c r="D57" s="1181"/>
      <c r="E57" s="1181"/>
      <c r="F57" s="1181"/>
      <c r="G57" s="1181"/>
      <c r="H57" s="1181"/>
      <c r="I57" s="1181"/>
      <c r="J57" s="1181"/>
      <c r="K57" s="1181"/>
      <c r="L57" s="1181"/>
      <c r="M57" s="1181"/>
      <c r="N57" s="1181"/>
      <c r="O57" s="1181"/>
      <c r="P57" s="1181"/>
      <c r="Q57" s="1181"/>
      <c r="R57" s="1181"/>
      <c r="S57" s="1181"/>
      <c r="T57" s="1181"/>
      <c r="U57" s="1181"/>
      <c r="V57" s="1181"/>
      <c r="W57" s="1181"/>
      <c r="X57" s="1181"/>
      <c r="Y57" s="1181"/>
      <c r="Z57" s="1181"/>
      <c r="AA57" s="1181"/>
      <c r="AB57" s="1181"/>
      <c r="AC57" s="1181"/>
      <c r="AD57" s="1181"/>
      <c r="AE57" s="1181"/>
      <c r="AF57" s="1181"/>
      <c r="AG57" s="1181"/>
      <c r="AH57" s="1181"/>
      <c r="AI57" s="1181"/>
      <c r="AJ57" s="1181"/>
      <c r="AK57" s="1181"/>
      <c r="AL57" s="1181"/>
      <c r="AM57" s="1181"/>
      <c r="AN57" s="1181"/>
      <c r="AO57" s="1181"/>
      <c r="AP57" s="1181"/>
      <c r="AQ57" s="1181"/>
    </row>
    <row r="58" spans="1:43" x14ac:dyDescent="0.2">
      <c r="A58" s="1181"/>
      <c r="B58" s="1181"/>
      <c r="C58" s="1181"/>
      <c r="D58" s="1181"/>
      <c r="E58" s="1181"/>
      <c r="F58" s="1181"/>
      <c r="G58" s="1181"/>
      <c r="H58" s="1181"/>
      <c r="I58" s="1181"/>
      <c r="J58" s="1181"/>
      <c r="K58" s="1181"/>
      <c r="L58" s="1181"/>
      <c r="M58" s="1181"/>
      <c r="N58" s="1181"/>
      <c r="O58" s="1181"/>
      <c r="P58" s="1181"/>
      <c r="Q58" s="1181"/>
      <c r="R58" s="1181"/>
      <c r="S58" s="1181"/>
      <c r="T58" s="1181"/>
      <c r="U58" s="1181"/>
      <c r="V58" s="1181"/>
      <c r="W58" s="1181"/>
      <c r="X58" s="1181"/>
      <c r="Y58" s="1181"/>
      <c r="Z58" s="1181"/>
      <c r="AA58" s="1181"/>
      <c r="AB58" s="1181"/>
      <c r="AC58" s="1181"/>
      <c r="AD58" s="1181"/>
      <c r="AE58" s="1181"/>
      <c r="AF58" s="1181"/>
      <c r="AG58" s="1181"/>
      <c r="AH58" s="1181"/>
      <c r="AI58" s="1181"/>
      <c r="AJ58" s="1181"/>
      <c r="AK58" s="1181"/>
      <c r="AL58" s="1181"/>
      <c r="AM58" s="1181"/>
      <c r="AN58" s="1181"/>
      <c r="AO58" s="1181"/>
      <c r="AP58" s="1181"/>
      <c r="AQ58" s="1181"/>
    </row>
    <row r="59" spans="1:43" x14ac:dyDescent="0.2">
      <c r="A59" s="1181"/>
      <c r="B59" s="1181"/>
      <c r="C59" s="1181"/>
      <c r="D59" s="1181"/>
      <c r="E59" s="1181"/>
      <c r="F59" s="1181"/>
      <c r="G59" s="1181"/>
      <c r="H59" s="1181"/>
      <c r="I59" s="1181"/>
      <c r="J59" s="1181"/>
      <c r="K59" s="1181"/>
      <c r="L59" s="1181"/>
      <c r="M59" s="1181"/>
      <c r="N59" s="1181"/>
      <c r="O59" s="1181"/>
      <c r="P59" s="1181"/>
      <c r="Q59" s="1181"/>
      <c r="R59" s="1181"/>
      <c r="S59" s="1181"/>
      <c r="T59" s="1181"/>
      <c r="U59" s="1181"/>
      <c r="V59" s="1181"/>
      <c r="W59" s="1181"/>
      <c r="X59" s="1181"/>
      <c r="Y59" s="1181"/>
      <c r="Z59" s="1181"/>
      <c r="AA59" s="1181"/>
      <c r="AB59" s="1181"/>
      <c r="AC59" s="1181"/>
      <c r="AD59" s="1181"/>
      <c r="AE59" s="1181"/>
      <c r="AF59" s="1181"/>
      <c r="AG59" s="1181"/>
      <c r="AH59" s="1181"/>
      <c r="AI59" s="1181"/>
      <c r="AJ59" s="1181"/>
      <c r="AK59" s="1181"/>
      <c r="AL59" s="1181"/>
      <c r="AM59" s="1181"/>
      <c r="AN59" s="1181"/>
      <c r="AO59" s="1181"/>
      <c r="AP59" s="1181"/>
      <c r="AQ59" s="1181"/>
    </row>
    <row r="60" spans="1:43" x14ac:dyDescent="0.2">
      <c r="A60" s="1181"/>
      <c r="B60" s="1181"/>
      <c r="C60" s="1181"/>
      <c r="D60" s="1181"/>
      <c r="E60" s="1181"/>
      <c r="F60" s="1181"/>
      <c r="G60" s="1181"/>
      <c r="H60" s="1181"/>
      <c r="I60" s="1181"/>
      <c r="J60" s="1181"/>
      <c r="K60" s="1181"/>
      <c r="L60" s="1181"/>
      <c r="M60" s="1181"/>
      <c r="N60" s="1181"/>
      <c r="O60" s="1181"/>
      <c r="P60" s="1181"/>
      <c r="Q60" s="1181"/>
      <c r="R60" s="1181"/>
      <c r="S60" s="1181"/>
      <c r="T60" s="1181"/>
      <c r="U60" s="1181"/>
      <c r="V60" s="1181"/>
      <c r="W60" s="1181"/>
      <c r="X60" s="1181"/>
      <c r="Y60" s="1181"/>
      <c r="Z60" s="1181"/>
      <c r="AA60" s="1181"/>
      <c r="AB60" s="1181"/>
      <c r="AC60" s="1181"/>
      <c r="AD60" s="1181"/>
      <c r="AE60" s="1181"/>
      <c r="AF60" s="1181"/>
      <c r="AG60" s="1181"/>
      <c r="AH60" s="1181"/>
      <c r="AI60" s="1181"/>
      <c r="AJ60" s="1181"/>
      <c r="AK60" s="1181"/>
      <c r="AL60" s="1181"/>
      <c r="AM60" s="1181"/>
      <c r="AN60" s="1181"/>
      <c r="AO60" s="1181"/>
      <c r="AP60" s="1181"/>
      <c r="AQ60" s="1181"/>
    </row>
    <row r="61" spans="1:43" x14ac:dyDescent="0.2">
      <c r="A61" s="1181"/>
      <c r="B61" s="1181"/>
      <c r="C61" s="1181"/>
      <c r="D61" s="1181"/>
      <c r="E61" s="1181"/>
      <c r="F61" s="1181"/>
      <c r="G61" s="1181"/>
      <c r="H61" s="1181"/>
      <c r="I61" s="1181"/>
      <c r="J61" s="1181"/>
      <c r="K61" s="1181"/>
      <c r="L61" s="1181"/>
      <c r="M61" s="1181"/>
      <c r="N61" s="1181"/>
      <c r="O61" s="1181"/>
      <c r="P61" s="1181"/>
      <c r="Q61" s="1181"/>
      <c r="R61" s="1181"/>
      <c r="S61" s="1181"/>
      <c r="T61" s="1181"/>
      <c r="U61" s="1181"/>
      <c r="V61" s="1181"/>
      <c r="W61" s="1181"/>
      <c r="X61" s="1181"/>
      <c r="Y61" s="1181"/>
      <c r="Z61" s="1181"/>
      <c r="AA61" s="1181"/>
      <c r="AB61" s="1181"/>
      <c r="AC61" s="1181"/>
      <c r="AD61" s="1181"/>
      <c r="AE61" s="1181"/>
      <c r="AF61" s="1181"/>
      <c r="AG61" s="1181"/>
      <c r="AH61" s="1181"/>
      <c r="AI61" s="1181"/>
      <c r="AJ61" s="1181"/>
      <c r="AK61" s="1181"/>
      <c r="AL61" s="1181"/>
      <c r="AM61" s="1181"/>
      <c r="AN61" s="1181"/>
      <c r="AO61" s="1181"/>
      <c r="AP61" s="1181"/>
      <c r="AQ61" s="1181"/>
    </row>
    <row r="62" spans="1:43" x14ac:dyDescent="0.2">
      <c r="A62" s="1181"/>
      <c r="B62" s="1181"/>
      <c r="C62" s="1181"/>
      <c r="D62" s="1181"/>
      <c r="E62" s="1181"/>
      <c r="F62" s="1181"/>
      <c r="G62" s="1181"/>
      <c r="H62" s="1181"/>
      <c r="I62" s="1181"/>
      <c r="J62" s="1181"/>
      <c r="K62" s="1181"/>
      <c r="L62" s="1181"/>
      <c r="M62" s="1181"/>
      <c r="N62" s="1181"/>
      <c r="O62" s="1181"/>
      <c r="P62" s="1181"/>
      <c r="Q62" s="1181"/>
      <c r="R62" s="1181"/>
      <c r="S62" s="1181"/>
      <c r="T62" s="1181"/>
      <c r="U62" s="1181"/>
      <c r="V62" s="1181"/>
      <c r="W62" s="1181"/>
      <c r="X62" s="1181"/>
      <c r="Y62" s="1181"/>
      <c r="Z62" s="1181"/>
      <c r="AA62" s="1181"/>
      <c r="AB62" s="1181"/>
      <c r="AC62" s="1181"/>
      <c r="AD62" s="1181"/>
      <c r="AE62" s="1181"/>
      <c r="AF62" s="1181"/>
      <c r="AG62" s="1181"/>
      <c r="AH62" s="1181"/>
      <c r="AI62" s="1181"/>
      <c r="AJ62" s="1181"/>
      <c r="AK62" s="1181"/>
      <c r="AL62" s="1181"/>
      <c r="AM62" s="1181"/>
      <c r="AN62" s="1181"/>
      <c r="AO62" s="1181"/>
      <c r="AP62" s="1181"/>
      <c r="AQ62" s="1181"/>
    </row>
    <row r="63" spans="1:43" x14ac:dyDescent="0.2">
      <c r="A63" s="1181"/>
      <c r="B63" s="1181"/>
      <c r="C63" s="1181"/>
      <c r="D63" s="1181"/>
      <c r="E63" s="1181"/>
      <c r="F63" s="1181"/>
      <c r="G63" s="1181"/>
      <c r="H63" s="1181"/>
      <c r="I63" s="1181"/>
      <c r="J63" s="1181"/>
      <c r="K63" s="1181"/>
      <c r="L63" s="1181"/>
      <c r="M63" s="1181"/>
      <c r="N63" s="1181"/>
      <c r="O63" s="1181"/>
      <c r="P63" s="1181"/>
      <c r="Q63" s="1181"/>
      <c r="R63" s="1181"/>
      <c r="S63" s="1181"/>
      <c r="T63" s="1181"/>
      <c r="U63" s="1181"/>
      <c r="V63" s="1181"/>
      <c r="W63" s="1181"/>
      <c r="X63" s="1181"/>
      <c r="Y63" s="1181"/>
      <c r="Z63" s="1181"/>
      <c r="AA63" s="1181"/>
      <c r="AB63" s="1181"/>
      <c r="AC63" s="1181"/>
      <c r="AD63" s="1181"/>
      <c r="AE63" s="1181"/>
      <c r="AF63" s="1181"/>
      <c r="AG63" s="1181"/>
      <c r="AH63" s="1181"/>
      <c r="AI63" s="1181"/>
      <c r="AJ63" s="1181"/>
      <c r="AK63" s="1181"/>
      <c r="AL63" s="1181"/>
      <c r="AM63" s="1181"/>
      <c r="AN63" s="1181"/>
      <c r="AO63" s="1181"/>
      <c r="AP63" s="1181"/>
      <c r="AQ63" s="1181"/>
    </row>
    <row r="64" spans="1:43" x14ac:dyDescent="0.2">
      <c r="A64" s="1181"/>
      <c r="B64" s="1181"/>
      <c r="C64" s="1181"/>
      <c r="D64" s="1181"/>
      <c r="E64" s="1181"/>
      <c r="F64" s="1181"/>
      <c r="G64" s="1181"/>
      <c r="H64" s="1181"/>
      <c r="I64" s="1181"/>
      <c r="J64" s="1181"/>
      <c r="K64" s="1181"/>
      <c r="L64" s="1181"/>
      <c r="M64" s="1181"/>
      <c r="N64" s="1181"/>
      <c r="O64" s="1181"/>
      <c r="P64" s="1181"/>
      <c r="Q64" s="1181"/>
      <c r="R64" s="1181"/>
      <c r="S64" s="1181"/>
      <c r="T64" s="1181"/>
      <c r="U64" s="1181"/>
      <c r="V64" s="1181"/>
      <c r="W64" s="1181"/>
      <c r="X64" s="1181"/>
      <c r="Y64" s="1181"/>
      <c r="Z64" s="1181"/>
      <c r="AA64" s="1181"/>
      <c r="AB64" s="1181"/>
      <c r="AC64" s="1181"/>
      <c r="AD64" s="1181"/>
      <c r="AE64" s="1181"/>
      <c r="AF64" s="1181"/>
      <c r="AG64" s="1181"/>
      <c r="AH64" s="1181"/>
      <c r="AI64" s="1181"/>
      <c r="AJ64" s="1181"/>
      <c r="AK64" s="1181"/>
      <c r="AL64" s="1181"/>
      <c r="AM64" s="1181"/>
      <c r="AN64" s="1181"/>
      <c r="AO64" s="1181"/>
      <c r="AP64" s="1181"/>
      <c r="AQ64" s="1181"/>
    </row>
    <row r="65" spans="1:43" x14ac:dyDescent="0.2">
      <c r="A65" s="1181"/>
      <c r="B65" s="1181"/>
      <c r="C65" s="1181"/>
      <c r="D65" s="1181"/>
      <c r="E65" s="1181"/>
      <c r="F65" s="1181"/>
      <c r="G65" s="1181"/>
      <c r="H65" s="1181"/>
      <c r="I65" s="1181"/>
      <c r="J65" s="1181"/>
      <c r="K65" s="1181"/>
      <c r="L65" s="1181"/>
      <c r="M65" s="1181"/>
      <c r="N65" s="1181"/>
      <c r="O65" s="1181"/>
      <c r="P65" s="1181"/>
      <c r="Q65" s="1181"/>
      <c r="R65" s="1181"/>
      <c r="S65" s="1181"/>
      <c r="T65" s="1181"/>
      <c r="U65" s="1181"/>
      <c r="V65" s="1181"/>
      <c r="W65" s="1181"/>
      <c r="X65" s="1181"/>
      <c r="Y65" s="1181"/>
      <c r="Z65" s="1181"/>
      <c r="AA65" s="1181"/>
      <c r="AB65" s="1181"/>
      <c r="AC65" s="1181"/>
      <c r="AD65" s="1181"/>
      <c r="AE65" s="1181"/>
      <c r="AF65" s="1181"/>
      <c r="AG65" s="1181"/>
      <c r="AH65" s="1181"/>
      <c r="AI65" s="1181"/>
      <c r="AJ65" s="1181"/>
      <c r="AK65" s="1181"/>
      <c r="AL65" s="1181"/>
      <c r="AM65" s="1181"/>
      <c r="AN65" s="1181"/>
      <c r="AO65" s="1181"/>
      <c r="AP65" s="1181"/>
      <c r="AQ65" s="1181"/>
    </row>
    <row r="66" spans="1:43" x14ac:dyDescent="0.2">
      <c r="A66" s="1181"/>
      <c r="B66" s="1181"/>
      <c r="C66" s="1181"/>
      <c r="D66" s="1181"/>
      <c r="E66" s="1181"/>
      <c r="F66" s="1181"/>
      <c r="G66" s="1181"/>
      <c r="H66" s="1181"/>
      <c r="I66" s="1181"/>
      <c r="J66" s="1181"/>
      <c r="K66" s="1181"/>
      <c r="L66" s="1181"/>
      <c r="M66" s="1181"/>
      <c r="N66" s="1181"/>
      <c r="O66" s="1181"/>
      <c r="P66" s="1181"/>
      <c r="Q66" s="1181"/>
      <c r="R66" s="1181"/>
      <c r="S66" s="1181"/>
      <c r="T66" s="1181"/>
      <c r="U66" s="1181"/>
      <c r="V66" s="1181"/>
      <c r="W66" s="1181"/>
      <c r="X66" s="1181"/>
      <c r="Y66" s="1181"/>
      <c r="Z66" s="1181"/>
      <c r="AA66" s="1181"/>
      <c r="AB66" s="1181"/>
      <c r="AC66" s="1181"/>
      <c r="AD66" s="1181"/>
      <c r="AE66" s="1181"/>
      <c r="AF66" s="1181"/>
      <c r="AG66" s="1181"/>
      <c r="AH66" s="1181"/>
      <c r="AI66" s="1181"/>
      <c r="AJ66" s="1181"/>
      <c r="AK66" s="1181"/>
      <c r="AL66" s="1181"/>
      <c r="AM66" s="1181"/>
      <c r="AN66" s="1181"/>
      <c r="AO66" s="1181"/>
      <c r="AP66" s="1181"/>
      <c r="AQ66" s="1181"/>
    </row>
    <row r="67" spans="1:43" x14ac:dyDescent="0.2">
      <c r="A67" s="1181"/>
      <c r="B67" s="1181"/>
      <c r="C67" s="1181"/>
      <c r="D67" s="1181"/>
      <c r="E67" s="1181"/>
      <c r="F67" s="1181"/>
      <c r="G67" s="1181"/>
      <c r="H67" s="1181"/>
      <c r="I67" s="1181"/>
      <c r="J67" s="1181"/>
      <c r="K67" s="1181"/>
      <c r="L67" s="1181"/>
      <c r="M67" s="1181"/>
      <c r="N67" s="1181"/>
      <c r="O67" s="1181"/>
      <c r="P67" s="1181"/>
      <c r="Q67" s="1181"/>
      <c r="R67" s="1181"/>
      <c r="S67" s="1181"/>
      <c r="T67" s="1181"/>
      <c r="U67" s="1181"/>
      <c r="V67" s="1181"/>
      <c r="W67" s="1181"/>
      <c r="X67" s="1181"/>
      <c r="Y67" s="1181"/>
      <c r="Z67" s="1181"/>
      <c r="AA67" s="1181"/>
      <c r="AB67" s="1181"/>
      <c r="AC67" s="1181"/>
      <c r="AD67" s="1181"/>
      <c r="AE67" s="1181"/>
      <c r="AF67" s="1181"/>
      <c r="AG67" s="1181"/>
      <c r="AH67" s="1181"/>
      <c r="AI67" s="1181"/>
      <c r="AJ67" s="1181"/>
      <c r="AK67" s="1181"/>
      <c r="AL67" s="1181"/>
      <c r="AM67" s="1181"/>
      <c r="AN67" s="1181"/>
      <c r="AO67" s="1181"/>
      <c r="AP67" s="1181"/>
      <c r="AQ67" s="1181"/>
    </row>
    <row r="68" spans="1:43" x14ac:dyDescent="0.2">
      <c r="A68" s="1181"/>
      <c r="B68" s="1181"/>
      <c r="C68" s="1181"/>
      <c r="D68" s="1181"/>
      <c r="E68" s="1181"/>
      <c r="F68" s="1181"/>
      <c r="G68" s="1181"/>
      <c r="H68" s="1181"/>
      <c r="I68" s="1181"/>
      <c r="J68" s="1181"/>
      <c r="K68" s="1181"/>
      <c r="L68" s="1181"/>
      <c r="M68" s="1181"/>
      <c r="N68" s="1181"/>
      <c r="O68" s="1181"/>
      <c r="P68" s="1181"/>
      <c r="Q68" s="1181"/>
      <c r="R68" s="1181"/>
      <c r="S68" s="1181"/>
      <c r="T68" s="1181"/>
      <c r="U68" s="1181"/>
      <c r="V68" s="1181"/>
      <c r="W68" s="1181"/>
      <c r="X68" s="1181"/>
      <c r="Y68" s="1181"/>
      <c r="Z68" s="1181"/>
      <c r="AA68" s="1181"/>
      <c r="AB68" s="1181"/>
      <c r="AC68" s="1181"/>
      <c r="AD68" s="1181"/>
      <c r="AE68" s="1181"/>
      <c r="AF68" s="1181"/>
      <c r="AG68" s="1181"/>
      <c r="AH68" s="1181"/>
      <c r="AI68" s="1181"/>
      <c r="AJ68" s="1181"/>
      <c r="AK68" s="1181"/>
      <c r="AL68" s="1181"/>
      <c r="AM68" s="1181"/>
      <c r="AN68" s="1181"/>
      <c r="AO68" s="1181"/>
      <c r="AP68" s="1181"/>
      <c r="AQ68" s="1181"/>
    </row>
    <row r="69" spans="1:43" x14ac:dyDescent="0.2">
      <c r="A69" s="1181"/>
      <c r="B69" s="1181"/>
      <c r="C69" s="1181"/>
      <c r="D69" s="1181"/>
      <c r="E69" s="1181"/>
      <c r="F69" s="1181"/>
      <c r="G69" s="1181"/>
      <c r="H69" s="1181"/>
      <c r="I69" s="1181"/>
      <c r="J69" s="1181"/>
      <c r="K69" s="1181"/>
      <c r="L69" s="1181"/>
      <c r="M69" s="1181"/>
      <c r="N69" s="1181"/>
      <c r="O69" s="1181"/>
      <c r="P69" s="1181"/>
      <c r="Q69" s="1181"/>
      <c r="R69" s="1181"/>
      <c r="S69" s="1181"/>
      <c r="T69" s="1181"/>
      <c r="U69" s="1181"/>
      <c r="V69" s="1181"/>
      <c r="W69" s="1181"/>
      <c r="X69" s="1181"/>
      <c r="Y69" s="1181"/>
      <c r="Z69" s="1181"/>
      <c r="AA69" s="1181"/>
      <c r="AB69" s="1181"/>
      <c r="AC69" s="1181"/>
      <c r="AD69" s="1181"/>
      <c r="AE69" s="1181"/>
      <c r="AF69" s="1181"/>
      <c r="AG69" s="1181"/>
      <c r="AH69" s="1181"/>
      <c r="AI69" s="1181"/>
      <c r="AJ69" s="1181"/>
      <c r="AK69" s="1181"/>
      <c r="AL69" s="1181"/>
      <c r="AM69" s="1181"/>
      <c r="AN69" s="1181"/>
      <c r="AO69" s="1181"/>
      <c r="AP69" s="1181"/>
      <c r="AQ69" s="1181"/>
    </row>
    <row r="70" spans="1:43" x14ac:dyDescent="0.2">
      <c r="A70" s="1181"/>
      <c r="B70" s="1181"/>
      <c r="C70" s="1181"/>
      <c r="D70" s="1181"/>
      <c r="E70" s="1181"/>
      <c r="F70" s="1181"/>
      <c r="G70" s="1181"/>
      <c r="H70" s="1181"/>
      <c r="I70" s="1181"/>
      <c r="J70" s="1181"/>
      <c r="K70" s="1181"/>
      <c r="L70" s="1181"/>
      <c r="M70" s="1181"/>
      <c r="N70" s="1181"/>
      <c r="O70" s="1181"/>
      <c r="P70" s="1181"/>
      <c r="Q70" s="1181"/>
      <c r="R70" s="1181"/>
      <c r="S70" s="1181"/>
      <c r="T70" s="1181"/>
      <c r="U70" s="1181"/>
      <c r="V70" s="1181"/>
      <c r="W70" s="1181"/>
      <c r="X70" s="1181"/>
      <c r="Y70" s="1181"/>
      <c r="Z70" s="1181"/>
      <c r="AA70" s="1181"/>
      <c r="AB70" s="1181"/>
      <c r="AC70" s="1181"/>
      <c r="AD70" s="1181"/>
      <c r="AE70" s="1181"/>
      <c r="AF70" s="1181"/>
      <c r="AG70" s="1181"/>
      <c r="AH70" s="1181"/>
      <c r="AI70" s="1181"/>
      <c r="AJ70" s="1181"/>
      <c r="AK70" s="1181"/>
      <c r="AL70" s="1181"/>
      <c r="AM70" s="1181"/>
      <c r="AN70" s="1181"/>
      <c r="AO70" s="1181"/>
      <c r="AP70" s="1181"/>
      <c r="AQ70" s="1181"/>
    </row>
    <row r="71" spans="1:43" x14ac:dyDescent="0.2">
      <c r="A71" s="1181"/>
      <c r="B71" s="1181"/>
      <c r="C71" s="1181"/>
      <c r="D71" s="1181"/>
      <c r="E71" s="1181"/>
      <c r="F71" s="1181"/>
      <c r="G71" s="1181"/>
      <c r="H71" s="1181"/>
      <c r="I71" s="1181"/>
      <c r="J71" s="1181"/>
      <c r="K71" s="1181"/>
      <c r="L71" s="1181"/>
      <c r="M71" s="1181"/>
      <c r="N71" s="1181"/>
      <c r="O71" s="1181"/>
      <c r="P71" s="1181"/>
      <c r="Q71" s="1181"/>
      <c r="R71" s="1181"/>
      <c r="S71" s="1181"/>
      <c r="T71" s="1181"/>
      <c r="U71" s="1181"/>
      <c r="V71" s="1181"/>
      <c r="W71" s="1181"/>
      <c r="X71" s="1181"/>
      <c r="Y71" s="1181"/>
      <c r="Z71" s="1181"/>
      <c r="AA71" s="1181"/>
      <c r="AB71" s="1181"/>
      <c r="AC71" s="1181"/>
      <c r="AD71" s="1181"/>
      <c r="AE71" s="1181"/>
      <c r="AF71" s="1181"/>
      <c r="AG71" s="1181"/>
      <c r="AH71" s="1181"/>
      <c r="AI71" s="1181"/>
      <c r="AJ71" s="1181"/>
      <c r="AK71" s="1181"/>
      <c r="AL71" s="1181"/>
      <c r="AM71" s="1181"/>
      <c r="AN71" s="1181"/>
      <c r="AO71" s="1181"/>
      <c r="AP71" s="1181"/>
      <c r="AQ71" s="1181"/>
    </row>
    <row r="72" spans="1:43" x14ac:dyDescent="0.2">
      <c r="A72" s="1181"/>
      <c r="B72" s="1181"/>
      <c r="C72" s="1181"/>
      <c r="D72" s="1181"/>
      <c r="E72" s="1181"/>
      <c r="F72" s="1181"/>
      <c r="G72" s="1181"/>
      <c r="H72" s="1181"/>
      <c r="I72" s="1181"/>
      <c r="J72" s="1181"/>
      <c r="K72" s="1181"/>
      <c r="L72" s="1181"/>
      <c r="M72" s="1181"/>
      <c r="N72" s="1181"/>
      <c r="O72" s="1181"/>
      <c r="P72" s="1181"/>
      <c r="Q72" s="1181"/>
      <c r="R72" s="1181"/>
      <c r="S72" s="1181"/>
      <c r="T72" s="1181"/>
      <c r="U72" s="1181"/>
      <c r="V72" s="1181"/>
      <c r="W72" s="1181"/>
      <c r="X72" s="1181"/>
      <c r="Y72" s="1181"/>
      <c r="Z72" s="1181"/>
      <c r="AA72" s="1181"/>
      <c r="AB72" s="1181"/>
      <c r="AC72" s="1181"/>
      <c r="AD72" s="1181"/>
      <c r="AE72" s="1181"/>
      <c r="AF72" s="1181"/>
      <c r="AG72" s="1181"/>
      <c r="AH72" s="1181"/>
      <c r="AI72" s="1181"/>
      <c r="AJ72" s="1181"/>
      <c r="AK72" s="1181"/>
      <c r="AL72" s="1181"/>
      <c r="AM72" s="1181"/>
      <c r="AN72" s="1181"/>
      <c r="AO72" s="1181"/>
      <c r="AP72" s="1181"/>
      <c r="AQ72" s="1181"/>
    </row>
    <row r="73" spans="1:43" x14ac:dyDescent="0.2">
      <c r="A73" s="1181"/>
      <c r="B73" s="1181"/>
      <c r="C73" s="1181"/>
      <c r="D73" s="1181"/>
      <c r="E73" s="1181"/>
      <c r="F73" s="1181"/>
      <c r="G73" s="1181"/>
      <c r="H73" s="1181"/>
      <c r="I73" s="1181"/>
      <c r="J73" s="1181"/>
      <c r="K73" s="1181"/>
      <c r="L73" s="1181"/>
      <c r="M73" s="1181"/>
      <c r="N73" s="1181"/>
      <c r="O73" s="1181"/>
      <c r="P73" s="1181"/>
      <c r="Q73" s="1181"/>
      <c r="R73" s="1181"/>
      <c r="S73" s="1181"/>
      <c r="T73" s="1181"/>
      <c r="U73" s="1181"/>
      <c r="V73" s="1181"/>
      <c r="W73" s="1181"/>
      <c r="X73" s="1181"/>
      <c r="Y73" s="1181"/>
      <c r="Z73" s="1181"/>
      <c r="AA73" s="1181"/>
      <c r="AB73" s="1181"/>
      <c r="AC73" s="1181"/>
      <c r="AD73" s="1181"/>
      <c r="AE73" s="1181"/>
      <c r="AF73" s="1181"/>
      <c r="AG73" s="1181"/>
      <c r="AH73" s="1181"/>
      <c r="AI73" s="1181"/>
      <c r="AJ73" s="1181"/>
      <c r="AK73" s="1181"/>
      <c r="AL73" s="1181"/>
      <c r="AM73" s="1181"/>
      <c r="AN73" s="1181"/>
      <c r="AO73" s="1181"/>
      <c r="AP73" s="1181"/>
      <c r="AQ73" s="1181"/>
    </row>
    <row r="74" spans="1:43" x14ac:dyDescent="0.2">
      <c r="A74" s="1181"/>
      <c r="B74" s="1181"/>
      <c r="C74" s="1181"/>
      <c r="D74" s="1181"/>
      <c r="E74" s="1181"/>
      <c r="F74" s="1181"/>
      <c r="G74" s="1181"/>
      <c r="H74" s="1181"/>
      <c r="I74" s="1181"/>
      <c r="J74" s="1181"/>
      <c r="K74" s="1181"/>
      <c r="L74" s="1181"/>
      <c r="M74" s="1181"/>
      <c r="N74" s="1181"/>
      <c r="O74" s="1181"/>
      <c r="P74" s="1181"/>
      <c r="Q74" s="1181"/>
      <c r="R74" s="1181"/>
      <c r="S74" s="1181"/>
      <c r="T74" s="1181"/>
      <c r="U74" s="1181"/>
      <c r="V74" s="1181"/>
      <c r="W74" s="1181"/>
      <c r="X74" s="1181"/>
      <c r="Y74" s="1181"/>
      <c r="Z74" s="1181"/>
      <c r="AA74" s="1181"/>
      <c r="AB74" s="1181"/>
      <c r="AC74" s="1181"/>
      <c r="AD74" s="1181"/>
      <c r="AE74" s="1181"/>
      <c r="AF74" s="1181"/>
      <c r="AG74" s="1181"/>
      <c r="AH74" s="1181"/>
      <c r="AI74" s="1181"/>
      <c r="AJ74" s="1181"/>
      <c r="AK74" s="1181"/>
      <c r="AL74" s="1181"/>
      <c r="AM74" s="1181"/>
      <c r="AN74" s="1181"/>
      <c r="AO74" s="1181"/>
      <c r="AP74" s="1181"/>
      <c r="AQ74" s="1181"/>
    </row>
    <row r="75" spans="1:43" x14ac:dyDescent="0.2">
      <c r="A75" s="1181"/>
      <c r="B75" s="1181"/>
      <c r="C75" s="1181"/>
      <c r="D75" s="1181"/>
      <c r="E75" s="1181"/>
      <c r="F75" s="1181"/>
      <c r="G75" s="1181"/>
      <c r="H75" s="1181"/>
      <c r="I75" s="1181"/>
      <c r="J75" s="1181"/>
      <c r="K75" s="1181"/>
      <c r="L75" s="1181"/>
      <c r="M75" s="1181"/>
      <c r="N75" s="1181"/>
      <c r="O75" s="1181"/>
      <c r="P75" s="1181"/>
      <c r="Q75" s="1181"/>
      <c r="R75" s="1181"/>
      <c r="S75" s="1181"/>
      <c r="T75" s="1181"/>
      <c r="U75" s="1181"/>
      <c r="V75" s="1181"/>
      <c r="W75" s="1181"/>
      <c r="X75" s="1181"/>
      <c r="Y75" s="1181"/>
      <c r="Z75" s="1181"/>
      <c r="AA75" s="1181"/>
      <c r="AB75" s="1181"/>
      <c r="AC75" s="1181"/>
      <c r="AD75" s="1181"/>
      <c r="AE75" s="1181"/>
      <c r="AF75" s="1181"/>
      <c r="AG75" s="1181"/>
      <c r="AH75" s="1181"/>
      <c r="AI75" s="1181"/>
      <c r="AJ75" s="1181"/>
      <c r="AK75" s="1181"/>
      <c r="AL75" s="1181"/>
      <c r="AM75" s="1181"/>
      <c r="AN75" s="1181"/>
      <c r="AO75" s="1181"/>
      <c r="AP75" s="1181"/>
      <c r="AQ75" s="1181"/>
    </row>
    <row r="76" spans="1:43" x14ac:dyDescent="0.2">
      <c r="A76" s="1181"/>
      <c r="B76" s="1181"/>
      <c r="C76" s="1181"/>
      <c r="D76" s="1181"/>
      <c r="E76" s="1181"/>
      <c r="F76" s="1181"/>
      <c r="G76" s="1181"/>
      <c r="H76" s="1181"/>
      <c r="I76" s="1181"/>
      <c r="J76" s="1181"/>
      <c r="K76" s="1181"/>
      <c r="L76" s="1181"/>
      <c r="M76" s="1181"/>
      <c r="N76" s="1181"/>
      <c r="O76" s="1181"/>
      <c r="P76" s="1181"/>
      <c r="Q76" s="1181"/>
      <c r="R76" s="1181"/>
      <c r="S76" s="1181"/>
      <c r="T76" s="1181"/>
      <c r="U76" s="1181"/>
      <c r="V76" s="1181"/>
      <c r="W76" s="1181"/>
      <c r="X76" s="1181"/>
      <c r="Y76" s="1181"/>
      <c r="Z76" s="1181"/>
      <c r="AA76" s="1181"/>
      <c r="AB76" s="1181"/>
      <c r="AC76" s="1181"/>
      <c r="AD76" s="1181"/>
      <c r="AE76" s="1181"/>
      <c r="AF76" s="1181"/>
      <c r="AG76" s="1181"/>
      <c r="AH76" s="1181"/>
      <c r="AI76" s="1181"/>
      <c r="AJ76" s="1181"/>
      <c r="AK76" s="1181"/>
      <c r="AL76" s="1181"/>
      <c r="AM76" s="1181"/>
      <c r="AN76" s="1181"/>
      <c r="AO76" s="1181"/>
      <c r="AP76" s="1181"/>
      <c r="AQ76" s="1181"/>
    </row>
    <row r="77" spans="1:43" x14ac:dyDescent="0.2">
      <c r="A77" s="1181"/>
      <c r="B77" s="1181"/>
      <c r="C77" s="1181"/>
      <c r="D77" s="1181"/>
      <c r="E77" s="1181"/>
      <c r="F77" s="1181"/>
      <c r="G77" s="1181"/>
      <c r="H77" s="1181"/>
      <c r="I77" s="1181"/>
      <c r="J77" s="1181"/>
      <c r="K77" s="1181"/>
      <c r="L77" s="1181"/>
      <c r="M77" s="1181"/>
      <c r="N77" s="1181"/>
      <c r="O77" s="1181"/>
      <c r="P77" s="1181"/>
      <c r="Q77" s="1181"/>
      <c r="R77" s="1181"/>
      <c r="S77" s="1181"/>
      <c r="T77" s="1181"/>
      <c r="U77" s="1181"/>
      <c r="V77" s="1181"/>
      <c r="W77" s="1181"/>
      <c r="X77" s="1181"/>
      <c r="Y77" s="1181"/>
      <c r="Z77" s="1181"/>
      <c r="AA77" s="1181"/>
      <c r="AB77" s="1181"/>
      <c r="AC77" s="1181"/>
      <c r="AD77" s="1181"/>
      <c r="AE77" s="1181"/>
      <c r="AF77" s="1181"/>
      <c r="AG77" s="1181"/>
      <c r="AH77" s="1181"/>
      <c r="AI77" s="1181"/>
      <c r="AJ77" s="1181"/>
      <c r="AK77" s="1181"/>
      <c r="AL77" s="1181"/>
      <c r="AM77" s="1181"/>
      <c r="AN77" s="1181"/>
      <c r="AO77" s="1181"/>
      <c r="AP77" s="1181"/>
      <c r="AQ77" s="1181"/>
    </row>
    <row r="78" spans="1:43" x14ac:dyDescent="0.2">
      <c r="A78" s="1181"/>
      <c r="B78" s="1181"/>
      <c r="C78" s="1181"/>
      <c r="D78" s="1181"/>
      <c r="E78" s="1181"/>
      <c r="F78" s="1181"/>
      <c r="G78" s="1181"/>
      <c r="H78" s="1181"/>
      <c r="I78" s="1181"/>
      <c r="J78" s="1181"/>
      <c r="K78" s="1181"/>
      <c r="L78" s="1181"/>
      <c r="M78" s="1181"/>
      <c r="N78" s="1181"/>
      <c r="O78" s="1181"/>
      <c r="P78" s="1181"/>
      <c r="Q78" s="1181"/>
      <c r="R78" s="1181"/>
      <c r="S78" s="1181"/>
      <c r="T78" s="1181"/>
      <c r="U78" s="1181"/>
      <c r="V78" s="1181"/>
      <c r="W78" s="1181"/>
      <c r="X78" s="1181"/>
      <c r="Y78" s="1181"/>
      <c r="Z78" s="1181"/>
      <c r="AA78" s="1181"/>
      <c r="AB78" s="1181"/>
      <c r="AC78" s="1181"/>
      <c r="AD78" s="1181"/>
      <c r="AE78" s="1181"/>
      <c r="AF78" s="1181"/>
      <c r="AG78" s="1181"/>
      <c r="AH78" s="1181"/>
      <c r="AI78" s="1181"/>
      <c r="AJ78" s="1181"/>
      <c r="AK78" s="1181"/>
      <c r="AL78" s="1181"/>
      <c r="AM78" s="1181"/>
      <c r="AN78" s="1181"/>
      <c r="AO78" s="1181"/>
      <c r="AP78" s="1181"/>
      <c r="AQ78" s="1181"/>
    </row>
    <row r="79" spans="1:43" x14ac:dyDescent="0.2">
      <c r="A79" s="1181"/>
      <c r="B79" s="1181"/>
      <c r="C79" s="1181"/>
      <c r="D79" s="1181"/>
      <c r="E79" s="1181"/>
      <c r="F79" s="1181"/>
      <c r="G79" s="1181"/>
      <c r="H79" s="1181"/>
      <c r="I79" s="1181"/>
      <c r="J79" s="1181"/>
      <c r="K79" s="1181"/>
      <c r="L79" s="1181"/>
      <c r="M79" s="1181"/>
      <c r="N79" s="1181"/>
      <c r="O79" s="1181"/>
      <c r="P79" s="1181"/>
      <c r="Q79" s="1181"/>
      <c r="R79" s="1181"/>
      <c r="S79" s="1181"/>
      <c r="T79" s="1181"/>
      <c r="U79" s="1181"/>
      <c r="V79" s="1181"/>
      <c r="W79" s="1181"/>
      <c r="X79" s="1181"/>
      <c r="Y79" s="1181"/>
      <c r="Z79" s="1181"/>
      <c r="AA79" s="1181"/>
      <c r="AB79" s="1181"/>
      <c r="AC79" s="1181"/>
      <c r="AD79" s="1181"/>
      <c r="AE79" s="1181"/>
      <c r="AF79" s="1181"/>
      <c r="AG79" s="1181"/>
      <c r="AH79" s="1181"/>
      <c r="AI79" s="1181"/>
      <c r="AJ79" s="1181"/>
      <c r="AK79" s="1181"/>
      <c r="AL79" s="1181"/>
      <c r="AM79" s="1181"/>
      <c r="AN79" s="1181"/>
      <c r="AO79" s="1181"/>
      <c r="AP79" s="1181"/>
      <c r="AQ79" s="1181"/>
    </row>
    <row r="80" spans="1:43" x14ac:dyDescent="0.2">
      <c r="A80" s="1181"/>
      <c r="B80" s="1181"/>
      <c r="C80" s="1181"/>
      <c r="D80" s="1181"/>
      <c r="E80" s="1181"/>
      <c r="F80" s="1181"/>
      <c r="G80" s="1181"/>
      <c r="H80" s="1181"/>
      <c r="I80" s="1181"/>
      <c r="J80" s="1181"/>
      <c r="K80" s="1181"/>
      <c r="L80" s="1181"/>
      <c r="M80" s="1181"/>
      <c r="N80" s="1181"/>
      <c r="O80" s="1181"/>
      <c r="P80" s="1181"/>
      <c r="Q80" s="1181"/>
      <c r="R80" s="1181"/>
      <c r="S80" s="1181"/>
      <c r="T80" s="1181"/>
      <c r="U80" s="1181"/>
      <c r="V80" s="1181"/>
      <c r="W80" s="1181"/>
      <c r="X80" s="1181"/>
      <c r="Y80" s="1181"/>
      <c r="Z80" s="1181"/>
      <c r="AA80" s="1181"/>
      <c r="AB80" s="1181"/>
      <c r="AC80" s="1181"/>
      <c r="AD80" s="1181"/>
      <c r="AE80" s="1181"/>
      <c r="AF80" s="1181"/>
      <c r="AG80" s="1181"/>
      <c r="AH80" s="1181"/>
      <c r="AI80" s="1181"/>
      <c r="AJ80" s="1181"/>
      <c r="AK80" s="1181"/>
      <c r="AL80" s="1181"/>
      <c r="AM80" s="1181"/>
      <c r="AN80" s="1181"/>
      <c r="AO80" s="1181"/>
      <c r="AP80" s="1181"/>
      <c r="AQ80" s="1181"/>
    </row>
    <row r="81" spans="1:43" x14ac:dyDescent="0.2">
      <c r="A81" s="1181"/>
      <c r="B81" s="1181"/>
      <c r="C81" s="1181"/>
      <c r="D81" s="1181"/>
      <c r="E81" s="1181"/>
      <c r="F81" s="1181"/>
      <c r="G81" s="1181"/>
      <c r="H81" s="1181"/>
      <c r="I81" s="1181"/>
      <c r="J81" s="1181"/>
      <c r="K81" s="1181"/>
      <c r="L81" s="1181"/>
      <c r="M81" s="1181"/>
      <c r="N81" s="1181"/>
      <c r="O81" s="1181"/>
      <c r="P81" s="1181"/>
      <c r="Q81" s="1181"/>
      <c r="R81" s="1181"/>
      <c r="S81" s="1181"/>
      <c r="T81" s="1181"/>
      <c r="U81" s="1181"/>
      <c r="V81" s="1181"/>
      <c r="W81" s="1181"/>
      <c r="X81" s="1181"/>
      <c r="Y81" s="1181"/>
      <c r="Z81" s="1181"/>
      <c r="AA81" s="1181"/>
      <c r="AB81" s="1181"/>
      <c r="AC81" s="1181"/>
      <c r="AD81" s="1181"/>
      <c r="AE81" s="1181"/>
      <c r="AF81" s="1181"/>
      <c r="AG81" s="1181"/>
      <c r="AH81" s="1181"/>
      <c r="AI81" s="1181"/>
      <c r="AJ81" s="1181"/>
      <c r="AK81" s="1181"/>
      <c r="AL81" s="1181"/>
      <c r="AM81" s="1181"/>
      <c r="AN81" s="1181"/>
      <c r="AO81" s="1181"/>
      <c r="AP81" s="1181"/>
      <c r="AQ81" s="1181"/>
    </row>
    <row r="82" spans="1:43" x14ac:dyDescent="0.2">
      <c r="A82" s="1181"/>
      <c r="B82" s="1181"/>
      <c r="C82" s="1181"/>
      <c r="D82" s="1181"/>
      <c r="E82" s="1181"/>
      <c r="F82" s="1181"/>
      <c r="G82" s="1181"/>
      <c r="H82" s="1181"/>
      <c r="I82" s="1181"/>
      <c r="J82" s="1181"/>
      <c r="K82" s="1181"/>
      <c r="L82" s="1181"/>
      <c r="M82" s="1181"/>
      <c r="N82" s="1181"/>
      <c r="O82" s="1181"/>
      <c r="P82" s="1181"/>
      <c r="Q82" s="1181"/>
      <c r="R82" s="1181"/>
      <c r="S82" s="1181"/>
      <c r="T82" s="1181"/>
      <c r="U82" s="1181"/>
      <c r="V82" s="1181"/>
      <c r="W82" s="1181"/>
      <c r="X82" s="1181"/>
      <c r="Y82" s="1181"/>
      <c r="Z82" s="1181"/>
      <c r="AA82" s="1181"/>
      <c r="AB82" s="1181"/>
      <c r="AC82" s="1181"/>
      <c r="AD82" s="1181"/>
      <c r="AE82" s="1181"/>
      <c r="AF82" s="1181"/>
      <c r="AG82" s="1181"/>
      <c r="AH82" s="1181"/>
      <c r="AI82" s="1181"/>
      <c r="AJ82" s="1181"/>
      <c r="AK82" s="1181"/>
      <c r="AL82" s="1181"/>
      <c r="AM82" s="1181"/>
      <c r="AN82" s="1181"/>
      <c r="AO82" s="1181"/>
      <c r="AP82" s="1181"/>
      <c r="AQ82" s="1181"/>
    </row>
    <row r="83" spans="1:43" x14ac:dyDescent="0.2">
      <c r="A83" s="1181"/>
      <c r="B83" s="1181"/>
      <c r="C83" s="1181"/>
      <c r="D83" s="1181"/>
      <c r="E83" s="1181"/>
      <c r="F83" s="1181"/>
      <c r="G83" s="1181"/>
      <c r="H83" s="1181"/>
      <c r="I83" s="1181"/>
      <c r="J83" s="1181"/>
      <c r="K83" s="1181"/>
      <c r="L83" s="1181"/>
      <c r="M83" s="1181"/>
      <c r="N83" s="1181"/>
      <c r="O83" s="1181"/>
      <c r="P83" s="1181"/>
      <c r="Q83" s="1181"/>
      <c r="R83" s="1181"/>
      <c r="S83" s="1181"/>
      <c r="T83" s="1181"/>
      <c r="U83" s="1181"/>
      <c r="V83" s="1181"/>
      <c r="W83" s="1181"/>
      <c r="X83" s="1181"/>
      <c r="Y83" s="1181"/>
      <c r="Z83" s="1181"/>
      <c r="AA83" s="1181"/>
      <c r="AB83" s="1181"/>
      <c r="AC83" s="1181"/>
      <c r="AD83" s="1181"/>
      <c r="AE83" s="1181"/>
      <c r="AF83" s="1181"/>
      <c r="AG83" s="1181"/>
      <c r="AH83" s="1181"/>
      <c r="AI83" s="1181"/>
      <c r="AJ83" s="1181"/>
      <c r="AK83" s="1181"/>
      <c r="AL83" s="1181"/>
      <c r="AM83" s="1181"/>
      <c r="AN83" s="1181"/>
      <c r="AO83" s="1181"/>
      <c r="AP83" s="1181"/>
      <c r="AQ83" s="1181"/>
    </row>
    <row r="84" spans="1:43" x14ac:dyDescent="0.2">
      <c r="A84" s="1181"/>
      <c r="B84" s="1181"/>
      <c r="C84" s="1181"/>
      <c r="D84" s="1181"/>
      <c r="E84" s="1181"/>
      <c r="F84" s="1181"/>
      <c r="G84" s="1181"/>
      <c r="H84" s="1181"/>
      <c r="I84" s="1181"/>
      <c r="J84" s="1181"/>
      <c r="K84" s="1181"/>
      <c r="L84" s="1181"/>
      <c r="M84" s="1181"/>
      <c r="N84" s="1181"/>
      <c r="O84" s="1181"/>
      <c r="P84" s="1181"/>
      <c r="Q84" s="1181"/>
      <c r="R84" s="1181"/>
      <c r="S84" s="1181"/>
      <c r="T84" s="1181"/>
      <c r="U84" s="1181"/>
      <c r="V84" s="1181"/>
      <c r="W84" s="1181"/>
      <c r="X84" s="1181"/>
      <c r="Y84" s="1181"/>
      <c r="Z84" s="1181"/>
      <c r="AA84" s="1181"/>
      <c r="AB84" s="1181"/>
      <c r="AC84" s="1181"/>
      <c r="AD84" s="1181"/>
      <c r="AE84" s="1181"/>
      <c r="AF84" s="1181"/>
      <c r="AG84" s="1181"/>
      <c r="AH84" s="1181"/>
      <c r="AI84" s="1181"/>
      <c r="AJ84" s="1181"/>
      <c r="AK84" s="1181"/>
      <c r="AL84" s="1181"/>
      <c r="AM84" s="1181"/>
      <c r="AN84" s="1181"/>
      <c r="AO84" s="1181"/>
      <c r="AP84" s="1181"/>
      <c r="AQ84" s="1181"/>
    </row>
    <row r="85" spans="1:43" x14ac:dyDescent="0.2">
      <c r="A85" s="1181"/>
      <c r="B85" s="1181"/>
      <c r="C85" s="1181"/>
      <c r="D85" s="1181"/>
      <c r="E85" s="1181"/>
      <c r="F85" s="1181"/>
      <c r="G85" s="1181"/>
      <c r="H85" s="1181"/>
      <c r="I85" s="1181"/>
      <c r="J85" s="1181"/>
      <c r="K85" s="1181"/>
      <c r="L85" s="1181"/>
      <c r="M85" s="1181"/>
      <c r="N85" s="1181"/>
      <c r="O85" s="1181"/>
      <c r="P85" s="1181"/>
      <c r="Q85" s="1181"/>
      <c r="R85" s="1181"/>
      <c r="S85" s="1181"/>
      <c r="T85" s="1181"/>
      <c r="U85" s="1181"/>
      <c r="V85" s="1181"/>
      <c r="W85" s="1181"/>
      <c r="X85" s="1181"/>
      <c r="Y85" s="1181"/>
      <c r="Z85" s="1181"/>
      <c r="AA85" s="1181"/>
      <c r="AB85" s="1181"/>
      <c r="AC85" s="1181"/>
      <c r="AD85" s="1181"/>
      <c r="AE85" s="1181"/>
      <c r="AF85" s="1181"/>
      <c r="AG85" s="1181"/>
      <c r="AH85" s="1181"/>
      <c r="AI85" s="1181"/>
      <c r="AJ85" s="1181"/>
      <c r="AK85" s="1181"/>
      <c r="AL85" s="1181"/>
      <c r="AM85" s="1181"/>
      <c r="AN85" s="1181"/>
      <c r="AO85" s="1181"/>
      <c r="AP85" s="1181"/>
      <c r="AQ85" s="1181"/>
    </row>
    <row r="86" spans="1:43" x14ac:dyDescent="0.2">
      <c r="A86" s="1181"/>
      <c r="B86" s="1181"/>
      <c r="C86" s="1181"/>
      <c r="D86" s="1181"/>
      <c r="E86" s="1181"/>
      <c r="F86" s="1181"/>
      <c r="G86" s="1181"/>
      <c r="H86" s="1181"/>
      <c r="I86" s="1181"/>
      <c r="J86" s="1181"/>
      <c r="K86" s="1181"/>
      <c r="L86" s="1181"/>
      <c r="M86" s="1181"/>
      <c r="N86" s="1181"/>
      <c r="O86" s="1181"/>
      <c r="P86" s="1181"/>
      <c r="Q86" s="1181"/>
      <c r="R86" s="1181"/>
      <c r="S86" s="1181"/>
      <c r="T86" s="1181"/>
      <c r="U86" s="1181"/>
      <c r="V86" s="1181"/>
      <c r="W86" s="1181"/>
      <c r="X86" s="1181"/>
      <c r="Y86" s="1181"/>
      <c r="Z86" s="1181"/>
      <c r="AA86" s="1181"/>
      <c r="AB86" s="1181"/>
      <c r="AC86" s="1181"/>
      <c r="AD86" s="1181"/>
      <c r="AE86" s="1181"/>
      <c r="AF86" s="1181"/>
      <c r="AG86" s="1181"/>
      <c r="AH86" s="1181"/>
      <c r="AI86" s="1181"/>
      <c r="AJ86" s="1181"/>
      <c r="AK86" s="1181"/>
      <c r="AL86" s="1181"/>
      <c r="AM86" s="1181"/>
      <c r="AN86" s="1181"/>
      <c r="AO86" s="1181"/>
      <c r="AP86" s="1181"/>
      <c r="AQ86" s="1181"/>
    </row>
    <row r="87" spans="1:43" x14ac:dyDescent="0.2">
      <c r="A87" s="1181"/>
      <c r="B87" s="1181"/>
      <c r="C87" s="1181"/>
      <c r="D87" s="1181"/>
      <c r="E87" s="1181"/>
      <c r="F87" s="1181"/>
      <c r="G87" s="1181"/>
      <c r="H87" s="1181"/>
      <c r="I87" s="1181"/>
      <c r="J87" s="1181"/>
      <c r="K87" s="1181"/>
      <c r="L87" s="1181"/>
      <c r="M87" s="1181"/>
      <c r="N87" s="1181"/>
      <c r="O87" s="1181"/>
      <c r="P87" s="1181"/>
      <c r="Q87" s="1181"/>
      <c r="R87" s="1181"/>
      <c r="S87" s="1181"/>
      <c r="T87" s="1181"/>
      <c r="U87" s="1181"/>
      <c r="V87" s="1181"/>
      <c r="W87" s="1181"/>
      <c r="X87" s="1181"/>
      <c r="Y87" s="1181"/>
      <c r="Z87" s="1181"/>
      <c r="AA87" s="1181"/>
      <c r="AB87" s="1181"/>
      <c r="AC87" s="1181"/>
      <c r="AD87" s="1181"/>
      <c r="AE87" s="1181"/>
      <c r="AF87" s="1181"/>
      <c r="AG87" s="1181"/>
      <c r="AH87" s="1181"/>
      <c r="AI87" s="1181"/>
      <c r="AJ87" s="1181"/>
      <c r="AK87" s="1181"/>
      <c r="AL87" s="1181"/>
      <c r="AM87" s="1181"/>
      <c r="AN87" s="1181"/>
      <c r="AO87" s="1181"/>
      <c r="AP87" s="1181"/>
      <c r="AQ87" s="1181"/>
    </row>
    <row r="88" spans="1:43" x14ac:dyDescent="0.2">
      <c r="A88" s="1181"/>
      <c r="B88" s="1181"/>
      <c r="C88" s="1181"/>
      <c r="D88" s="1181"/>
      <c r="E88" s="1181"/>
      <c r="F88" s="1181"/>
      <c r="G88" s="1181"/>
      <c r="H88" s="1181"/>
      <c r="I88" s="1181"/>
      <c r="J88" s="1181"/>
      <c r="K88" s="1181"/>
      <c r="L88" s="1181"/>
      <c r="M88" s="1181"/>
      <c r="N88" s="1181"/>
      <c r="O88" s="1181"/>
      <c r="P88" s="1181"/>
      <c r="Q88" s="1181"/>
      <c r="R88" s="1181"/>
      <c r="S88" s="1181"/>
      <c r="T88" s="1181"/>
      <c r="U88" s="1181"/>
      <c r="V88" s="1181"/>
      <c r="W88" s="1181"/>
      <c r="X88" s="1181"/>
      <c r="Y88" s="1181"/>
      <c r="Z88" s="1181"/>
      <c r="AA88" s="1181"/>
      <c r="AB88" s="1181"/>
      <c r="AC88" s="1181"/>
      <c r="AD88" s="1181"/>
      <c r="AE88" s="1181"/>
      <c r="AF88" s="1181"/>
      <c r="AG88" s="1181"/>
      <c r="AH88" s="1181"/>
      <c r="AI88" s="1181"/>
      <c r="AJ88" s="1181"/>
      <c r="AK88" s="1181"/>
      <c r="AL88" s="1181"/>
      <c r="AM88" s="1181"/>
      <c r="AN88" s="1181"/>
      <c r="AO88" s="1181"/>
      <c r="AP88" s="1181"/>
      <c r="AQ88" s="1181"/>
    </row>
    <row r="89" spans="1:43" x14ac:dyDescent="0.2">
      <c r="A89" s="1181"/>
      <c r="B89" s="1181"/>
      <c r="C89" s="1181"/>
      <c r="D89" s="1181"/>
      <c r="E89" s="1181"/>
      <c r="F89" s="1181"/>
      <c r="G89" s="1181"/>
      <c r="H89" s="1181"/>
      <c r="I89" s="1181"/>
      <c r="J89" s="1181"/>
      <c r="K89" s="1181"/>
      <c r="L89" s="1181"/>
      <c r="M89" s="1181"/>
      <c r="N89" s="1181"/>
      <c r="O89" s="1181"/>
      <c r="P89" s="1181"/>
      <c r="Q89" s="1181"/>
      <c r="R89" s="1181"/>
      <c r="S89" s="1181"/>
      <c r="T89" s="1181"/>
      <c r="U89" s="1181"/>
      <c r="V89" s="1181"/>
      <c r="W89" s="1181"/>
      <c r="X89" s="1181"/>
      <c r="Y89" s="1181"/>
      <c r="Z89" s="1181"/>
      <c r="AA89" s="1181"/>
      <c r="AB89" s="1181"/>
      <c r="AC89" s="1181"/>
      <c r="AD89" s="1181"/>
      <c r="AE89" s="1181"/>
      <c r="AF89" s="1181"/>
      <c r="AG89" s="1181"/>
      <c r="AH89" s="1181"/>
      <c r="AI89" s="1181"/>
      <c r="AJ89" s="1181"/>
      <c r="AK89" s="1181"/>
      <c r="AL89" s="1181"/>
      <c r="AM89" s="1181"/>
      <c r="AN89" s="1181"/>
      <c r="AO89" s="1181"/>
      <c r="AP89" s="1181"/>
      <c r="AQ89" s="1181"/>
    </row>
    <row r="90" spans="1:43" x14ac:dyDescent="0.2">
      <c r="A90" s="1181"/>
      <c r="B90" s="1181"/>
      <c r="C90" s="1181"/>
      <c r="D90" s="1181"/>
      <c r="E90" s="1181"/>
      <c r="F90" s="1181"/>
      <c r="G90" s="1181"/>
      <c r="H90" s="1181"/>
      <c r="I90" s="1181"/>
      <c r="J90" s="1181"/>
      <c r="K90" s="1181"/>
      <c r="L90" s="1181"/>
      <c r="M90" s="1181"/>
      <c r="N90" s="1181"/>
      <c r="O90" s="1181"/>
      <c r="P90" s="1181"/>
      <c r="Q90" s="1181"/>
      <c r="R90" s="1181"/>
      <c r="S90" s="1181"/>
      <c r="T90" s="1181"/>
      <c r="U90" s="1181"/>
      <c r="V90" s="1181"/>
      <c r="W90" s="1181"/>
      <c r="X90" s="1181"/>
      <c r="Y90" s="1181"/>
      <c r="Z90" s="1181"/>
      <c r="AA90" s="1181"/>
      <c r="AB90" s="1181"/>
      <c r="AC90" s="1181"/>
      <c r="AD90" s="1181"/>
      <c r="AE90" s="1181"/>
      <c r="AF90" s="1181"/>
      <c r="AG90" s="1181"/>
      <c r="AH90" s="1181"/>
      <c r="AI90" s="1181"/>
      <c r="AJ90" s="1181"/>
      <c r="AK90" s="1181"/>
      <c r="AL90" s="1181"/>
      <c r="AM90" s="1181"/>
      <c r="AN90" s="1181"/>
      <c r="AO90" s="1181"/>
      <c r="AP90" s="1181"/>
      <c r="AQ90" s="1181"/>
    </row>
    <row r="91" spans="1:43" x14ac:dyDescent="0.2">
      <c r="A91" s="1181"/>
      <c r="B91" s="1181"/>
      <c r="C91" s="1181"/>
      <c r="D91" s="1181"/>
      <c r="E91" s="1181"/>
      <c r="F91" s="1181"/>
      <c r="G91" s="1181"/>
      <c r="H91" s="1181"/>
      <c r="I91" s="1181"/>
      <c r="J91" s="1181"/>
      <c r="K91" s="1181"/>
      <c r="L91" s="1181"/>
      <c r="M91" s="1181"/>
      <c r="N91" s="1181"/>
      <c r="O91" s="1181"/>
      <c r="P91" s="1181"/>
      <c r="Q91" s="1181"/>
      <c r="R91" s="1181"/>
      <c r="S91" s="1181"/>
      <c r="T91" s="1181"/>
      <c r="U91" s="1181"/>
      <c r="V91" s="1181"/>
      <c r="W91" s="1181"/>
      <c r="X91" s="1181"/>
      <c r="Y91" s="1181"/>
      <c r="Z91" s="1181"/>
      <c r="AA91" s="1181"/>
      <c r="AB91" s="1181"/>
      <c r="AC91" s="1181"/>
      <c r="AD91" s="1181"/>
      <c r="AE91" s="1181"/>
      <c r="AF91" s="1181"/>
      <c r="AG91" s="1181"/>
      <c r="AH91" s="1181"/>
      <c r="AI91" s="1181"/>
      <c r="AJ91" s="1181"/>
      <c r="AK91" s="1181"/>
      <c r="AL91" s="1181"/>
      <c r="AM91" s="1181"/>
      <c r="AN91" s="1181"/>
      <c r="AO91" s="1181"/>
      <c r="AP91" s="1181"/>
      <c r="AQ91" s="1181"/>
    </row>
    <row r="92" spans="1:43" x14ac:dyDescent="0.2">
      <c r="A92" s="1181"/>
      <c r="B92" s="1181"/>
      <c r="C92" s="1181"/>
      <c r="D92" s="1181"/>
      <c r="E92" s="1181"/>
      <c r="F92" s="1181"/>
      <c r="G92" s="1181"/>
      <c r="H92" s="1181"/>
      <c r="I92" s="1181"/>
      <c r="J92" s="1181"/>
      <c r="K92" s="1181"/>
      <c r="L92" s="1181"/>
      <c r="M92" s="1181"/>
      <c r="N92" s="1181"/>
      <c r="O92" s="1181"/>
      <c r="P92" s="1181"/>
      <c r="Q92" s="1181"/>
      <c r="R92" s="1181"/>
      <c r="S92" s="1181"/>
      <c r="T92" s="1181"/>
      <c r="U92" s="1181"/>
      <c r="V92" s="1181"/>
      <c r="W92" s="1181"/>
      <c r="X92" s="1181"/>
      <c r="Y92" s="1181"/>
      <c r="Z92" s="1181"/>
      <c r="AA92" s="1181"/>
      <c r="AB92" s="1181"/>
      <c r="AC92" s="1181"/>
      <c r="AD92" s="1181"/>
      <c r="AE92" s="1181"/>
      <c r="AF92" s="1181"/>
      <c r="AG92" s="1181"/>
      <c r="AH92" s="1181"/>
      <c r="AI92" s="1181"/>
      <c r="AJ92" s="1181"/>
      <c r="AK92" s="1181"/>
      <c r="AL92" s="1181"/>
      <c r="AM92" s="1181"/>
      <c r="AN92" s="1181"/>
      <c r="AO92" s="1181"/>
      <c r="AP92" s="1181"/>
      <c r="AQ92" s="1181"/>
    </row>
    <row r="93" spans="1:43" x14ac:dyDescent="0.2">
      <c r="A93" s="1181"/>
      <c r="B93" s="1181"/>
      <c r="C93" s="1181"/>
      <c r="D93" s="1181"/>
      <c r="E93" s="1181"/>
      <c r="F93" s="1181"/>
      <c r="G93" s="1181"/>
      <c r="H93" s="1181"/>
      <c r="I93" s="1181"/>
      <c r="J93" s="1181"/>
      <c r="K93" s="1181"/>
      <c r="L93" s="1181"/>
      <c r="M93" s="1181"/>
      <c r="N93" s="1181"/>
      <c r="O93" s="1181"/>
      <c r="P93" s="1181"/>
      <c r="Q93" s="1181"/>
      <c r="R93" s="1181"/>
      <c r="S93" s="1181"/>
      <c r="T93" s="1181"/>
      <c r="U93" s="1181"/>
      <c r="V93" s="1181"/>
      <c r="W93" s="1181"/>
      <c r="X93" s="1181"/>
      <c r="Y93" s="1181"/>
      <c r="Z93" s="1181"/>
      <c r="AA93" s="1181"/>
      <c r="AB93" s="1181"/>
      <c r="AC93" s="1181"/>
      <c r="AD93" s="1181"/>
      <c r="AE93" s="1181"/>
      <c r="AF93" s="1181"/>
      <c r="AG93" s="1181"/>
      <c r="AH93" s="1181"/>
      <c r="AI93" s="1181"/>
      <c r="AJ93" s="1181"/>
      <c r="AK93" s="1181"/>
      <c r="AL93" s="1181"/>
      <c r="AM93" s="1181"/>
      <c r="AN93" s="1181"/>
      <c r="AO93" s="1181"/>
      <c r="AP93" s="1181"/>
      <c r="AQ93" s="1181"/>
    </row>
    <row r="94" spans="1:43" x14ac:dyDescent="0.2">
      <c r="A94" s="1181"/>
      <c r="B94" s="1181"/>
      <c r="C94" s="1181"/>
      <c r="D94" s="1181"/>
      <c r="E94" s="1181"/>
      <c r="F94" s="1181"/>
      <c r="G94" s="1181"/>
      <c r="H94" s="1181"/>
      <c r="I94" s="1181"/>
      <c r="J94" s="1181"/>
      <c r="K94" s="1181"/>
      <c r="L94" s="1181"/>
      <c r="M94" s="1181"/>
      <c r="N94" s="1181"/>
      <c r="O94" s="1181"/>
      <c r="P94" s="1181"/>
      <c r="Q94" s="1181"/>
      <c r="R94" s="1181"/>
      <c r="S94" s="1181"/>
      <c r="T94" s="1181"/>
      <c r="U94" s="1181"/>
      <c r="V94" s="1181"/>
      <c r="W94" s="1181"/>
      <c r="X94" s="1181"/>
      <c r="Y94" s="1181"/>
      <c r="Z94" s="1181"/>
      <c r="AA94" s="1181"/>
      <c r="AB94" s="1181"/>
      <c r="AC94" s="1181"/>
      <c r="AD94" s="1181"/>
      <c r="AE94" s="1181"/>
      <c r="AF94" s="1181"/>
      <c r="AG94" s="1181"/>
      <c r="AH94" s="1181"/>
      <c r="AI94" s="1181"/>
      <c r="AJ94" s="1181"/>
      <c r="AK94" s="1181"/>
      <c r="AL94" s="1181"/>
      <c r="AM94" s="1181"/>
      <c r="AN94" s="1181"/>
      <c r="AO94" s="1181"/>
      <c r="AP94" s="1181"/>
      <c r="AQ94" s="1181"/>
    </row>
    <row r="95" spans="1:43" x14ac:dyDescent="0.2">
      <c r="A95" s="1181"/>
      <c r="B95" s="1181"/>
      <c r="C95" s="1181"/>
      <c r="D95" s="1181"/>
      <c r="E95" s="1181"/>
      <c r="F95" s="1181"/>
      <c r="G95" s="1181"/>
      <c r="H95" s="1181"/>
      <c r="I95" s="1181"/>
      <c r="J95" s="1181"/>
      <c r="K95" s="1181"/>
      <c r="L95" s="1181"/>
      <c r="M95" s="1181"/>
      <c r="N95" s="1181"/>
      <c r="O95" s="1181"/>
      <c r="P95" s="1181"/>
      <c r="Q95" s="1181"/>
      <c r="R95" s="1181"/>
      <c r="S95" s="1181"/>
      <c r="T95" s="1181"/>
      <c r="U95" s="1181"/>
      <c r="V95" s="1181"/>
      <c r="W95" s="1181"/>
      <c r="X95" s="1181"/>
      <c r="Y95" s="1181"/>
      <c r="Z95" s="1181"/>
      <c r="AA95" s="1181"/>
      <c r="AB95" s="1181"/>
      <c r="AC95" s="1181"/>
      <c r="AD95" s="1181"/>
      <c r="AE95" s="1181"/>
      <c r="AF95" s="1181"/>
      <c r="AG95" s="1181"/>
      <c r="AH95" s="1181"/>
      <c r="AI95" s="1181"/>
      <c r="AJ95" s="1181"/>
      <c r="AK95" s="1181"/>
      <c r="AL95" s="1181"/>
      <c r="AM95" s="1181"/>
      <c r="AN95" s="1181"/>
      <c r="AO95" s="1181"/>
      <c r="AP95" s="1181"/>
      <c r="AQ95" s="1181"/>
    </row>
    <row r="96" spans="1:43" x14ac:dyDescent="0.2">
      <c r="A96" s="1181"/>
      <c r="B96" s="1181"/>
      <c r="C96" s="1181"/>
      <c r="D96" s="1181"/>
      <c r="E96" s="1181"/>
      <c r="F96" s="1181"/>
      <c r="G96" s="1181"/>
      <c r="H96" s="1181"/>
      <c r="I96" s="1181"/>
      <c r="J96" s="1181"/>
      <c r="K96" s="1181"/>
      <c r="L96" s="1181"/>
      <c r="M96" s="1181"/>
      <c r="N96" s="1181"/>
      <c r="O96" s="1181"/>
      <c r="P96" s="1181"/>
      <c r="Q96" s="1181"/>
      <c r="R96" s="1181"/>
      <c r="S96" s="1181"/>
      <c r="T96" s="1181"/>
      <c r="U96" s="1181"/>
      <c r="V96" s="1181"/>
      <c r="W96" s="1181"/>
      <c r="X96" s="1181"/>
      <c r="Y96" s="1181"/>
      <c r="Z96" s="1181"/>
      <c r="AA96" s="1181"/>
      <c r="AB96" s="1181"/>
      <c r="AC96" s="1181"/>
      <c r="AD96" s="1181"/>
      <c r="AE96" s="1181"/>
      <c r="AF96" s="1181"/>
      <c r="AG96" s="1181"/>
      <c r="AH96" s="1181"/>
      <c r="AI96" s="1181"/>
      <c r="AJ96" s="1181"/>
      <c r="AK96" s="1181"/>
      <c r="AL96" s="1181"/>
      <c r="AM96" s="1181"/>
      <c r="AN96" s="1181"/>
      <c r="AO96" s="1181"/>
      <c r="AP96" s="1181"/>
      <c r="AQ96" s="1181"/>
    </row>
    <row r="97" spans="1:43" x14ac:dyDescent="0.2">
      <c r="A97" s="1181"/>
      <c r="B97" s="1181"/>
      <c r="C97" s="1181"/>
      <c r="D97" s="1181"/>
      <c r="E97" s="1181"/>
      <c r="F97" s="1181"/>
      <c r="G97" s="1181"/>
      <c r="H97" s="1181"/>
      <c r="I97" s="1181"/>
      <c r="J97" s="1181"/>
      <c r="K97" s="1181"/>
      <c r="L97" s="1181"/>
      <c r="M97" s="1181"/>
      <c r="N97" s="1181"/>
      <c r="O97" s="1181"/>
      <c r="P97" s="1181"/>
      <c r="Q97" s="1181"/>
      <c r="R97" s="1181"/>
      <c r="S97" s="1181"/>
      <c r="T97" s="1181"/>
      <c r="U97" s="1181"/>
      <c r="V97" s="1181"/>
      <c r="W97" s="1181"/>
      <c r="X97" s="1181"/>
      <c r="Y97" s="1181"/>
      <c r="Z97" s="1181"/>
      <c r="AA97" s="1181"/>
      <c r="AB97" s="1181"/>
      <c r="AC97" s="1181"/>
      <c r="AD97" s="1181"/>
      <c r="AE97" s="1181"/>
      <c r="AF97" s="1181"/>
      <c r="AG97" s="1181"/>
      <c r="AH97" s="1181"/>
      <c r="AI97" s="1181"/>
      <c r="AJ97" s="1181"/>
      <c r="AK97" s="1181"/>
      <c r="AL97" s="1181"/>
      <c r="AM97" s="1181"/>
      <c r="AN97" s="1181"/>
      <c r="AO97" s="1181"/>
      <c r="AP97" s="1181"/>
      <c r="AQ97" s="1181"/>
    </row>
    <row r="98" spans="1:43" x14ac:dyDescent="0.2">
      <c r="A98" s="1181"/>
      <c r="B98" s="1181"/>
      <c r="C98" s="1181"/>
      <c r="D98" s="1181"/>
      <c r="E98" s="1181"/>
      <c r="F98" s="1181"/>
      <c r="G98" s="1181"/>
      <c r="H98" s="1181"/>
      <c r="I98" s="1181"/>
      <c r="J98" s="1181"/>
      <c r="K98" s="1181"/>
      <c r="L98" s="1181"/>
      <c r="M98" s="1181"/>
      <c r="N98" s="1181"/>
      <c r="O98" s="1181"/>
      <c r="P98" s="1181"/>
      <c r="Q98" s="1181"/>
      <c r="R98" s="1181"/>
      <c r="S98" s="1181"/>
      <c r="T98" s="1181"/>
      <c r="U98" s="1181"/>
      <c r="V98" s="1181"/>
      <c r="W98" s="1181"/>
      <c r="X98" s="1181"/>
      <c r="Y98" s="1181"/>
      <c r="Z98" s="1181"/>
      <c r="AA98" s="1181"/>
      <c r="AB98" s="1181"/>
      <c r="AC98" s="1181"/>
      <c r="AD98" s="1181"/>
      <c r="AE98" s="1181"/>
      <c r="AF98" s="1181"/>
      <c r="AG98" s="1181"/>
      <c r="AH98" s="1181"/>
      <c r="AI98" s="1181"/>
      <c r="AJ98" s="1181"/>
      <c r="AK98" s="1181"/>
      <c r="AL98" s="1181"/>
      <c r="AM98" s="1181"/>
      <c r="AN98" s="1181"/>
      <c r="AO98" s="1181"/>
      <c r="AP98" s="1181"/>
      <c r="AQ98" s="1181"/>
    </row>
    <row r="99" spans="1:43" x14ac:dyDescent="0.2">
      <c r="A99" s="1181"/>
      <c r="B99" s="1181"/>
      <c r="C99" s="1181"/>
      <c r="D99" s="1181"/>
      <c r="E99" s="1181"/>
      <c r="F99" s="1181"/>
      <c r="G99" s="1181"/>
      <c r="H99" s="1181"/>
      <c r="I99" s="1181"/>
      <c r="J99" s="1181"/>
      <c r="K99" s="1181"/>
      <c r="L99" s="1181"/>
      <c r="M99" s="1181"/>
      <c r="N99" s="1181"/>
      <c r="O99" s="1181"/>
      <c r="P99" s="1181"/>
      <c r="Q99" s="1181"/>
      <c r="R99" s="1181"/>
      <c r="S99" s="1181"/>
      <c r="T99" s="1181"/>
      <c r="U99" s="1181"/>
      <c r="V99" s="1181"/>
      <c r="W99" s="1181"/>
      <c r="X99" s="1181"/>
      <c r="Y99" s="1181"/>
      <c r="Z99" s="1181"/>
      <c r="AA99" s="1181"/>
      <c r="AB99" s="1181"/>
      <c r="AC99" s="1181"/>
      <c r="AD99" s="1181"/>
      <c r="AE99" s="1181"/>
      <c r="AF99" s="1181"/>
      <c r="AG99" s="1181"/>
      <c r="AH99" s="1181"/>
      <c r="AI99" s="1181"/>
      <c r="AJ99" s="1181"/>
      <c r="AK99" s="1181"/>
      <c r="AL99" s="1181"/>
      <c r="AM99" s="1181"/>
      <c r="AN99" s="1181"/>
      <c r="AO99" s="1181"/>
      <c r="AP99" s="1181"/>
      <c r="AQ99" s="1181"/>
    </row>
    <row r="100" spans="1:43" x14ac:dyDescent="0.2">
      <c r="A100" s="1181"/>
      <c r="B100" s="1181"/>
      <c r="C100" s="1181"/>
      <c r="D100" s="1181"/>
      <c r="E100" s="1181"/>
      <c r="F100" s="1181"/>
      <c r="G100" s="1181"/>
      <c r="H100" s="1181"/>
      <c r="I100" s="1181"/>
      <c r="J100" s="1181"/>
      <c r="K100" s="1181"/>
      <c r="L100" s="1181"/>
      <c r="M100" s="1181"/>
      <c r="N100" s="1181"/>
      <c r="O100" s="1181"/>
      <c r="P100" s="1181"/>
      <c r="Q100" s="1181"/>
      <c r="R100" s="1181"/>
      <c r="S100" s="1181"/>
      <c r="T100" s="1181"/>
      <c r="U100" s="1181"/>
      <c r="V100" s="1181"/>
      <c r="W100" s="1181"/>
      <c r="X100" s="1181"/>
      <c r="Y100" s="1181"/>
      <c r="Z100" s="1181"/>
      <c r="AA100" s="1181"/>
      <c r="AB100" s="1181"/>
      <c r="AC100" s="1181"/>
      <c r="AD100" s="1181"/>
      <c r="AE100" s="1181"/>
      <c r="AF100" s="1181"/>
      <c r="AG100" s="1181"/>
      <c r="AH100" s="1181"/>
      <c r="AI100" s="1181"/>
      <c r="AJ100" s="1181"/>
      <c r="AK100" s="1181"/>
      <c r="AL100" s="1181"/>
      <c r="AM100" s="1181"/>
      <c r="AN100" s="1181"/>
      <c r="AO100" s="1181"/>
      <c r="AP100" s="1181"/>
      <c r="AQ100" s="1181"/>
    </row>
    <row r="101" spans="1:43" x14ac:dyDescent="0.2">
      <c r="A101" s="1181"/>
      <c r="B101" s="1181"/>
      <c r="C101" s="1181"/>
      <c r="D101" s="1181"/>
      <c r="E101" s="1181"/>
      <c r="F101" s="1181"/>
      <c r="G101" s="1181"/>
      <c r="H101" s="1181"/>
      <c r="I101" s="1181"/>
      <c r="J101" s="1181"/>
      <c r="K101" s="1181"/>
      <c r="L101" s="1181"/>
      <c r="M101" s="1181"/>
      <c r="N101" s="1181"/>
      <c r="O101" s="1181"/>
      <c r="P101" s="1181"/>
      <c r="Q101" s="1181"/>
      <c r="R101" s="1181"/>
      <c r="S101" s="1181"/>
      <c r="T101" s="1181"/>
      <c r="U101" s="1181"/>
      <c r="V101" s="1181"/>
      <c r="W101" s="1181"/>
      <c r="X101" s="1181"/>
      <c r="Y101" s="1181"/>
      <c r="Z101" s="1181"/>
      <c r="AA101" s="1181"/>
      <c r="AB101" s="1181"/>
      <c r="AC101" s="1181"/>
      <c r="AD101" s="1181"/>
      <c r="AE101" s="1181"/>
      <c r="AF101" s="1181"/>
      <c r="AG101" s="1181"/>
      <c r="AH101" s="1181"/>
      <c r="AI101" s="1181"/>
      <c r="AJ101" s="1181"/>
      <c r="AK101" s="1181"/>
      <c r="AL101" s="1181"/>
      <c r="AM101" s="1181"/>
      <c r="AN101" s="1181"/>
      <c r="AO101" s="1181"/>
      <c r="AP101" s="1181"/>
      <c r="AQ101" s="1181"/>
    </row>
    <row r="102" spans="1:43" x14ac:dyDescent="0.2">
      <c r="A102" s="1181"/>
      <c r="B102" s="1181"/>
      <c r="C102" s="1181"/>
      <c r="D102" s="1181"/>
      <c r="E102" s="1181"/>
      <c r="F102" s="1181"/>
      <c r="G102" s="1181"/>
      <c r="H102" s="1181"/>
      <c r="I102" s="1181"/>
      <c r="J102" s="1181"/>
      <c r="K102" s="1181"/>
      <c r="L102" s="1181"/>
      <c r="M102" s="1181"/>
      <c r="N102" s="1181"/>
      <c r="O102" s="1181"/>
      <c r="P102" s="1181"/>
      <c r="Q102" s="1181"/>
      <c r="R102" s="1181"/>
      <c r="S102" s="1181"/>
      <c r="T102" s="1181"/>
      <c r="U102" s="1181"/>
      <c r="V102" s="1181"/>
      <c r="W102" s="1181"/>
      <c r="X102" s="1181"/>
      <c r="Y102" s="1181"/>
      <c r="Z102" s="1181"/>
      <c r="AA102" s="1181"/>
      <c r="AB102" s="1181"/>
      <c r="AC102" s="1181"/>
      <c r="AD102" s="1181"/>
      <c r="AE102" s="1181"/>
      <c r="AF102" s="1181"/>
      <c r="AG102" s="1181"/>
      <c r="AH102" s="1181"/>
      <c r="AI102" s="1181"/>
      <c r="AJ102" s="1181"/>
      <c r="AK102" s="1181"/>
      <c r="AL102" s="1181"/>
      <c r="AM102" s="1181"/>
      <c r="AN102" s="1181"/>
      <c r="AO102" s="1181"/>
      <c r="AP102" s="1181"/>
      <c r="AQ102" s="1181"/>
    </row>
    <row r="103" spans="1:43" x14ac:dyDescent="0.2">
      <c r="A103" s="1181"/>
      <c r="B103" s="1181"/>
      <c r="C103" s="1181"/>
      <c r="D103" s="1181"/>
      <c r="E103" s="1181"/>
      <c r="F103" s="1181"/>
      <c r="G103" s="1181"/>
      <c r="H103" s="1181"/>
      <c r="I103" s="1181"/>
      <c r="J103" s="1181"/>
      <c r="K103" s="1181"/>
      <c r="L103" s="1181"/>
      <c r="M103" s="1181"/>
      <c r="N103" s="1181"/>
      <c r="O103" s="1181"/>
      <c r="P103" s="1181"/>
      <c r="Q103" s="1181"/>
      <c r="R103" s="1181"/>
      <c r="S103" s="1181"/>
      <c r="T103" s="1181"/>
      <c r="U103" s="1181"/>
      <c r="V103" s="1181"/>
      <c r="W103" s="1181"/>
      <c r="X103" s="1181"/>
      <c r="Y103" s="1181"/>
      <c r="Z103" s="1181"/>
      <c r="AA103" s="1181"/>
      <c r="AB103" s="1181"/>
      <c r="AC103" s="1181"/>
      <c r="AD103" s="1181"/>
      <c r="AE103" s="1181"/>
      <c r="AF103" s="1181"/>
      <c r="AG103" s="1181"/>
      <c r="AH103" s="1181"/>
      <c r="AI103" s="1181"/>
      <c r="AJ103" s="1181"/>
      <c r="AK103" s="1181"/>
      <c r="AL103" s="1181"/>
      <c r="AM103" s="1181"/>
      <c r="AN103" s="1181"/>
      <c r="AO103" s="1181"/>
      <c r="AP103" s="1181"/>
      <c r="AQ103" s="1181"/>
    </row>
    <row r="104" spans="1:43" x14ac:dyDescent="0.2">
      <c r="A104" s="1181"/>
      <c r="B104" s="1181"/>
      <c r="C104" s="1181"/>
      <c r="D104" s="1181"/>
      <c r="E104" s="1181"/>
      <c r="F104" s="1181"/>
      <c r="G104" s="1181"/>
      <c r="H104" s="1181"/>
      <c r="I104" s="1181"/>
      <c r="J104" s="1181"/>
      <c r="K104" s="1181"/>
      <c r="L104" s="1181"/>
      <c r="M104" s="1181"/>
      <c r="N104" s="1181"/>
      <c r="O104" s="1181"/>
      <c r="P104" s="1181"/>
      <c r="Q104" s="1181"/>
      <c r="R104" s="1181"/>
      <c r="S104" s="1181"/>
      <c r="T104" s="1181"/>
      <c r="U104" s="1181"/>
      <c r="V104" s="1181"/>
      <c r="W104" s="1181"/>
      <c r="X104" s="1181"/>
      <c r="Y104" s="1181"/>
      <c r="Z104" s="1181"/>
      <c r="AA104" s="1181"/>
      <c r="AB104" s="1181"/>
      <c r="AC104" s="1181"/>
      <c r="AD104" s="1181"/>
      <c r="AE104" s="1181"/>
      <c r="AF104" s="1181"/>
      <c r="AG104" s="1181"/>
      <c r="AH104" s="1181"/>
      <c r="AI104" s="1181"/>
      <c r="AJ104" s="1181"/>
      <c r="AK104" s="1181"/>
      <c r="AL104" s="1181"/>
      <c r="AM104" s="1181"/>
      <c r="AN104" s="1181"/>
      <c r="AO104" s="1181"/>
      <c r="AP104" s="1181"/>
      <c r="AQ104" s="1181"/>
    </row>
    <row r="105" spans="1:43" x14ac:dyDescent="0.2">
      <c r="A105" s="1181"/>
      <c r="B105" s="1181"/>
      <c r="C105" s="1181"/>
      <c r="D105" s="1181"/>
      <c r="E105" s="1181"/>
      <c r="F105" s="1181"/>
      <c r="G105" s="1181"/>
      <c r="H105" s="1181"/>
      <c r="I105" s="1181"/>
      <c r="J105" s="1181"/>
      <c r="K105" s="1181"/>
      <c r="L105" s="1181"/>
      <c r="M105" s="1181"/>
      <c r="N105" s="1181"/>
      <c r="O105" s="1181"/>
      <c r="P105" s="1181"/>
      <c r="Q105" s="1181"/>
      <c r="R105" s="1181"/>
      <c r="S105" s="1181"/>
      <c r="T105" s="1181"/>
      <c r="U105" s="1181"/>
      <c r="V105" s="1181"/>
      <c r="W105" s="1181"/>
      <c r="X105" s="1181"/>
      <c r="Y105" s="1181"/>
      <c r="Z105" s="1181"/>
      <c r="AA105" s="1181"/>
      <c r="AB105" s="1181"/>
      <c r="AC105" s="1181"/>
      <c r="AD105" s="1181"/>
      <c r="AE105" s="1181"/>
      <c r="AF105" s="1181"/>
      <c r="AG105" s="1181"/>
      <c r="AH105" s="1181"/>
      <c r="AI105" s="1181"/>
      <c r="AJ105" s="1181"/>
      <c r="AK105" s="1181"/>
      <c r="AL105" s="1181"/>
      <c r="AM105" s="1181"/>
      <c r="AN105" s="1181"/>
      <c r="AO105" s="1181"/>
      <c r="AP105" s="1181"/>
      <c r="AQ105" s="1181"/>
    </row>
    <row r="106" spans="1:43" x14ac:dyDescent="0.2">
      <c r="A106" s="1181"/>
      <c r="B106" s="1181"/>
      <c r="C106" s="1181"/>
      <c r="D106" s="1181"/>
      <c r="E106" s="1181"/>
      <c r="F106" s="1181"/>
      <c r="G106" s="1181"/>
      <c r="H106" s="1181"/>
      <c r="I106" s="1181"/>
      <c r="J106" s="1181"/>
      <c r="K106" s="1181"/>
      <c r="L106" s="1181"/>
      <c r="M106" s="1181"/>
      <c r="N106" s="1181"/>
      <c r="O106" s="1181"/>
      <c r="P106" s="1181"/>
      <c r="Q106" s="1181"/>
      <c r="R106" s="1181"/>
      <c r="S106" s="1181"/>
      <c r="T106" s="1181"/>
      <c r="U106" s="1181"/>
      <c r="V106" s="1181"/>
      <c r="W106" s="1181"/>
      <c r="X106" s="1181"/>
      <c r="Y106" s="1181"/>
      <c r="Z106" s="1181"/>
      <c r="AA106" s="1181"/>
      <c r="AB106" s="1181"/>
      <c r="AC106" s="1181"/>
      <c r="AD106" s="1181"/>
      <c r="AE106" s="1181"/>
      <c r="AF106" s="1181"/>
      <c r="AG106" s="1181"/>
      <c r="AH106" s="1181"/>
      <c r="AI106" s="1181"/>
      <c r="AJ106" s="1181"/>
      <c r="AK106" s="1181"/>
      <c r="AL106" s="1181"/>
      <c r="AM106" s="1181"/>
      <c r="AN106" s="1181"/>
      <c r="AO106" s="1181"/>
      <c r="AP106" s="1181"/>
      <c r="AQ106" s="1181"/>
    </row>
    <row r="107" spans="1:43" x14ac:dyDescent="0.2">
      <c r="A107" s="1181"/>
      <c r="B107" s="1181"/>
      <c r="C107" s="1181"/>
      <c r="D107" s="1181"/>
      <c r="E107" s="1181"/>
      <c r="F107" s="1181"/>
      <c r="G107" s="1181"/>
      <c r="H107" s="1181"/>
      <c r="I107" s="1181"/>
      <c r="J107" s="1181"/>
      <c r="K107" s="1181"/>
      <c r="L107" s="1181"/>
      <c r="M107" s="1181"/>
      <c r="N107" s="1181"/>
      <c r="O107" s="1181"/>
      <c r="P107" s="1181"/>
      <c r="Q107" s="1181"/>
      <c r="R107" s="1181"/>
      <c r="S107" s="1181"/>
      <c r="T107" s="1181"/>
      <c r="U107" s="1181"/>
      <c r="V107" s="1181"/>
      <c r="W107" s="1181"/>
      <c r="X107" s="1181"/>
      <c r="Y107" s="1181"/>
      <c r="Z107" s="1181"/>
      <c r="AA107" s="1181"/>
      <c r="AB107" s="1181"/>
      <c r="AC107" s="1181"/>
      <c r="AD107" s="1181"/>
      <c r="AE107" s="1181"/>
      <c r="AF107" s="1181"/>
      <c r="AG107" s="1181"/>
      <c r="AH107" s="1181"/>
      <c r="AI107" s="1181"/>
      <c r="AJ107" s="1181"/>
      <c r="AK107" s="1181"/>
      <c r="AL107" s="1181"/>
      <c r="AM107" s="1181"/>
      <c r="AN107" s="1181"/>
      <c r="AO107" s="1181"/>
      <c r="AP107" s="1181"/>
      <c r="AQ107" s="1181"/>
    </row>
    <row r="108" spans="1:43" x14ac:dyDescent="0.2">
      <c r="A108" s="1181"/>
      <c r="B108" s="1181"/>
      <c r="C108" s="1181"/>
      <c r="D108" s="1181"/>
      <c r="E108" s="1181"/>
      <c r="F108" s="1181"/>
      <c r="G108" s="1181"/>
      <c r="H108" s="1181"/>
      <c r="I108" s="1181"/>
      <c r="J108" s="1181"/>
      <c r="K108" s="1181"/>
      <c r="L108" s="1181"/>
      <c r="M108" s="1181"/>
      <c r="N108" s="1181"/>
      <c r="O108" s="1181"/>
      <c r="P108" s="1181"/>
      <c r="Q108" s="1181"/>
      <c r="R108" s="1181"/>
      <c r="S108" s="1181"/>
      <c r="T108" s="1181"/>
      <c r="U108" s="1181"/>
      <c r="V108" s="1181"/>
      <c r="W108" s="1181"/>
      <c r="X108" s="1181"/>
      <c r="Y108" s="1181"/>
      <c r="Z108" s="1181"/>
      <c r="AA108" s="1181"/>
      <c r="AB108" s="1181"/>
      <c r="AC108" s="1181"/>
      <c r="AD108" s="1181"/>
      <c r="AE108" s="1181"/>
      <c r="AF108" s="1181"/>
      <c r="AG108" s="1181"/>
      <c r="AH108" s="1181"/>
      <c r="AI108" s="1181"/>
      <c r="AJ108" s="1181"/>
      <c r="AK108" s="1181"/>
      <c r="AL108" s="1181"/>
      <c r="AM108" s="1181"/>
      <c r="AN108" s="1181"/>
      <c r="AO108" s="1181"/>
      <c r="AP108" s="1181"/>
      <c r="AQ108" s="1181"/>
    </row>
    <row r="109" spans="1:43" x14ac:dyDescent="0.2">
      <c r="A109" s="1181"/>
      <c r="B109" s="1181"/>
      <c r="C109" s="1181"/>
      <c r="D109" s="1181"/>
      <c r="E109" s="1181"/>
      <c r="F109" s="1181"/>
      <c r="G109" s="1181"/>
      <c r="H109" s="1181"/>
      <c r="I109" s="1181"/>
      <c r="J109" s="1181"/>
      <c r="K109" s="1181"/>
      <c r="L109" s="1181"/>
      <c r="M109" s="1181"/>
      <c r="N109" s="1181"/>
      <c r="O109" s="1181"/>
      <c r="P109" s="1181"/>
      <c r="Q109" s="1181"/>
      <c r="R109" s="1181"/>
      <c r="S109" s="1181"/>
      <c r="T109" s="1181"/>
      <c r="U109" s="1181"/>
      <c r="V109" s="1181"/>
      <c r="W109" s="1181"/>
      <c r="X109" s="1181"/>
      <c r="Y109" s="1181"/>
      <c r="Z109" s="1181"/>
      <c r="AA109" s="1181"/>
      <c r="AB109" s="1181"/>
      <c r="AC109" s="1181"/>
      <c r="AD109" s="1181"/>
      <c r="AE109" s="1181"/>
      <c r="AF109" s="1181"/>
      <c r="AG109" s="1181"/>
      <c r="AH109" s="1181"/>
      <c r="AI109" s="1181"/>
      <c r="AJ109" s="1181"/>
      <c r="AK109" s="1181"/>
      <c r="AL109" s="1181"/>
      <c r="AM109" s="1181"/>
      <c r="AN109" s="1181"/>
      <c r="AO109" s="1181"/>
      <c r="AP109" s="1181"/>
      <c r="AQ109" s="1181"/>
    </row>
    <row r="110" spans="1:43" x14ac:dyDescent="0.2">
      <c r="A110" s="1181"/>
      <c r="B110" s="1181"/>
      <c r="C110" s="1181"/>
      <c r="D110" s="1181"/>
      <c r="E110" s="1181"/>
      <c r="F110" s="1181"/>
      <c r="G110" s="1181"/>
      <c r="H110" s="1181"/>
      <c r="I110" s="1181"/>
      <c r="J110" s="1181"/>
      <c r="K110" s="1181"/>
      <c r="L110" s="1181"/>
      <c r="M110" s="1181"/>
      <c r="N110" s="1181"/>
      <c r="O110" s="1181"/>
      <c r="P110" s="1181"/>
      <c r="Q110" s="1181"/>
      <c r="R110" s="1181"/>
      <c r="S110" s="1181"/>
      <c r="T110" s="1181"/>
      <c r="U110" s="1181"/>
      <c r="V110" s="1181"/>
      <c r="W110" s="1181"/>
      <c r="X110" s="1181"/>
      <c r="Y110" s="1181"/>
      <c r="Z110" s="1181"/>
      <c r="AA110" s="1181"/>
      <c r="AB110" s="1181"/>
      <c r="AC110" s="1181"/>
      <c r="AD110" s="1181"/>
      <c r="AE110" s="1181"/>
      <c r="AF110" s="1181"/>
      <c r="AG110" s="1181"/>
      <c r="AH110" s="1181"/>
      <c r="AI110" s="1181"/>
      <c r="AJ110" s="1181"/>
      <c r="AK110" s="1181"/>
      <c r="AL110" s="1181"/>
      <c r="AM110" s="1181"/>
      <c r="AN110" s="1181"/>
      <c r="AO110" s="1181"/>
      <c r="AP110" s="1181"/>
      <c r="AQ110" s="1181"/>
    </row>
    <row r="111" spans="1:43" x14ac:dyDescent="0.2">
      <c r="A111" s="1181"/>
      <c r="B111" s="1181"/>
      <c r="C111" s="1181"/>
      <c r="D111" s="1181"/>
      <c r="E111" s="1181"/>
      <c r="F111" s="1181"/>
      <c r="G111" s="1181"/>
      <c r="H111" s="1181"/>
      <c r="I111" s="1181"/>
      <c r="J111" s="1181"/>
      <c r="K111" s="1181"/>
      <c r="L111" s="1181"/>
      <c r="M111" s="1181"/>
      <c r="N111" s="1181"/>
      <c r="O111" s="1181"/>
      <c r="P111" s="1181"/>
      <c r="Q111" s="1181"/>
      <c r="R111" s="1181"/>
      <c r="S111" s="1181"/>
      <c r="T111" s="1181"/>
      <c r="U111" s="1181"/>
      <c r="V111" s="1181"/>
      <c r="W111" s="1181"/>
      <c r="X111" s="1181"/>
      <c r="Y111" s="1181"/>
      <c r="Z111" s="1181"/>
      <c r="AA111" s="1181"/>
      <c r="AB111" s="1181"/>
      <c r="AC111" s="1181"/>
      <c r="AD111" s="1181"/>
      <c r="AE111" s="1181"/>
      <c r="AF111" s="1181"/>
      <c r="AG111" s="1181"/>
      <c r="AH111" s="1181"/>
      <c r="AI111" s="1181"/>
      <c r="AJ111" s="1181"/>
      <c r="AK111" s="1181"/>
      <c r="AL111" s="1181"/>
      <c r="AM111" s="1181"/>
      <c r="AN111" s="1181"/>
      <c r="AO111" s="1181"/>
      <c r="AP111" s="1181"/>
      <c r="AQ111" s="1181"/>
    </row>
    <row r="112" spans="1:43" x14ac:dyDescent="0.2">
      <c r="A112" s="1181"/>
      <c r="B112" s="1181"/>
      <c r="C112" s="1181"/>
      <c r="D112" s="1181"/>
      <c r="E112" s="1181"/>
      <c r="F112" s="1181"/>
      <c r="G112" s="1181"/>
      <c r="H112" s="1181"/>
      <c r="I112" s="1181"/>
      <c r="J112" s="1181"/>
      <c r="K112" s="1181"/>
      <c r="L112" s="1181"/>
      <c r="M112" s="1181"/>
      <c r="N112" s="1181"/>
      <c r="O112" s="1181"/>
      <c r="P112" s="1181"/>
      <c r="Q112" s="1181"/>
      <c r="R112" s="1181"/>
      <c r="S112" s="1181"/>
      <c r="T112" s="1181"/>
      <c r="U112" s="1181"/>
      <c r="V112" s="1181"/>
      <c r="W112" s="1181"/>
      <c r="X112" s="1181"/>
      <c r="Y112" s="1181"/>
      <c r="Z112" s="1181"/>
      <c r="AA112" s="1181"/>
      <c r="AB112" s="1181"/>
      <c r="AC112" s="1181"/>
      <c r="AD112" s="1181"/>
      <c r="AE112" s="1181"/>
      <c r="AF112" s="1181"/>
      <c r="AG112" s="1181"/>
      <c r="AH112" s="1181"/>
      <c r="AI112" s="1181"/>
      <c r="AJ112" s="1181"/>
      <c r="AK112" s="1181"/>
      <c r="AL112" s="1181"/>
      <c r="AM112" s="1181"/>
      <c r="AN112" s="1181"/>
      <c r="AO112" s="1181"/>
      <c r="AP112" s="1181"/>
      <c r="AQ112" s="1181"/>
    </row>
    <row r="113" spans="1:43" x14ac:dyDescent="0.2">
      <c r="A113" s="1181"/>
      <c r="B113" s="1181"/>
      <c r="C113" s="1181"/>
      <c r="D113" s="1181"/>
      <c r="E113" s="1181"/>
      <c r="F113" s="1181"/>
      <c r="G113" s="1181"/>
      <c r="H113" s="1181"/>
      <c r="I113" s="1181"/>
      <c r="J113" s="1181"/>
      <c r="K113" s="1181"/>
      <c r="L113" s="1181"/>
      <c r="M113" s="1181"/>
      <c r="N113" s="1181"/>
      <c r="O113" s="1181"/>
      <c r="P113" s="1181"/>
      <c r="Q113" s="1181"/>
      <c r="R113" s="1181"/>
      <c r="S113" s="1181"/>
      <c r="T113" s="1181"/>
      <c r="U113" s="1181"/>
      <c r="V113" s="1181"/>
      <c r="W113" s="1181"/>
      <c r="X113" s="1181"/>
      <c r="Y113" s="1181"/>
      <c r="Z113" s="1181"/>
      <c r="AA113" s="1181"/>
      <c r="AB113" s="1181"/>
      <c r="AC113" s="1181"/>
      <c r="AD113" s="1181"/>
      <c r="AE113" s="1181"/>
      <c r="AF113" s="1181"/>
      <c r="AG113" s="1181"/>
      <c r="AH113" s="1181"/>
      <c r="AI113" s="1181"/>
      <c r="AJ113" s="1181"/>
      <c r="AK113" s="1181"/>
      <c r="AL113" s="1181"/>
      <c r="AM113" s="1181"/>
      <c r="AN113" s="1181"/>
      <c r="AO113" s="1181"/>
      <c r="AP113" s="1181"/>
      <c r="AQ113" s="1181"/>
    </row>
    <row r="114" spans="1:43" x14ac:dyDescent="0.2">
      <c r="A114" s="1181"/>
      <c r="B114" s="1181"/>
      <c r="C114" s="1181"/>
      <c r="D114" s="1181"/>
      <c r="E114" s="1181"/>
      <c r="F114" s="1181"/>
      <c r="G114" s="1181"/>
      <c r="H114" s="1181"/>
      <c r="I114" s="1181"/>
      <c r="J114" s="1181"/>
      <c r="K114" s="1181"/>
      <c r="L114" s="1181"/>
      <c r="M114" s="1181"/>
      <c r="N114" s="1181"/>
      <c r="O114" s="1181"/>
      <c r="P114" s="1181"/>
      <c r="Q114" s="1181"/>
      <c r="R114" s="1181"/>
      <c r="S114" s="1181"/>
      <c r="T114" s="1181"/>
      <c r="U114" s="1181"/>
      <c r="V114" s="1181"/>
      <c r="W114" s="1181"/>
      <c r="X114" s="1181"/>
      <c r="Y114" s="1181"/>
      <c r="Z114" s="1181"/>
      <c r="AA114" s="1181"/>
      <c r="AB114" s="1181"/>
      <c r="AC114" s="1181"/>
      <c r="AD114" s="1181"/>
      <c r="AE114" s="1181"/>
      <c r="AF114" s="1181"/>
      <c r="AG114" s="1181"/>
      <c r="AH114" s="1181"/>
      <c r="AI114" s="1181"/>
      <c r="AJ114" s="1181"/>
      <c r="AK114" s="1181"/>
      <c r="AL114" s="1181"/>
      <c r="AM114" s="1181"/>
      <c r="AN114" s="1181"/>
      <c r="AO114" s="1181"/>
      <c r="AP114" s="1181"/>
      <c r="AQ114" s="1181"/>
    </row>
  </sheetData>
  <sheetProtection algorithmName="SHA-512" hashValue="BcCOFadARY5iFK0w+IpS1BZCNY0wCftDqJ0rRjKzJFMz3X9wcanlcZgREaCjWJU4Q/9I7VRNMxS+I8M4Sg1Fng==" saltValue="ZCJbODPXin8mSGY5Nrlykw==" spinCount="100000" sheet="1" objects="1" scenarios="1"/>
  <mergeCells count="6">
    <mergeCell ref="B44:K45"/>
    <mergeCell ref="A40:AQ40"/>
    <mergeCell ref="A9:L9"/>
    <mergeCell ref="A10:L10"/>
    <mergeCell ref="M12:N12"/>
    <mergeCell ref="A41:AQ41"/>
  </mergeCells>
  <conditionalFormatting sqref="E14:E15 E19:E21">
    <cfRule type="expression" dxfId="73" priority="693">
      <formula>$E$11&gt;=$M$1</formula>
    </cfRule>
  </conditionalFormatting>
  <conditionalFormatting sqref="D14:D15 D19:D21">
    <cfRule type="expression" dxfId="72" priority="705">
      <formula>$D$11&gt;=$M$1</formula>
    </cfRule>
  </conditionalFormatting>
  <conditionalFormatting sqref="B14:B15 B19:B21">
    <cfRule type="expression" dxfId="71" priority="712">
      <formula>$M$1=$C$11</formula>
    </cfRule>
  </conditionalFormatting>
  <conditionalFormatting sqref="C14:C15">
    <cfRule type="expression" dxfId="70" priority="10">
      <formula>$H$11&gt;=$T$1</formula>
    </cfRule>
  </conditionalFormatting>
  <conditionalFormatting sqref="F14:F15">
    <cfRule type="expression" dxfId="69" priority="9">
      <formula>$J$11&gt;=$T$1</formula>
    </cfRule>
  </conditionalFormatting>
  <conditionalFormatting sqref="G14:G15">
    <cfRule type="expression" dxfId="68" priority="8">
      <formula>$L$11&gt;=$T$1</formula>
    </cfRule>
  </conditionalFormatting>
  <conditionalFormatting sqref="H14:H15">
    <cfRule type="expression" dxfId="67" priority="7">
      <formula>$N$11&gt;=$T$1</formula>
    </cfRule>
  </conditionalFormatting>
  <conditionalFormatting sqref="I14:I15">
    <cfRule type="expression" dxfId="66" priority="6">
      <formula>$P$11&gt;=$T$1</formula>
    </cfRule>
  </conditionalFormatting>
  <conditionalFormatting sqref="C19:C21">
    <cfRule type="expression" dxfId="65" priority="5">
      <formula>$H$11&gt;=$T$1</formula>
    </cfRule>
  </conditionalFormatting>
  <conditionalFormatting sqref="F19:F21">
    <cfRule type="expression" dxfId="64" priority="4">
      <formula>$J$11&gt;=$T$1</formula>
    </cfRule>
  </conditionalFormatting>
  <conditionalFormatting sqref="G19:G21">
    <cfRule type="expression" dxfId="63" priority="3">
      <formula>$L$11&gt;=$T$1</formula>
    </cfRule>
  </conditionalFormatting>
  <conditionalFormatting sqref="H19:H21">
    <cfRule type="expression" dxfId="62" priority="2">
      <formula>$N$11&gt;=$T$1</formula>
    </cfRule>
  </conditionalFormatting>
  <conditionalFormatting sqref="I19:I21">
    <cfRule type="expression" dxfId="61" priority="1">
      <formula>$P$11&gt;=$T$1</formula>
    </cfRule>
  </conditionalFormatting>
  <dataValidations count="2">
    <dataValidation allowBlank="1" showInputMessage="1" showErrorMessage="1" promptTitle="Date Format" prompt="E.g:  &quot;August 1, 2011&quot;" sqref="L7" xr:uid="{00000000-0002-0000-1E00-000000000000}"/>
    <dataValidation type="list" allowBlank="1" showInputMessage="1" showErrorMessage="1" sqref="B13:L13" xr:uid="{00000000-0002-0000-1E00-000001000000}">
      <formula1>"CGAAP, MIFRS, USGAAP, ASPE"</formula1>
    </dataValidation>
  </dataValidations>
  <pageMargins left="0.75" right="0.75" top="1" bottom="1" header="0.5" footer="0.5"/>
  <pageSetup scale="77" fitToHeight="0" orientation="landscape" r:id="rId1"/>
  <headerFooter alignWithMargins="0"/>
  <colBreaks count="1" manualBreakCount="1">
    <brk id="13"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7" tint="0.39997558519241921"/>
  </sheetPr>
  <dimension ref="A1:H56"/>
  <sheetViews>
    <sheetView workbookViewId="0"/>
  </sheetViews>
  <sheetFormatPr defaultRowHeight="12.75" x14ac:dyDescent="0.2"/>
  <cols>
    <col min="1" max="1" width="10.5703125" bestFit="1" customWidth="1"/>
    <col min="2" max="2" width="10.28515625" bestFit="1" customWidth="1"/>
    <col min="3" max="3" width="8.7109375" bestFit="1" customWidth="1"/>
    <col min="4" max="4" width="10.7109375" bestFit="1" customWidth="1"/>
    <col min="5" max="5" width="17" bestFit="1" customWidth="1"/>
    <col min="6" max="6" width="46.5703125" bestFit="1" customWidth="1"/>
    <col min="7" max="7" width="41.7109375" customWidth="1"/>
  </cols>
  <sheetData>
    <row r="1" spans="1:8" x14ac:dyDescent="0.2">
      <c r="A1" t="s">
        <v>1081</v>
      </c>
      <c r="B1" t="s">
        <v>1082</v>
      </c>
      <c r="C1" t="s">
        <v>277</v>
      </c>
      <c r="D1" t="s">
        <v>276</v>
      </c>
      <c r="E1" t="s">
        <v>275</v>
      </c>
      <c r="F1" t="s">
        <v>1099</v>
      </c>
      <c r="G1" t="s">
        <v>10</v>
      </c>
      <c r="H1" t="s">
        <v>1084</v>
      </c>
    </row>
    <row r="2" spans="1:8" x14ac:dyDescent="0.2">
      <c r="A2" t="str">
        <f>'LDC Info'!$E$14</f>
        <v>Greater Sudbury Hydro Inc.</v>
      </c>
      <c r="B2" t="str">
        <f t="shared" ref="B2:B18" si="0">EBNUMBER</f>
        <v>EB-2019-0037</v>
      </c>
      <c r="C2">
        <f t="shared" ref="C2:C18" si="1">TestYear</f>
        <v>2020</v>
      </c>
      <c r="D2">
        <f t="shared" ref="D2:D18" si="2">BridgeYear</f>
        <v>2019</v>
      </c>
      <c r="E2">
        <f t="shared" ref="E2:E18" si="3">RebaseYear</f>
        <v>2013</v>
      </c>
      <c r="F2" t="s">
        <v>98</v>
      </c>
      <c r="G2" t="str">
        <f>'App.2-JA_OM&amp;A_Summary_Analys'!$B$12</f>
        <v>2013 Last Rebasing Year OEB Approved</v>
      </c>
      <c r="H2">
        <f>'App.2-JA_OM&amp;A_Summary_Analys'!B$14</f>
        <v>5993671</v>
      </c>
    </row>
    <row r="3" spans="1:8" x14ac:dyDescent="0.2">
      <c r="A3" t="str">
        <f>'LDC Info'!$E$14</f>
        <v>Greater Sudbury Hydro Inc.</v>
      </c>
      <c r="B3" t="str">
        <f t="shared" si="0"/>
        <v>EB-2019-0037</v>
      </c>
      <c r="C3">
        <f t="shared" si="1"/>
        <v>2020</v>
      </c>
      <c r="D3">
        <f t="shared" si="2"/>
        <v>2019</v>
      </c>
      <c r="E3">
        <f t="shared" si="3"/>
        <v>2013</v>
      </c>
      <c r="F3" t="s">
        <v>99</v>
      </c>
      <c r="G3" t="str">
        <f>'App.2-JA_OM&amp;A_Summary_Analys'!$B$12</f>
        <v>2013 Last Rebasing Year OEB Approved</v>
      </c>
      <c r="H3">
        <f>'App.2-JA_OM&amp;A_Summary_Analys'!B$15</f>
        <v>1994623</v>
      </c>
    </row>
    <row r="4" spans="1:8" x14ac:dyDescent="0.2">
      <c r="A4" t="str">
        <f>'LDC Info'!$E$14</f>
        <v>Greater Sudbury Hydro Inc.</v>
      </c>
      <c r="B4" t="str">
        <f t="shared" si="0"/>
        <v>EB-2019-0037</v>
      </c>
      <c r="C4">
        <f t="shared" si="1"/>
        <v>2020</v>
      </c>
      <c r="D4">
        <f t="shared" si="2"/>
        <v>2019</v>
      </c>
      <c r="E4">
        <f t="shared" si="3"/>
        <v>2013</v>
      </c>
      <c r="F4" t="s">
        <v>87</v>
      </c>
      <c r="G4" t="str">
        <f>'App.2-JA_OM&amp;A_Summary_Analys'!$B$12</f>
        <v>2013 Last Rebasing Year OEB Approved</v>
      </c>
      <c r="H4">
        <f>'App.2-JA_OM&amp;A_Summary_Analys'!B$19</f>
        <v>2114055</v>
      </c>
    </row>
    <row r="5" spans="1:8" x14ac:dyDescent="0.2">
      <c r="A5" t="str">
        <f>'LDC Info'!$E$14</f>
        <v>Greater Sudbury Hydro Inc.</v>
      </c>
      <c r="B5" t="str">
        <f t="shared" si="0"/>
        <v>EB-2019-0037</v>
      </c>
      <c r="C5">
        <f t="shared" si="1"/>
        <v>2020</v>
      </c>
      <c r="D5">
        <f t="shared" si="2"/>
        <v>2019</v>
      </c>
      <c r="E5">
        <f t="shared" si="3"/>
        <v>2013</v>
      </c>
      <c r="F5" t="s">
        <v>100</v>
      </c>
      <c r="G5" t="str">
        <f>'App.2-JA_OM&amp;A_Summary_Analys'!$B$12</f>
        <v>2013 Last Rebasing Year OEB Approved</v>
      </c>
      <c r="H5">
        <f>'App.2-JA_OM&amp;A_Summary_Analys'!B$20</f>
        <v>0</v>
      </c>
    </row>
    <row r="6" spans="1:8" x14ac:dyDescent="0.2">
      <c r="A6" t="str">
        <f>'LDC Info'!$E$14</f>
        <v>Greater Sudbury Hydro Inc.</v>
      </c>
      <c r="B6" t="str">
        <f t="shared" si="0"/>
        <v>EB-2019-0037</v>
      </c>
      <c r="C6">
        <f t="shared" si="1"/>
        <v>2020</v>
      </c>
      <c r="D6">
        <f t="shared" si="2"/>
        <v>2019</v>
      </c>
      <c r="E6">
        <f t="shared" si="3"/>
        <v>2013</v>
      </c>
      <c r="F6" t="s">
        <v>146</v>
      </c>
      <c r="G6" t="str">
        <f>'App.2-JA_OM&amp;A_Summary_Analys'!$B$12</f>
        <v>2013 Last Rebasing Year OEB Approved</v>
      </c>
      <c r="H6">
        <f>'App.2-JA_OM&amp;A_Summary_Analys'!B$21</f>
        <v>3835190</v>
      </c>
    </row>
    <row r="7" spans="1:8" x14ac:dyDescent="0.2">
      <c r="A7" t="str">
        <f>'LDC Info'!$E$14</f>
        <v>Greater Sudbury Hydro Inc.</v>
      </c>
      <c r="B7" t="str">
        <f t="shared" si="0"/>
        <v>EB-2019-0037</v>
      </c>
      <c r="C7">
        <f t="shared" si="1"/>
        <v>2020</v>
      </c>
      <c r="D7">
        <f t="shared" si="2"/>
        <v>2019</v>
      </c>
      <c r="E7">
        <f t="shared" si="3"/>
        <v>2013</v>
      </c>
      <c r="F7" t="s">
        <v>98</v>
      </c>
      <c r="G7" t="str">
        <f>'App.2-JA_OM&amp;A_Summary_Analys'!$C$12</f>
        <v>2013 Last Rebasing Year Actuals</v>
      </c>
      <c r="H7">
        <f>'App.2-JA_OM&amp;A_Summary_Analys'!C$14</f>
        <v>4735948.3400000101</v>
      </c>
    </row>
    <row r="8" spans="1:8" x14ac:dyDescent="0.2">
      <c r="A8" t="str">
        <f>'LDC Info'!$E$14</f>
        <v>Greater Sudbury Hydro Inc.</v>
      </c>
      <c r="B8" t="str">
        <f t="shared" si="0"/>
        <v>EB-2019-0037</v>
      </c>
      <c r="C8">
        <f t="shared" si="1"/>
        <v>2020</v>
      </c>
      <c r="D8">
        <f t="shared" si="2"/>
        <v>2019</v>
      </c>
      <c r="E8">
        <f t="shared" si="3"/>
        <v>2013</v>
      </c>
      <c r="F8" t="s">
        <v>99</v>
      </c>
      <c r="G8" t="str">
        <f>'App.2-JA_OM&amp;A_Summary_Analys'!$C$12</f>
        <v>2013 Last Rebasing Year Actuals</v>
      </c>
      <c r="H8">
        <f>'App.2-JA_OM&amp;A_Summary_Analys'!C$15</f>
        <v>2614037.3699999885</v>
      </c>
    </row>
    <row r="9" spans="1:8" x14ac:dyDescent="0.2">
      <c r="A9" t="str">
        <f>'LDC Info'!$E$14</f>
        <v>Greater Sudbury Hydro Inc.</v>
      </c>
      <c r="B9" t="str">
        <f t="shared" si="0"/>
        <v>EB-2019-0037</v>
      </c>
      <c r="C9">
        <f t="shared" si="1"/>
        <v>2020</v>
      </c>
      <c r="D9">
        <f t="shared" si="2"/>
        <v>2019</v>
      </c>
      <c r="E9">
        <f t="shared" si="3"/>
        <v>2013</v>
      </c>
      <c r="F9" t="s">
        <v>87</v>
      </c>
      <c r="G9" t="str">
        <f>'App.2-JA_OM&amp;A_Summary_Analys'!$C$12</f>
        <v>2013 Last Rebasing Year Actuals</v>
      </c>
      <c r="H9">
        <f>'App.2-JA_OM&amp;A_Summary_Analys'!C$19</f>
        <v>1866995.2000000014</v>
      </c>
    </row>
    <row r="10" spans="1:8" x14ac:dyDescent="0.2">
      <c r="A10" t="str">
        <f>'LDC Info'!$E$14</f>
        <v>Greater Sudbury Hydro Inc.</v>
      </c>
      <c r="B10" t="str">
        <f t="shared" si="0"/>
        <v>EB-2019-0037</v>
      </c>
      <c r="C10">
        <f t="shared" si="1"/>
        <v>2020</v>
      </c>
      <c r="D10">
        <f t="shared" si="2"/>
        <v>2019</v>
      </c>
      <c r="E10">
        <f t="shared" si="3"/>
        <v>2013</v>
      </c>
      <c r="F10" t="s">
        <v>100</v>
      </c>
      <c r="G10" t="str">
        <f>'App.2-JA_OM&amp;A_Summary_Analys'!$C$12</f>
        <v>2013 Last Rebasing Year Actuals</v>
      </c>
      <c r="H10">
        <f>'App.2-JA_OM&amp;A_Summary_Analys'!C$20</f>
        <v>524978.45999999461</v>
      </c>
    </row>
    <row r="11" spans="1:8" x14ac:dyDescent="0.2">
      <c r="A11" t="str">
        <f>'LDC Info'!$E$14</f>
        <v>Greater Sudbury Hydro Inc.</v>
      </c>
      <c r="B11" t="str">
        <f t="shared" si="0"/>
        <v>EB-2019-0037</v>
      </c>
      <c r="C11">
        <f t="shared" si="1"/>
        <v>2020</v>
      </c>
      <c r="D11">
        <f t="shared" si="2"/>
        <v>2019</v>
      </c>
      <c r="E11">
        <f t="shared" si="3"/>
        <v>2013</v>
      </c>
      <c r="F11" t="s">
        <v>146</v>
      </c>
      <c r="G11" t="str">
        <f>'App.2-JA_OM&amp;A_Summary_Analys'!$C$12</f>
        <v>2013 Last Rebasing Year Actuals</v>
      </c>
      <c r="H11">
        <f>'App.2-JA_OM&amp;A_Summary_Analys'!C$21</f>
        <v>4502706.5699999901</v>
      </c>
    </row>
    <row r="12" spans="1:8" x14ac:dyDescent="0.2">
      <c r="A12" t="str">
        <f>'LDC Info'!$E$14</f>
        <v>Greater Sudbury Hydro Inc.</v>
      </c>
      <c r="B12" t="str">
        <f t="shared" si="0"/>
        <v>EB-2019-0037</v>
      </c>
      <c r="C12">
        <f t="shared" si="1"/>
        <v>2020</v>
      </c>
      <c r="D12">
        <f t="shared" si="2"/>
        <v>2019</v>
      </c>
      <c r="E12">
        <f t="shared" si="3"/>
        <v>2013</v>
      </c>
      <c r="F12" t="s">
        <v>98</v>
      </c>
      <c r="G12" t="str">
        <f>'App.2-JA_OM&amp;A_Summary_Analys'!$D$12</f>
        <v>2012 Actuals</v>
      </c>
      <c r="H12">
        <f>'App.2-JA_OM&amp;A_Summary_Analys'!D$14</f>
        <v>0</v>
      </c>
    </row>
    <row r="13" spans="1:8" x14ac:dyDescent="0.2">
      <c r="A13" t="str">
        <f>'LDC Info'!$E$14</f>
        <v>Greater Sudbury Hydro Inc.</v>
      </c>
      <c r="B13" t="str">
        <f t="shared" si="0"/>
        <v>EB-2019-0037</v>
      </c>
      <c r="C13">
        <f t="shared" si="1"/>
        <v>2020</v>
      </c>
      <c r="D13">
        <f t="shared" si="2"/>
        <v>2019</v>
      </c>
      <c r="E13">
        <f t="shared" si="3"/>
        <v>2013</v>
      </c>
      <c r="F13" t="s">
        <v>99</v>
      </c>
      <c r="G13" t="str">
        <f>'App.2-JA_OM&amp;A_Summary_Analys'!$D$12</f>
        <v>2012 Actuals</v>
      </c>
      <c r="H13">
        <f>'App.2-JA_OM&amp;A_Summary_Analys'!D$15</f>
        <v>0</v>
      </c>
    </row>
    <row r="14" spans="1:8" x14ac:dyDescent="0.2">
      <c r="A14" t="str">
        <f>'LDC Info'!$E$14</f>
        <v>Greater Sudbury Hydro Inc.</v>
      </c>
      <c r="B14" t="str">
        <f t="shared" si="0"/>
        <v>EB-2019-0037</v>
      </c>
      <c r="C14">
        <f t="shared" si="1"/>
        <v>2020</v>
      </c>
      <c r="D14">
        <f t="shared" si="2"/>
        <v>2019</v>
      </c>
      <c r="E14">
        <f t="shared" si="3"/>
        <v>2013</v>
      </c>
      <c r="F14" t="s">
        <v>87</v>
      </c>
      <c r="G14" t="str">
        <f>'App.2-JA_OM&amp;A_Summary_Analys'!$D$12</f>
        <v>2012 Actuals</v>
      </c>
      <c r="H14">
        <f>'App.2-JA_OM&amp;A_Summary_Analys'!D$19</f>
        <v>0</v>
      </c>
    </row>
    <row r="15" spans="1:8" x14ac:dyDescent="0.2">
      <c r="A15" t="str">
        <f>'LDC Info'!$E$14</f>
        <v>Greater Sudbury Hydro Inc.</v>
      </c>
      <c r="B15" t="str">
        <f t="shared" si="0"/>
        <v>EB-2019-0037</v>
      </c>
      <c r="C15">
        <f t="shared" si="1"/>
        <v>2020</v>
      </c>
      <c r="D15">
        <f t="shared" si="2"/>
        <v>2019</v>
      </c>
      <c r="E15">
        <f t="shared" si="3"/>
        <v>2013</v>
      </c>
      <c r="F15" t="s">
        <v>100</v>
      </c>
      <c r="G15" t="str">
        <f>'App.2-JA_OM&amp;A_Summary_Analys'!$D$12</f>
        <v>2012 Actuals</v>
      </c>
      <c r="H15">
        <f>'App.2-JA_OM&amp;A_Summary_Analys'!D$20</f>
        <v>0</v>
      </c>
    </row>
    <row r="16" spans="1:8" x14ac:dyDescent="0.2">
      <c r="A16" t="str">
        <f>'LDC Info'!$E$14</f>
        <v>Greater Sudbury Hydro Inc.</v>
      </c>
      <c r="B16" t="str">
        <f t="shared" si="0"/>
        <v>EB-2019-0037</v>
      </c>
      <c r="C16">
        <f t="shared" si="1"/>
        <v>2020</v>
      </c>
      <c r="D16">
        <f t="shared" si="2"/>
        <v>2019</v>
      </c>
      <c r="E16">
        <f t="shared" si="3"/>
        <v>2013</v>
      </c>
      <c r="F16" t="s">
        <v>146</v>
      </c>
      <c r="G16" t="str">
        <f>'App.2-JA_OM&amp;A_Summary_Analys'!$D$12</f>
        <v>2012 Actuals</v>
      </c>
      <c r="H16">
        <f>'App.2-JA_OM&amp;A_Summary_Analys'!D$21</f>
        <v>0</v>
      </c>
    </row>
    <row r="17" spans="1:8" x14ac:dyDescent="0.2">
      <c r="A17" t="str">
        <f>'LDC Info'!$E$14</f>
        <v>Greater Sudbury Hydro Inc.</v>
      </c>
      <c r="B17" t="str">
        <f t="shared" si="0"/>
        <v>EB-2019-0037</v>
      </c>
      <c r="C17">
        <f t="shared" si="1"/>
        <v>2020</v>
      </c>
      <c r="D17">
        <f t="shared" si="2"/>
        <v>2019</v>
      </c>
      <c r="E17">
        <f t="shared" si="3"/>
        <v>2013</v>
      </c>
      <c r="F17" t="s">
        <v>98</v>
      </c>
      <c r="G17" t="str">
        <f>'App.2-JA_OM&amp;A_Summary_Analys'!$E$12</f>
        <v>2013 Last Rebasing Year Actuals</v>
      </c>
      <c r="H17">
        <f>'App.2-JA_OM&amp;A_Summary_Analys'!E$14</f>
        <v>0</v>
      </c>
    </row>
    <row r="18" spans="1:8" x14ac:dyDescent="0.2">
      <c r="A18" t="str">
        <f>'LDC Info'!$E$14</f>
        <v>Greater Sudbury Hydro Inc.</v>
      </c>
      <c r="B18" t="str">
        <f t="shared" si="0"/>
        <v>EB-2019-0037</v>
      </c>
      <c r="C18">
        <f t="shared" si="1"/>
        <v>2020</v>
      </c>
      <c r="D18">
        <f t="shared" si="2"/>
        <v>2019</v>
      </c>
      <c r="E18">
        <f t="shared" si="3"/>
        <v>2013</v>
      </c>
      <c r="F18" t="s">
        <v>99</v>
      </c>
      <c r="G18" t="str">
        <f>'App.2-JA_OM&amp;A_Summary_Analys'!$E$12</f>
        <v>2013 Last Rebasing Year Actuals</v>
      </c>
      <c r="H18">
        <f>'App.2-JA_OM&amp;A_Summary_Analys'!E$15</f>
        <v>0</v>
      </c>
    </row>
    <row r="19" spans="1:8" x14ac:dyDescent="0.2">
      <c r="A19" t="str">
        <f>'LDC Info'!$E$14</f>
        <v>Greater Sudbury Hydro Inc.</v>
      </c>
      <c r="B19" t="str">
        <f t="shared" ref="B19:B30" si="4">EBNUMBER</f>
        <v>EB-2019-0037</v>
      </c>
      <c r="C19">
        <f t="shared" ref="C19:C30" si="5">TestYear</f>
        <v>2020</v>
      </c>
      <c r="D19">
        <f t="shared" ref="D19:D30" si="6">BridgeYear</f>
        <v>2019</v>
      </c>
      <c r="E19">
        <f t="shared" ref="E19:E30" si="7">RebaseYear</f>
        <v>2013</v>
      </c>
      <c r="F19" t="s">
        <v>87</v>
      </c>
      <c r="G19" t="str">
        <f>'App.2-JA_OM&amp;A_Summary_Analys'!$E$12</f>
        <v>2013 Last Rebasing Year Actuals</v>
      </c>
      <c r="H19">
        <f>'App.2-JA_OM&amp;A_Summary_Analys'!E$19</f>
        <v>0</v>
      </c>
    </row>
    <row r="20" spans="1:8" x14ac:dyDescent="0.2">
      <c r="A20" t="str">
        <f>'LDC Info'!$E$14</f>
        <v>Greater Sudbury Hydro Inc.</v>
      </c>
      <c r="B20" t="str">
        <f t="shared" si="4"/>
        <v>EB-2019-0037</v>
      </c>
      <c r="C20">
        <f t="shared" si="5"/>
        <v>2020</v>
      </c>
      <c r="D20">
        <f t="shared" si="6"/>
        <v>2019</v>
      </c>
      <c r="E20">
        <f t="shared" si="7"/>
        <v>2013</v>
      </c>
      <c r="F20" t="s">
        <v>100</v>
      </c>
      <c r="G20" t="str">
        <f>'App.2-JA_OM&amp;A_Summary_Analys'!$E$12</f>
        <v>2013 Last Rebasing Year Actuals</v>
      </c>
      <c r="H20">
        <f>'App.2-JA_OM&amp;A_Summary_Analys'!E$20</f>
        <v>0</v>
      </c>
    </row>
    <row r="21" spans="1:8" x14ac:dyDescent="0.2">
      <c r="A21" t="str">
        <f>'LDC Info'!$E$14</f>
        <v>Greater Sudbury Hydro Inc.</v>
      </c>
      <c r="B21" t="str">
        <f t="shared" si="4"/>
        <v>EB-2019-0037</v>
      </c>
      <c r="C21">
        <f t="shared" si="5"/>
        <v>2020</v>
      </c>
      <c r="D21">
        <f t="shared" si="6"/>
        <v>2019</v>
      </c>
      <c r="E21">
        <f t="shared" si="7"/>
        <v>2013</v>
      </c>
      <c r="F21" t="s">
        <v>146</v>
      </c>
      <c r="G21" t="str">
        <f>'App.2-JA_OM&amp;A_Summary_Analys'!$E$12</f>
        <v>2013 Last Rebasing Year Actuals</v>
      </c>
      <c r="H21">
        <f>'App.2-JA_OM&amp;A_Summary_Analys'!E$21</f>
        <v>0</v>
      </c>
    </row>
    <row r="22" spans="1:8" x14ac:dyDescent="0.2">
      <c r="A22" t="str">
        <f>'LDC Info'!$E$14</f>
        <v>Greater Sudbury Hydro Inc.</v>
      </c>
      <c r="B22" t="str">
        <f t="shared" si="4"/>
        <v>EB-2019-0037</v>
      </c>
      <c r="C22">
        <f t="shared" si="5"/>
        <v>2020</v>
      </c>
      <c r="D22">
        <f t="shared" si="6"/>
        <v>2019</v>
      </c>
      <c r="E22">
        <f t="shared" si="7"/>
        <v>2013</v>
      </c>
      <c r="F22" t="s">
        <v>98</v>
      </c>
      <c r="G22" t="str">
        <f>'App.2-JA_OM&amp;A_Summary_Analys'!$F$12</f>
        <v>2014 Actuals</v>
      </c>
      <c r="H22">
        <f>'App.2-JA_OM&amp;A_Summary_Analys'!F$14</f>
        <v>4884928.0700000413</v>
      </c>
    </row>
    <row r="23" spans="1:8" x14ac:dyDescent="0.2">
      <c r="A23" t="str">
        <f>'LDC Info'!$E$14</f>
        <v>Greater Sudbury Hydro Inc.</v>
      </c>
      <c r="B23" t="str">
        <f t="shared" si="4"/>
        <v>EB-2019-0037</v>
      </c>
      <c r="C23">
        <f t="shared" si="5"/>
        <v>2020</v>
      </c>
      <c r="D23">
        <f t="shared" si="6"/>
        <v>2019</v>
      </c>
      <c r="E23">
        <f t="shared" si="7"/>
        <v>2013</v>
      </c>
      <c r="F23" t="s">
        <v>99</v>
      </c>
      <c r="G23" t="str">
        <f>'App.2-JA_OM&amp;A_Summary_Analys'!$F$12</f>
        <v>2014 Actuals</v>
      </c>
      <c r="H23">
        <f>'App.2-JA_OM&amp;A_Summary_Analys'!F$15</f>
        <v>1787401.3000000059</v>
      </c>
    </row>
    <row r="24" spans="1:8" x14ac:dyDescent="0.2">
      <c r="A24" t="str">
        <f>'LDC Info'!$E$14</f>
        <v>Greater Sudbury Hydro Inc.</v>
      </c>
      <c r="B24" t="str">
        <f t="shared" si="4"/>
        <v>EB-2019-0037</v>
      </c>
      <c r="C24">
        <f t="shared" si="5"/>
        <v>2020</v>
      </c>
      <c r="D24">
        <f t="shared" si="6"/>
        <v>2019</v>
      </c>
      <c r="E24">
        <f t="shared" si="7"/>
        <v>2013</v>
      </c>
      <c r="F24" t="s">
        <v>87</v>
      </c>
      <c r="G24" t="str">
        <f>'App.2-JA_OM&amp;A_Summary_Analys'!$F$12</f>
        <v>2014 Actuals</v>
      </c>
      <c r="H24">
        <f>'App.2-JA_OM&amp;A_Summary_Analys'!F$19</f>
        <v>2075374.2400000005</v>
      </c>
    </row>
    <row r="25" spans="1:8" x14ac:dyDescent="0.2">
      <c r="A25" t="str">
        <f>'LDC Info'!$E$14</f>
        <v>Greater Sudbury Hydro Inc.</v>
      </c>
      <c r="B25" t="str">
        <f t="shared" si="4"/>
        <v>EB-2019-0037</v>
      </c>
      <c r="C25">
        <f t="shared" si="5"/>
        <v>2020</v>
      </c>
      <c r="D25">
        <f t="shared" si="6"/>
        <v>2019</v>
      </c>
      <c r="E25">
        <f t="shared" si="7"/>
        <v>2013</v>
      </c>
      <c r="F25" t="s">
        <v>100</v>
      </c>
      <c r="G25" t="str">
        <f>'App.2-JA_OM&amp;A_Summary_Analys'!$F$12</f>
        <v>2014 Actuals</v>
      </c>
      <c r="H25">
        <f>'App.2-JA_OM&amp;A_Summary_Analys'!F$20</f>
        <v>39447.999999999818</v>
      </c>
    </row>
    <row r="26" spans="1:8" x14ac:dyDescent="0.2">
      <c r="A26" t="str">
        <f>'LDC Info'!$E$14</f>
        <v>Greater Sudbury Hydro Inc.</v>
      </c>
      <c r="B26" t="str">
        <f t="shared" si="4"/>
        <v>EB-2019-0037</v>
      </c>
      <c r="C26">
        <f t="shared" si="5"/>
        <v>2020</v>
      </c>
      <c r="D26">
        <f t="shared" si="6"/>
        <v>2019</v>
      </c>
      <c r="E26">
        <f t="shared" si="7"/>
        <v>2013</v>
      </c>
      <c r="F26" t="s">
        <v>146</v>
      </c>
      <c r="G26" t="str">
        <f>'App.2-JA_OM&amp;A_Summary_Analys'!$F$12</f>
        <v>2014 Actuals</v>
      </c>
      <c r="H26">
        <f>'App.2-JA_OM&amp;A_Summary_Analys'!F$21</f>
        <v>4942813.4700000118</v>
      </c>
    </row>
    <row r="27" spans="1:8" x14ac:dyDescent="0.2">
      <c r="A27" t="str">
        <f>'LDC Info'!$E$14</f>
        <v>Greater Sudbury Hydro Inc.</v>
      </c>
      <c r="B27" t="str">
        <f t="shared" si="4"/>
        <v>EB-2019-0037</v>
      </c>
      <c r="C27">
        <f t="shared" si="5"/>
        <v>2020</v>
      </c>
      <c r="D27">
        <f t="shared" si="6"/>
        <v>2019</v>
      </c>
      <c r="E27">
        <f t="shared" si="7"/>
        <v>2013</v>
      </c>
      <c r="F27" t="s">
        <v>98</v>
      </c>
      <c r="G27" t="str">
        <f>'App.2-JA_OM&amp;A_Summary_Analys'!$G$12</f>
        <v>2015 Actuals</v>
      </c>
      <c r="H27">
        <f>'App.2-JA_OM&amp;A_Summary_Analys'!G$14</f>
        <v>5487597.1400000043</v>
      </c>
    </row>
    <row r="28" spans="1:8" x14ac:dyDescent="0.2">
      <c r="A28" t="str">
        <f>'LDC Info'!$E$14</f>
        <v>Greater Sudbury Hydro Inc.</v>
      </c>
      <c r="B28" t="str">
        <f t="shared" si="4"/>
        <v>EB-2019-0037</v>
      </c>
      <c r="C28">
        <f t="shared" si="5"/>
        <v>2020</v>
      </c>
      <c r="D28">
        <f t="shared" si="6"/>
        <v>2019</v>
      </c>
      <c r="E28">
        <f t="shared" si="7"/>
        <v>2013</v>
      </c>
      <c r="F28" t="s">
        <v>99</v>
      </c>
      <c r="G28" t="str">
        <f>'App.2-JA_OM&amp;A_Summary_Analys'!$G$12</f>
        <v>2015 Actuals</v>
      </c>
      <c r="H28">
        <f>'App.2-JA_OM&amp;A_Summary_Analys'!G$15</f>
        <v>2011057.5</v>
      </c>
    </row>
    <row r="29" spans="1:8" x14ac:dyDescent="0.2">
      <c r="A29" t="str">
        <f>'LDC Info'!$E$14</f>
        <v>Greater Sudbury Hydro Inc.</v>
      </c>
      <c r="B29" t="str">
        <f t="shared" si="4"/>
        <v>EB-2019-0037</v>
      </c>
      <c r="C29">
        <f t="shared" si="5"/>
        <v>2020</v>
      </c>
      <c r="D29">
        <f t="shared" si="6"/>
        <v>2019</v>
      </c>
      <c r="E29">
        <f t="shared" si="7"/>
        <v>2013</v>
      </c>
      <c r="F29" t="s">
        <v>87</v>
      </c>
      <c r="G29" t="str">
        <f>'App.2-JA_OM&amp;A_Summary_Analys'!$G$12</f>
        <v>2015 Actuals</v>
      </c>
      <c r="H29">
        <f>'App.2-JA_OM&amp;A_Summary_Analys'!G$19</f>
        <v>1839665.2799999968</v>
      </c>
    </row>
    <row r="30" spans="1:8" x14ac:dyDescent="0.2">
      <c r="A30" t="str">
        <f>'LDC Info'!$E$14</f>
        <v>Greater Sudbury Hydro Inc.</v>
      </c>
      <c r="B30" t="str">
        <f t="shared" si="4"/>
        <v>EB-2019-0037</v>
      </c>
      <c r="C30">
        <f t="shared" si="5"/>
        <v>2020</v>
      </c>
      <c r="D30">
        <f t="shared" si="6"/>
        <v>2019</v>
      </c>
      <c r="E30">
        <f t="shared" si="7"/>
        <v>2013</v>
      </c>
      <c r="F30" t="s">
        <v>100</v>
      </c>
      <c r="G30" t="str">
        <f>'App.2-JA_OM&amp;A_Summary_Analys'!$G$12</f>
        <v>2015 Actuals</v>
      </c>
      <c r="H30">
        <f>'App.2-JA_OM&amp;A_Summary_Analys'!G$20</f>
        <v>65137.139999997853</v>
      </c>
    </row>
    <row r="31" spans="1:8" x14ac:dyDescent="0.2">
      <c r="A31" t="str">
        <f>'LDC Info'!$E$14</f>
        <v>Greater Sudbury Hydro Inc.</v>
      </c>
      <c r="B31" t="str">
        <f t="shared" ref="B31:B41" si="8">EBNUMBER</f>
        <v>EB-2019-0037</v>
      </c>
      <c r="C31">
        <f t="shared" ref="C31:C41" si="9">TestYear</f>
        <v>2020</v>
      </c>
      <c r="D31">
        <f t="shared" ref="D31:D41" si="10">BridgeYear</f>
        <v>2019</v>
      </c>
      <c r="E31">
        <f t="shared" ref="E31:E41" si="11">RebaseYear</f>
        <v>2013</v>
      </c>
      <c r="F31" t="s">
        <v>146</v>
      </c>
      <c r="G31" t="str">
        <f>'App.2-JA_OM&amp;A_Summary_Analys'!$G$12</f>
        <v>2015 Actuals</v>
      </c>
      <c r="H31">
        <f>'App.2-JA_OM&amp;A_Summary_Analys'!G$21</f>
        <v>4910477.7600000054</v>
      </c>
    </row>
    <row r="32" spans="1:8" x14ac:dyDescent="0.2">
      <c r="A32" t="str">
        <f>'LDC Info'!$E$14</f>
        <v>Greater Sudbury Hydro Inc.</v>
      </c>
      <c r="B32" t="str">
        <f t="shared" si="8"/>
        <v>EB-2019-0037</v>
      </c>
      <c r="C32">
        <f t="shared" si="9"/>
        <v>2020</v>
      </c>
      <c r="D32">
        <f t="shared" si="10"/>
        <v>2019</v>
      </c>
      <c r="E32">
        <f t="shared" si="11"/>
        <v>2013</v>
      </c>
      <c r="F32" t="s">
        <v>98</v>
      </c>
      <c r="G32" t="str">
        <f>'App.2-JA_OM&amp;A_Summary_Analys'!$H$12</f>
        <v>2016 Actuals</v>
      </c>
      <c r="H32">
        <f>'App.2-JA_OM&amp;A_Summary_Analys'!H$14</f>
        <v>5377304.0399999991</v>
      </c>
    </row>
    <row r="33" spans="1:8" x14ac:dyDescent="0.2">
      <c r="A33" t="str">
        <f>'LDC Info'!$E$14</f>
        <v>Greater Sudbury Hydro Inc.</v>
      </c>
      <c r="B33" t="str">
        <f t="shared" si="8"/>
        <v>EB-2019-0037</v>
      </c>
      <c r="C33">
        <f t="shared" si="9"/>
        <v>2020</v>
      </c>
      <c r="D33">
        <f t="shared" si="10"/>
        <v>2019</v>
      </c>
      <c r="E33">
        <f t="shared" si="11"/>
        <v>2013</v>
      </c>
      <c r="F33" t="s">
        <v>99</v>
      </c>
      <c r="G33" t="str">
        <f>'App.2-JA_OM&amp;A_Summary_Analys'!$H$12</f>
        <v>2016 Actuals</v>
      </c>
      <c r="H33">
        <f>'App.2-JA_OM&amp;A_Summary_Analys'!H$15</f>
        <v>2165932.5400000038</v>
      </c>
    </row>
    <row r="34" spans="1:8" x14ac:dyDescent="0.2">
      <c r="A34" t="str">
        <f>'LDC Info'!$E$14</f>
        <v>Greater Sudbury Hydro Inc.</v>
      </c>
      <c r="B34" t="str">
        <f t="shared" si="8"/>
        <v>EB-2019-0037</v>
      </c>
      <c r="C34">
        <f t="shared" si="9"/>
        <v>2020</v>
      </c>
      <c r="D34">
        <f t="shared" si="10"/>
        <v>2019</v>
      </c>
      <c r="E34">
        <f t="shared" si="11"/>
        <v>2013</v>
      </c>
      <c r="F34" t="s">
        <v>87</v>
      </c>
      <c r="G34" t="str">
        <f>'App.2-JA_OM&amp;A_Summary_Analys'!$H$12</f>
        <v>2016 Actuals</v>
      </c>
      <c r="H34">
        <f>'App.2-JA_OM&amp;A_Summary_Analys'!H$19</f>
        <v>2305885.4600000023</v>
      </c>
    </row>
    <row r="35" spans="1:8" x14ac:dyDescent="0.2">
      <c r="A35" t="str">
        <f>'LDC Info'!$E$14</f>
        <v>Greater Sudbury Hydro Inc.</v>
      </c>
      <c r="B35" t="str">
        <f t="shared" si="8"/>
        <v>EB-2019-0037</v>
      </c>
      <c r="C35">
        <f t="shared" si="9"/>
        <v>2020</v>
      </c>
      <c r="D35">
        <f t="shared" si="10"/>
        <v>2019</v>
      </c>
      <c r="E35">
        <f t="shared" si="11"/>
        <v>2013</v>
      </c>
      <c r="F35" t="s">
        <v>100</v>
      </c>
      <c r="G35" t="str">
        <f>'App.2-JA_OM&amp;A_Summary_Analys'!$H$12</f>
        <v>2016 Actuals</v>
      </c>
      <c r="H35">
        <f>'App.2-JA_OM&amp;A_Summary_Analys'!H$20</f>
        <v>-1.0000000266956022E-2</v>
      </c>
    </row>
    <row r="36" spans="1:8" x14ac:dyDescent="0.2">
      <c r="A36" t="str">
        <f>'LDC Info'!$E$14</f>
        <v>Greater Sudbury Hydro Inc.</v>
      </c>
      <c r="B36" t="str">
        <f t="shared" si="8"/>
        <v>EB-2019-0037</v>
      </c>
      <c r="C36">
        <f t="shared" si="9"/>
        <v>2020</v>
      </c>
      <c r="D36">
        <f t="shared" si="10"/>
        <v>2019</v>
      </c>
      <c r="E36">
        <f t="shared" si="11"/>
        <v>2013</v>
      </c>
      <c r="F36" t="s">
        <v>146</v>
      </c>
      <c r="G36" t="str">
        <f>'App.2-JA_OM&amp;A_Summary_Analys'!$H$12</f>
        <v>2016 Actuals</v>
      </c>
      <c r="H36">
        <f>'App.2-JA_OM&amp;A_Summary_Analys'!H$21</f>
        <v>5313722.810000007</v>
      </c>
    </row>
    <row r="37" spans="1:8" x14ac:dyDescent="0.2">
      <c r="A37" t="str">
        <f>'LDC Info'!$E$14</f>
        <v>Greater Sudbury Hydro Inc.</v>
      </c>
      <c r="B37" t="str">
        <f t="shared" si="8"/>
        <v>EB-2019-0037</v>
      </c>
      <c r="C37">
        <f t="shared" si="9"/>
        <v>2020</v>
      </c>
      <c r="D37">
        <f t="shared" si="10"/>
        <v>2019</v>
      </c>
      <c r="E37">
        <f t="shared" si="11"/>
        <v>2013</v>
      </c>
      <c r="F37" t="s">
        <v>98</v>
      </c>
      <c r="G37" t="str">
        <f>'App.2-JA_OM&amp;A_Summary_Analys'!$I$12</f>
        <v>2017 Actuals</v>
      </c>
      <c r="H37">
        <f>'App.2-JA_OM&amp;A_Summary_Analys'!I$14</f>
        <v>5851329.9899999592</v>
      </c>
    </row>
    <row r="38" spans="1:8" x14ac:dyDescent="0.2">
      <c r="A38" t="str">
        <f>'LDC Info'!$E$14</f>
        <v>Greater Sudbury Hydro Inc.</v>
      </c>
      <c r="B38" t="str">
        <f t="shared" si="8"/>
        <v>EB-2019-0037</v>
      </c>
      <c r="C38">
        <f t="shared" si="9"/>
        <v>2020</v>
      </c>
      <c r="D38">
        <f t="shared" si="10"/>
        <v>2019</v>
      </c>
      <c r="E38">
        <f t="shared" si="11"/>
        <v>2013</v>
      </c>
      <c r="F38" t="s">
        <v>99</v>
      </c>
      <c r="G38" t="str">
        <f>'App.2-JA_OM&amp;A_Summary_Analys'!$I$12</f>
        <v>2017 Actuals</v>
      </c>
      <c r="H38">
        <f>'App.2-JA_OM&amp;A_Summary_Analys'!I$15</f>
        <v>1815396.2299999991</v>
      </c>
    </row>
    <row r="39" spans="1:8" x14ac:dyDescent="0.2">
      <c r="A39" t="str">
        <f>'LDC Info'!$E$14</f>
        <v>Greater Sudbury Hydro Inc.</v>
      </c>
      <c r="B39" t="str">
        <f t="shared" si="8"/>
        <v>EB-2019-0037</v>
      </c>
      <c r="C39">
        <f t="shared" si="9"/>
        <v>2020</v>
      </c>
      <c r="D39">
        <f t="shared" si="10"/>
        <v>2019</v>
      </c>
      <c r="E39">
        <f t="shared" si="11"/>
        <v>2013</v>
      </c>
      <c r="F39" t="s">
        <v>87</v>
      </c>
      <c r="G39" t="str">
        <f>'App.2-JA_OM&amp;A_Summary_Analys'!$I$12</f>
        <v>2017 Actuals</v>
      </c>
      <c r="H39">
        <f>'App.2-JA_OM&amp;A_Summary_Analys'!I$19</f>
        <v>2043286.8300000075</v>
      </c>
    </row>
    <row r="40" spans="1:8" x14ac:dyDescent="0.2">
      <c r="A40" t="str">
        <f>'LDC Info'!$E$14</f>
        <v>Greater Sudbury Hydro Inc.</v>
      </c>
      <c r="B40" t="str">
        <f t="shared" si="8"/>
        <v>EB-2019-0037</v>
      </c>
      <c r="C40">
        <f t="shared" si="9"/>
        <v>2020</v>
      </c>
      <c r="D40">
        <f t="shared" si="10"/>
        <v>2019</v>
      </c>
      <c r="E40">
        <f t="shared" si="11"/>
        <v>2013</v>
      </c>
      <c r="F40" t="s">
        <v>100</v>
      </c>
      <c r="G40" t="str">
        <f>'App.2-JA_OM&amp;A_Summary_Analys'!$I$12</f>
        <v>2017 Actuals</v>
      </c>
      <c r="H40">
        <f>'App.2-JA_OM&amp;A_Summary_Analys'!I$20</f>
        <v>2217.4099999980326</v>
      </c>
    </row>
    <row r="41" spans="1:8" x14ac:dyDescent="0.2">
      <c r="A41" t="str">
        <f>'LDC Info'!$E$14</f>
        <v>Greater Sudbury Hydro Inc.</v>
      </c>
      <c r="B41" t="str">
        <f t="shared" si="8"/>
        <v>EB-2019-0037</v>
      </c>
      <c r="C41">
        <f t="shared" si="9"/>
        <v>2020</v>
      </c>
      <c r="D41">
        <f t="shared" si="10"/>
        <v>2019</v>
      </c>
      <c r="E41">
        <f t="shared" si="11"/>
        <v>2013</v>
      </c>
      <c r="F41" t="s">
        <v>146</v>
      </c>
      <c r="G41" t="str">
        <f>'App.2-JA_OM&amp;A_Summary_Analys'!$I$12</f>
        <v>2017 Actuals</v>
      </c>
      <c r="H41">
        <f>'App.2-JA_OM&amp;A_Summary_Analys'!I$21</f>
        <v>4935241.9300000025</v>
      </c>
    </row>
    <row r="42" spans="1:8" x14ac:dyDescent="0.2">
      <c r="A42" t="str">
        <f>'LDC Info'!$E$14</f>
        <v>Greater Sudbury Hydro Inc.</v>
      </c>
      <c r="B42" t="str">
        <f t="shared" ref="B42:B56" si="12">EBNUMBER</f>
        <v>EB-2019-0037</v>
      </c>
      <c r="C42">
        <f t="shared" ref="C42:C56" si="13">TestYear</f>
        <v>2020</v>
      </c>
      <c r="D42">
        <f t="shared" ref="D42:D56" si="14">BridgeYear</f>
        <v>2019</v>
      </c>
      <c r="E42">
        <f t="shared" ref="E42:E56" si="15">RebaseYear</f>
        <v>2013</v>
      </c>
      <c r="F42" t="s">
        <v>98</v>
      </c>
      <c r="G42" t="str">
        <f>'App.2-JA_OM&amp;A_Summary_Analys'!$J$12</f>
        <v>2018 Actuals</v>
      </c>
      <c r="H42">
        <f>'App.2-JA_OM&amp;A_Summary_Analys'!J$14</f>
        <v>5738060.1699999785</v>
      </c>
    </row>
    <row r="43" spans="1:8" x14ac:dyDescent="0.2">
      <c r="A43" t="str">
        <f>'LDC Info'!$E$14</f>
        <v>Greater Sudbury Hydro Inc.</v>
      </c>
      <c r="B43" t="str">
        <f t="shared" si="12"/>
        <v>EB-2019-0037</v>
      </c>
      <c r="C43">
        <f t="shared" si="13"/>
        <v>2020</v>
      </c>
      <c r="D43">
        <f t="shared" si="14"/>
        <v>2019</v>
      </c>
      <c r="E43">
        <f t="shared" si="15"/>
        <v>2013</v>
      </c>
      <c r="F43" t="s">
        <v>99</v>
      </c>
      <c r="G43" t="str">
        <f>'App.2-JA_OM&amp;A_Summary_Analys'!$J$12</f>
        <v>2018 Actuals</v>
      </c>
      <c r="H43">
        <f>'App.2-JA_OM&amp;A_Summary_Analys'!J$15</f>
        <v>1840611.4799999993</v>
      </c>
    </row>
    <row r="44" spans="1:8" x14ac:dyDescent="0.2">
      <c r="A44" t="str">
        <f>'LDC Info'!$E$14</f>
        <v>Greater Sudbury Hydro Inc.</v>
      </c>
      <c r="B44" t="str">
        <f t="shared" si="12"/>
        <v>EB-2019-0037</v>
      </c>
      <c r="C44">
        <f t="shared" si="13"/>
        <v>2020</v>
      </c>
      <c r="D44">
        <f t="shared" si="14"/>
        <v>2019</v>
      </c>
      <c r="E44">
        <f t="shared" si="15"/>
        <v>2013</v>
      </c>
      <c r="F44" t="s">
        <v>87</v>
      </c>
      <c r="G44" t="str">
        <f>'App.2-JA_OM&amp;A_Summary_Analys'!$J$12</f>
        <v>2018 Actuals</v>
      </c>
      <c r="H44">
        <f>'App.2-JA_OM&amp;A_Summary_Analys'!J$19</f>
        <v>2431549.8399999994</v>
      </c>
    </row>
    <row r="45" spans="1:8" x14ac:dyDescent="0.2">
      <c r="A45" t="str">
        <f>'LDC Info'!$E$14</f>
        <v>Greater Sudbury Hydro Inc.</v>
      </c>
      <c r="B45" t="str">
        <f t="shared" si="12"/>
        <v>EB-2019-0037</v>
      </c>
      <c r="C45">
        <f t="shared" si="13"/>
        <v>2020</v>
      </c>
      <c r="D45">
        <f t="shared" si="14"/>
        <v>2019</v>
      </c>
      <c r="E45">
        <f t="shared" si="15"/>
        <v>2013</v>
      </c>
      <c r="F45" t="s">
        <v>100</v>
      </c>
      <c r="G45" t="str">
        <f>'App.2-JA_OM&amp;A_Summary_Analys'!$J$12</f>
        <v>2018 Actuals</v>
      </c>
      <c r="H45">
        <f>'App.2-JA_OM&amp;A_Summary_Analys'!J$20</f>
        <v>9126.1699999985321</v>
      </c>
    </row>
    <row r="46" spans="1:8" x14ac:dyDescent="0.2">
      <c r="A46" t="str">
        <f>'LDC Info'!$E$14</f>
        <v>Greater Sudbury Hydro Inc.</v>
      </c>
      <c r="B46" t="str">
        <f t="shared" si="12"/>
        <v>EB-2019-0037</v>
      </c>
      <c r="C46">
        <f t="shared" si="13"/>
        <v>2020</v>
      </c>
      <c r="D46">
        <f t="shared" si="14"/>
        <v>2019</v>
      </c>
      <c r="E46">
        <f t="shared" si="15"/>
        <v>2013</v>
      </c>
      <c r="F46" t="s">
        <v>146</v>
      </c>
      <c r="G46" t="str">
        <f>'App.2-JA_OM&amp;A_Summary_Analys'!$J$12</f>
        <v>2018 Actuals</v>
      </c>
      <c r="H46">
        <f>'App.2-JA_OM&amp;A_Summary_Analys'!J$21</f>
        <v>4922433.0500000007</v>
      </c>
    </row>
    <row r="47" spans="1:8" x14ac:dyDescent="0.2">
      <c r="A47" t="str">
        <f>'LDC Info'!$E$14</f>
        <v>Greater Sudbury Hydro Inc.</v>
      </c>
      <c r="B47" t="str">
        <f t="shared" si="12"/>
        <v>EB-2019-0037</v>
      </c>
      <c r="C47">
        <f t="shared" si="13"/>
        <v>2020</v>
      </c>
      <c r="D47">
        <f t="shared" si="14"/>
        <v>2019</v>
      </c>
      <c r="E47">
        <f t="shared" si="15"/>
        <v>2013</v>
      </c>
      <c r="F47" t="s">
        <v>98</v>
      </c>
      <c r="G47" t="str">
        <f>'App.2-JA_OM&amp;A_Summary_Analys'!$K$12</f>
        <v>2019 Bridge Year</v>
      </c>
      <c r="H47">
        <f>'App.2-JA_OM&amp;A_Summary_Analys'!K$14</f>
        <v>6138110.25</v>
      </c>
    </row>
    <row r="48" spans="1:8" x14ac:dyDescent="0.2">
      <c r="A48" t="str">
        <f>'LDC Info'!$E$14</f>
        <v>Greater Sudbury Hydro Inc.</v>
      </c>
      <c r="B48" t="str">
        <f t="shared" si="12"/>
        <v>EB-2019-0037</v>
      </c>
      <c r="C48">
        <f t="shared" si="13"/>
        <v>2020</v>
      </c>
      <c r="D48">
        <f t="shared" si="14"/>
        <v>2019</v>
      </c>
      <c r="E48">
        <f t="shared" si="15"/>
        <v>2013</v>
      </c>
      <c r="F48" t="s">
        <v>99</v>
      </c>
      <c r="G48" t="str">
        <f>'App.2-JA_OM&amp;A_Summary_Analys'!$K$12</f>
        <v>2019 Bridge Year</v>
      </c>
      <c r="H48">
        <f>'App.2-JA_OM&amp;A_Summary_Analys'!K$15</f>
        <v>1863409.25</v>
      </c>
    </row>
    <row r="49" spans="1:8" x14ac:dyDescent="0.2">
      <c r="A49" t="str">
        <f>'LDC Info'!$E$14</f>
        <v>Greater Sudbury Hydro Inc.</v>
      </c>
      <c r="B49" t="str">
        <f t="shared" si="12"/>
        <v>EB-2019-0037</v>
      </c>
      <c r="C49">
        <f t="shared" si="13"/>
        <v>2020</v>
      </c>
      <c r="D49">
        <f t="shared" si="14"/>
        <v>2019</v>
      </c>
      <c r="E49">
        <f t="shared" si="15"/>
        <v>2013</v>
      </c>
      <c r="F49" t="s">
        <v>87</v>
      </c>
      <c r="G49" t="str">
        <f>'App.2-JA_OM&amp;A_Summary_Analys'!$K$12</f>
        <v>2019 Bridge Year</v>
      </c>
      <c r="H49">
        <f>'App.2-JA_OM&amp;A_Summary_Analys'!K$19</f>
        <v>2491373.25</v>
      </c>
    </row>
    <row r="50" spans="1:8" x14ac:dyDescent="0.2">
      <c r="A50" t="str">
        <f>'LDC Info'!$E$14</f>
        <v>Greater Sudbury Hydro Inc.</v>
      </c>
      <c r="B50" t="str">
        <f t="shared" si="12"/>
        <v>EB-2019-0037</v>
      </c>
      <c r="C50">
        <f t="shared" si="13"/>
        <v>2020</v>
      </c>
      <c r="D50">
        <f t="shared" si="14"/>
        <v>2019</v>
      </c>
      <c r="E50">
        <f t="shared" si="15"/>
        <v>2013</v>
      </c>
      <c r="F50" t="s">
        <v>100</v>
      </c>
      <c r="G50" t="str">
        <f>'App.2-JA_OM&amp;A_Summary_Analys'!$K$12</f>
        <v>2019 Bridge Year</v>
      </c>
      <c r="H50">
        <f>'App.2-JA_OM&amp;A_Summary_Analys'!K$20</f>
        <v>-10484</v>
      </c>
    </row>
    <row r="51" spans="1:8" x14ac:dyDescent="0.2">
      <c r="A51" t="str">
        <f>'LDC Info'!$E$14</f>
        <v>Greater Sudbury Hydro Inc.</v>
      </c>
      <c r="B51" t="str">
        <f t="shared" si="12"/>
        <v>EB-2019-0037</v>
      </c>
      <c r="C51">
        <f t="shared" si="13"/>
        <v>2020</v>
      </c>
      <c r="D51">
        <f t="shared" si="14"/>
        <v>2019</v>
      </c>
      <c r="E51">
        <f t="shared" si="15"/>
        <v>2013</v>
      </c>
      <c r="F51" t="s">
        <v>146</v>
      </c>
      <c r="G51" t="str">
        <f>'App.2-JA_OM&amp;A_Summary_Analys'!$K$12</f>
        <v>2019 Bridge Year</v>
      </c>
      <c r="H51">
        <f>'App.2-JA_OM&amp;A_Summary_Analys'!K$21</f>
        <v>4877206.25</v>
      </c>
    </row>
    <row r="52" spans="1:8" x14ac:dyDescent="0.2">
      <c r="A52" t="str">
        <f>'LDC Info'!$E$14</f>
        <v>Greater Sudbury Hydro Inc.</v>
      </c>
      <c r="B52" t="str">
        <f t="shared" si="12"/>
        <v>EB-2019-0037</v>
      </c>
      <c r="C52">
        <f t="shared" si="13"/>
        <v>2020</v>
      </c>
      <c r="D52">
        <f t="shared" si="14"/>
        <v>2019</v>
      </c>
      <c r="E52">
        <f t="shared" si="15"/>
        <v>2013</v>
      </c>
      <c r="F52" t="s">
        <v>98</v>
      </c>
      <c r="G52" t="str">
        <f>'App.2-JA_OM&amp;A_Summary_Analys'!$L$12</f>
        <v>2020 Test Year</v>
      </c>
      <c r="H52">
        <f>'App.2-JA_OM&amp;A_Summary_Analys'!L14</f>
        <v>6893900</v>
      </c>
    </row>
    <row r="53" spans="1:8" x14ac:dyDescent="0.2">
      <c r="A53" t="str">
        <f>'LDC Info'!$E$14</f>
        <v>Greater Sudbury Hydro Inc.</v>
      </c>
      <c r="B53" t="str">
        <f t="shared" si="12"/>
        <v>EB-2019-0037</v>
      </c>
      <c r="C53">
        <f t="shared" si="13"/>
        <v>2020</v>
      </c>
      <c r="D53">
        <f t="shared" si="14"/>
        <v>2019</v>
      </c>
      <c r="E53">
        <f t="shared" si="15"/>
        <v>2013</v>
      </c>
      <c r="F53" t="s">
        <v>99</v>
      </c>
      <c r="G53" t="str">
        <f>'App.2-JA_OM&amp;A_Summary_Analys'!$L$12</f>
        <v>2020 Test Year</v>
      </c>
      <c r="H53">
        <f>'App.2-JA_OM&amp;A_Summary_Analys'!L15</f>
        <v>2032385</v>
      </c>
    </row>
    <row r="54" spans="1:8" x14ac:dyDescent="0.2">
      <c r="A54" t="str">
        <f>'LDC Info'!$E$14</f>
        <v>Greater Sudbury Hydro Inc.</v>
      </c>
      <c r="B54" t="str">
        <f t="shared" si="12"/>
        <v>EB-2019-0037</v>
      </c>
      <c r="C54">
        <f t="shared" si="13"/>
        <v>2020</v>
      </c>
      <c r="D54">
        <f t="shared" si="14"/>
        <v>2019</v>
      </c>
      <c r="E54">
        <f t="shared" si="15"/>
        <v>2013</v>
      </c>
      <c r="F54" t="s">
        <v>87</v>
      </c>
      <c r="G54" t="str">
        <f>'App.2-JA_OM&amp;A_Summary_Analys'!$L$12</f>
        <v>2020 Test Year</v>
      </c>
      <c r="H54">
        <f>'App.2-JA_OM&amp;A_Summary_Analys'!L19</f>
        <v>2533693</v>
      </c>
    </row>
    <row r="55" spans="1:8" x14ac:dyDescent="0.2">
      <c r="A55" t="str">
        <f>'LDC Info'!$E$14</f>
        <v>Greater Sudbury Hydro Inc.</v>
      </c>
      <c r="B55" t="str">
        <f t="shared" si="12"/>
        <v>EB-2019-0037</v>
      </c>
      <c r="C55">
        <f t="shared" si="13"/>
        <v>2020</v>
      </c>
      <c r="D55">
        <f t="shared" si="14"/>
        <v>2019</v>
      </c>
      <c r="E55">
        <f t="shared" si="15"/>
        <v>2013</v>
      </c>
      <c r="F55" t="s">
        <v>100</v>
      </c>
      <c r="G55" t="str">
        <f>'App.2-JA_OM&amp;A_Summary_Analys'!$L$12</f>
        <v>2020 Test Year</v>
      </c>
      <c r="H55">
        <f>'App.2-JA_OM&amp;A_Summary_Analys'!L20</f>
        <v>0</v>
      </c>
    </row>
    <row r="56" spans="1:8" x14ac:dyDescent="0.2">
      <c r="A56" t="str">
        <f>'LDC Info'!$E$14</f>
        <v>Greater Sudbury Hydro Inc.</v>
      </c>
      <c r="B56" t="str">
        <f t="shared" si="12"/>
        <v>EB-2019-0037</v>
      </c>
      <c r="C56">
        <f t="shared" si="13"/>
        <v>2020</v>
      </c>
      <c r="D56">
        <f t="shared" si="14"/>
        <v>2019</v>
      </c>
      <c r="E56">
        <f t="shared" si="15"/>
        <v>2013</v>
      </c>
      <c r="F56" t="s">
        <v>146</v>
      </c>
      <c r="G56" t="str">
        <f>'App.2-JA_OM&amp;A_Summary_Analys'!$L$12</f>
        <v>2020 Test Year</v>
      </c>
      <c r="H56">
        <f>'App.2-JA_OM&amp;A_Summary_Analys'!L21</f>
        <v>4777799</v>
      </c>
    </row>
  </sheetData>
  <sheetProtection algorithmName="SHA-512" hashValue="pG6WaeMhkUiB202jwyRJyjdoTZQOVMPwddDUQqO6reRUlmSFv8zIsrrAHlqBk5SpXq7PI0ic1gTP8K/fao7yDg==" saltValue="pwNvgI8nm0waKQj6juub0Q==" spinCount="100000" sheet="1" objects="1" scenarios="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tabColor theme="7" tint="0.39997558519241921"/>
    <pageSetUpPr fitToPage="1"/>
  </sheetPr>
  <dimension ref="A1:O55"/>
  <sheetViews>
    <sheetView showGridLines="0" topLeftCell="A4" zoomScaleNormal="100" workbookViewId="0">
      <selection activeCell="H45" sqref="H45"/>
    </sheetView>
  </sheetViews>
  <sheetFormatPr defaultColWidth="9.28515625" defaultRowHeight="12.75" x14ac:dyDescent="0.2"/>
  <cols>
    <col min="1" max="1" width="41" style="27" bestFit="1" customWidth="1"/>
    <col min="2" max="8" width="17.7109375" style="27" customWidth="1"/>
    <col min="9" max="9" width="17.28515625" style="27" customWidth="1"/>
    <col min="10" max="16384" width="9.28515625" style="27"/>
  </cols>
  <sheetData>
    <row r="1" spans="1:15" x14ac:dyDescent="0.2">
      <c r="H1" s="208" t="s">
        <v>264</v>
      </c>
      <c r="I1" s="875" t="str">
        <f>EBNUMBER</f>
        <v>EB-2019-0037</v>
      </c>
    </row>
    <row r="2" spans="1:15" x14ac:dyDescent="0.2">
      <c r="H2" s="208" t="s">
        <v>265</v>
      </c>
      <c r="I2" s="41"/>
    </row>
    <row r="3" spans="1:15" x14ac:dyDescent="0.2">
      <c r="H3" s="208" t="s">
        <v>266</v>
      </c>
      <c r="I3" s="41"/>
    </row>
    <row r="4" spans="1:15" x14ac:dyDescent="0.2">
      <c r="H4" s="208" t="s">
        <v>267</v>
      </c>
      <c r="I4" s="41"/>
    </row>
    <row r="5" spans="1:15" x14ac:dyDescent="0.2">
      <c r="H5" s="208" t="s">
        <v>268</v>
      </c>
      <c r="I5" s="42"/>
    </row>
    <row r="6" spans="1:15" x14ac:dyDescent="0.2">
      <c r="H6" s="208"/>
      <c r="I6" s="40"/>
    </row>
    <row r="7" spans="1:15" x14ac:dyDescent="0.2">
      <c r="H7" s="208" t="s">
        <v>269</v>
      </c>
      <c r="I7" s="1448"/>
    </row>
    <row r="8" spans="1:15" x14ac:dyDescent="0.2">
      <c r="H8" s="193"/>
    </row>
    <row r="9" spans="1:15" x14ac:dyDescent="0.2">
      <c r="H9" s="193"/>
    </row>
    <row r="10" spans="1:15" ht="18" x14ac:dyDescent="0.25">
      <c r="A10" s="2218" t="s">
        <v>769</v>
      </c>
      <c r="B10" s="2218"/>
      <c r="C10" s="2218"/>
      <c r="D10" s="2218"/>
      <c r="E10" s="2218"/>
      <c r="F10" s="2218"/>
      <c r="G10" s="2218"/>
      <c r="H10" s="2218"/>
    </row>
    <row r="11" spans="1:15" ht="18" x14ac:dyDescent="0.25">
      <c r="A11" s="2218" t="str">
        <f>"Recoverable OM&amp;A Cost Driver Table" &amp; CHAR(185)&amp;CHAR(183)&amp;CHAR(179)</f>
        <v>Recoverable OM&amp;A Cost Driver Table¹·³</v>
      </c>
      <c r="B11" s="2218"/>
      <c r="C11" s="2218"/>
      <c r="D11" s="2218"/>
      <c r="E11" s="2218"/>
      <c r="F11" s="2218"/>
      <c r="G11" s="2218"/>
      <c r="H11" s="2218"/>
    </row>
    <row r="12" spans="1:15" ht="13.5" thickBot="1" x14ac:dyDescent="0.25"/>
    <row r="13" spans="1:15" ht="43.5" customHeight="1" thickBot="1" x14ac:dyDescent="0.25">
      <c r="A13" s="232" t="s">
        <v>103</v>
      </c>
      <c r="B13" s="1131" t="str">
        <f>"Last Rebasing Year ("&amp;RebaseYear&amp;" Actuals)"</f>
        <v>Last Rebasing Year (2013 Actuals)</v>
      </c>
      <c r="C13" s="1131" t="str">
        <f>BridgeYear -5 &amp; " Actuals"</f>
        <v>2014 Actuals</v>
      </c>
      <c r="D13" s="1131" t="str">
        <f>BridgeYear -4 &amp; " Actuals"</f>
        <v>2015 Actuals</v>
      </c>
      <c r="E13" s="1131" t="str">
        <f>BridgeYear -3 &amp; " Actuals"</f>
        <v>2016 Actuals</v>
      </c>
      <c r="F13" s="1131" t="str">
        <f>BridgeYear -2 &amp; " Actuals"</f>
        <v>2017 Actuals</v>
      </c>
      <c r="G13" s="1131" t="str">
        <f>BridgeYear -1 &amp; " Actuals"</f>
        <v>2018 Actuals</v>
      </c>
      <c r="H13" s="1131" t="str">
        <f>BridgeYear &amp; " Bridge Year"</f>
        <v>2019 Bridge Year</v>
      </c>
      <c r="I13" s="1132" t="str">
        <f>TestYear &amp; " Test Year"</f>
        <v>2020 Test Year</v>
      </c>
    </row>
    <row r="14" spans="1:15" ht="13.5" thickBot="1" x14ac:dyDescent="0.25">
      <c r="A14" s="225" t="s">
        <v>90</v>
      </c>
      <c r="B14" s="226" t="s">
        <v>91</v>
      </c>
      <c r="C14" s="226" t="s">
        <v>91</v>
      </c>
      <c r="D14" s="226" t="s">
        <v>92</v>
      </c>
      <c r="E14" s="226" t="s">
        <v>92</v>
      </c>
      <c r="F14" s="226" t="s">
        <v>92</v>
      </c>
      <c r="G14" s="226" t="s">
        <v>92</v>
      </c>
      <c r="H14" s="226" t="s">
        <v>92</v>
      </c>
      <c r="I14" s="226" t="s">
        <v>92</v>
      </c>
      <c r="O14" s="233"/>
    </row>
    <row r="15" spans="1:15" x14ac:dyDescent="0.2">
      <c r="A15" s="1380" t="s">
        <v>1292</v>
      </c>
      <c r="B15" s="96">
        <v>13937539</v>
      </c>
      <c r="C15" s="1378">
        <f>IF(BridgeYear-5&lt;=RebaseYear,0,IF((BridgeYear-5)=(RebaseYear+1),$B$45,#REF!))</f>
        <v>14244665.870000001</v>
      </c>
      <c r="D15" s="1378">
        <f>IF(BridgeYear-4&lt;=RebaseYear,0,IF((BridgeYear-4)=(RebaseYear+1),$B$45,C45))</f>
        <v>13729965.299999999</v>
      </c>
      <c r="E15" s="1378">
        <f>IF(BridgeYear-3&lt;=RebaseYear,0,IF((BridgeYear-3)=(RebaseYear+1),$B$45,D45))</f>
        <v>14313935.129999997</v>
      </c>
      <c r="F15" s="1378">
        <f>IF(BridgeYear-2&lt;=RebaseYear,0,IF((BridgeYear-2)=(RebaseYear+1),$B$45,E45))</f>
        <v>15162845.029999997</v>
      </c>
      <c r="G15" s="1378">
        <f>IF(BridgeYear-1&lt;=RebaseYear,0,IF((BridgeYear-1)=(RebaseYear+1),$B$45,F45))</f>
        <v>14647472.639999995</v>
      </c>
      <c r="H15" s="1378">
        <f>G45</f>
        <v>14941780.649999995</v>
      </c>
      <c r="I15" s="1482">
        <f>H45</f>
        <v>15359615.169999998</v>
      </c>
    </row>
    <row r="16" spans="1:15" x14ac:dyDescent="0.2">
      <c r="A16" s="234" t="s">
        <v>1781</v>
      </c>
      <c r="B16" s="132">
        <v>-1147029.33</v>
      </c>
      <c r="C16" s="132">
        <v>190636.20999999993</v>
      </c>
      <c r="D16" s="132">
        <v>299527.74999999953</v>
      </c>
      <c r="E16" s="132">
        <v>-182849.31999999992</v>
      </c>
      <c r="F16" s="132">
        <v>447777.24000000005</v>
      </c>
      <c r="G16" s="132">
        <v>-209090.11</v>
      </c>
      <c r="H16" s="132">
        <v>353777.11999999988</v>
      </c>
      <c r="I16" s="132">
        <v>820477.09</v>
      </c>
    </row>
    <row r="17" spans="1:9" x14ac:dyDescent="0.2">
      <c r="A17" s="234" t="s">
        <v>1782</v>
      </c>
      <c r="B17" s="132">
        <v>895110.99999999977</v>
      </c>
      <c r="C17" s="132">
        <v>98027.730000000214</v>
      </c>
      <c r="D17" s="132">
        <v>-137688.51999999979</v>
      </c>
      <c r="E17" s="132">
        <v>65098.789999999804</v>
      </c>
      <c r="F17" s="132">
        <v>-295590</v>
      </c>
      <c r="G17" s="132">
        <v>-32161.960000000079</v>
      </c>
      <c r="H17" s="132">
        <v>-229202.03999999975</v>
      </c>
      <c r="I17" s="132">
        <v>-5795.0000000001746</v>
      </c>
    </row>
    <row r="18" spans="1:9" x14ac:dyDescent="0.2">
      <c r="A18" s="234" t="s">
        <v>1783</v>
      </c>
      <c r="B18" s="132">
        <v>-489637.0400000001</v>
      </c>
      <c r="C18" s="132">
        <v>310633.25000000041</v>
      </c>
      <c r="D18" s="132">
        <v>560798.25999999978</v>
      </c>
      <c r="E18" s="132">
        <v>263927.1399999999</v>
      </c>
      <c r="F18" s="132">
        <v>-134615.6339601143</v>
      </c>
      <c r="G18" s="132">
        <v>60362.079999999856</v>
      </c>
      <c r="H18" s="132">
        <v>86526.360000000364</v>
      </c>
      <c r="I18" s="132">
        <v>498216.2099999995</v>
      </c>
    </row>
    <row r="19" spans="1:9" x14ac:dyDescent="0.2">
      <c r="A19" s="234" t="s">
        <v>1784</v>
      </c>
      <c r="B19" s="132">
        <v>0</v>
      </c>
      <c r="C19" s="132">
        <v>0</v>
      </c>
      <c r="D19" s="132">
        <v>0</v>
      </c>
      <c r="E19" s="132">
        <v>0</v>
      </c>
      <c r="F19" s="132">
        <v>0</v>
      </c>
      <c r="G19" s="132">
        <v>0</v>
      </c>
      <c r="H19" s="132">
        <v>136180.75</v>
      </c>
      <c r="I19" s="132">
        <v>147384.09000000003</v>
      </c>
    </row>
    <row r="20" spans="1:9" x14ac:dyDescent="0.2">
      <c r="A20" s="234" t="s">
        <v>1536</v>
      </c>
      <c r="B20" s="132">
        <v>-94791.190000000133</v>
      </c>
      <c r="C20" s="132">
        <v>0</v>
      </c>
      <c r="D20" s="132">
        <v>-300208.71999999997</v>
      </c>
      <c r="E20" s="132">
        <v>431625.5</v>
      </c>
      <c r="F20" s="132">
        <v>-165363.81000000011</v>
      </c>
      <c r="G20" s="132">
        <v>-105579.83000000002</v>
      </c>
      <c r="H20" s="132">
        <v>267725.68000000017</v>
      </c>
      <c r="I20" s="132">
        <v>-164592.19000000018</v>
      </c>
    </row>
    <row r="21" spans="1:9" x14ac:dyDescent="0.2">
      <c r="A21" s="234" t="s">
        <v>1785</v>
      </c>
      <c r="B21" s="132">
        <v>-148446.54</v>
      </c>
      <c r="C21" s="132">
        <v>196450.99000000008</v>
      </c>
      <c r="D21" s="132">
        <v>0</v>
      </c>
      <c r="E21" s="132">
        <v>31686.560000000063</v>
      </c>
      <c r="F21" s="132">
        <v>-185405.24</v>
      </c>
      <c r="G21" s="132">
        <v>0</v>
      </c>
      <c r="H21" s="132">
        <v>-77870.02999999997</v>
      </c>
      <c r="I21" s="132">
        <v>42142.77</v>
      </c>
    </row>
    <row r="22" spans="1:9" x14ac:dyDescent="0.2">
      <c r="A22" s="234" t="s">
        <v>1561</v>
      </c>
      <c r="B22" s="132">
        <v>0</v>
      </c>
      <c r="C22" s="132">
        <v>0</v>
      </c>
      <c r="D22" s="132">
        <v>0</v>
      </c>
      <c r="E22" s="132">
        <v>0</v>
      </c>
      <c r="F22" s="132">
        <v>0</v>
      </c>
      <c r="G22" s="132">
        <v>0</v>
      </c>
      <c r="H22" s="132">
        <v>71988.420000000027</v>
      </c>
      <c r="I22" s="132">
        <v>-16183.180000000022</v>
      </c>
    </row>
    <row r="23" spans="1:9" x14ac:dyDescent="0.2">
      <c r="A23" s="234" t="s">
        <v>1786</v>
      </c>
      <c r="B23" s="132">
        <v>-165576.77000000008</v>
      </c>
      <c r="C23" s="132">
        <v>45528.100000000253</v>
      </c>
      <c r="D23" s="132">
        <v>202552.01999999973</v>
      </c>
      <c r="E23" s="132">
        <v>155015.88000000021</v>
      </c>
      <c r="F23" s="132">
        <v>-289086.01999999984</v>
      </c>
      <c r="G23" s="132">
        <v>-19636.530000000137</v>
      </c>
      <c r="H23" s="132">
        <v>81672.599999999817</v>
      </c>
      <c r="I23" s="132">
        <v>38212.870000000061</v>
      </c>
    </row>
    <row r="24" spans="1:9" x14ac:dyDescent="0.2">
      <c r="A24" s="234" t="s">
        <v>1787</v>
      </c>
      <c r="B24" s="132">
        <v>524978.46000000008</v>
      </c>
      <c r="C24" s="132">
        <v>-485530.46000000084</v>
      </c>
      <c r="D24" s="132">
        <v>25689.140000001193</v>
      </c>
      <c r="E24" s="132">
        <v>-65137.150000000118</v>
      </c>
      <c r="F24" s="132">
        <v>0</v>
      </c>
      <c r="G24" s="132">
        <v>0</v>
      </c>
      <c r="H24" s="132">
        <v>0</v>
      </c>
      <c r="I24" s="132">
        <v>0</v>
      </c>
    </row>
    <row r="25" spans="1:9" x14ac:dyDescent="0.2">
      <c r="A25" s="234" t="s">
        <v>1553</v>
      </c>
      <c r="B25" s="132">
        <v>-261812.63999999993</v>
      </c>
      <c r="C25" s="132">
        <v>233369.01999999993</v>
      </c>
      <c r="D25" s="132">
        <v>-45928.669999999991</v>
      </c>
      <c r="E25" s="132">
        <v>178012.01</v>
      </c>
      <c r="F25" s="132">
        <v>-185489.16999999995</v>
      </c>
      <c r="G25" s="132">
        <v>74125.840000000011</v>
      </c>
      <c r="H25" s="132">
        <v>118484.78999999998</v>
      </c>
      <c r="I25" s="132">
        <v>-87482.180000000008</v>
      </c>
    </row>
    <row r="26" spans="1:9" x14ac:dyDescent="0.2">
      <c r="A26" s="234" t="s">
        <v>1788</v>
      </c>
      <c r="B26" s="132">
        <v>149843.04999999999</v>
      </c>
      <c r="C26" s="132">
        <v>-47521.359999999993</v>
      </c>
      <c r="D26" s="132">
        <v>-73634.239999999991</v>
      </c>
      <c r="E26" s="132">
        <v>-87257.01</v>
      </c>
      <c r="F26" s="132">
        <v>61401.94</v>
      </c>
      <c r="G26" s="132">
        <v>0</v>
      </c>
      <c r="H26" s="132">
        <v>0</v>
      </c>
      <c r="I26" s="132">
        <v>0</v>
      </c>
    </row>
    <row r="27" spans="1:9" x14ac:dyDescent="0.2">
      <c r="A27" s="234" t="s">
        <v>1766</v>
      </c>
      <c r="B27" s="132">
        <v>0</v>
      </c>
      <c r="C27" s="132">
        <v>0</v>
      </c>
      <c r="D27" s="132">
        <v>-75983.839999999967</v>
      </c>
      <c r="E27" s="132">
        <v>0</v>
      </c>
      <c r="F27" s="132">
        <v>46502.52999999997</v>
      </c>
      <c r="G27" s="132">
        <v>-34323.730000000003</v>
      </c>
      <c r="H27" s="132">
        <v>-20504.190000000002</v>
      </c>
      <c r="I27" s="132">
        <v>0</v>
      </c>
    </row>
    <row r="28" spans="1:9" x14ac:dyDescent="0.2">
      <c r="A28" s="234" t="s">
        <v>1789</v>
      </c>
      <c r="B28" s="132">
        <v>-8.7311269325596186E-12</v>
      </c>
      <c r="C28" s="132">
        <v>0</v>
      </c>
      <c r="D28" s="132">
        <v>2.0372592501871623E-12</v>
      </c>
      <c r="E28" s="132">
        <v>2.5611346377019117E-11</v>
      </c>
      <c r="F28" s="132">
        <v>-229749.99999999994</v>
      </c>
      <c r="G28" s="132">
        <v>459499.99999999994</v>
      </c>
      <c r="H28" s="132">
        <v>-229750.29000000004</v>
      </c>
      <c r="I28" s="132">
        <v>0</v>
      </c>
    </row>
    <row r="29" spans="1:9" x14ac:dyDescent="0.2">
      <c r="A29" s="234" t="s">
        <v>1790</v>
      </c>
      <c r="B29" s="132">
        <v>1240010.02</v>
      </c>
      <c r="C29" s="132">
        <v>-1240010.02</v>
      </c>
      <c r="D29" s="132">
        <v>0</v>
      </c>
      <c r="E29" s="132">
        <v>0</v>
      </c>
      <c r="F29" s="132">
        <v>0</v>
      </c>
      <c r="G29" s="132">
        <v>0</v>
      </c>
      <c r="H29" s="132">
        <v>0</v>
      </c>
      <c r="I29" s="132">
        <v>0</v>
      </c>
    </row>
    <row r="30" spans="1:9" x14ac:dyDescent="0.2">
      <c r="A30" s="234" t="s">
        <v>1791</v>
      </c>
      <c r="B30" s="132">
        <v>0</v>
      </c>
      <c r="C30" s="132">
        <v>0</v>
      </c>
      <c r="D30" s="132">
        <v>0</v>
      </c>
      <c r="E30" s="132">
        <v>0</v>
      </c>
      <c r="F30" s="132">
        <v>0</v>
      </c>
      <c r="G30" s="132">
        <v>202649.87</v>
      </c>
      <c r="H30" s="132">
        <v>-202649.87</v>
      </c>
      <c r="I30" s="132">
        <v>0</v>
      </c>
    </row>
    <row r="31" spans="1:9" x14ac:dyDescent="0.2">
      <c r="A31" s="234" t="s">
        <v>1792</v>
      </c>
      <c r="B31" s="132">
        <v>0</v>
      </c>
      <c r="C31" s="132">
        <v>0</v>
      </c>
      <c r="D31" s="132">
        <v>0</v>
      </c>
      <c r="E31" s="132">
        <v>0</v>
      </c>
      <c r="F31" s="132">
        <v>0</v>
      </c>
      <c r="G31" s="132">
        <v>0</v>
      </c>
      <c r="H31" s="132">
        <v>0</v>
      </c>
      <c r="I31" s="132">
        <v>90000</v>
      </c>
    </row>
    <row r="32" spans="1:9" x14ac:dyDescent="0.2">
      <c r="A32" s="234" t="s">
        <v>1793</v>
      </c>
      <c r="B32" s="132">
        <v>0</v>
      </c>
      <c r="C32" s="132">
        <v>0</v>
      </c>
      <c r="D32" s="132">
        <v>0</v>
      </c>
      <c r="E32" s="132">
        <v>0</v>
      </c>
      <c r="F32" s="132">
        <v>0</v>
      </c>
      <c r="G32" s="132">
        <v>0</v>
      </c>
      <c r="H32" s="132">
        <v>0</v>
      </c>
      <c r="I32" s="132">
        <v>40000</v>
      </c>
    </row>
    <row r="33" spans="1:9" x14ac:dyDescent="0.2">
      <c r="A33" s="235" t="s">
        <v>1752</v>
      </c>
      <c r="B33" s="132">
        <v>0</v>
      </c>
      <c r="C33" s="132">
        <v>0</v>
      </c>
      <c r="D33" s="132">
        <v>0</v>
      </c>
      <c r="E33" s="132">
        <v>0</v>
      </c>
      <c r="F33" s="132">
        <v>0</v>
      </c>
      <c r="G33" s="132">
        <v>0</v>
      </c>
      <c r="H33" s="132">
        <v>49712.520000000004</v>
      </c>
      <c r="I33" s="132">
        <v>-49713</v>
      </c>
    </row>
    <row r="34" spans="1:9" x14ac:dyDescent="0.2">
      <c r="A34" s="234" t="s">
        <v>1794</v>
      </c>
      <c r="B34" s="132">
        <v>0</v>
      </c>
      <c r="C34" s="132">
        <v>0</v>
      </c>
      <c r="D34" s="132">
        <v>0</v>
      </c>
      <c r="E34" s="132">
        <v>0</v>
      </c>
      <c r="F34" s="132">
        <v>0</v>
      </c>
      <c r="G34" s="132">
        <v>0</v>
      </c>
      <c r="H34" s="132">
        <v>86075.749999999956</v>
      </c>
      <c r="I34" s="132">
        <v>58938.780000000028</v>
      </c>
    </row>
    <row r="35" spans="1:9" x14ac:dyDescent="0.2">
      <c r="A35" s="234" t="s">
        <v>1795</v>
      </c>
      <c r="B35" s="132">
        <v>0</v>
      </c>
      <c r="C35" s="132">
        <v>0</v>
      </c>
      <c r="D35" s="132">
        <v>0</v>
      </c>
      <c r="E35" s="132">
        <v>0</v>
      </c>
      <c r="F35" s="132">
        <v>0</v>
      </c>
      <c r="G35" s="132">
        <v>0</v>
      </c>
      <c r="H35" s="132">
        <v>0</v>
      </c>
      <c r="I35" s="132">
        <v>65246.439999999944</v>
      </c>
    </row>
    <row r="36" spans="1:9" x14ac:dyDescent="0.2">
      <c r="A36" s="234" t="s">
        <v>1796</v>
      </c>
      <c r="B36" s="132">
        <v>0</v>
      </c>
      <c r="C36" s="132">
        <v>0</v>
      </c>
      <c r="D36" s="132">
        <v>0</v>
      </c>
      <c r="E36" s="132">
        <v>0</v>
      </c>
      <c r="F36" s="132">
        <v>272066.01396011451</v>
      </c>
      <c r="G36" s="132">
        <v>0</v>
      </c>
      <c r="H36" s="132">
        <v>0</v>
      </c>
      <c r="I36" s="132">
        <v>0</v>
      </c>
    </row>
    <row r="37" spans="1:9" x14ac:dyDescent="0.2">
      <c r="A37" s="235" t="s">
        <v>1753</v>
      </c>
      <c r="B37" s="132">
        <v>-218668.73</v>
      </c>
      <c r="C37" s="132">
        <v>-9772.1499999999869</v>
      </c>
      <c r="D37" s="132">
        <v>161377.11000000004</v>
      </c>
      <c r="E37" s="132">
        <v>73875.669999999955</v>
      </c>
      <c r="F37" s="132">
        <v>52587.770000000011</v>
      </c>
      <c r="G37" s="132">
        <v>-89205.170000000027</v>
      </c>
      <c r="H37" s="132">
        <v>-138286.34999999998</v>
      </c>
      <c r="I37" s="132">
        <v>-89783.420000000013</v>
      </c>
    </row>
    <row r="38" spans="1:9" x14ac:dyDescent="0.2">
      <c r="A38" s="235" t="s">
        <v>1776</v>
      </c>
      <c r="B38" s="132"/>
      <c r="C38" s="132"/>
      <c r="D38" s="132"/>
      <c r="E38" s="132"/>
      <c r="F38" s="132"/>
      <c r="G38" s="132"/>
      <c r="H38" s="132"/>
      <c r="I38" s="132">
        <v>-508089</v>
      </c>
    </row>
    <row r="39" spans="1:9" ht="13.5" thickBot="1" x14ac:dyDescent="0.25">
      <c r="A39" s="234" t="s">
        <v>1797</v>
      </c>
      <c r="B39" s="132">
        <v>23146.579999999987</v>
      </c>
      <c r="C39" s="132">
        <v>193488.12</v>
      </c>
      <c r="D39" s="132">
        <v>-32530.46</v>
      </c>
      <c r="E39" s="132">
        <v>-15088.170000000006</v>
      </c>
      <c r="F39" s="132">
        <v>89591.99</v>
      </c>
      <c r="G39" s="132">
        <v>-12332.449999999983</v>
      </c>
      <c r="H39" s="132">
        <f>63952.3+1</f>
        <v>63953.3</v>
      </c>
      <c r="I39" s="132">
        <f>-817-1</f>
        <v>-818</v>
      </c>
    </row>
    <row r="40" spans="1:9" hidden="1" x14ac:dyDescent="0.2">
      <c r="A40" s="234"/>
      <c r="B40" s="96"/>
      <c r="C40" s="96"/>
      <c r="D40" s="96"/>
      <c r="E40" s="96"/>
      <c r="F40" s="96"/>
      <c r="G40" s="96"/>
      <c r="H40" s="96"/>
      <c r="I40" s="212"/>
    </row>
    <row r="41" spans="1:9" hidden="1" x14ac:dyDescent="0.2">
      <c r="A41" s="234"/>
      <c r="B41" s="96"/>
      <c r="C41" s="96"/>
      <c r="D41" s="96"/>
      <c r="E41" s="96"/>
      <c r="F41" s="96"/>
      <c r="G41" s="96"/>
      <c r="H41" s="96"/>
      <c r="I41" s="212"/>
    </row>
    <row r="42" spans="1:9" hidden="1" x14ac:dyDescent="0.2">
      <c r="A42" s="235"/>
      <c r="B42" s="96"/>
      <c r="C42" s="96"/>
      <c r="D42" s="96"/>
      <c r="E42" s="96"/>
      <c r="F42" s="96"/>
      <c r="G42" s="96"/>
      <c r="H42" s="96"/>
      <c r="I42" s="212"/>
    </row>
    <row r="43" spans="1:9" hidden="1" x14ac:dyDescent="0.2">
      <c r="A43" s="235"/>
      <c r="B43" s="96"/>
      <c r="C43" s="96"/>
      <c r="D43" s="96"/>
      <c r="E43" s="96"/>
      <c r="F43" s="96"/>
      <c r="G43" s="96"/>
      <c r="H43" s="96"/>
      <c r="I43" s="212"/>
    </row>
    <row r="44" spans="1:9" ht="13.5" hidden="1" thickBot="1" x14ac:dyDescent="0.25">
      <c r="A44" s="236"/>
      <c r="B44" s="237"/>
      <c r="C44" s="123"/>
      <c r="D44" s="123"/>
      <c r="E44" s="123"/>
      <c r="F44" s="123"/>
      <c r="G44" s="123"/>
      <c r="H44" s="123"/>
      <c r="I44" s="219"/>
    </row>
    <row r="45" spans="1:9" ht="14.25" thickTop="1" thickBot="1" x14ac:dyDescent="0.25">
      <c r="A45" s="1381" t="str">
        <f>"Closing Balance"&amp;CHAR(178)</f>
        <v>Closing Balance²</v>
      </c>
      <c r="B45" s="1379">
        <f t="shared" ref="B45:I45" si="0">SUM(B15:B44)</f>
        <v>14244665.870000001</v>
      </c>
      <c r="C45" s="1080">
        <f t="shared" si="0"/>
        <v>13729965.299999999</v>
      </c>
      <c r="D45" s="1080">
        <f t="shared" si="0"/>
        <v>14313935.129999997</v>
      </c>
      <c r="E45" s="1080">
        <f t="shared" si="0"/>
        <v>15162845.029999997</v>
      </c>
      <c r="F45" s="1080">
        <f t="shared" si="0"/>
        <v>14647472.639999995</v>
      </c>
      <c r="G45" s="1080">
        <f t="shared" si="0"/>
        <v>14941780.649999995</v>
      </c>
      <c r="H45" s="1080">
        <f t="shared" si="0"/>
        <v>15359615.169999998</v>
      </c>
      <c r="I45" s="1081">
        <f t="shared" si="0"/>
        <v>16237777.449999997</v>
      </c>
    </row>
    <row r="47" spans="1:9" x14ac:dyDescent="0.2">
      <c r="A47" s="604" t="s">
        <v>6</v>
      </c>
    </row>
    <row r="48" spans="1:9" x14ac:dyDescent="0.2">
      <c r="A48" s="600"/>
    </row>
    <row r="49" spans="1:9" x14ac:dyDescent="0.2">
      <c r="A49" s="189">
        <v>1</v>
      </c>
      <c r="B49" s="1868" t="s">
        <v>836</v>
      </c>
      <c r="C49" s="1868"/>
      <c r="D49" s="1868"/>
      <c r="E49" s="1868"/>
      <c r="F49" s="1868"/>
      <c r="G49" s="1868"/>
      <c r="H49" s="1868"/>
      <c r="I49" s="1868"/>
    </row>
    <row r="50" spans="1:9" ht="26.25" customHeight="1" x14ac:dyDescent="0.2">
      <c r="A50" s="601">
        <v>2</v>
      </c>
      <c r="B50" s="1868" t="s">
        <v>1328</v>
      </c>
      <c r="C50" s="1868"/>
      <c r="D50" s="1868"/>
      <c r="E50" s="1868"/>
      <c r="F50" s="1868"/>
      <c r="G50" s="1868"/>
      <c r="H50" s="1868"/>
      <c r="I50" s="1868"/>
    </row>
    <row r="51" spans="1:9" ht="12.75" customHeight="1" x14ac:dyDescent="0.2">
      <c r="A51" s="189">
        <v>3</v>
      </c>
      <c r="B51" s="1868" t="s">
        <v>1009</v>
      </c>
      <c r="C51" s="1868"/>
      <c r="D51" s="1868"/>
      <c r="E51" s="1868"/>
      <c r="F51" s="1868"/>
      <c r="G51" s="1868"/>
      <c r="H51" s="1868"/>
      <c r="I51" s="1868"/>
    </row>
    <row r="52" spans="1:9" x14ac:dyDescent="0.2">
      <c r="A52" s="189"/>
      <c r="B52" s="1868"/>
      <c r="C52" s="1868"/>
      <c r="D52" s="1868"/>
      <c r="E52" s="1868"/>
      <c r="F52" s="1868"/>
      <c r="G52" s="1868"/>
      <c r="H52" s="1868"/>
      <c r="I52" s="1868"/>
    </row>
    <row r="53" spans="1:9" ht="14.25" customHeight="1" x14ac:dyDescent="0.2">
      <c r="A53" s="189"/>
      <c r="B53" s="1868"/>
      <c r="C53" s="1868"/>
      <c r="D53" s="1868"/>
      <c r="E53" s="1868"/>
      <c r="F53" s="1868"/>
      <c r="G53" s="1868"/>
      <c r="H53" s="1868"/>
      <c r="I53" s="1868"/>
    </row>
    <row r="54" spans="1:9" ht="3.75" customHeight="1" x14ac:dyDescent="0.2">
      <c r="B54" s="1868"/>
      <c r="C54" s="1868"/>
      <c r="D54" s="1868"/>
      <c r="E54" s="1868"/>
      <c r="F54" s="1868"/>
      <c r="G54" s="1868"/>
      <c r="H54" s="1868"/>
      <c r="I54" s="1868"/>
    </row>
    <row r="55" spans="1:9" x14ac:dyDescent="0.2">
      <c r="B55" s="1868"/>
      <c r="C55" s="1868"/>
      <c r="D55" s="1868"/>
      <c r="E55" s="1868"/>
      <c r="F55" s="1868"/>
      <c r="G55" s="1868"/>
      <c r="H55" s="1868"/>
      <c r="I55" s="1868"/>
    </row>
  </sheetData>
  <mergeCells count="5">
    <mergeCell ref="A10:H10"/>
    <mergeCell ref="A11:H11"/>
    <mergeCell ref="B49:I49"/>
    <mergeCell ref="B50:I50"/>
    <mergeCell ref="B51:I55"/>
  </mergeCells>
  <phoneticPr fontId="13" type="noConversion"/>
  <dataValidations count="2">
    <dataValidation allowBlank="1" showInputMessage="1" showErrorMessage="1" promptTitle="Date Format" prompt="E.g:  &quot;August 1, 2011&quot;" sqref="I7" xr:uid="{00000000-0002-0000-2000-000000000000}"/>
    <dataValidation type="list" allowBlank="1" showInputMessage="1" showErrorMessage="1" sqref="B14:I14" xr:uid="{00000000-0002-0000-2000-000001000000}">
      <formula1>"CGAAP, MIFRS, USGAAP, ASPE"</formula1>
    </dataValidation>
  </dataValidations>
  <pageMargins left="0.75" right="0.75" top="1" bottom="1" header="0.5" footer="0.5"/>
  <pageSetup scale="6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0">
    <tabColor theme="7" tint="0.39997558519241921"/>
    <pageSetUpPr fitToPage="1"/>
  </sheetPr>
  <dimension ref="A1:L70"/>
  <sheetViews>
    <sheetView showGridLines="0" tabSelected="1" topLeftCell="A16" zoomScaleNormal="100" zoomScaleSheetLayoutView="70" workbookViewId="0">
      <selection activeCell="I59" sqref="I59"/>
    </sheetView>
  </sheetViews>
  <sheetFormatPr defaultColWidth="9.28515625" defaultRowHeight="12.75" x14ac:dyDescent="0.2"/>
  <cols>
    <col min="1" max="1" width="45.85546875" style="1486" customWidth="1"/>
    <col min="2" max="2" width="14.42578125" style="1486" customWidth="1"/>
    <col min="3" max="4" width="14.28515625" style="1486" customWidth="1"/>
    <col min="5" max="5" width="14.140625" style="1486" customWidth="1"/>
    <col min="6" max="10" width="15.140625" style="1486" bestFit="1" customWidth="1"/>
    <col min="11" max="11" width="16.5703125" style="1486" customWidth="1"/>
    <col min="12" max="12" width="16.7109375" style="1486" customWidth="1"/>
    <col min="13" max="16384" width="9.28515625" style="1486"/>
  </cols>
  <sheetData>
    <row r="1" spans="1:12" s="27" customFormat="1" x14ac:dyDescent="0.2">
      <c r="J1" s="39" t="s">
        <v>264</v>
      </c>
      <c r="K1" s="875" t="str">
        <f>EBNUMBER</f>
        <v>EB-2019-0037</v>
      </c>
    </row>
    <row r="2" spans="1:12" s="27" customFormat="1" x14ac:dyDescent="0.2">
      <c r="J2" s="39" t="s">
        <v>265</v>
      </c>
      <c r="K2" s="41"/>
    </row>
    <row r="3" spans="1:12" s="27" customFormat="1" x14ac:dyDescent="0.2">
      <c r="J3" s="39" t="s">
        <v>266</v>
      </c>
      <c r="K3" s="41"/>
    </row>
    <row r="4" spans="1:12" s="27" customFormat="1" x14ac:dyDescent="0.2">
      <c r="J4" s="39" t="s">
        <v>267</v>
      </c>
      <c r="K4" s="41"/>
    </row>
    <row r="5" spans="1:12" s="27" customFormat="1" x14ac:dyDescent="0.2">
      <c r="J5" s="39" t="s">
        <v>268</v>
      </c>
      <c r="K5" s="42"/>
    </row>
    <row r="6" spans="1:12" s="27" customFormat="1" x14ac:dyDescent="0.2">
      <c r="J6" s="39"/>
      <c r="K6" s="40"/>
    </row>
    <row r="7" spans="1:12" s="27" customFormat="1" x14ac:dyDescent="0.2">
      <c r="J7" s="39" t="s">
        <v>269</v>
      </c>
      <c r="K7" s="1448"/>
    </row>
    <row r="8" spans="1:12" s="27" customFormat="1" x14ac:dyDescent="0.2"/>
    <row r="9" spans="1:12" s="27" customFormat="1" ht="18" x14ac:dyDescent="0.25">
      <c r="A9" s="2219" t="s">
        <v>531</v>
      </c>
      <c r="B9" s="2219"/>
      <c r="C9" s="2219"/>
      <c r="D9" s="2219"/>
      <c r="E9" s="2219"/>
      <c r="F9" s="2219"/>
      <c r="G9" s="2219"/>
      <c r="H9" s="2219"/>
      <c r="I9" s="2219"/>
      <c r="J9" s="2219"/>
      <c r="K9" s="43"/>
    </row>
    <row r="10" spans="1:12" s="27" customFormat="1" ht="18" x14ac:dyDescent="0.25">
      <c r="A10" s="2219" t="s">
        <v>651</v>
      </c>
      <c r="B10" s="2219"/>
      <c r="C10" s="2219"/>
      <c r="D10" s="2219"/>
      <c r="E10" s="2219"/>
      <c r="F10" s="2219"/>
      <c r="G10" s="2219"/>
      <c r="H10" s="2219"/>
      <c r="I10" s="2219"/>
      <c r="J10" s="2219"/>
      <c r="K10" s="43"/>
    </row>
    <row r="11" spans="1:12" s="27" customFormat="1" x14ac:dyDescent="0.2"/>
    <row r="12" spans="1:12" s="27" customFormat="1" ht="13.5" thickBot="1" x14ac:dyDescent="0.25">
      <c r="A12" s="1865"/>
      <c r="B12" s="1865"/>
      <c r="C12" s="1865"/>
      <c r="D12" s="1865"/>
      <c r="E12" s="1865"/>
      <c r="F12" s="1865"/>
      <c r="G12" s="1865"/>
      <c r="H12" s="1865"/>
      <c r="I12" s="1865"/>
      <c r="J12" s="1865"/>
    </row>
    <row r="13" spans="1:12" ht="80.45" customHeight="1" thickBot="1" x14ac:dyDescent="0.25">
      <c r="A13" s="1483" t="s">
        <v>652</v>
      </c>
      <c r="B13" s="1484" t="str">
        <f>"Last Rebasing Year (" &amp; RebaseYear &amp; " OEB-Approved)"</f>
        <v>Last Rebasing Year (2013 OEB-Approved)</v>
      </c>
      <c r="C13" s="1484" t="str">
        <f>"Last Rebasing Year (" &amp; RebaseYear &amp; " Actuals)"</f>
        <v>Last Rebasing Year (2013 Actuals)</v>
      </c>
      <c r="D13" s="1484" t="str">
        <f>BridgeYear-5&amp;" Actuals"</f>
        <v>2014 Actuals</v>
      </c>
      <c r="E13" s="1484" t="str">
        <f>BridgeYear-4&amp;" Actuals"</f>
        <v>2015 Actuals</v>
      </c>
      <c r="F13" s="1484" t="str">
        <f>BridgeYear-3&amp;" Actuals"</f>
        <v>2016 Actuals</v>
      </c>
      <c r="G13" s="1484" t="str">
        <f>BridgeYear -2 &amp; " Actuals"</f>
        <v>2017 Actuals</v>
      </c>
      <c r="H13" s="1484" t="str">
        <f>BridgeYear -1 &amp; " Actuals"</f>
        <v>2018 Actuals</v>
      </c>
      <c r="I13" s="1484" t="str">
        <f>BridgeYear &amp; " Bridge Year"</f>
        <v>2019 Bridge Year</v>
      </c>
      <c r="J13" s="1485" t="str">
        <f>TestYear &amp; " Test Year"</f>
        <v>2020 Test Year</v>
      </c>
      <c r="K13" s="1485" t="str">
        <f>"Variance 
(Test Year vs. " &amp; H13 &amp;")"</f>
        <v>Variance 
(Test Year vs. 2018 Actuals)</v>
      </c>
      <c r="L13" s="1485" t="str">
        <f>"Variance 
(Test Year vs. " &amp; B13</f>
        <v>Variance 
(Test Year vs. Last Rebasing Year (2013 OEB-Approved)</v>
      </c>
    </row>
    <row r="14" spans="1:12" ht="13.5" thickBot="1" x14ac:dyDescent="0.25">
      <c r="A14" s="1487" t="s">
        <v>90</v>
      </c>
      <c r="B14" s="1488" t="s">
        <v>91</v>
      </c>
      <c r="C14" s="1488" t="s">
        <v>91</v>
      </c>
      <c r="D14" s="1488" t="s">
        <v>91</v>
      </c>
      <c r="E14" s="1488" t="s">
        <v>92</v>
      </c>
      <c r="F14" s="1488" t="s">
        <v>92</v>
      </c>
      <c r="G14" s="1488" t="s">
        <v>92</v>
      </c>
      <c r="H14" s="1488" t="s">
        <v>92</v>
      </c>
      <c r="I14" s="1488" t="s">
        <v>92</v>
      </c>
      <c r="J14" s="1488" t="s">
        <v>92</v>
      </c>
      <c r="K14" s="1488" t="s">
        <v>92</v>
      </c>
      <c r="L14" s="1488" t="s">
        <v>92</v>
      </c>
    </row>
    <row r="15" spans="1:12" x14ac:dyDescent="0.2">
      <c r="A15" s="1489" t="s">
        <v>1504</v>
      </c>
      <c r="B15" s="54"/>
      <c r="C15" s="49"/>
      <c r="D15" s="49"/>
      <c r="E15" s="49"/>
      <c r="F15" s="49"/>
      <c r="G15" s="49"/>
      <c r="H15" s="49"/>
      <c r="I15" s="49"/>
      <c r="J15" s="49"/>
      <c r="K15" s="49"/>
      <c r="L15" s="49"/>
    </row>
    <row r="16" spans="1:12" x14ac:dyDescent="0.2">
      <c r="A16" s="1643" t="s">
        <v>87</v>
      </c>
      <c r="B16" s="1699">
        <v>1738947</v>
      </c>
      <c r="C16" s="1699">
        <v>1577130.0999999999</v>
      </c>
      <c r="D16" s="1699">
        <v>1752111.8600000006</v>
      </c>
      <c r="E16" s="1699">
        <v>1856195.4800000004</v>
      </c>
      <c r="F16" s="1699">
        <v>1923885.4999999993</v>
      </c>
      <c r="G16" s="1699">
        <v>1792603.14</v>
      </c>
      <c r="H16" s="1699">
        <v>2012617.33</v>
      </c>
      <c r="I16" s="1699">
        <v>1804715.120000001</v>
      </c>
      <c r="J16" s="1700">
        <v>2011627</v>
      </c>
      <c r="K16" s="1703">
        <f>J16-H16</f>
        <v>-990.33000000007451</v>
      </c>
      <c r="L16" s="1703">
        <f t="shared" ref="L16:L21" si="0">J16-B16</f>
        <v>272680</v>
      </c>
    </row>
    <row r="17" spans="1:12" x14ac:dyDescent="0.2">
      <c r="A17" s="1643" t="s">
        <v>1546</v>
      </c>
      <c r="B17" s="1699">
        <v>631688</v>
      </c>
      <c r="C17" s="1699">
        <v>732102.20000000065</v>
      </c>
      <c r="D17" s="1699">
        <v>654394.93000000226</v>
      </c>
      <c r="E17" s="1699">
        <v>639409.2299999987</v>
      </c>
      <c r="F17" s="1699">
        <v>617858.04999999993</v>
      </c>
      <c r="G17" s="1699">
        <v>548478.77000000095</v>
      </c>
      <c r="H17" s="1699">
        <v>676211.96999999974</v>
      </c>
      <c r="I17" s="1699">
        <v>669417.63000000082</v>
      </c>
      <c r="J17" s="1700">
        <v>501845</v>
      </c>
      <c r="K17" s="1703">
        <f>J17-H17</f>
        <v>-174366.96999999974</v>
      </c>
      <c r="L17" s="1703">
        <f t="shared" si="0"/>
        <v>-129843</v>
      </c>
    </row>
    <row r="18" spans="1:12" x14ac:dyDescent="0.2">
      <c r="A18" s="1643" t="s">
        <v>749</v>
      </c>
      <c r="B18" s="1699">
        <v>52869</v>
      </c>
      <c r="C18" s="1699">
        <v>18705.14</v>
      </c>
      <c r="D18" s="1699">
        <v>36775.9</v>
      </c>
      <c r="E18" s="1699">
        <v>31476.92</v>
      </c>
      <c r="F18" s="1699">
        <v>54349.029999999992</v>
      </c>
      <c r="G18" s="1699">
        <v>259156.85</v>
      </c>
      <c r="H18" s="1699">
        <v>260934.63</v>
      </c>
      <c r="I18" s="1699">
        <v>254723.55000000005</v>
      </c>
      <c r="J18" s="1699">
        <v>271673</v>
      </c>
      <c r="K18" s="1703">
        <f>J18-H18</f>
        <v>10738.369999999995</v>
      </c>
      <c r="L18" s="1703">
        <f t="shared" si="0"/>
        <v>218804</v>
      </c>
    </row>
    <row r="19" spans="1:12" x14ac:dyDescent="0.2">
      <c r="A19" s="1643" t="s">
        <v>1537</v>
      </c>
      <c r="B19" s="1699">
        <v>0</v>
      </c>
      <c r="C19" s="1699" vm="55">
        <v>524978.45999999461</v>
      </c>
      <c r="D19" s="1699" vm="56">
        <v>39447.999999999818</v>
      </c>
      <c r="E19" s="1699" vm="30">
        <v>65137.139999997853</v>
      </c>
      <c r="F19" s="1699" vm="6">
        <v>-1.0000000266956022E-2</v>
      </c>
      <c r="G19" s="1699" vm="5">
        <v>2217.4099999980326</v>
      </c>
      <c r="H19" s="1699" vm="8">
        <v>9126.1699999985321</v>
      </c>
      <c r="I19" s="1699" vm="57">
        <v>-10484.139999997869</v>
      </c>
      <c r="J19" s="1699">
        <v>0</v>
      </c>
      <c r="K19" s="1703">
        <f>J19-H19</f>
        <v>-9126.1699999985321</v>
      </c>
      <c r="L19" s="1703">
        <f t="shared" si="0"/>
        <v>0</v>
      </c>
    </row>
    <row r="20" spans="1:12" hidden="1" x14ac:dyDescent="0.2">
      <c r="A20" s="1643"/>
      <c r="B20" s="1645"/>
      <c r="C20" s="1645"/>
      <c r="D20" s="1645"/>
      <c r="E20" s="1645"/>
      <c r="F20" s="1645"/>
      <c r="G20" s="1645"/>
      <c r="H20" s="1645"/>
      <c r="I20" s="1645"/>
      <c r="J20" s="1645"/>
      <c r="K20" s="1703">
        <f t="shared" ref="K20:K54" si="1">J20-H20</f>
        <v>0</v>
      </c>
      <c r="L20" s="1703">
        <f t="shared" si="0"/>
        <v>0</v>
      </c>
    </row>
    <row r="21" spans="1:12" x14ac:dyDescent="0.2">
      <c r="A21" s="1490" t="s">
        <v>175</v>
      </c>
      <c r="B21" s="1706">
        <f t="shared" ref="B21:I21" si="2">SUM(B16:B20)</f>
        <v>2423504</v>
      </c>
      <c r="C21" s="1706">
        <f t="shared" si="2"/>
        <v>2852915.8999999957</v>
      </c>
      <c r="D21" s="1706">
        <f t="shared" si="2"/>
        <v>2482730.6900000027</v>
      </c>
      <c r="E21" s="1706">
        <f t="shared" si="2"/>
        <v>2592218.7699999968</v>
      </c>
      <c r="F21" s="1706">
        <f t="shared" si="2"/>
        <v>2596092.5699999989</v>
      </c>
      <c r="G21" s="1706">
        <f t="shared" si="2"/>
        <v>2602456.169999999</v>
      </c>
      <c r="H21" s="1706">
        <f t="shared" si="2"/>
        <v>2958890.0999999982</v>
      </c>
      <c r="I21" s="1706">
        <f t="shared" si="2"/>
        <v>2718372.1600000039</v>
      </c>
      <c r="J21" s="1706">
        <f>SUM(J16:J20)</f>
        <v>2785145</v>
      </c>
      <c r="K21" s="1704">
        <f t="shared" si="1"/>
        <v>-173745.09999999823</v>
      </c>
      <c r="L21" s="1704">
        <f t="shared" si="0"/>
        <v>361641</v>
      </c>
    </row>
    <row r="22" spans="1:12" x14ac:dyDescent="0.2">
      <c r="A22" s="1490"/>
      <c r="B22" s="1646"/>
      <c r="C22" s="1646"/>
      <c r="D22" s="1646"/>
      <c r="E22" s="1646"/>
      <c r="F22" s="1646"/>
      <c r="G22" s="1646"/>
      <c r="H22" s="1646"/>
      <c r="I22" s="1646"/>
      <c r="J22" s="1646"/>
      <c r="K22" s="1703"/>
      <c r="L22" s="1703"/>
    </row>
    <row r="23" spans="1:12" hidden="1" x14ac:dyDescent="0.2">
      <c r="A23" s="1490"/>
      <c r="B23" s="1646"/>
      <c r="C23" s="1646"/>
      <c r="D23" s="1646"/>
      <c r="E23" s="1646"/>
      <c r="F23" s="1646"/>
      <c r="G23" s="1646"/>
      <c r="H23" s="1646"/>
      <c r="I23" s="1646"/>
      <c r="J23" s="1646"/>
      <c r="K23" s="1703"/>
      <c r="L23" s="1703"/>
    </row>
    <row r="24" spans="1:12" x14ac:dyDescent="0.2">
      <c r="A24" s="1491" t="s">
        <v>1505</v>
      </c>
      <c r="B24" s="1647"/>
      <c r="C24" s="1647"/>
      <c r="D24" s="1647"/>
      <c r="E24" s="1647"/>
      <c r="F24" s="1647"/>
      <c r="G24" s="1647"/>
      <c r="H24" s="1647"/>
      <c r="I24" s="1647"/>
      <c r="J24" s="1647"/>
      <c r="K24" s="1703"/>
      <c r="L24" s="1703"/>
    </row>
    <row r="25" spans="1:12" x14ac:dyDescent="0.2">
      <c r="A25" s="1643" t="s">
        <v>1547</v>
      </c>
      <c r="B25" s="1700">
        <v>2536846</v>
      </c>
      <c r="C25" s="1700">
        <v>3031111.51</v>
      </c>
      <c r="D25" s="1700">
        <v>3259333.98</v>
      </c>
      <c r="E25" s="1700">
        <v>3432081.3599999994</v>
      </c>
      <c r="F25" s="1700">
        <v>3585593.3900000015</v>
      </c>
      <c r="G25" s="1700">
        <v>3074326.0199999986</v>
      </c>
      <c r="H25" s="1700">
        <v>2937649.0200000009</v>
      </c>
      <c r="I25" s="1700">
        <v>2693059.8499999982</v>
      </c>
      <c r="J25" s="1700">
        <v>2941204</v>
      </c>
      <c r="K25" s="1703">
        <f t="shared" si="1"/>
        <v>3554.9799999990501</v>
      </c>
      <c r="L25" s="1703">
        <f t="shared" ref="L25:L46" si="3">J25-B25</f>
        <v>404358</v>
      </c>
    </row>
    <row r="26" spans="1:12" x14ac:dyDescent="0.2">
      <c r="A26" s="1643" t="s">
        <v>1560</v>
      </c>
      <c r="B26" s="1700">
        <v>0</v>
      </c>
      <c r="C26" s="1700">
        <v>0</v>
      </c>
      <c r="D26" s="1700">
        <v>0</v>
      </c>
      <c r="E26" s="1700">
        <v>0</v>
      </c>
      <c r="F26" s="1700">
        <v>7904.58</v>
      </c>
      <c r="G26" s="1700">
        <v>35617.71</v>
      </c>
      <c r="H26" s="1700">
        <v>137664.26999999999</v>
      </c>
      <c r="I26" s="1700">
        <v>248022.71000000002</v>
      </c>
      <c r="J26" s="1700">
        <v>278817</v>
      </c>
      <c r="K26" s="1703">
        <f t="shared" si="1"/>
        <v>141152.73000000001</v>
      </c>
      <c r="L26" s="1703">
        <f t="shared" si="3"/>
        <v>278817</v>
      </c>
    </row>
    <row r="27" spans="1:12" x14ac:dyDescent="0.2">
      <c r="A27" s="1643" t="s">
        <v>1561</v>
      </c>
      <c r="B27" s="1700">
        <v>44200</v>
      </c>
      <c r="C27" s="1700">
        <v>36333.629999999997</v>
      </c>
      <c r="D27" s="1700">
        <v>32593.439999999995</v>
      </c>
      <c r="E27" s="1700">
        <v>38813.979999999996</v>
      </c>
      <c r="F27" s="1700">
        <v>37674.350000000006</v>
      </c>
      <c r="G27" s="1700">
        <v>44161.320000000014</v>
      </c>
      <c r="H27" s="1700">
        <v>58869.759999999995</v>
      </c>
      <c r="I27" s="1700">
        <v>130858.18000000002</v>
      </c>
      <c r="J27" s="1700">
        <v>114675</v>
      </c>
      <c r="K27" s="1703">
        <f t="shared" si="1"/>
        <v>55805.240000000005</v>
      </c>
      <c r="L27" s="1703">
        <f t="shared" si="3"/>
        <v>70475</v>
      </c>
    </row>
    <row r="28" spans="1:12" x14ac:dyDescent="0.2">
      <c r="A28" s="1643" t="s">
        <v>1562</v>
      </c>
      <c r="B28" s="1700">
        <v>319900</v>
      </c>
      <c r="C28" s="1700">
        <v>179319.83</v>
      </c>
      <c r="D28" s="1700">
        <v>379511.01000000007</v>
      </c>
      <c r="E28" s="1700">
        <v>383329.88</v>
      </c>
      <c r="F28" s="1700">
        <v>416156.07000000007</v>
      </c>
      <c r="G28" s="1700">
        <v>224263.86</v>
      </c>
      <c r="H28" s="1700">
        <v>197416.25999999995</v>
      </c>
      <c r="I28" s="1700">
        <v>197194.96999999997</v>
      </c>
      <c r="J28" s="1700">
        <v>200169</v>
      </c>
      <c r="K28" s="1703">
        <f t="shared" si="1"/>
        <v>2752.7400000000489</v>
      </c>
      <c r="L28" s="1703">
        <f t="shared" si="3"/>
        <v>-119731</v>
      </c>
    </row>
    <row r="29" spans="1:12" x14ac:dyDescent="0.2">
      <c r="A29" s="1643" t="s">
        <v>1536</v>
      </c>
      <c r="B29" s="1699" vm="53">
        <v>375108</v>
      </c>
      <c r="C29" s="1699" vm="22">
        <v>289865.09999999986</v>
      </c>
      <c r="D29" s="1699" vm="11">
        <v>323262.38000000012</v>
      </c>
      <c r="E29" s="1699" vm="39">
        <v>-16530.199999999837</v>
      </c>
      <c r="F29" s="1699" vm="24">
        <v>381999.96000000014</v>
      </c>
      <c r="G29" s="1699" vm="2">
        <v>250683.69000000003</v>
      </c>
      <c r="H29" s="1699" vm="54">
        <v>146866.51</v>
      </c>
      <c r="I29" s="1699" vm="45">
        <v>414592.19000000018</v>
      </c>
      <c r="J29" s="1700" vm="73">
        <v>250000</v>
      </c>
      <c r="K29" s="1703">
        <f>J29-H29</f>
        <v>103133.48999999999</v>
      </c>
      <c r="L29" s="1703">
        <f t="shared" si="3"/>
        <v>-125108</v>
      </c>
    </row>
    <row r="30" spans="1:12" x14ac:dyDescent="0.2">
      <c r="A30" s="1643" t="s">
        <v>1539</v>
      </c>
      <c r="B30" s="1700" vm="21">
        <v>556850</v>
      </c>
      <c r="C30" s="1700" vm="67">
        <v>503903.47000000009</v>
      </c>
      <c r="D30" s="1700" vm="14">
        <v>535959.77999999956</v>
      </c>
      <c r="E30" s="1700" vm="27">
        <v>720297.17999999982</v>
      </c>
      <c r="F30" s="1700" vm="15">
        <v>662936.75000000012</v>
      </c>
      <c r="G30" s="1700" vm="68">
        <v>718973.5899999995</v>
      </c>
      <c r="H30" s="1700" vm="69">
        <v>705809.01000000036</v>
      </c>
      <c r="I30" s="1700" vm="28">
        <v>671965.78999999957</v>
      </c>
      <c r="J30" s="1700" vm="75">
        <v>755252</v>
      </c>
      <c r="K30" s="1703">
        <f t="shared" si="1"/>
        <v>49442.989999999641</v>
      </c>
      <c r="L30" s="1703">
        <f t="shared" si="3"/>
        <v>198402</v>
      </c>
    </row>
    <row r="31" spans="1:12" x14ac:dyDescent="0.2">
      <c r="A31" s="1643" t="s">
        <v>1543</v>
      </c>
      <c r="B31" s="1700" vm="19">
        <v>171027</v>
      </c>
      <c r="C31" s="1700" vm="44">
        <v>537459.75999999966</v>
      </c>
      <c r="D31" s="1700" vm="40">
        <v>552433.14999999956</v>
      </c>
      <c r="E31" s="1700" vm="33">
        <v>411923.83000000019</v>
      </c>
      <c r="F31" s="1700" vm="16">
        <v>596384.78000000049</v>
      </c>
      <c r="G31" s="1700" vm="38">
        <v>538953.40999999957</v>
      </c>
      <c r="H31" s="1700" vm="9">
        <v>585269.57999999891</v>
      </c>
      <c r="I31" s="1700" vm="52">
        <v>648794.00999999908</v>
      </c>
      <c r="J31" s="1700" vm="31">
        <v>562566</v>
      </c>
      <c r="K31" s="1703">
        <f t="shared" si="1"/>
        <v>-22703.57999999891</v>
      </c>
      <c r="L31" s="1703">
        <f t="shared" si="3"/>
        <v>391539</v>
      </c>
    </row>
    <row r="32" spans="1:12" x14ac:dyDescent="0.2">
      <c r="A32" s="1643" t="s">
        <v>1540</v>
      </c>
      <c r="B32" s="1700" vm="32">
        <v>971684</v>
      </c>
      <c r="C32" s="1700" vm="70">
        <v>655266.27000000025</v>
      </c>
      <c r="D32" s="1700" vm="71">
        <v>612594.20999999961</v>
      </c>
      <c r="E32" s="1700" vm="36">
        <v>630225.9099999998</v>
      </c>
      <c r="F32" s="1700" vm="43">
        <v>684735.6399999999</v>
      </c>
      <c r="G32" s="1700" vm="72">
        <v>789018.20000000065</v>
      </c>
      <c r="H32" s="1700" vm="48">
        <v>732333.58000000147</v>
      </c>
      <c r="I32" s="1700" vm="20">
        <v>748205.84999999974</v>
      </c>
      <c r="J32" s="1700" vm="74">
        <v>790446</v>
      </c>
      <c r="K32" s="1703">
        <f t="shared" si="1"/>
        <v>58112.419999998529</v>
      </c>
      <c r="L32" s="1703">
        <f t="shared" si="3"/>
        <v>-181238</v>
      </c>
    </row>
    <row r="33" spans="1:12" x14ac:dyDescent="0.2">
      <c r="A33" s="1643" t="s">
        <v>1548</v>
      </c>
      <c r="B33" s="1700">
        <v>0</v>
      </c>
      <c r="C33" s="1700" vm="35">
        <v>1291731.8100000005</v>
      </c>
      <c r="D33" s="1700" vm="13">
        <v>64261.540000000008</v>
      </c>
      <c r="E33" s="1700" vm="25">
        <v>29633.280000000024</v>
      </c>
      <c r="F33" s="1700" vm="60">
        <v>38010.800000000061</v>
      </c>
      <c r="G33" s="1700" vm="61">
        <v>20137.830000000002</v>
      </c>
      <c r="H33" s="1700" vm="12">
        <v>16311.269999999993</v>
      </c>
      <c r="I33" s="1700" vm="46">
        <v>42611.810000000005</v>
      </c>
      <c r="J33" s="1700" vm="76">
        <v>3267</v>
      </c>
      <c r="K33" s="1703">
        <f t="shared" si="1"/>
        <v>-13044.269999999993</v>
      </c>
      <c r="L33" s="1703">
        <f t="shared" si="3"/>
        <v>3267</v>
      </c>
    </row>
    <row r="34" spans="1:12" x14ac:dyDescent="0.2">
      <c r="A34" s="1643" t="s">
        <v>1541</v>
      </c>
      <c r="B34" s="1700">
        <v>672584</v>
      </c>
      <c r="C34" s="1700">
        <v>223740.23000000027</v>
      </c>
      <c r="D34" s="1700">
        <v>300784.94000000029</v>
      </c>
      <c r="E34" s="1700">
        <v>605910.07999999984</v>
      </c>
      <c r="F34" s="1700">
        <v>647476.15999999992</v>
      </c>
      <c r="G34" s="1700">
        <v>546630.19000000029</v>
      </c>
      <c r="H34" s="1700">
        <v>589896.2000000003</v>
      </c>
      <c r="I34" s="1700">
        <v>755590.42000000132</v>
      </c>
      <c r="J34" s="1700">
        <v>951727</v>
      </c>
      <c r="K34" s="1703">
        <f t="shared" si="1"/>
        <v>361830.7999999997</v>
      </c>
      <c r="L34" s="1703">
        <f t="shared" si="3"/>
        <v>279143</v>
      </c>
    </row>
    <row r="35" spans="1:12" x14ac:dyDescent="0.2">
      <c r="A35" s="1643" t="s">
        <v>1538</v>
      </c>
      <c r="B35" s="1700" vm="50">
        <v>1621806</v>
      </c>
      <c r="C35" s="1700" vm="62">
        <v>1005458.1199999998</v>
      </c>
      <c r="D35" s="1700" vm="41">
        <v>1396114.6100000008</v>
      </c>
      <c r="E35" s="1700" vm="63">
        <v>1272057.1299999985</v>
      </c>
      <c r="F35" s="1700" vm="64">
        <v>1206344.3000000014</v>
      </c>
      <c r="G35" s="1700" vm="65">
        <v>1545118.7500000042</v>
      </c>
      <c r="H35" s="1700" vm="10">
        <v>1406926.7499999981</v>
      </c>
      <c r="I35" s="1700" vm="66">
        <v>1458671.3800000029</v>
      </c>
      <c r="J35" s="1700" vm="31">
        <v>1583787</v>
      </c>
      <c r="K35" s="1703">
        <f t="shared" si="1"/>
        <v>176860.25000000186</v>
      </c>
      <c r="L35" s="1703">
        <f t="shared" si="3"/>
        <v>-38019</v>
      </c>
    </row>
    <row r="36" spans="1:12" x14ac:dyDescent="0.2">
      <c r="A36" s="1643" t="s">
        <v>1549</v>
      </c>
      <c r="B36" s="1700">
        <v>1093324</v>
      </c>
      <c r="C36" s="1700">
        <v>687512.43000000017</v>
      </c>
      <c r="D36" s="1700">
        <v>826735.64000000013</v>
      </c>
      <c r="E36" s="1700">
        <v>1048582.1799999997</v>
      </c>
      <c r="F36" s="1700">
        <v>1029371.3499999999</v>
      </c>
      <c r="G36" s="1700">
        <v>843319.01</v>
      </c>
      <c r="H36" s="1700">
        <v>863299.08999999985</v>
      </c>
      <c r="I36" s="1700">
        <v>846513.48999999964</v>
      </c>
      <c r="J36" s="1700">
        <v>895888</v>
      </c>
      <c r="K36" s="1703">
        <f t="shared" si="1"/>
        <v>32588.910000000149</v>
      </c>
      <c r="L36" s="1703">
        <f t="shared" si="3"/>
        <v>-197436</v>
      </c>
    </row>
    <row r="37" spans="1:12" x14ac:dyDescent="0.2">
      <c r="A37" s="1643" t="s">
        <v>1550</v>
      </c>
      <c r="B37" s="1700">
        <v>865289</v>
      </c>
      <c r="C37" s="1700">
        <v>839836.67000000027</v>
      </c>
      <c r="D37" s="1700">
        <v>745796.11000000022</v>
      </c>
      <c r="E37" s="1700">
        <v>831337.86000000034</v>
      </c>
      <c r="F37" s="1700">
        <v>820969.01000000071</v>
      </c>
      <c r="G37" s="1700">
        <v>799708.52000000014</v>
      </c>
      <c r="H37" s="1700">
        <v>700581.54999999993</v>
      </c>
      <c r="I37" s="1700">
        <v>793544.55000000016</v>
      </c>
      <c r="J37" s="1700">
        <v>902481</v>
      </c>
      <c r="K37" s="1703">
        <f t="shared" si="1"/>
        <v>201899.45000000007</v>
      </c>
      <c r="L37" s="1703">
        <f t="shared" si="3"/>
        <v>37192</v>
      </c>
    </row>
    <row r="38" spans="1:12" x14ac:dyDescent="0.2">
      <c r="A38" s="1643" t="s">
        <v>1542</v>
      </c>
      <c r="B38" s="1700" vm="37">
        <v>131909</v>
      </c>
      <c r="C38" s="1700" vm="34">
        <v>150756.69000000009</v>
      </c>
      <c r="D38" s="1700" vm="23">
        <v>157754.35999999999</v>
      </c>
      <c r="E38" s="1700" vm="29">
        <v>112643.14000000001</v>
      </c>
      <c r="F38" s="1700" vm="26">
        <v>108201.23999999996</v>
      </c>
      <c r="G38" s="1700" vm="3">
        <v>183645.00999999995</v>
      </c>
      <c r="H38" s="1700" vm="49">
        <v>139275.83999999997</v>
      </c>
      <c r="I38" s="1700" vm="51">
        <v>128817.09000000004</v>
      </c>
      <c r="J38" s="1700" vm="31">
        <v>141473</v>
      </c>
      <c r="K38" s="1703">
        <f t="shared" si="1"/>
        <v>2197.1600000000326</v>
      </c>
      <c r="L38" s="1703">
        <f t="shared" si="3"/>
        <v>9564</v>
      </c>
    </row>
    <row r="39" spans="1:12" x14ac:dyDescent="0.2">
      <c r="A39" s="1643" t="s">
        <v>1551</v>
      </c>
      <c r="B39" s="1700">
        <v>175489</v>
      </c>
      <c r="C39" s="1700">
        <v>142328.04999999993</v>
      </c>
      <c r="D39" s="1700">
        <v>139363.82999999999</v>
      </c>
      <c r="E39" s="1700">
        <v>206219.92999999996</v>
      </c>
      <c r="F39" s="1700">
        <v>141830.12000000002</v>
      </c>
      <c r="G39" s="1700">
        <v>95146.209999999963</v>
      </c>
      <c r="H39" s="1700">
        <v>146483.30000000002</v>
      </c>
      <c r="I39" s="1700">
        <v>78908.62000000001</v>
      </c>
      <c r="J39" s="1700">
        <v>276895</v>
      </c>
      <c r="K39" s="1703">
        <f t="shared" si="1"/>
        <v>130411.69999999998</v>
      </c>
      <c r="L39" s="1703">
        <f t="shared" si="3"/>
        <v>101406</v>
      </c>
    </row>
    <row r="40" spans="1:12" x14ac:dyDescent="0.2">
      <c r="A40" s="1643" t="s">
        <v>1552</v>
      </c>
      <c r="B40" s="1700">
        <v>563579</v>
      </c>
      <c r="C40" s="1700">
        <v>634883.29000000039</v>
      </c>
      <c r="D40" s="1700">
        <v>553649.08999999962</v>
      </c>
      <c r="E40" s="1700">
        <v>559940.91999999993</v>
      </c>
      <c r="F40" s="1700">
        <v>581620.5399999998</v>
      </c>
      <c r="G40" s="1700">
        <v>795265.56</v>
      </c>
      <c r="H40" s="1700">
        <v>780292.52000000025</v>
      </c>
      <c r="I40" s="1700">
        <v>929821.33999999973</v>
      </c>
      <c r="J40" s="1700">
        <v>1120423</v>
      </c>
      <c r="K40" s="1703">
        <f t="shared" si="1"/>
        <v>340130.47999999975</v>
      </c>
      <c r="L40" s="1703">
        <f t="shared" si="3"/>
        <v>556844</v>
      </c>
    </row>
    <row r="41" spans="1:12" x14ac:dyDescent="0.2">
      <c r="A41" s="1643" t="s">
        <v>1553</v>
      </c>
      <c r="B41" s="1700" vm="47">
        <v>514476</v>
      </c>
      <c r="C41" s="1700" vm="18">
        <v>252663.36</v>
      </c>
      <c r="D41" s="1700" vm="42">
        <v>486032.37999999995</v>
      </c>
      <c r="E41" s="1700" vm="58">
        <v>440103.71000000037</v>
      </c>
      <c r="F41" s="1700" vm="17">
        <v>618115.71999999986</v>
      </c>
      <c r="G41" s="1700" vm="4">
        <v>432626.54999999993</v>
      </c>
      <c r="H41" s="1700" vm="59">
        <v>506752.39000000007</v>
      </c>
      <c r="I41" s="1700" vm="7">
        <v>625237.17999999993</v>
      </c>
      <c r="J41" s="1700" vm="31">
        <v>537755</v>
      </c>
      <c r="K41" s="1703">
        <f t="shared" si="1"/>
        <v>31002.609999999928</v>
      </c>
      <c r="L41" s="1703">
        <f t="shared" si="3"/>
        <v>23279</v>
      </c>
    </row>
    <row r="42" spans="1:12" x14ac:dyDescent="0.2">
      <c r="A42" s="1643" t="s">
        <v>1554</v>
      </c>
      <c r="B42" s="1700">
        <v>211334</v>
      </c>
      <c r="C42" s="1700">
        <v>227742.63</v>
      </c>
      <c r="D42" s="1700">
        <v>265297.81999999995</v>
      </c>
      <c r="E42" s="1700">
        <v>278921.37</v>
      </c>
      <c r="F42" s="1700">
        <v>334834.96999999997</v>
      </c>
      <c r="G42" s="1700">
        <v>418722.19000000006</v>
      </c>
      <c r="H42" s="1700">
        <v>300771.08</v>
      </c>
      <c r="I42" s="1700">
        <v>264586.77</v>
      </c>
      <c r="J42" s="1700">
        <v>312543</v>
      </c>
      <c r="K42" s="1703">
        <f t="shared" si="1"/>
        <v>11771.919999999984</v>
      </c>
      <c r="L42" s="1703">
        <f t="shared" si="3"/>
        <v>101209</v>
      </c>
    </row>
    <row r="43" spans="1:12" x14ac:dyDescent="0.2">
      <c r="A43" s="1643" t="s">
        <v>1555</v>
      </c>
      <c r="B43" s="1700">
        <v>110191</v>
      </c>
      <c r="C43" s="1700">
        <v>140758.09000000005</v>
      </c>
      <c r="D43" s="1700">
        <v>85634.4</v>
      </c>
      <c r="E43" s="1700">
        <v>228418.83000000005</v>
      </c>
      <c r="F43" s="1700">
        <v>155363.59000000008</v>
      </c>
      <c r="G43" s="1700">
        <v>108136.40999999999</v>
      </c>
      <c r="H43" s="1700">
        <v>146008.59</v>
      </c>
      <c r="I43" s="1700">
        <v>110893.41999999998</v>
      </c>
      <c r="J43" s="1700">
        <v>144041</v>
      </c>
      <c r="K43" s="1703">
        <f t="shared" si="1"/>
        <v>-1967.5899999999965</v>
      </c>
      <c r="L43" s="1703">
        <f t="shared" si="3"/>
        <v>33850</v>
      </c>
    </row>
    <row r="44" spans="1:12" hidden="1" x14ac:dyDescent="0.2">
      <c r="A44" s="1643"/>
      <c r="B44" s="1644"/>
      <c r="C44" s="1644"/>
      <c r="D44" s="1644"/>
      <c r="E44" s="1644"/>
      <c r="F44" s="1644"/>
      <c r="G44" s="1644"/>
      <c r="H44" s="1644"/>
      <c r="I44" s="1644"/>
      <c r="J44" s="1644"/>
      <c r="K44" s="1703">
        <f t="shared" si="1"/>
        <v>0</v>
      </c>
      <c r="L44" s="1703">
        <f t="shared" si="3"/>
        <v>0</v>
      </c>
    </row>
    <row r="45" spans="1:12" x14ac:dyDescent="0.2">
      <c r="A45" s="1490" t="s">
        <v>175</v>
      </c>
      <c r="B45" s="1706">
        <f t="shared" ref="B45:I45" si="4">SUM(B25:B44)</f>
        <v>10935596</v>
      </c>
      <c r="C45" s="1706">
        <f t="shared" si="4"/>
        <v>10830670.940000001</v>
      </c>
      <c r="D45" s="1706">
        <f t="shared" si="4"/>
        <v>10717112.670000002</v>
      </c>
      <c r="E45" s="1706">
        <f t="shared" si="4"/>
        <v>11213910.369999999</v>
      </c>
      <c r="F45" s="1706">
        <f t="shared" si="4"/>
        <v>12055523.320000004</v>
      </c>
      <c r="G45" s="1706">
        <f t="shared" si="4"/>
        <v>11464454.030000001</v>
      </c>
      <c r="H45" s="1706">
        <f t="shared" si="4"/>
        <v>11098476.569999998</v>
      </c>
      <c r="I45" s="1706">
        <f t="shared" si="4"/>
        <v>11787889.619999999</v>
      </c>
      <c r="J45" s="1706">
        <f>SUM(J25:J44)</f>
        <v>12763409</v>
      </c>
      <c r="K45" s="1704">
        <f>J45-H45</f>
        <v>1664932.4300000016</v>
      </c>
      <c r="L45" s="1704">
        <f t="shared" si="3"/>
        <v>1827813</v>
      </c>
    </row>
    <row r="46" spans="1:12" x14ac:dyDescent="0.2">
      <c r="A46" s="1490"/>
      <c r="B46" s="1684"/>
      <c r="C46" s="1684"/>
      <c r="D46" s="1684"/>
      <c r="E46" s="1684"/>
      <c r="F46" s="1684"/>
      <c r="G46" s="1684"/>
      <c r="H46" s="1684"/>
      <c r="I46" s="1684"/>
      <c r="J46" s="1684"/>
      <c r="K46" s="1703">
        <f t="shared" si="1"/>
        <v>0</v>
      </c>
      <c r="L46" s="1703">
        <f t="shared" si="3"/>
        <v>0</v>
      </c>
    </row>
    <row r="47" spans="1:12" hidden="1" x14ac:dyDescent="0.2">
      <c r="A47" s="1647"/>
      <c r="B47" s="1647"/>
      <c r="C47" s="1647"/>
      <c r="D47" s="1647"/>
      <c r="E47" s="1647"/>
      <c r="F47" s="1647"/>
      <c r="G47" s="1647"/>
      <c r="H47" s="1647"/>
      <c r="I47" s="1647"/>
      <c r="J47" s="1647"/>
      <c r="K47" s="1703"/>
      <c r="L47" s="1703"/>
    </row>
    <row r="48" spans="1:12" x14ac:dyDescent="0.2">
      <c r="A48" s="1491" t="s">
        <v>1506</v>
      </c>
      <c r="B48" s="1555"/>
      <c r="C48" s="1555"/>
      <c r="D48" s="1555"/>
      <c r="E48" s="1555"/>
      <c r="F48" s="1555"/>
      <c r="G48" s="1555"/>
      <c r="H48" s="1555"/>
      <c r="I48" s="1555"/>
      <c r="J48" s="1555"/>
      <c r="K48" s="1703"/>
      <c r="L48" s="1703"/>
    </row>
    <row r="49" spans="1:12" x14ac:dyDescent="0.2">
      <c r="A49" s="1643" t="s">
        <v>1556</v>
      </c>
      <c r="B49" s="1700">
        <v>486839</v>
      </c>
      <c r="C49" s="1700">
        <v>450384.39000000007</v>
      </c>
      <c r="D49" s="1700">
        <v>424514.30000000005</v>
      </c>
      <c r="E49" s="1700">
        <v>418206.96</v>
      </c>
      <c r="F49" s="1700">
        <v>444376.88999999996</v>
      </c>
      <c r="G49" s="1700">
        <v>502815.5</v>
      </c>
      <c r="H49" s="1700">
        <v>497862.76999999979</v>
      </c>
      <c r="I49" s="1700">
        <v>502735.41999999993</v>
      </c>
      <c r="J49" s="1700">
        <v>653576</v>
      </c>
      <c r="K49" s="1703">
        <f t="shared" si="1"/>
        <v>155713.23000000021</v>
      </c>
      <c r="L49" s="1703">
        <f t="shared" ref="L49:L54" si="5">J49-B49</f>
        <v>166737</v>
      </c>
    </row>
    <row r="50" spans="1:12" x14ac:dyDescent="0.2">
      <c r="A50" s="1643" t="s">
        <v>1582</v>
      </c>
      <c r="B50" s="1700"/>
      <c r="C50" s="1700"/>
      <c r="D50" s="1700"/>
      <c r="E50" s="1700"/>
      <c r="F50" s="1700"/>
      <c r="G50" s="1700"/>
      <c r="H50" s="1700">
        <v>272066</v>
      </c>
      <c r="I50" s="1700">
        <v>272066</v>
      </c>
      <c r="J50" s="1700">
        <v>272066</v>
      </c>
      <c r="K50" s="1703">
        <f>J50-H50</f>
        <v>0</v>
      </c>
      <c r="L50" s="1703">
        <f t="shared" si="5"/>
        <v>272066</v>
      </c>
    </row>
    <row r="51" spans="1:12" x14ac:dyDescent="0.2">
      <c r="A51" s="1643" t="s">
        <v>1742</v>
      </c>
      <c r="B51" s="1700"/>
      <c r="C51" s="1700"/>
      <c r="D51" s="1700"/>
      <c r="E51" s="1700"/>
      <c r="F51" s="1700"/>
      <c r="G51" s="1700"/>
      <c r="H51" s="1700"/>
      <c r="I51" s="1700"/>
      <c r="J51" s="1700">
        <v>82698</v>
      </c>
      <c r="K51" s="1703">
        <f>J51-H51</f>
        <v>82698</v>
      </c>
      <c r="L51" s="1703">
        <f t="shared" si="5"/>
        <v>82698</v>
      </c>
    </row>
    <row r="52" spans="1:12" x14ac:dyDescent="0.2">
      <c r="A52" s="1643" t="s">
        <v>1741</v>
      </c>
      <c r="B52" s="1700"/>
      <c r="C52" s="1700"/>
      <c r="D52" s="1700"/>
      <c r="E52" s="1700"/>
      <c r="F52" s="1700"/>
      <c r="G52" s="1700"/>
      <c r="H52" s="1700"/>
      <c r="I52" s="1700"/>
      <c r="J52" s="1700">
        <v>61200</v>
      </c>
      <c r="K52" s="1703">
        <f>J52-H52</f>
        <v>61200</v>
      </c>
      <c r="L52" s="1703">
        <f t="shared" si="5"/>
        <v>61200</v>
      </c>
    </row>
    <row r="53" spans="1:12" x14ac:dyDescent="0.2">
      <c r="A53" s="1643" t="s">
        <v>1583</v>
      </c>
      <c r="B53" s="1555"/>
      <c r="C53" s="1555"/>
      <c r="D53" s="1555"/>
      <c r="E53" s="1555"/>
      <c r="F53" s="1555"/>
      <c r="G53" s="1555"/>
      <c r="H53" s="1555"/>
      <c r="I53" s="1555"/>
      <c r="J53" s="1700">
        <v>40000</v>
      </c>
      <c r="K53" s="1703">
        <f t="shared" si="1"/>
        <v>40000</v>
      </c>
      <c r="L53" s="1703">
        <f t="shared" si="5"/>
        <v>40000</v>
      </c>
    </row>
    <row r="54" spans="1:12" x14ac:dyDescent="0.2">
      <c r="A54" s="1490" t="s">
        <v>175</v>
      </c>
      <c r="B54" s="1756">
        <f>SUM(B49:B53)</f>
        <v>486839</v>
      </c>
      <c r="C54" s="1756">
        <f t="shared" ref="C54:J54" si="6">SUM(C49:C53)</f>
        <v>450384.39000000007</v>
      </c>
      <c r="D54" s="1756">
        <f t="shared" si="6"/>
        <v>424514.30000000005</v>
      </c>
      <c r="E54" s="1756">
        <f t="shared" si="6"/>
        <v>418206.96</v>
      </c>
      <c r="F54" s="1756">
        <f t="shared" si="6"/>
        <v>444376.88999999996</v>
      </c>
      <c r="G54" s="1756">
        <f t="shared" si="6"/>
        <v>502815.5</v>
      </c>
      <c r="H54" s="1756">
        <f t="shared" si="6"/>
        <v>769928.76999999979</v>
      </c>
      <c r="I54" s="1756">
        <f t="shared" si="6"/>
        <v>774801.41999999993</v>
      </c>
      <c r="J54" s="1756">
        <f t="shared" si="6"/>
        <v>1109540</v>
      </c>
      <c r="K54" s="1757">
        <f t="shared" si="1"/>
        <v>339611.23000000021</v>
      </c>
      <c r="L54" s="1757">
        <f t="shared" si="5"/>
        <v>622701</v>
      </c>
    </row>
    <row r="55" spans="1:12" x14ac:dyDescent="0.2">
      <c r="A55" s="1491" t="s">
        <v>1776</v>
      </c>
      <c r="B55" s="1491"/>
      <c r="C55" s="1491"/>
      <c r="D55" s="1491"/>
      <c r="E55" s="1491"/>
      <c r="F55" s="1491"/>
      <c r="G55" s="1491"/>
      <c r="H55" s="1491"/>
      <c r="I55" s="1491"/>
      <c r="J55" s="1491">
        <v>-508089</v>
      </c>
      <c r="K55" s="1703"/>
      <c r="L55" s="1703"/>
    </row>
    <row r="56" spans="1:12" hidden="1" x14ac:dyDescent="0.2">
      <c r="A56" s="1489"/>
      <c r="B56" s="1558"/>
      <c r="C56" s="1558"/>
      <c r="D56" s="1558"/>
      <c r="E56" s="1558"/>
      <c r="F56" s="1558"/>
      <c r="G56" s="1558"/>
      <c r="H56" s="1558"/>
      <c r="I56" s="1558"/>
      <c r="J56" s="1558"/>
      <c r="K56" s="1703">
        <f>J56-H56</f>
        <v>0</v>
      </c>
      <c r="L56" s="1703">
        <f>J56-B56</f>
        <v>0</v>
      </c>
    </row>
    <row r="57" spans="1:12" x14ac:dyDescent="0.2">
      <c r="A57" s="1490" t="s">
        <v>175</v>
      </c>
      <c r="B57" s="1646"/>
      <c r="C57" s="1646"/>
      <c r="D57" s="1646"/>
      <c r="E57" s="1646"/>
      <c r="F57" s="1646"/>
      <c r="G57" s="1646"/>
      <c r="H57" s="1646"/>
      <c r="I57" s="1646"/>
      <c r="J57" s="1779">
        <f>J55</f>
        <v>-508089</v>
      </c>
      <c r="K57" s="1703">
        <f>J57-H57</f>
        <v>-508089</v>
      </c>
      <c r="L57" s="1703">
        <f>J57-B57</f>
        <v>-508089</v>
      </c>
    </row>
    <row r="58" spans="1:12" ht="13.5" thickBot="1" x14ac:dyDescent="0.25">
      <c r="A58" s="1491" t="s">
        <v>174</v>
      </c>
      <c r="B58" s="1702">
        <v>91600</v>
      </c>
      <c r="C58" s="1702">
        <v>110694.70999999999</v>
      </c>
      <c r="D58" s="1702">
        <v>105607.42000000001</v>
      </c>
      <c r="E58" s="1702">
        <v>89598.720000000001</v>
      </c>
      <c r="F58" s="1702">
        <v>66852.06</v>
      </c>
      <c r="G58" s="1702">
        <v>77746.73000000001</v>
      </c>
      <c r="H58" s="1702">
        <v>114485.27000000002</v>
      </c>
      <c r="I58" s="1702">
        <v>78551.48</v>
      </c>
      <c r="J58" s="1702">
        <v>87772</v>
      </c>
      <c r="K58" s="1703">
        <f>J58-H58</f>
        <v>-26713.270000000019</v>
      </c>
      <c r="L58" s="1703">
        <f>J58-B58</f>
        <v>-3828</v>
      </c>
    </row>
    <row r="59" spans="1:12" ht="14.25" thickTop="1" thickBot="1" x14ac:dyDescent="0.25">
      <c r="A59" s="58" t="s">
        <v>259</v>
      </c>
      <c r="B59" s="1705">
        <f t="shared" ref="B59:L59" si="7">SUMPRODUCT(--($A15:$A58="Sub-Total"), B$15:B$58)+B58</f>
        <v>13937539</v>
      </c>
      <c r="C59" s="1705">
        <f t="shared" si="7"/>
        <v>14244665.939999998</v>
      </c>
      <c r="D59" s="1705">
        <f t="shared" si="7"/>
        <v>13729965.080000006</v>
      </c>
      <c r="E59" s="1705">
        <f t="shared" si="7"/>
        <v>14313934.819999998</v>
      </c>
      <c r="F59" s="1705">
        <f t="shared" si="7"/>
        <v>15162844.840000004</v>
      </c>
      <c r="G59" s="1705">
        <f t="shared" si="7"/>
        <v>14647472.43</v>
      </c>
      <c r="H59" s="1705">
        <f t="shared" si="7"/>
        <v>14941780.709999995</v>
      </c>
      <c r="I59" s="1705">
        <f t="shared" si="7"/>
        <v>15359614.680000003</v>
      </c>
      <c r="J59" s="1705">
        <f t="shared" si="7"/>
        <v>16237777</v>
      </c>
      <c r="K59" s="1705">
        <f t="shared" si="7"/>
        <v>1295996.2900000035</v>
      </c>
      <c r="L59" s="1705">
        <f t="shared" si="7"/>
        <v>2300238</v>
      </c>
    </row>
    <row r="61" spans="1:12" x14ac:dyDescent="0.2">
      <c r="A61" s="1492" t="s">
        <v>6</v>
      </c>
      <c r="I61" s="1493"/>
    </row>
    <row r="63" spans="1:12" ht="28.15" customHeight="1" x14ac:dyDescent="0.2">
      <c r="A63" s="2220" t="s">
        <v>663</v>
      </c>
      <c r="B63" s="2220"/>
      <c r="C63" s="2220"/>
      <c r="D63" s="2220"/>
      <c r="E63" s="2220"/>
      <c r="F63" s="2220"/>
      <c r="G63" s="2220"/>
      <c r="H63" s="2220"/>
      <c r="I63" s="2220"/>
      <c r="J63" s="2220"/>
      <c r="K63" s="2220"/>
    </row>
    <row r="64" spans="1:12" ht="16.149999999999999" customHeight="1" x14ac:dyDescent="0.2">
      <c r="A64" s="2220" t="s">
        <v>766</v>
      </c>
      <c r="B64" s="2220"/>
      <c r="C64" s="2220"/>
      <c r="D64" s="2220"/>
      <c r="E64" s="2220"/>
      <c r="F64" s="2220"/>
      <c r="G64" s="2220"/>
      <c r="H64" s="2220"/>
      <c r="I64" s="2220"/>
      <c r="J64" s="2220"/>
      <c r="K64" s="2220"/>
    </row>
    <row r="65" spans="1:11" x14ac:dyDescent="0.2">
      <c r="A65" s="1494"/>
      <c r="B65" s="1495"/>
      <c r="C65" s="1495"/>
      <c r="D65" s="1495"/>
      <c r="E65" s="1495"/>
      <c r="F65" s="1495"/>
      <c r="G65" s="1495"/>
      <c r="H65" s="1495"/>
      <c r="I65" s="1495"/>
      <c r="J65" s="1495"/>
    </row>
    <row r="67" spans="1:11" x14ac:dyDescent="0.2">
      <c r="A67" s="1496"/>
      <c r="B67" s="1496"/>
      <c r="C67" s="1496"/>
      <c r="D67" s="1496"/>
      <c r="E67" s="1496"/>
      <c r="F67" s="1496"/>
      <c r="G67" s="1496"/>
      <c r="H67" s="1496"/>
      <c r="I67" s="1496"/>
      <c r="J67" s="1496"/>
      <c r="K67" s="1496"/>
    </row>
    <row r="68" spans="1:11" x14ac:dyDescent="0.2">
      <c r="A68" s="1496"/>
      <c r="B68" s="1496"/>
      <c r="C68" s="1496"/>
      <c r="D68" s="1496"/>
      <c r="E68" s="1496"/>
      <c r="F68" s="1496"/>
      <c r="G68" s="1496"/>
      <c r="H68" s="1496"/>
      <c r="I68" s="1496"/>
      <c r="J68" s="1496"/>
      <c r="K68" s="1496"/>
    </row>
    <row r="70" spans="1:11" x14ac:dyDescent="0.2">
      <c r="A70" s="1497"/>
    </row>
  </sheetData>
  <mergeCells count="5">
    <mergeCell ref="A9:J9"/>
    <mergeCell ref="A10:J10"/>
    <mergeCell ref="A12:J12"/>
    <mergeCell ref="A63:K63"/>
    <mergeCell ref="A64:K64"/>
  </mergeCells>
  <dataValidations disablePrompts="1" count="1">
    <dataValidation type="list" allowBlank="1" showInputMessage="1" showErrorMessage="1" sqref="B14:L14" xr:uid="{00000000-0002-0000-2100-000000000000}">
      <formula1>"CGAAP, MIFRS, USGAAP, ASPE"</formula1>
    </dataValidation>
  </dataValidations>
  <pageMargins left="0.75" right="0.75" top="1" bottom="1" header="0.5" footer="0.5"/>
  <pageSetup scale="56"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2">
    <tabColor theme="7" tint="0.39997558519241921"/>
    <pageSetUpPr autoPageBreaks="0" fitToPage="1"/>
  </sheetPr>
  <dimension ref="A1:AA32"/>
  <sheetViews>
    <sheetView showGridLines="0" zoomScaleNormal="100" workbookViewId="0">
      <selection activeCell="G22" sqref="G22:Z23"/>
    </sheetView>
  </sheetViews>
  <sheetFormatPr defaultColWidth="9.28515625" defaultRowHeight="12.75" x14ac:dyDescent="0.2"/>
  <cols>
    <col min="1" max="1" width="56.7109375" style="1" customWidth="1"/>
    <col min="2" max="6" width="15.7109375" style="1" hidden="1" customWidth="1"/>
    <col min="7" max="8" width="15.7109375" style="1" customWidth="1"/>
    <col min="9" max="11" width="15.7109375" style="1" hidden="1" customWidth="1"/>
    <col min="12" max="12" width="15.7109375" style="1" customWidth="1"/>
    <col min="13" max="14" width="15.7109375" style="1" hidden="1" customWidth="1"/>
    <col min="15" max="15" width="15.7109375" style="1" customWidth="1"/>
    <col min="16" max="17" width="15.7109375" style="1" hidden="1" customWidth="1"/>
    <col min="18" max="18" width="15.7109375" style="1" customWidth="1"/>
    <col min="19" max="20" width="15.7109375" style="1" hidden="1" customWidth="1"/>
    <col min="21" max="21" width="15.7109375" style="1" customWidth="1"/>
    <col min="22" max="23" width="15.7109375" style="1" hidden="1" customWidth="1"/>
    <col min="24" max="25" width="15.7109375" style="1" customWidth="1"/>
    <col min="26" max="26" width="13.28515625" style="1" customWidth="1"/>
    <col min="27" max="16384" width="9.28515625" style="1"/>
  </cols>
  <sheetData>
    <row r="1" spans="1:27" x14ac:dyDescent="0.2">
      <c r="Y1" s="993" t="s">
        <v>264</v>
      </c>
      <c r="Z1" s="930" t="str">
        <f>EBNUMBER</f>
        <v>EB-2019-0037</v>
      </c>
    </row>
    <row r="2" spans="1:27" x14ac:dyDescent="0.2">
      <c r="Y2" s="993" t="s">
        <v>265</v>
      </c>
      <c r="Z2" s="41"/>
    </row>
    <row r="3" spans="1:27" x14ac:dyDescent="0.2">
      <c r="Y3" s="993" t="s">
        <v>266</v>
      </c>
      <c r="Z3" s="41"/>
    </row>
    <row r="4" spans="1:27" ht="15" x14ac:dyDescent="0.25">
      <c r="A4" s="2221" t="s">
        <v>1143</v>
      </c>
      <c r="B4" s="2221"/>
      <c r="C4" s="2221"/>
      <c r="D4" s="2221"/>
      <c r="E4" s="2221"/>
      <c r="F4" s="2221"/>
      <c r="G4" s="2221"/>
      <c r="H4" s="2221"/>
      <c r="I4" s="2221"/>
      <c r="J4" s="2221"/>
      <c r="K4" s="2221"/>
      <c r="L4" s="2221"/>
      <c r="M4" s="2221"/>
      <c r="N4" s="2221"/>
      <c r="O4" s="2221"/>
      <c r="P4" s="2221"/>
      <c r="Q4" s="2221"/>
      <c r="R4" s="2221"/>
      <c r="S4" s="2221"/>
      <c r="T4" s="2221"/>
      <c r="U4" s="2221"/>
      <c r="V4" s="2221"/>
      <c r="W4" s="2221"/>
      <c r="X4" s="2221"/>
      <c r="Y4" s="993" t="s">
        <v>267</v>
      </c>
      <c r="Z4" s="41"/>
    </row>
    <row r="5" spans="1:27" x14ac:dyDescent="0.2">
      <c r="Y5" s="993" t="s">
        <v>268</v>
      </c>
      <c r="Z5" s="42"/>
    </row>
    <row r="6" spans="1:27" ht="9" customHeight="1" x14ac:dyDescent="0.2">
      <c r="Y6" s="993"/>
      <c r="Z6" s="875"/>
    </row>
    <row r="7" spans="1:27" x14ac:dyDescent="0.2">
      <c r="Y7" s="993" t="s">
        <v>269</v>
      </c>
      <c r="Z7" s="1448"/>
    </row>
    <row r="8" spans="1:27" ht="9" customHeight="1" x14ac:dyDescent="0.2"/>
    <row r="9" spans="1:27" ht="17.25" customHeight="1" x14ac:dyDescent="0.25">
      <c r="A9" s="1856" t="s">
        <v>208</v>
      </c>
      <c r="B9" s="1856"/>
      <c r="C9" s="1856"/>
      <c r="D9" s="1856"/>
      <c r="E9" s="1856"/>
      <c r="F9" s="1856"/>
      <c r="G9" s="1856"/>
      <c r="H9" s="1856"/>
      <c r="I9" s="1856"/>
      <c r="J9" s="1856"/>
      <c r="K9" s="1856"/>
      <c r="L9" s="1856"/>
      <c r="M9" s="1856"/>
      <c r="N9" s="1856"/>
      <c r="O9" s="1856"/>
      <c r="P9" s="1856"/>
      <c r="Q9" s="1856"/>
      <c r="R9" s="1856"/>
      <c r="S9" s="1856"/>
      <c r="T9" s="1856"/>
      <c r="U9" s="1856"/>
      <c r="V9" s="1856"/>
      <c r="W9" s="1856"/>
      <c r="X9" s="1856"/>
      <c r="Y9" s="1856"/>
      <c r="Z9" s="1856"/>
    </row>
    <row r="10" spans="1:27" ht="18" x14ac:dyDescent="0.25">
      <c r="A10" s="1856" t="s">
        <v>1</v>
      </c>
      <c r="B10" s="1856"/>
      <c r="C10" s="1856"/>
      <c r="D10" s="1856"/>
      <c r="E10" s="1856"/>
      <c r="F10" s="1856"/>
      <c r="G10" s="1856"/>
      <c r="H10" s="1856"/>
      <c r="I10" s="1856"/>
      <c r="J10" s="1856"/>
      <c r="K10" s="1856"/>
      <c r="L10" s="1856"/>
      <c r="M10" s="1856"/>
      <c r="N10" s="1856"/>
      <c r="O10" s="1856"/>
      <c r="P10" s="1856"/>
      <c r="Q10" s="1856"/>
      <c r="R10" s="1856"/>
      <c r="S10" s="1856"/>
      <c r="T10" s="1856"/>
      <c r="U10" s="1856"/>
      <c r="V10" s="1856"/>
      <c r="W10" s="1856"/>
      <c r="X10" s="1856"/>
      <c r="Y10" s="1856"/>
      <c r="Z10" s="1856"/>
    </row>
    <row r="11" spans="1:27" ht="9" customHeight="1" thickBot="1" x14ac:dyDescent="0.25"/>
    <row r="12" spans="1:27" ht="39" thickBot="1" x14ac:dyDescent="0.25">
      <c r="A12" s="1188"/>
      <c r="B12" s="1131" t="s">
        <v>1329</v>
      </c>
      <c r="C12" s="1131" t="s">
        <v>1093</v>
      </c>
      <c r="D12" s="1131" t="str">
        <f>"Last Rebasing Year (" &amp; TestYear -8 &amp; " OEB Approved)"</f>
        <v>Last Rebasing Year (2012 OEB Approved)</v>
      </c>
      <c r="E12" s="1131" t="str">
        <f>"Last Rebasing Year (" &amp; TestYear -8 &amp; " Actuals)"</f>
        <v>Last Rebasing Year (2012 Actuals)</v>
      </c>
      <c r="F12" s="1131" t="str">
        <f>TestYear -8 &amp; " Actuals"</f>
        <v>2012 Actuals</v>
      </c>
      <c r="G12" s="1131" t="str">
        <f>"Last Rebasing Year (" &amp; TestYear -7 &amp; " OEB Approved)"</f>
        <v>Last Rebasing Year (2013 OEB Approved)</v>
      </c>
      <c r="H12" s="1131" t="str">
        <f>"Last Rebasing Year (" &amp; TestYear -7 &amp; " Actuals)"</f>
        <v>Last Rebasing Year (2013 Actuals)</v>
      </c>
      <c r="I12" s="1131" t="str">
        <f>TestYear -7 &amp; " Actuals"</f>
        <v>2013 Actuals</v>
      </c>
      <c r="J12" s="1131" t="str">
        <f>"Last Rebasing Year (" &amp; TestYear -6 &amp; " OEB Approved)"</f>
        <v>Last Rebasing Year (2014 OEB Approved)</v>
      </c>
      <c r="K12" s="1131" t="str">
        <f>"Last Rebasing Year (" &amp; TestYear -6 &amp; " Actuals)"</f>
        <v>Last Rebasing Year (2014 Actuals)</v>
      </c>
      <c r="L12" s="1131" t="str">
        <f>TestYear -6 &amp; " Actuals"</f>
        <v>2014 Actuals</v>
      </c>
      <c r="M12" s="1131" t="str">
        <f>"Last Rebasing Year (" &amp; TestYear -5 &amp; " OEB Approved)"</f>
        <v>Last Rebasing Year (2015 OEB Approved)</v>
      </c>
      <c r="N12" s="1131" t="str">
        <f>"Last Rebasing Year (" &amp; TestYear -5 &amp; " Actuals)"</f>
        <v>Last Rebasing Year (2015 Actuals)</v>
      </c>
      <c r="O12" s="1131" t="str">
        <f>TestYear -5 &amp; " Actuals"</f>
        <v>2015 Actuals</v>
      </c>
      <c r="P12" s="1131" t="str">
        <f>"Last Rebasing Year (" &amp; TestYear -4 &amp; " OEB Approved)"</f>
        <v>Last Rebasing Year (2016 OEB Approved)</v>
      </c>
      <c r="Q12" s="1131" t="str">
        <f>"Last Rebasing Year (" &amp; TestYear -4 &amp; " Actuals)"</f>
        <v>Last Rebasing Year (2016 Actuals)</v>
      </c>
      <c r="R12" s="1131" t="str">
        <f>TestYear -4 &amp; " Actuals"</f>
        <v>2016 Actuals</v>
      </c>
      <c r="S12" s="1131" t="str">
        <f>"Last Rebasing Year (" &amp; TestYear -3 &amp; " OEB Approved)"</f>
        <v>Last Rebasing Year (2017 OEB Approved)</v>
      </c>
      <c r="T12" s="1131" t="str">
        <f>"Last Rebasing Year (" &amp; TestYear -3 &amp; " Actuals)"</f>
        <v>Last Rebasing Year (2017 Actuals)</v>
      </c>
      <c r="U12" s="1131" t="str">
        <f>TestYear -3 &amp; " Actuals"</f>
        <v>2017 Actuals</v>
      </c>
      <c r="V12" s="1131" t="str">
        <f>"Last Rebasing Year (" &amp; TestYear -2 &amp; " OEB Approved)"</f>
        <v>Last Rebasing Year (2018 OEB Approved)</v>
      </c>
      <c r="W12" s="1131" t="str">
        <f>"Last Rebasing Year (" &amp; TestYear -2 &amp; " Actuals)"</f>
        <v>Last Rebasing Year (2018 Actuals)</v>
      </c>
      <c r="X12" s="1131" t="str">
        <f>TestYear -2 &amp; " Actuals"</f>
        <v>2018 Actuals</v>
      </c>
      <c r="Y12" s="1131" t="str">
        <f>BridgeYear &amp; " Bridge Year"</f>
        <v>2019 Bridge Year</v>
      </c>
      <c r="Z12" s="1132" t="str">
        <f>TestYear &amp; " Test Year"</f>
        <v>2020 Test Year</v>
      </c>
      <c r="AA12" s="1189"/>
    </row>
    <row r="13" spans="1:27" ht="14.25" x14ac:dyDescent="0.2">
      <c r="A13" s="2226" t="s">
        <v>84</v>
      </c>
      <c r="B13" s="2227"/>
      <c r="C13" s="2227"/>
      <c r="D13" s="2227"/>
      <c r="E13" s="2227"/>
      <c r="F13" s="2227"/>
      <c r="G13" s="2227"/>
      <c r="H13" s="2227"/>
      <c r="I13" s="2227"/>
      <c r="J13" s="2227"/>
      <c r="K13" s="2227"/>
      <c r="L13" s="2227"/>
      <c r="M13" s="2227"/>
      <c r="N13" s="2227"/>
      <c r="O13" s="2227"/>
      <c r="P13" s="2227"/>
      <c r="Q13" s="2227"/>
      <c r="R13" s="2227"/>
      <c r="S13" s="2227"/>
      <c r="T13" s="2227"/>
      <c r="U13" s="2227"/>
      <c r="V13" s="2227"/>
      <c r="W13" s="2227"/>
      <c r="X13" s="2227"/>
      <c r="Y13" s="2227"/>
      <c r="Z13" s="2228"/>
    </row>
    <row r="14" spans="1:27" x14ac:dyDescent="0.2">
      <c r="A14" s="1190" t="s">
        <v>645</v>
      </c>
      <c r="B14" s="239"/>
      <c r="C14" s="239"/>
      <c r="D14" s="239"/>
      <c r="E14" s="239"/>
      <c r="F14" s="239"/>
      <c r="G14" s="239">
        <v>16.305851917131125</v>
      </c>
      <c r="H14" s="239">
        <v>14.59</v>
      </c>
      <c r="I14" s="239"/>
      <c r="J14" s="239"/>
      <c r="K14" s="239"/>
      <c r="L14" s="239">
        <v>15.36</v>
      </c>
      <c r="M14" s="239"/>
      <c r="N14" s="239"/>
      <c r="O14" s="239">
        <v>16.510000000000002</v>
      </c>
      <c r="P14" s="239"/>
      <c r="Q14" s="239"/>
      <c r="R14" s="239">
        <v>17.61</v>
      </c>
      <c r="S14" s="239"/>
      <c r="T14" s="239"/>
      <c r="U14" s="239">
        <v>18.05</v>
      </c>
      <c r="V14" s="239"/>
      <c r="W14" s="239"/>
      <c r="X14" s="239">
        <v>18.010000000000002</v>
      </c>
      <c r="Y14" s="239">
        <v>17.840446666666661</v>
      </c>
      <c r="Z14" s="239">
        <v>17.694099999999999</v>
      </c>
    </row>
    <row r="15" spans="1:27" x14ac:dyDescent="0.2">
      <c r="A15" s="1190" t="s">
        <v>646</v>
      </c>
      <c r="B15" s="239"/>
      <c r="C15" s="239"/>
      <c r="D15" s="239"/>
      <c r="E15" s="239"/>
      <c r="F15" s="239"/>
      <c r="G15" s="239">
        <v>81.788654679883336</v>
      </c>
      <c r="H15" s="239">
        <v>79.22</v>
      </c>
      <c r="I15" s="239"/>
      <c r="J15" s="239"/>
      <c r="K15" s="239"/>
      <c r="L15" s="239">
        <v>78.509999999999991</v>
      </c>
      <c r="M15" s="239"/>
      <c r="N15" s="239"/>
      <c r="O15" s="239">
        <v>79.599999999999994</v>
      </c>
      <c r="P15" s="239"/>
      <c r="Q15" s="239"/>
      <c r="R15" s="239">
        <v>81.740000000000009</v>
      </c>
      <c r="S15" s="239"/>
      <c r="T15" s="239"/>
      <c r="U15" s="239">
        <v>84.33</v>
      </c>
      <c r="V15" s="239"/>
      <c r="W15" s="239"/>
      <c r="X15" s="239">
        <v>81.88</v>
      </c>
      <c r="Y15" s="239">
        <v>81.504614843186815</v>
      </c>
      <c r="Z15" s="239">
        <v>88.239658761299353</v>
      </c>
    </row>
    <row r="16" spans="1:27" x14ac:dyDescent="0.2">
      <c r="A16" s="1190" t="s">
        <v>259</v>
      </c>
      <c r="B16" s="1191">
        <f t="shared" ref="B16:Z16" si="0">SUM(B14:B15)</f>
        <v>0</v>
      </c>
      <c r="C16" s="1191">
        <f t="shared" si="0"/>
        <v>0</v>
      </c>
      <c r="D16" s="1191">
        <f t="shared" si="0"/>
        <v>0</v>
      </c>
      <c r="E16" s="1191">
        <f t="shared" si="0"/>
        <v>0</v>
      </c>
      <c r="F16" s="1191">
        <f t="shared" si="0"/>
        <v>0</v>
      </c>
      <c r="G16" s="1191">
        <f t="shared" si="0"/>
        <v>98.094506597014458</v>
      </c>
      <c r="H16" s="1191">
        <f t="shared" si="0"/>
        <v>93.81</v>
      </c>
      <c r="I16" s="1191">
        <f t="shared" si="0"/>
        <v>0</v>
      </c>
      <c r="J16" s="1191">
        <f t="shared" si="0"/>
        <v>0</v>
      </c>
      <c r="K16" s="1191">
        <f t="shared" si="0"/>
        <v>0</v>
      </c>
      <c r="L16" s="1191">
        <f t="shared" si="0"/>
        <v>93.86999999999999</v>
      </c>
      <c r="M16" s="1191">
        <f t="shared" si="0"/>
        <v>0</v>
      </c>
      <c r="N16" s="1191">
        <f t="shared" si="0"/>
        <v>0</v>
      </c>
      <c r="O16" s="1191">
        <f t="shared" si="0"/>
        <v>96.11</v>
      </c>
      <c r="P16" s="1191">
        <f t="shared" si="0"/>
        <v>0</v>
      </c>
      <c r="Q16" s="1191">
        <f t="shared" si="0"/>
        <v>0</v>
      </c>
      <c r="R16" s="1191">
        <f t="shared" si="0"/>
        <v>99.350000000000009</v>
      </c>
      <c r="S16" s="1191">
        <f t="shared" si="0"/>
        <v>0</v>
      </c>
      <c r="T16" s="1191">
        <f t="shared" si="0"/>
        <v>0</v>
      </c>
      <c r="U16" s="1191">
        <f t="shared" si="0"/>
        <v>102.38</v>
      </c>
      <c r="V16" s="1191">
        <f t="shared" si="0"/>
        <v>0</v>
      </c>
      <c r="W16" s="1191">
        <f t="shared" si="0"/>
        <v>0</v>
      </c>
      <c r="X16" s="1191">
        <f t="shared" si="0"/>
        <v>99.89</v>
      </c>
      <c r="Y16" s="1191">
        <f t="shared" si="0"/>
        <v>99.34506150985348</v>
      </c>
      <c r="Z16" s="1191">
        <f t="shared" si="0"/>
        <v>105.93375876129934</v>
      </c>
    </row>
    <row r="17" spans="1:26" x14ac:dyDescent="0.2">
      <c r="A17" s="2223" t="s">
        <v>647</v>
      </c>
      <c r="B17" s="2224"/>
      <c r="C17" s="2224"/>
      <c r="D17" s="2224"/>
      <c r="E17" s="2224"/>
      <c r="F17" s="2224"/>
      <c r="G17" s="2224"/>
      <c r="H17" s="2224"/>
      <c r="I17" s="2224"/>
      <c r="J17" s="2224"/>
      <c r="K17" s="2224"/>
      <c r="L17" s="2224"/>
      <c r="M17" s="2224"/>
      <c r="N17" s="2224"/>
      <c r="O17" s="2224"/>
      <c r="P17" s="2224"/>
      <c r="Q17" s="2224"/>
      <c r="R17" s="2224"/>
      <c r="S17" s="2224"/>
      <c r="T17" s="2224"/>
      <c r="U17" s="2224"/>
      <c r="V17" s="2224"/>
      <c r="W17" s="2224"/>
      <c r="X17" s="2224"/>
      <c r="Y17" s="2224"/>
      <c r="Z17" s="2225"/>
    </row>
    <row r="18" spans="1:26" x14ac:dyDescent="0.2">
      <c r="A18" s="1190" t="s">
        <v>645</v>
      </c>
      <c r="B18" s="131"/>
      <c r="C18" s="131"/>
      <c r="D18" s="131"/>
      <c r="E18" s="131"/>
      <c r="F18" s="131"/>
      <c r="G18" s="131">
        <v>1821044.6958380081</v>
      </c>
      <c r="H18" s="131">
        <v>1707454</v>
      </c>
      <c r="I18" s="131"/>
      <c r="J18" s="131"/>
      <c r="K18" s="131"/>
      <c r="L18" s="131">
        <v>1962963.15</v>
      </c>
      <c r="M18" s="131"/>
      <c r="N18" s="131"/>
      <c r="O18" s="131">
        <v>1974269.63</v>
      </c>
      <c r="P18" s="131"/>
      <c r="Q18" s="131"/>
      <c r="R18" s="131">
        <v>2241686.9</v>
      </c>
      <c r="S18" s="131"/>
      <c r="T18" s="131"/>
      <c r="U18" s="131">
        <v>2361673.14</v>
      </c>
      <c r="V18" s="131"/>
      <c r="W18" s="131"/>
      <c r="X18" s="131">
        <v>2463786.7400000002</v>
      </c>
      <c r="Y18" s="131">
        <v>2433554.75</v>
      </c>
      <c r="Z18" s="131">
        <v>2401356.845621</v>
      </c>
    </row>
    <row r="19" spans="1:26" x14ac:dyDescent="0.2">
      <c r="A19" s="1190" t="s">
        <v>646</v>
      </c>
      <c r="B19" s="131"/>
      <c r="C19" s="131"/>
      <c r="D19" s="131"/>
      <c r="E19" s="131"/>
      <c r="F19" s="131"/>
      <c r="G19" s="131">
        <v>5844920.353585273</v>
      </c>
      <c r="H19" s="131">
        <v>6080523</v>
      </c>
      <c r="I19" s="131"/>
      <c r="J19" s="131"/>
      <c r="K19" s="131"/>
      <c r="L19" s="131">
        <v>6477564.0500000007</v>
      </c>
      <c r="M19" s="131"/>
      <c r="N19" s="131"/>
      <c r="O19" s="131">
        <v>6400055.6299999999</v>
      </c>
      <c r="P19" s="131"/>
      <c r="Q19" s="131"/>
      <c r="R19" s="131">
        <v>6590524.1899999995</v>
      </c>
      <c r="S19" s="131"/>
      <c r="T19" s="131"/>
      <c r="U19" s="131">
        <v>6731388.5700000003</v>
      </c>
      <c r="V19" s="131"/>
      <c r="W19" s="131"/>
      <c r="X19" s="131">
        <v>6818813.3200000003</v>
      </c>
      <c r="Y19" s="131">
        <v>6954530.4699999997</v>
      </c>
      <c r="Z19" s="131">
        <v>7640201.1317848507</v>
      </c>
    </row>
    <row r="20" spans="1:26" x14ac:dyDescent="0.2">
      <c r="A20" s="1190" t="s">
        <v>259</v>
      </c>
      <c r="B20" s="1192">
        <f t="shared" ref="B20:Z20" si="1">SUM(B18:B19)</f>
        <v>0</v>
      </c>
      <c r="C20" s="1192">
        <f t="shared" si="1"/>
        <v>0</v>
      </c>
      <c r="D20" s="1192">
        <f t="shared" si="1"/>
        <v>0</v>
      </c>
      <c r="E20" s="1192">
        <f t="shared" si="1"/>
        <v>0</v>
      </c>
      <c r="F20" s="1192">
        <f t="shared" si="1"/>
        <v>0</v>
      </c>
      <c r="G20" s="1192">
        <f t="shared" si="1"/>
        <v>7665965.0494232811</v>
      </c>
      <c r="H20" s="1192">
        <f t="shared" si="1"/>
        <v>7787977</v>
      </c>
      <c r="I20" s="1192">
        <f t="shared" si="1"/>
        <v>0</v>
      </c>
      <c r="J20" s="1192">
        <f t="shared" si="1"/>
        <v>0</v>
      </c>
      <c r="K20" s="1192">
        <f t="shared" si="1"/>
        <v>0</v>
      </c>
      <c r="L20" s="1192">
        <f t="shared" si="1"/>
        <v>8440527.2000000011</v>
      </c>
      <c r="M20" s="1192">
        <f t="shared" si="1"/>
        <v>0</v>
      </c>
      <c r="N20" s="1192">
        <f t="shared" si="1"/>
        <v>0</v>
      </c>
      <c r="O20" s="1192">
        <f t="shared" ref="O20:X20" si="2">SUM(O18:O19)</f>
        <v>8374325.2599999998</v>
      </c>
      <c r="P20" s="1192">
        <f t="shared" si="2"/>
        <v>0</v>
      </c>
      <c r="Q20" s="1192">
        <f t="shared" si="2"/>
        <v>0</v>
      </c>
      <c r="R20" s="1192">
        <f t="shared" si="2"/>
        <v>8832211.0899999999</v>
      </c>
      <c r="S20" s="1192">
        <f t="shared" si="2"/>
        <v>0</v>
      </c>
      <c r="T20" s="1192">
        <f t="shared" si="2"/>
        <v>0</v>
      </c>
      <c r="U20" s="1192">
        <f t="shared" si="2"/>
        <v>9093061.7100000009</v>
      </c>
      <c r="V20" s="1192">
        <f t="shared" si="2"/>
        <v>0</v>
      </c>
      <c r="W20" s="1192">
        <f t="shared" si="2"/>
        <v>0</v>
      </c>
      <c r="X20" s="1192">
        <f t="shared" si="2"/>
        <v>9282600.0600000005</v>
      </c>
      <c r="Y20" s="1192">
        <f t="shared" si="1"/>
        <v>9388085.2199999988</v>
      </c>
      <c r="Z20" s="1192">
        <f t="shared" si="1"/>
        <v>10041557.97740585</v>
      </c>
    </row>
    <row r="21" spans="1:26" x14ac:dyDescent="0.2">
      <c r="A21" s="2223" t="s">
        <v>1074</v>
      </c>
      <c r="B21" s="2224"/>
      <c r="C21" s="2224"/>
      <c r="D21" s="2224"/>
      <c r="E21" s="2224"/>
      <c r="F21" s="2224"/>
      <c r="G21" s="2224"/>
      <c r="H21" s="2224"/>
      <c r="I21" s="2224"/>
      <c r="J21" s="2224"/>
      <c r="K21" s="2224"/>
      <c r="L21" s="2224"/>
      <c r="M21" s="2224"/>
      <c r="N21" s="2224"/>
      <c r="O21" s="2224"/>
      <c r="P21" s="2224"/>
      <c r="Q21" s="2224"/>
      <c r="R21" s="2224"/>
      <c r="S21" s="2224"/>
      <c r="T21" s="2224"/>
      <c r="U21" s="2224"/>
      <c r="V21" s="2224"/>
      <c r="W21" s="2224"/>
      <c r="X21" s="2224"/>
      <c r="Y21" s="2224"/>
      <c r="Z21" s="2225"/>
    </row>
    <row r="22" spans="1:26" x14ac:dyDescent="0.2">
      <c r="A22" s="1190" t="s">
        <v>645</v>
      </c>
      <c r="B22" s="131"/>
      <c r="C22" s="131"/>
      <c r="D22" s="131"/>
      <c r="E22" s="131"/>
      <c r="F22" s="131"/>
      <c r="G22" s="131">
        <v>524620.60261938162</v>
      </c>
      <c r="H22" s="131">
        <v>478087.12000000005</v>
      </c>
      <c r="I22" s="131"/>
      <c r="J22" s="131"/>
      <c r="K22" s="131"/>
      <c r="L22" s="131">
        <v>490740.78749999998</v>
      </c>
      <c r="M22" s="131"/>
      <c r="N22" s="131"/>
      <c r="O22" s="131">
        <v>533052.80009999999</v>
      </c>
      <c r="P22" s="131"/>
      <c r="Q22" s="131"/>
      <c r="R22" s="131">
        <v>605255.46299999999</v>
      </c>
      <c r="S22" s="131"/>
      <c r="T22" s="131"/>
      <c r="U22" s="131">
        <v>637651.74780000013</v>
      </c>
      <c r="V22" s="131"/>
      <c r="W22" s="131"/>
      <c r="X22" s="131">
        <v>640584.55240000004</v>
      </c>
      <c r="Y22" s="131">
        <v>693563</v>
      </c>
      <c r="Z22" s="131">
        <v>737904.87369802536</v>
      </c>
    </row>
    <row r="23" spans="1:26" x14ac:dyDescent="0.2">
      <c r="A23" s="1190" t="s">
        <v>646</v>
      </c>
      <c r="B23" s="131"/>
      <c r="C23" s="131"/>
      <c r="D23" s="131"/>
      <c r="E23" s="131"/>
      <c r="F23" s="131"/>
      <c r="G23" s="131">
        <v>1881861.9891194978</v>
      </c>
      <c r="H23" s="131">
        <v>1702546.4400000002</v>
      </c>
      <c r="I23" s="131"/>
      <c r="J23" s="131"/>
      <c r="K23" s="131"/>
      <c r="L23" s="131">
        <v>1619391.0125000002</v>
      </c>
      <c r="M23" s="131"/>
      <c r="N23" s="131"/>
      <c r="O23" s="131">
        <v>1728015.0201000001</v>
      </c>
      <c r="P23" s="131"/>
      <c r="Q23" s="131"/>
      <c r="R23" s="131">
        <v>1779441.5312999999</v>
      </c>
      <c r="S23" s="131"/>
      <c r="T23" s="131"/>
      <c r="U23" s="131">
        <v>1817474.9139000003</v>
      </c>
      <c r="V23" s="131"/>
      <c r="W23" s="131"/>
      <c r="X23" s="131">
        <v>1772891.4632000001</v>
      </c>
      <c r="Y23" s="131">
        <v>1982041</v>
      </c>
      <c r="Z23" s="131">
        <v>2331664.004276942</v>
      </c>
    </row>
    <row r="24" spans="1:26" x14ac:dyDescent="0.2">
      <c r="A24" s="1190" t="s">
        <v>259</v>
      </c>
      <c r="B24" s="1192">
        <f>SUM(B22:B23)</f>
        <v>0</v>
      </c>
      <c r="C24" s="1192">
        <f t="shared" ref="C24:Z24" si="3">SUM(C22:C23)</f>
        <v>0</v>
      </c>
      <c r="D24" s="1192">
        <f t="shared" si="3"/>
        <v>0</v>
      </c>
      <c r="E24" s="1192">
        <f t="shared" si="3"/>
        <v>0</v>
      </c>
      <c r="F24" s="1192">
        <f t="shared" si="3"/>
        <v>0</v>
      </c>
      <c r="G24" s="1192">
        <f t="shared" si="3"/>
        <v>2406482.5917388797</v>
      </c>
      <c r="H24" s="1192">
        <f t="shared" si="3"/>
        <v>2180633.56</v>
      </c>
      <c r="I24" s="1192">
        <f t="shared" si="3"/>
        <v>0</v>
      </c>
      <c r="J24" s="1192">
        <f t="shared" si="3"/>
        <v>0</v>
      </c>
      <c r="K24" s="1192">
        <f t="shared" si="3"/>
        <v>0</v>
      </c>
      <c r="L24" s="1192">
        <f t="shared" si="3"/>
        <v>2110131.8000000003</v>
      </c>
      <c r="M24" s="1192">
        <f t="shared" si="3"/>
        <v>0</v>
      </c>
      <c r="N24" s="1192">
        <f t="shared" si="3"/>
        <v>0</v>
      </c>
      <c r="O24" s="1192">
        <f t="shared" si="3"/>
        <v>2261067.8202</v>
      </c>
      <c r="P24" s="1192">
        <f t="shared" si="3"/>
        <v>0</v>
      </c>
      <c r="Q24" s="1192">
        <f t="shared" si="3"/>
        <v>0</v>
      </c>
      <c r="R24" s="1192">
        <f t="shared" si="3"/>
        <v>2384696.9942999999</v>
      </c>
      <c r="S24" s="1192">
        <f t="shared" si="3"/>
        <v>0</v>
      </c>
      <c r="T24" s="1192">
        <f t="shared" si="3"/>
        <v>0</v>
      </c>
      <c r="U24" s="1192">
        <f t="shared" si="3"/>
        <v>2455126.6617000005</v>
      </c>
      <c r="V24" s="1192">
        <f t="shared" si="3"/>
        <v>0</v>
      </c>
      <c r="W24" s="1192">
        <f t="shared" si="3"/>
        <v>0</v>
      </c>
      <c r="X24" s="1192">
        <f t="shared" si="3"/>
        <v>2413476.0156</v>
      </c>
      <c r="Y24" s="1192">
        <f t="shared" si="3"/>
        <v>2675604</v>
      </c>
      <c r="Z24" s="1192">
        <f t="shared" si="3"/>
        <v>3069568.8779749675</v>
      </c>
    </row>
    <row r="25" spans="1:26" x14ac:dyDescent="0.2">
      <c r="A25" s="2223" t="s">
        <v>0</v>
      </c>
      <c r="B25" s="2224"/>
      <c r="C25" s="2224"/>
      <c r="D25" s="2224"/>
      <c r="E25" s="2224"/>
      <c r="F25" s="2224"/>
      <c r="G25" s="2224"/>
      <c r="H25" s="2224"/>
      <c r="I25" s="2224"/>
      <c r="J25" s="2224"/>
      <c r="K25" s="2224"/>
      <c r="L25" s="2224"/>
      <c r="M25" s="2224"/>
      <c r="N25" s="2224"/>
      <c r="O25" s="2224"/>
      <c r="P25" s="2224"/>
      <c r="Q25" s="2224"/>
      <c r="R25" s="2224"/>
      <c r="S25" s="2224"/>
      <c r="T25" s="2224"/>
      <c r="U25" s="2224"/>
      <c r="V25" s="2224"/>
      <c r="W25" s="2224"/>
      <c r="X25" s="2224"/>
      <c r="Y25" s="2224"/>
      <c r="Z25" s="2225"/>
    </row>
    <row r="26" spans="1:26" x14ac:dyDescent="0.2">
      <c r="A26" s="1190" t="s">
        <v>645</v>
      </c>
      <c r="B26" s="1192">
        <f t="shared" ref="B26:Z28" si="4">B18+B22</f>
        <v>0</v>
      </c>
      <c r="C26" s="1192">
        <f t="shared" si="4"/>
        <v>0</v>
      </c>
      <c r="D26" s="1192">
        <f t="shared" si="4"/>
        <v>0</v>
      </c>
      <c r="E26" s="1192">
        <f t="shared" si="4"/>
        <v>0</v>
      </c>
      <c r="F26" s="1192">
        <f t="shared" si="4"/>
        <v>0</v>
      </c>
      <c r="G26" s="1192">
        <f t="shared" si="4"/>
        <v>2345665.2984573897</v>
      </c>
      <c r="H26" s="1192">
        <f t="shared" si="4"/>
        <v>2185541.12</v>
      </c>
      <c r="I26" s="1192">
        <f t="shared" si="4"/>
        <v>0</v>
      </c>
      <c r="J26" s="1192">
        <f t="shared" si="4"/>
        <v>0</v>
      </c>
      <c r="K26" s="1192">
        <f t="shared" si="4"/>
        <v>0</v>
      </c>
      <c r="L26" s="1192">
        <f t="shared" si="4"/>
        <v>2453703.9375</v>
      </c>
      <c r="M26" s="1192">
        <f t="shared" si="4"/>
        <v>0</v>
      </c>
      <c r="N26" s="1192">
        <f t="shared" si="4"/>
        <v>0</v>
      </c>
      <c r="O26" s="1192">
        <f t="shared" ref="O26:X26" si="5">O18+O22</f>
        <v>2507322.4301</v>
      </c>
      <c r="P26" s="1192">
        <f t="shared" si="5"/>
        <v>0</v>
      </c>
      <c r="Q26" s="1192">
        <f t="shared" si="5"/>
        <v>0</v>
      </c>
      <c r="R26" s="1192">
        <f t="shared" si="5"/>
        <v>2846942.3629999999</v>
      </c>
      <c r="S26" s="1192">
        <f t="shared" si="5"/>
        <v>0</v>
      </c>
      <c r="T26" s="1192">
        <f t="shared" si="5"/>
        <v>0</v>
      </c>
      <c r="U26" s="1192">
        <f t="shared" si="5"/>
        <v>2999324.8878000001</v>
      </c>
      <c r="V26" s="1192">
        <f t="shared" si="5"/>
        <v>0</v>
      </c>
      <c r="W26" s="1192">
        <f t="shared" si="5"/>
        <v>0</v>
      </c>
      <c r="X26" s="1192">
        <f t="shared" si="5"/>
        <v>3104371.2924000002</v>
      </c>
      <c r="Y26" s="1192">
        <f t="shared" si="4"/>
        <v>3127117.75</v>
      </c>
      <c r="Z26" s="1192">
        <f t="shared" si="4"/>
        <v>3139261.7193190255</v>
      </c>
    </row>
    <row r="27" spans="1:26" x14ac:dyDescent="0.2">
      <c r="A27" s="1190" t="s">
        <v>646</v>
      </c>
      <c r="B27" s="1192">
        <f t="shared" si="4"/>
        <v>0</v>
      </c>
      <c r="C27" s="1192">
        <f t="shared" si="4"/>
        <v>0</v>
      </c>
      <c r="D27" s="1192">
        <f t="shared" si="4"/>
        <v>0</v>
      </c>
      <c r="E27" s="1192">
        <f t="shared" si="4"/>
        <v>0</v>
      </c>
      <c r="F27" s="1192">
        <f t="shared" si="4"/>
        <v>0</v>
      </c>
      <c r="G27" s="1192">
        <f t="shared" si="4"/>
        <v>7726782.3427047711</v>
      </c>
      <c r="H27" s="1192">
        <f t="shared" si="4"/>
        <v>7783069.4400000004</v>
      </c>
      <c r="I27" s="1192">
        <f t="shared" si="4"/>
        <v>0</v>
      </c>
      <c r="J27" s="1192">
        <f t="shared" si="4"/>
        <v>0</v>
      </c>
      <c r="K27" s="1192">
        <f t="shared" si="4"/>
        <v>0</v>
      </c>
      <c r="L27" s="1192">
        <f t="shared" si="4"/>
        <v>8096955.0625000009</v>
      </c>
      <c r="M27" s="1192">
        <f t="shared" si="4"/>
        <v>0</v>
      </c>
      <c r="N27" s="1192">
        <f t="shared" si="4"/>
        <v>0</v>
      </c>
      <c r="O27" s="1192">
        <f t="shared" si="4"/>
        <v>8128070.6501000002</v>
      </c>
      <c r="P27" s="1192">
        <f t="shared" si="4"/>
        <v>0</v>
      </c>
      <c r="Q27" s="1192">
        <f t="shared" si="4"/>
        <v>0</v>
      </c>
      <c r="R27" s="1192">
        <f t="shared" si="4"/>
        <v>8369965.7212999994</v>
      </c>
      <c r="S27" s="1192">
        <f t="shared" si="4"/>
        <v>0</v>
      </c>
      <c r="T27" s="1192">
        <f t="shared" si="4"/>
        <v>0</v>
      </c>
      <c r="U27" s="1192">
        <f t="shared" si="4"/>
        <v>8548863.4839000013</v>
      </c>
      <c r="V27" s="1192">
        <f t="shared" si="4"/>
        <v>0</v>
      </c>
      <c r="W27" s="1192">
        <f t="shared" si="4"/>
        <v>0</v>
      </c>
      <c r="X27" s="1192">
        <f t="shared" si="4"/>
        <v>8591704.7831999995</v>
      </c>
      <c r="Y27" s="1192">
        <f t="shared" si="4"/>
        <v>8936571.4699999988</v>
      </c>
      <c r="Z27" s="1192">
        <f t="shared" si="4"/>
        <v>9971865.1360617932</v>
      </c>
    </row>
    <row r="28" spans="1:26" x14ac:dyDescent="0.2">
      <c r="A28" s="1190" t="s">
        <v>259</v>
      </c>
      <c r="B28" s="1192">
        <f t="shared" si="4"/>
        <v>0</v>
      </c>
      <c r="C28" s="1192">
        <f t="shared" si="4"/>
        <v>0</v>
      </c>
      <c r="D28" s="1192">
        <f t="shared" si="4"/>
        <v>0</v>
      </c>
      <c r="E28" s="1192">
        <f t="shared" si="4"/>
        <v>0</v>
      </c>
      <c r="F28" s="1192">
        <f t="shared" si="4"/>
        <v>0</v>
      </c>
      <c r="G28" s="1192">
        <f t="shared" si="4"/>
        <v>10072447.641162161</v>
      </c>
      <c r="H28" s="1192">
        <f t="shared" si="4"/>
        <v>9968610.5600000005</v>
      </c>
      <c r="I28" s="1192">
        <f t="shared" si="4"/>
        <v>0</v>
      </c>
      <c r="J28" s="1192">
        <f t="shared" si="4"/>
        <v>0</v>
      </c>
      <c r="K28" s="1192">
        <f t="shared" si="4"/>
        <v>0</v>
      </c>
      <c r="L28" s="1192">
        <f t="shared" si="4"/>
        <v>10550659.000000002</v>
      </c>
      <c r="M28" s="1192">
        <f t="shared" si="4"/>
        <v>0</v>
      </c>
      <c r="N28" s="1192">
        <f t="shared" si="4"/>
        <v>0</v>
      </c>
      <c r="O28" s="1192">
        <f t="shared" si="4"/>
        <v>10635393.0802</v>
      </c>
      <c r="P28" s="1192">
        <f t="shared" si="4"/>
        <v>0</v>
      </c>
      <c r="Q28" s="1192">
        <f t="shared" si="4"/>
        <v>0</v>
      </c>
      <c r="R28" s="1192">
        <f t="shared" si="4"/>
        <v>11216908.0843</v>
      </c>
      <c r="S28" s="1192">
        <f t="shared" si="4"/>
        <v>0</v>
      </c>
      <c r="T28" s="1192">
        <f t="shared" si="4"/>
        <v>0</v>
      </c>
      <c r="U28" s="1192">
        <f t="shared" si="4"/>
        <v>11548188.371700002</v>
      </c>
      <c r="V28" s="1192">
        <f t="shared" si="4"/>
        <v>0</v>
      </c>
      <c r="W28" s="1192">
        <f t="shared" si="4"/>
        <v>0</v>
      </c>
      <c r="X28" s="1192">
        <f t="shared" si="4"/>
        <v>11696076.0756</v>
      </c>
      <c r="Y28" s="1192">
        <f t="shared" si="4"/>
        <v>12063689.219999999</v>
      </c>
      <c r="Z28" s="1192">
        <f t="shared" si="4"/>
        <v>13111126.855380818</v>
      </c>
    </row>
    <row r="30" spans="1:26" ht="19.5" customHeight="1" x14ac:dyDescent="0.2">
      <c r="A30" s="2229" t="s">
        <v>101</v>
      </c>
      <c r="B30" s="2229"/>
      <c r="C30" s="2229"/>
      <c r="D30" s="2229"/>
      <c r="E30" s="2229"/>
      <c r="F30" s="2229"/>
      <c r="G30" s="2229"/>
      <c r="H30" s="2229"/>
      <c r="I30" s="2229"/>
      <c r="J30" s="2229"/>
      <c r="K30" s="2229"/>
      <c r="L30" s="2229"/>
      <c r="M30" s="2229"/>
      <c r="N30" s="2229"/>
      <c r="O30" s="2229"/>
      <c r="P30" s="2229"/>
      <c r="Q30" s="2229"/>
      <c r="R30" s="2229"/>
      <c r="S30" s="2229"/>
      <c r="T30" s="2229"/>
      <c r="U30" s="2229"/>
      <c r="V30" s="2229"/>
      <c r="W30" s="2229"/>
      <c r="X30" s="2229"/>
      <c r="Y30" s="2229"/>
      <c r="Z30" s="2229"/>
    </row>
    <row r="31" spans="1:26" ht="14.25" x14ac:dyDescent="0.2">
      <c r="A31" s="2230" t="s">
        <v>1004</v>
      </c>
      <c r="B31" s="2230"/>
      <c r="C31" s="2230"/>
      <c r="D31" s="2230"/>
      <c r="E31" s="2230"/>
      <c r="F31" s="2230"/>
      <c r="G31" s="2230"/>
      <c r="H31" s="2230"/>
      <c r="I31" s="2230"/>
      <c r="J31" s="2230"/>
      <c r="K31" s="2230"/>
      <c r="L31" s="2230"/>
      <c r="M31" s="2230"/>
      <c r="N31" s="2230"/>
      <c r="O31" s="2230"/>
      <c r="P31" s="2230"/>
      <c r="Q31" s="2230"/>
      <c r="R31" s="2230"/>
      <c r="S31" s="2230"/>
      <c r="T31" s="2230"/>
      <c r="U31" s="2230"/>
      <c r="V31" s="2230"/>
      <c r="W31" s="2230"/>
      <c r="X31" s="2230"/>
      <c r="Y31" s="2230"/>
      <c r="Z31" s="2230"/>
    </row>
    <row r="32" spans="1:26" ht="29.25" customHeight="1" x14ac:dyDescent="0.2">
      <c r="A32" s="2222"/>
      <c r="B32" s="2222"/>
      <c r="C32" s="2222"/>
      <c r="D32" s="2222"/>
      <c r="E32" s="2222"/>
      <c r="F32" s="2222"/>
      <c r="G32" s="2222"/>
      <c r="H32" s="2222"/>
      <c r="I32" s="2222"/>
      <c r="J32" s="2222"/>
      <c r="K32" s="2222"/>
      <c r="L32" s="2222"/>
      <c r="M32" s="2222"/>
      <c r="N32" s="2222"/>
      <c r="O32" s="2222"/>
      <c r="P32" s="2222"/>
      <c r="Q32" s="2222"/>
      <c r="R32" s="2222"/>
      <c r="S32" s="2222"/>
      <c r="T32" s="2222"/>
      <c r="U32" s="2222"/>
      <c r="V32" s="2222"/>
      <c r="W32" s="2222"/>
      <c r="X32" s="2222"/>
      <c r="Y32" s="2222"/>
      <c r="Z32" s="2222"/>
    </row>
  </sheetData>
  <sheetProtection algorithmName="SHA-512" hashValue="CiuNMrHpsPANh7GJ0pXfnyyIxhjrQ5kbrmBdxtoetQDJgIbvet3HZDxC3Y3b6pA0DenUL4x3ROZ8oJDxs5CxMQ==" saltValue="ABLZWeJ4vM0lrc8pSU9tZg==" spinCount="100000" sheet="1" objects="1" scenarios="1"/>
  <mergeCells count="10">
    <mergeCell ref="A4:X4"/>
    <mergeCell ref="A32:Z32"/>
    <mergeCell ref="A25:Z25"/>
    <mergeCell ref="A9:Z9"/>
    <mergeCell ref="A10:Z10"/>
    <mergeCell ref="A13:Z13"/>
    <mergeCell ref="A17:Z17"/>
    <mergeCell ref="A21:Z21"/>
    <mergeCell ref="A30:Z30"/>
    <mergeCell ref="A31:Z31"/>
  </mergeCells>
  <phoneticPr fontId="13" type="noConversion"/>
  <dataValidations count="1">
    <dataValidation allowBlank="1" showInputMessage="1" showErrorMessage="1" promptTitle="Date Format" prompt="E.g:  &quot;August 1, 2011&quot;" sqref="Z7" xr:uid="{00000000-0002-0000-2200-000000000000}"/>
  </dataValidations>
  <printOptions horizontalCentered="1"/>
  <pageMargins left="0.74803149606299213" right="0.74803149606299213" top="0.98425196850393704" bottom="0.98425196850393704" header="0.51181102362204722" footer="0.51181102362204722"/>
  <pageSetup paperSize="1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theme="7" tint="0.39997558519241921"/>
  </sheetPr>
  <dimension ref="A1:N201"/>
  <sheetViews>
    <sheetView topLeftCell="B1" zoomScaleNormal="100"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34.42578125" bestFit="1" customWidth="1"/>
    <col min="7" max="7" width="50.7109375" bestFit="1" customWidth="1"/>
    <col min="8" max="8" width="37.140625" bestFit="1" customWidth="1"/>
    <col min="14" max="14" width="8.85546875" style="1371"/>
  </cols>
  <sheetData>
    <row r="1" spans="1:11" x14ac:dyDescent="0.2">
      <c r="A1" t="s">
        <v>1081</v>
      </c>
      <c r="B1" t="s">
        <v>1082</v>
      </c>
      <c r="C1" t="s">
        <v>277</v>
      </c>
      <c r="D1" t="s">
        <v>276</v>
      </c>
      <c r="E1" t="s">
        <v>275</v>
      </c>
      <c r="F1" t="s">
        <v>1100</v>
      </c>
      <c r="G1" t="s">
        <v>1099</v>
      </c>
      <c r="H1" t="s">
        <v>10</v>
      </c>
      <c r="I1" t="s">
        <v>1084</v>
      </c>
    </row>
    <row r="2" spans="1:11" x14ac:dyDescent="0.2">
      <c r="A2" t="str">
        <f>'LDC Info'!$E$14</f>
        <v>Greater Sudbury Hydro Inc.</v>
      </c>
      <c r="B2" t="str">
        <f t="shared" ref="B2:B33" si="0">EBNUMBER</f>
        <v>EB-2019-0037</v>
      </c>
      <c r="C2">
        <f t="shared" ref="C2:C33" si="1">TestYear</f>
        <v>2020</v>
      </c>
      <c r="D2">
        <f t="shared" ref="D2:D33" si="2">BridgeYear</f>
        <v>2019</v>
      </c>
      <c r="E2">
        <f t="shared" ref="E2:E33" si="3">RebaseYear</f>
        <v>2013</v>
      </c>
      <c r="F2" s="484" t="s">
        <v>645</v>
      </c>
      <c r="G2" s="484" t="s">
        <v>1101</v>
      </c>
      <c r="H2" s="484" t="str">
        <f>'App.2-K_Employee Costs'!B$12</f>
        <v>Last Rebasing Year (2010 OEB Approved)</v>
      </c>
      <c r="I2">
        <f>'App.2-K_Employee Costs'!B$14</f>
        <v>0</v>
      </c>
      <c r="K2" s="484"/>
    </row>
    <row r="3" spans="1:11" x14ac:dyDescent="0.2">
      <c r="A3" t="str">
        <f>'LDC Info'!$E$14</f>
        <v>Greater Sudbury Hydro Inc.</v>
      </c>
      <c r="B3" t="str">
        <f t="shared" si="0"/>
        <v>EB-2019-0037</v>
      </c>
      <c r="C3">
        <f t="shared" si="1"/>
        <v>2020</v>
      </c>
      <c r="D3">
        <f t="shared" si="2"/>
        <v>2019</v>
      </c>
      <c r="E3">
        <f t="shared" si="3"/>
        <v>2013</v>
      </c>
      <c r="F3" s="484" t="s">
        <v>646</v>
      </c>
      <c r="G3" s="484" t="s">
        <v>1101</v>
      </c>
      <c r="H3" s="484" t="str">
        <f>'App.2-K_Employee Costs'!B$12</f>
        <v>Last Rebasing Year (2010 OEB Approved)</v>
      </c>
      <c r="I3">
        <f>'App.2-K_Employee Costs'!B$15</f>
        <v>0</v>
      </c>
      <c r="K3" s="484"/>
    </row>
    <row r="4" spans="1:11" x14ac:dyDescent="0.2">
      <c r="A4" t="str">
        <f>'LDC Info'!$E$14</f>
        <v>Greater Sudbury Hydro Inc.</v>
      </c>
      <c r="B4" t="str">
        <f t="shared" si="0"/>
        <v>EB-2019-0037</v>
      </c>
      <c r="C4">
        <f t="shared" si="1"/>
        <v>2020</v>
      </c>
      <c r="D4">
        <f t="shared" si="2"/>
        <v>2019</v>
      </c>
      <c r="E4">
        <f t="shared" si="3"/>
        <v>2013</v>
      </c>
      <c r="F4" s="484" t="s">
        <v>645</v>
      </c>
      <c r="G4" s="484" t="s">
        <v>647</v>
      </c>
      <c r="H4" s="484" t="str">
        <f>'App.2-K_Employee Costs'!B$12</f>
        <v>Last Rebasing Year (2010 OEB Approved)</v>
      </c>
      <c r="I4">
        <f>'App.2-K_Employee Costs'!B$18</f>
        <v>0</v>
      </c>
      <c r="K4" s="484"/>
    </row>
    <row r="5" spans="1:11" x14ac:dyDescent="0.2">
      <c r="A5" t="str">
        <f>'LDC Info'!$E$14</f>
        <v>Greater Sudbury Hydro Inc.</v>
      </c>
      <c r="B5" t="str">
        <f t="shared" si="0"/>
        <v>EB-2019-0037</v>
      </c>
      <c r="C5">
        <f t="shared" si="1"/>
        <v>2020</v>
      </c>
      <c r="D5">
        <f t="shared" si="2"/>
        <v>2019</v>
      </c>
      <c r="E5">
        <f t="shared" si="3"/>
        <v>2013</v>
      </c>
      <c r="F5" s="484" t="s">
        <v>646</v>
      </c>
      <c r="G5" s="484" t="s">
        <v>647</v>
      </c>
      <c r="H5" s="484" t="str">
        <f>'App.2-K_Employee Costs'!B$12</f>
        <v>Last Rebasing Year (2010 OEB Approved)</v>
      </c>
      <c r="I5">
        <f>'App.2-K_Employee Costs'!B$19</f>
        <v>0</v>
      </c>
      <c r="K5" s="484"/>
    </row>
    <row r="6" spans="1:11" x14ac:dyDescent="0.2">
      <c r="A6" t="str">
        <f>'LDC Info'!$E$14</f>
        <v>Greater Sudbury Hydro Inc.</v>
      </c>
      <c r="B6" t="str">
        <f t="shared" si="0"/>
        <v>EB-2019-0037</v>
      </c>
      <c r="C6">
        <f t="shared" si="1"/>
        <v>2020</v>
      </c>
      <c r="D6">
        <f t="shared" si="2"/>
        <v>2019</v>
      </c>
      <c r="E6">
        <f t="shared" si="3"/>
        <v>2013</v>
      </c>
      <c r="F6" s="484" t="s">
        <v>645</v>
      </c>
      <c r="G6" s="484" t="s">
        <v>1074</v>
      </c>
      <c r="H6" s="484" t="str">
        <f>'App.2-K_Employee Costs'!B$12</f>
        <v>Last Rebasing Year (2010 OEB Approved)</v>
      </c>
      <c r="I6">
        <f>'App.2-K_Employee Costs'!B$22</f>
        <v>0</v>
      </c>
      <c r="K6" s="484"/>
    </row>
    <row r="7" spans="1:11" x14ac:dyDescent="0.2">
      <c r="A7" t="str">
        <f>'LDC Info'!$E$14</f>
        <v>Greater Sudbury Hydro Inc.</v>
      </c>
      <c r="B7" t="str">
        <f t="shared" si="0"/>
        <v>EB-2019-0037</v>
      </c>
      <c r="C7">
        <f t="shared" si="1"/>
        <v>2020</v>
      </c>
      <c r="D7">
        <f t="shared" si="2"/>
        <v>2019</v>
      </c>
      <c r="E7">
        <f t="shared" si="3"/>
        <v>2013</v>
      </c>
      <c r="F7" s="484" t="s">
        <v>646</v>
      </c>
      <c r="G7" s="484" t="s">
        <v>1074</v>
      </c>
      <c r="H7" s="484" t="str">
        <f>'App.2-K_Employee Costs'!B$12</f>
        <v>Last Rebasing Year (2010 OEB Approved)</v>
      </c>
      <c r="I7">
        <f>'App.2-K_Employee Costs'!B$23</f>
        <v>0</v>
      </c>
      <c r="K7" s="484"/>
    </row>
    <row r="8" spans="1:11" x14ac:dyDescent="0.2">
      <c r="A8" t="str">
        <f>'LDC Info'!$E$14</f>
        <v>Greater Sudbury Hydro Inc.</v>
      </c>
      <c r="B8" t="str">
        <f t="shared" si="0"/>
        <v>EB-2019-0037</v>
      </c>
      <c r="C8">
        <f t="shared" si="1"/>
        <v>2020</v>
      </c>
      <c r="D8">
        <f t="shared" si="2"/>
        <v>2019</v>
      </c>
      <c r="E8">
        <f t="shared" si="3"/>
        <v>2013</v>
      </c>
      <c r="F8" s="484" t="s">
        <v>645</v>
      </c>
      <c r="G8" s="484" t="s">
        <v>0</v>
      </c>
      <c r="H8" s="484" t="str">
        <f>'App.2-K_Employee Costs'!B$12</f>
        <v>Last Rebasing Year (2010 OEB Approved)</v>
      </c>
      <c r="I8">
        <f>'App.2-K_Employee Costs'!B$26</f>
        <v>0</v>
      </c>
      <c r="K8" s="484"/>
    </row>
    <row r="9" spans="1:11" x14ac:dyDescent="0.2">
      <c r="A9" t="str">
        <f>'LDC Info'!$E$14</f>
        <v>Greater Sudbury Hydro Inc.</v>
      </c>
      <c r="B9" t="str">
        <f t="shared" si="0"/>
        <v>EB-2019-0037</v>
      </c>
      <c r="C9">
        <f t="shared" si="1"/>
        <v>2020</v>
      </c>
      <c r="D9">
        <f t="shared" si="2"/>
        <v>2019</v>
      </c>
      <c r="E9">
        <f t="shared" si="3"/>
        <v>2013</v>
      </c>
      <c r="F9" s="484" t="s">
        <v>646</v>
      </c>
      <c r="G9" s="484" t="s">
        <v>0</v>
      </c>
      <c r="H9" s="484" t="str">
        <f>'App.2-K_Employee Costs'!B$12</f>
        <v>Last Rebasing Year (2010 OEB Approved)</v>
      </c>
      <c r="I9">
        <f>'App.2-K_Employee Costs'!B$27</f>
        <v>0</v>
      </c>
      <c r="K9" s="484"/>
    </row>
    <row r="10" spans="1:11" x14ac:dyDescent="0.2">
      <c r="A10" t="str">
        <f>'LDC Info'!$E$14</f>
        <v>Greater Sudbury Hydro Inc.</v>
      </c>
      <c r="B10" t="str">
        <f t="shared" si="0"/>
        <v>EB-2019-0037</v>
      </c>
      <c r="C10">
        <f t="shared" si="1"/>
        <v>2020</v>
      </c>
      <c r="D10">
        <f t="shared" si="2"/>
        <v>2019</v>
      </c>
      <c r="E10">
        <f t="shared" si="3"/>
        <v>2013</v>
      </c>
      <c r="F10" s="484" t="s">
        <v>645</v>
      </c>
      <c r="G10" s="484" t="s">
        <v>1101</v>
      </c>
      <c r="H10" s="484" t="str">
        <f>'App.2-K_Employee Costs'!C$12</f>
        <v>Last Rebasing Year (2010 Actuals)</v>
      </c>
      <c r="I10">
        <f>'App.2-K_Employee Costs'!C$14</f>
        <v>0</v>
      </c>
      <c r="K10" s="484"/>
    </row>
    <row r="11" spans="1:11" x14ac:dyDescent="0.2">
      <c r="A11" t="str">
        <f>'LDC Info'!$E$14</f>
        <v>Greater Sudbury Hydro Inc.</v>
      </c>
      <c r="B11" t="str">
        <f t="shared" si="0"/>
        <v>EB-2019-0037</v>
      </c>
      <c r="C11">
        <f t="shared" si="1"/>
        <v>2020</v>
      </c>
      <c r="D11">
        <f t="shared" si="2"/>
        <v>2019</v>
      </c>
      <c r="E11">
        <f t="shared" si="3"/>
        <v>2013</v>
      </c>
      <c r="F11" s="484" t="s">
        <v>646</v>
      </c>
      <c r="G11" s="484" t="s">
        <v>1101</v>
      </c>
      <c r="H11" s="484" t="str">
        <f>'App.2-K_Employee Costs'!C$12</f>
        <v>Last Rebasing Year (2010 Actuals)</v>
      </c>
      <c r="I11">
        <f>'App.2-K_Employee Costs'!C$15</f>
        <v>0</v>
      </c>
      <c r="K11" s="484"/>
    </row>
    <row r="12" spans="1:11" x14ac:dyDescent="0.2">
      <c r="A12" t="str">
        <f>'LDC Info'!$E$14</f>
        <v>Greater Sudbury Hydro Inc.</v>
      </c>
      <c r="B12" t="str">
        <f t="shared" si="0"/>
        <v>EB-2019-0037</v>
      </c>
      <c r="C12">
        <f t="shared" si="1"/>
        <v>2020</v>
      </c>
      <c r="D12">
        <f t="shared" si="2"/>
        <v>2019</v>
      </c>
      <c r="E12">
        <f t="shared" si="3"/>
        <v>2013</v>
      </c>
      <c r="F12" s="484" t="s">
        <v>645</v>
      </c>
      <c r="G12" s="484" t="s">
        <v>647</v>
      </c>
      <c r="H12" s="484" t="str">
        <f>'App.2-K_Employee Costs'!C$12</f>
        <v>Last Rebasing Year (2010 Actuals)</v>
      </c>
      <c r="I12">
        <f>'App.2-K_Employee Costs'!C$18</f>
        <v>0</v>
      </c>
      <c r="K12" s="484"/>
    </row>
    <row r="13" spans="1:11" x14ac:dyDescent="0.2">
      <c r="A13" t="str">
        <f>'LDC Info'!$E$14</f>
        <v>Greater Sudbury Hydro Inc.</v>
      </c>
      <c r="B13" t="str">
        <f t="shared" si="0"/>
        <v>EB-2019-0037</v>
      </c>
      <c r="C13">
        <f t="shared" si="1"/>
        <v>2020</v>
      </c>
      <c r="D13">
        <f t="shared" si="2"/>
        <v>2019</v>
      </c>
      <c r="E13">
        <f t="shared" si="3"/>
        <v>2013</v>
      </c>
      <c r="F13" s="484" t="s">
        <v>646</v>
      </c>
      <c r="G13" s="484" t="s">
        <v>647</v>
      </c>
      <c r="H13" s="484" t="str">
        <f>'App.2-K_Employee Costs'!C$12</f>
        <v>Last Rebasing Year (2010 Actuals)</v>
      </c>
      <c r="I13">
        <f>'App.2-K_Employee Costs'!C$19</f>
        <v>0</v>
      </c>
      <c r="K13" s="484"/>
    </row>
    <row r="14" spans="1:11" x14ac:dyDescent="0.2">
      <c r="A14" t="str">
        <f>'LDC Info'!$E$14</f>
        <v>Greater Sudbury Hydro Inc.</v>
      </c>
      <c r="B14" t="str">
        <f t="shared" si="0"/>
        <v>EB-2019-0037</v>
      </c>
      <c r="C14">
        <f t="shared" si="1"/>
        <v>2020</v>
      </c>
      <c r="D14">
        <f t="shared" si="2"/>
        <v>2019</v>
      </c>
      <c r="E14">
        <f t="shared" si="3"/>
        <v>2013</v>
      </c>
      <c r="F14" s="484" t="s">
        <v>645</v>
      </c>
      <c r="G14" s="484" t="s">
        <v>1074</v>
      </c>
      <c r="H14" s="484" t="str">
        <f>'App.2-K_Employee Costs'!C$12</f>
        <v>Last Rebasing Year (2010 Actuals)</v>
      </c>
      <c r="I14">
        <f>'App.2-K_Employee Costs'!C$22</f>
        <v>0</v>
      </c>
      <c r="K14" s="484"/>
    </row>
    <row r="15" spans="1:11" x14ac:dyDescent="0.2">
      <c r="A15" t="str">
        <f>'LDC Info'!$E$14</f>
        <v>Greater Sudbury Hydro Inc.</v>
      </c>
      <c r="B15" t="str">
        <f t="shared" si="0"/>
        <v>EB-2019-0037</v>
      </c>
      <c r="C15">
        <f t="shared" si="1"/>
        <v>2020</v>
      </c>
      <c r="D15">
        <f t="shared" si="2"/>
        <v>2019</v>
      </c>
      <c r="E15">
        <f t="shared" si="3"/>
        <v>2013</v>
      </c>
      <c r="F15" s="484" t="s">
        <v>646</v>
      </c>
      <c r="G15" s="484" t="s">
        <v>1074</v>
      </c>
      <c r="H15" s="484" t="str">
        <f>'App.2-K_Employee Costs'!C$12</f>
        <v>Last Rebasing Year (2010 Actuals)</v>
      </c>
      <c r="I15">
        <f>'App.2-K_Employee Costs'!C$23</f>
        <v>0</v>
      </c>
      <c r="K15" s="484"/>
    </row>
    <row r="16" spans="1:11" x14ac:dyDescent="0.2">
      <c r="A16" t="str">
        <f>'LDC Info'!$E$14</f>
        <v>Greater Sudbury Hydro Inc.</v>
      </c>
      <c r="B16" t="str">
        <f t="shared" si="0"/>
        <v>EB-2019-0037</v>
      </c>
      <c r="C16">
        <f t="shared" si="1"/>
        <v>2020</v>
      </c>
      <c r="D16">
        <f t="shared" si="2"/>
        <v>2019</v>
      </c>
      <c r="E16">
        <f t="shared" si="3"/>
        <v>2013</v>
      </c>
      <c r="F16" s="484" t="s">
        <v>645</v>
      </c>
      <c r="G16" s="484" t="s">
        <v>0</v>
      </c>
      <c r="H16" s="484" t="str">
        <f>'App.2-K_Employee Costs'!C$12</f>
        <v>Last Rebasing Year (2010 Actuals)</v>
      </c>
      <c r="I16">
        <f>'App.2-K_Employee Costs'!C$26</f>
        <v>0</v>
      </c>
      <c r="K16" s="484"/>
    </row>
    <row r="17" spans="1:11" x14ac:dyDescent="0.2">
      <c r="A17" t="str">
        <f>'LDC Info'!$E$14</f>
        <v>Greater Sudbury Hydro Inc.</v>
      </c>
      <c r="B17" t="str">
        <f t="shared" si="0"/>
        <v>EB-2019-0037</v>
      </c>
      <c r="C17">
        <f t="shared" si="1"/>
        <v>2020</v>
      </c>
      <c r="D17">
        <f t="shared" si="2"/>
        <v>2019</v>
      </c>
      <c r="E17">
        <f t="shared" si="3"/>
        <v>2013</v>
      </c>
      <c r="F17" s="484" t="s">
        <v>646</v>
      </c>
      <c r="G17" s="484" t="s">
        <v>0</v>
      </c>
      <c r="H17" s="484" t="str">
        <f>'App.2-K_Employee Costs'!C$12</f>
        <v>Last Rebasing Year (2010 Actuals)</v>
      </c>
      <c r="I17">
        <f>'App.2-K_Employee Costs'!C$27</f>
        <v>0</v>
      </c>
      <c r="K17" s="484"/>
    </row>
    <row r="18" spans="1:11" x14ac:dyDescent="0.2">
      <c r="A18" t="str">
        <f>'LDC Info'!$E$14</f>
        <v>Greater Sudbury Hydro Inc.</v>
      </c>
      <c r="B18" t="str">
        <f t="shared" si="0"/>
        <v>EB-2019-0037</v>
      </c>
      <c r="C18">
        <f t="shared" si="1"/>
        <v>2020</v>
      </c>
      <c r="D18">
        <f t="shared" si="2"/>
        <v>2019</v>
      </c>
      <c r="E18">
        <f t="shared" si="3"/>
        <v>2013</v>
      </c>
      <c r="F18" s="484" t="s">
        <v>645</v>
      </c>
      <c r="G18" s="484" t="s">
        <v>1101</v>
      </c>
      <c r="H18" s="484" t="str">
        <f>'App.2-K_Employee Costs'!D$12</f>
        <v>Last Rebasing Year (2012 OEB Approved)</v>
      </c>
      <c r="I18">
        <f>'App.2-K_Employee Costs'!D$14</f>
        <v>0</v>
      </c>
      <c r="K18" s="484"/>
    </row>
    <row r="19" spans="1:11" x14ac:dyDescent="0.2">
      <c r="A19" t="str">
        <f>'LDC Info'!$E$14</f>
        <v>Greater Sudbury Hydro Inc.</v>
      </c>
      <c r="B19" t="str">
        <f t="shared" si="0"/>
        <v>EB-2019-0037</v>
      </c>
      <c r="C19">
        <f t="shared" si="1"/>
        <v>2020</v>
      </c>
      <c r="D19">
        <f t="shared" si="2"/>
        <v>2019</v>
      </c>
      <c r="E19">
        <f t="shared" si="3"/>
        <v>2013</v>
      </c>
      <c r="F19" s="484" t="s">
        <v>646</v>
      </c>
      <c r="G19" s="484" t="s">
        <v>1101</v>
      </c>
      <c r="H19" s="484" t="str">
        <f>'App.2-K_Employee Costs'!D$12</f>
        <v>Last Rebasing Year (2012 OEB Approved)</v>
      </c>
      <c r="I19">
        <f>'App.2-K_Employee Costs'!D$15</f>
        <v>0</v>
      </c>
      <c r="K19" s="484"/>
    </row>
    <row r="20" spans="1:11" x14ac:dyDescent="0.2">
      <c r="A20" t="str">
        <f>'LDC Info'!$E$14</f>
        <v>Greater Sudbury Hydro Inc.</v>
      </c>
      <c r="B20" t="str">
        <f t="shared" si="0"/>
        <v>EB-2019-0037</v>
      </c>
      <c r="C20">
        <f t="shared" si="1"/>
        <v>2020</v>
      </c>
      <c r="D20">
        <f t="shared" si="2"/>
        <v>2019</v>
      </c>
      <c r="E20">
        <f t="shared" si="3"/>
        <v>2013</v>
      </c>
      <c r="F20" s="484" t="s">
        <v>645</v>
      </c>
      <c r="G20" s="484" t="s">
        <v>647</v>
      </c>
      <c r="H20" s="484" t="str">
        <f>'App.2-K_Employee Costs'!D$12</f>
        <v>Last Rebasing Year (2012 OEB Approved)</v>
      </c>
      <c r="I20">
        <f>'App.2-K_Employee Costs'!D$18</f>
        <v>0</v>
      </c>
      <c r="K20" s="484"/>
    </row>
    <row r="21" spans="1:11" x14ac:dyDescent="0.2">
      <c r="A21" t="str">
        <f>'LDC Info'!$E$14</f>
        <v>Greater Sudbury Hydro Inc.</v>
      </c>
      <c r="B21" t="str">
        <f t="shared" si="0"/>
        <v>EB-2019-0037</v>
      </c>
      <c r="C21">
        <f t="shared" si="1"/>
        <v>2020</v>
      </c>
      <c r="D21">
        <f t="shared" si="2"/>
        <v>2019</v>
      </c>
      <c r="E21">
        <f t="shared" si="3"/>
        <v>2013</v>
      </c>
      <c r="F21" s="484" t="s">
        <v>646</v>
      </c>
      <c r="G21" s="484" t="s">
        <v>647</v>
      </c>
      <c r="H21" s="484" t="str">
        <f>'App.2-K_Employee Costs'!D$12</f>
        <v>Last Rebasing Year (2012 OEB Approved)</v>
      </c>
      <c r="I21">
        <f>'App.2-K_Employee Costs'!D$19</f>
        <v>0</v>
      </c>
      <c r="K21" s="484"/>
    </row>
    <row r="22" spans="1:11" x14ac:dyDescent="0.2">
      <c r="A22" t="str">
        <f>'LDC Info'!$E$14</f>
        <v>Greater Sudbury Hydro Inc.</v>
      </c>
      <c r="B22" t="str">
        <f t="shared" si="0"/>
        <v>EB-2019-0037</v>
      </c>
      <c r="C22">
        <f t="shared" si="1"/>
        <v>2020</v>
      </c>
      <c r="D22">
        <f t="shared" si="2"/>
        <v>2019</v>
      </c>
      <c r="E22">
        <f t="shared" si="3"/>
        <v>2013</v>
      </c>
      <c r="F22" s="484" t="s">
        <v>645</v>
      </c>
      <c r="G22" s="484" t="s">
        <v>1074</v>
      </c>
      <c r="H22" s="484" t="str">
        <f>'App.2-K_Employee Costs'!D$12</f>
        <v>Last Rebasing Year (2012 OEB Approved)</v>
      </c>
      <c r="I22">
        <f>'App.2-K_Employee Costs'!D$22</f>
        <v>0</v>
      </c>
      <c r="K22" s="484"/>
    </row>
    <row r="23" spans="1:11" x14ac:dyDescent="0.2">
      <c r="A23" t="str">
        <f>'LDC Info'!$E$14</f>
        <v>Greater Sudbury Hydro Inc.</v>
      </c>
      <c r="B23" t="str">
        <f t="shared" si="0"/>
        <v>EB-2019-0037</v>
      </c>
      <c r="C23">
        <f t="shared" si="1"/>
        <v>2020</v>
      </c>
      <c r="D23">
        <f t="shared" si="2"/>
        <v>2019</v>
      </c>
      <c r="E23">
        <f t="shared" si="3"/>
        <v>2013</v>
      </c>
      <c r="F23" s="484" t="s">
        <v>646</v>
      </c>
      <c r="G23" s="484" t="s">
        <v>1074</v>
      </c>
      <c r="H23" s="484" t="str">
        <f>'App.2-K_Employee Costs'!D$12</f>
        <v>Last Rebasing Year (2012 OEB Approved)</v>
      </c>
      <c r="I23">
        <f>'App.2-K_Employee Costs'!D$23</f>
        <v>0</v>
      </c>
      <c r="K23" s="484"/>
    </row>
    <row r="24" spans="1:11" x14ac:dyDescent="0.2">
      <c r="A24" t="str">
        <f>'LDC Info'!$E$14</f>
        <v>Greater Sudbury Hydro Inc.</v>
      </c>
      <c r="B24" t="str">
        <f t="shared" si="0"/>
        <v>EB-2019-0037</v>
      </c>
      <c r="C24">
        <f t="shared" si="1"/>
        <v>2020</v>
      </c>
      <c r="D24">
        <f t="shared" si="2"/>
        <v>2019</v>
      </c>
      <c r="E24">
        <f t="shared" si="3"/>
        <v>2013</v>
      </c>
      <c r="F24" s="484" t="s">
        <v>645</v>
      </c>
      <c r="G24" s="484" t="s">
        <v>0</v>
      </c>
      <c r="H24" s="484" t="str">
        <f>'App.2-K_Employee Costs'!D$12</f>
        <v>Last Rebasing Year (2012 OEB Approved)</v>
      </c>
      <c r="I24">
        <f>'App.2-K_Employee Costs'!D$26</f>
        <v>0</v>
      </c>
      <c r="K24" s="484"/>
    </row>
    <row r="25" spans="1:11" x14ac:dyDescent="0.2">
      <c r="A25" t="str">
        <f>'LDC Info'!$E$14</f>
        <v>Greater Sudbury Hydro Inc.</v>
      </c>
      <c r="B25" t="str">
        <f t="shared" si="0"/>
        <v>EB-2019-0037</v>
      </c>
      <c r="C25">
        <f t="shared" si="1"/>
        <v>2020</v>
      </c>
      <c r="D25">
        <f t="shared" si="2"/>
        <v>2019</v>
      </c>
      <c r="E25">
        <f t="shared" si="3"/>
        <v>2013</v>
      </c>
      <c r="F25" s="484" t="s">
        <v>646</v>
      </c>
      <c r="G25" s="484" t="s">
        <v>0</v>
      </c>
      <c r="H25" s="484" t="str">
        <f>'App.2-K_Employee Costs'!D$12</f>
        <v>Last Rebasing Year (2012 OEB Approved)</v>
      </c>
      <c r="I25">
        <f>'App.2-K_Employee Costs'!D$27</f>
        <v>0</v>
      </c>
      <c r="K25" s="484"/>
    </row>
    <row r="26" spans="1:11" x14ac:dyDescent="0.2">
      <c r="A26" t="str">
        <f>'LDC Info'!$E$14</f>
        <v>Greater Sudbury Hydro Inc.</v>
      </c>
      <c r="B26" t="str">
        <f t="shared" si="0"/>
        <v>EB-2019-0037</v>
      </c>
      <c r="C26">
        <f t="shared" si="1"/>
        <v>2020</v>
      </c>
      <c r="D26">
        <f t="shared" si="2"/>
        <v>2019</v>
      </c>
      <c r="E26">
        <f t="shared" si="3"/>
        <v>2013</v>
      </c>
      <c r="F26" s="484" t="s">
        <v>645</v>
      </c>
      <c r="G26" s="484" t="s">
        <v>1101</v>
      </c>
      <c r="H26" s="484" t="str">
        <f>'App.2-K_Employee Costs'!E$12</f>
        <v>Last Rebasing Year (2012 Actuals)</v>
      </c>
      <c r="I26">
        <f>'App.2-K_Employee Costs'!E$14</f>
        <v>0</v>
      </c>
      <c r="K26" s="484"/>
    </row>
    <row r="27" spans="1:11" x14ac:dyDescent="0.2">
      <c r="A27" t="str">
        <f>'LDC Info'!$E$14</f>
        <v>Greater Sudbury Hydro Inc.</v>
      </c>
      <c r="B27" t="str">
        <f t="shared" si="0"/>
        <v>EB-2019-0037</v>
      </c>
      <c r="C27">
        <f t="shared" si="1"/>
        <v>2020</v>
      </c>
      <c r="D27">
        <f t="shared" si="2"/>
        <v>2019</v>
      </c>
      <c r="E27">
        <f t="shared" si="3"/>
        <v>2013</v>
      </c>
      <c r="F27" s="484" t="s">
        <v>646</v>
      </c>
      <c r="G27" s="484" t="s">
        <v>1101</v>
      </c>
      <c r="H27" s="484" t="str">
        <f>'App.2-K_Employee Costs'!E$12</f>
        <v>Last Rebasing Year (2012 Actuals)</v>
      </c>
      <c r="I27">
        <f>'App.2-K_Employee Costs'!E$15</f>
        <v>0</v>
      </c>
      <c r="K27" s="484"/>
    </row>
    <row r="28" spans="1:11" x14ac:dyDescent="0.2">
      <c r="A28" t="str">
        <f>'LDC Info'!$E$14</f>
        <v>Greater Sudbury Hydro Inc.</v>
      </c>
      <c r="B28" t="str">
        <f t="shared" si="0"/>
        <v>EB-2019-0037</v>
      </c>
      <c r="C28">
        <f t="shared" si="1"/>
        <v>2020</v>
      </c>
      <c r="D28">
        <f t="shared" si="2"/>
        <v>2019</v>
      </c>
      <c r="E28">
        <f t="shared" si="3"/>
        <v>2013</v>
      </c>
      <c r="F28" s="484" t="s">
        <v>645</v>
      </c>
      <c r="G28" s="484" t="s">
        <v>647</v>
      </c>
      <c r="H28" s="484" t="str">
        <f>'App.2-K_Employee Costs'!E$12</f>
        <v>Last Rebasing Year (2012 Actuals)</v>
      </c>
      <c r="I28">
        <f>'App.2-K_Employee Costs'!E$18</f>
        <v>0</v>
      </c>
      <c r="K28" s="484"/>
    </row>
    <row r="29" spans="1:11" x14ac:dyDescent="0.2">
      <c r="A29" t="str">
        <f>'LDC Info'!$E$14</f>
        <v>Greater Sudbury Hydro Inc.</v>
      </c>
      <c r="B29" t="str">
        <f t="shared" si="0"/>
        <v>EB-2019-0037</v>
      </c>
      <c r="C29">
        <f t="shared" si="1"/>
        <v>2020</v>
      </c>
      <c r="D29">
        <f t="shared" si="2"/>
        <v>2019</v>
      </c>
      <c r="E29">
        <f t="shared" si="3"/>
        <v>2013</v>
      </c>
      <c r="F29" s="484" t="s">
        <v>646</v>
      </c>
      <c r="G29" s="484" t="s">
        <v>647</v>
      </c>
      <c r="H29" s="484" t="str">
        <f>'App.2-K_Employee Costs'!E$12</f>
        <v>Last Rebasing Year (2012 Actuals)</v>
      </c>
      <c r="I29">
        <f>'App.2-K_Employee Costs'!E$19</f>
        <v>0</v>
      </c>
      <c r="K29" s="484"/>
    </row>
    <row r="30" spans="1:11" x14ac:dyDescent="0.2">
      <c r="A30" t="str">
        <f>'LDC Info'!$E$14</f>
        <v>Greater Sudbury Hydro Inc.</v>
      </c>
      <c r="B30" t="str">
        <f t="shared" si="0"/>
        <v>EB-2019-0037</v>
      </c>
      <c r="C30">
        <f t="shared" si="1"/>
        <v>2020</v>
      </c>
      <c r="D30">
        <f t="shared" si="2"/>
        <v>2019</v>
      </c>
      <c r="E30">
        <f t="shared" si="3"/>
        <v>2013</v>
      </c>
      <c r="F30" s="484" t="s">
        <v>645</v>
      </c>
      <c r="G30" s="484" t="s">
        <v>1074</v>
      </c>
      <c r="H30" s="484" t="str">
        <f>'App.2-K_Employee Costs'!E$12</f>
        <v>Last Rebasing Year (2012 Actuals)</v>
      </c>
      <c r="I30">
        <f>'App.2-K_Employee Costs'!E$22</f>
        <v>0</v>
      </c>
      <c r="K30" s="484"/>
    </row>
    <row r="31" spans="1:11" x14ac:dyDescent="0.2">
      <c r="A31" t="str">
        <f>'LDC Info'!$E$14</f>
        <v>Greater Sudbury Hydro Inc.</v>
      </c>
      <c r="B31" t="str">
        <f t="shared" si="0"/>
        <v>EB-2019-0037</v>
      </c>
      <c r="C31">
        <f t="shared" si="1"/>
        <v>2020</v>
      </c>
      <c r="D31">
        <f t="shared" si="2"/>
        <v>2019</v>
      </c>
      <c r="E31">
        <f t="shared" si="3"/>
        <v>2013</v>
      </c>
      <c r="F31" t="s">
        <v>646</v>
      </c>
      <c r="G31" t="s">
        <v>1074</v>
      </c>
      <c r="H31" t="str">
        <f>'App.2-K_Employee Costs'!E$12</f>
        <v>Last Rebasing Year (2012 Actuals)</v>
      </c>
      <c r="I31">
        <f>'App.2-K_Employee Costs'!E$23</f>
        <v>0</v>
      </c>
    </row>
    <row r="32" spans="1:11" x14ac:dyDescent="0.2">
      <c r="A32" t="str">
        <f>'LDC Info'!$E$14</f>
        <v>Greater Sudbury Hydro Inc.</v>
      </c>
      <c r="B32" t="str">
        <f t="shared" si="0"/>
        <v>EB-2019-0037</v>
      </c>
      <c r="C32">
        <f t="shared" si="1"/>
        <v>2020</v>
      </c>
      <c r="D32">
        <f t="shared" si="2"/>
        <v>2019</v>
      </c>
      <c r="E32">
        <f t="shared" si="3"/>
        <v>2013</v>
      </c>
      <c r="F32" t="s">
        <v>645</v>
      </c>
      <c r="G32" t="s">
        <v>0</v>
      </c>
      <c r="H32" t="str">
        <f>'App.2-K_Employee Costs'!E$12</f>
        <v>Last Rebasing Year (2012 Actuals)</v>
      </c>
      <c r="I32">
        <f>'App.2-K_Employee Costs'!E$26</f>
        <v>0</v>
      </c>
    </row>
    <row r="33" spans="1:9" x14ac:dyDescent="0.2">
      <c r="A33" t="str">
        <f>'LDC Info'!$E$14</f>
        <v>Greater Sudbury Hydro Inc.</v>
      </c>
      <c r="B33" t="str">
        <f t="shared" si="0"/>
        <v>EB-2019-0037</v>
      </c>
      <c r="C33">
        <f t="shared" si="1"/>
        <v>2020</v>
      </c>
      <c r="D33">
        <f t="shared" si="2"/>
        <v>2019</v>
      </c>
      <c r="E33">
        <f t="shared" si="3"/>
        <v>2013</v>
      </c>
      <c r="F33" t="s">
        <v>646</v>
      </c>
      <c r="G33" t="s">
        <v>0</v>
      </c>
      <c r="H33" t="str">
        <f>'App.2-K_Employee Costs'!E$12</f>
        <v>Last Rebasing Year (2012 Actuals)</v>
      </c>
      <c r="I33">
        <f>'App.2-K_Employee Costs'!E$27</f>
        <v>0</v>
      </c>
    </row>
    <row r="34" spans="1:9" x14ac:dyDescent="0.2">
      <c r="A34" t="str">
        <f>'LDC Info'!$E$14</f>
        <v>Greater Sudbury Hydro Inc.</v>
      </c>
      <c r="B34" t="str">
        <f t="shared" ref="B34:B65" si="4">EBNUMBER</f>
        <v>EB-2019-0037</v>
      </c>
      <c r="C34">
        <f t="shared" ref="C34:C65" si="5">TestYear</f>
        <v>2020</v>
      </c>
      <c r="D34">
        <f t="shared" ref="D34:D65" si="6">BridgeYear</f>
        <v>2019</v>
      </c>
      <c r="E34">
        <f t="shared" ref="E34:E65" si="7">RebaseYear</f>
        <v>2013</v>
      </c>
      <c r="F34" s="484" t="s">
        <v>645</v>
      </c>
      <c r="G34" s="484" t="s">
        <v>1101</v>
      </c>
      <c r="H34" t="str">
        <f>'App.2-K_Employee Costs'!F$12</f>
        <v>2012 Actuals</v>
      </c>
      <c r="I34">
        <f>'App.2-K_Employee Costs'!F$14</f>
        <v>0</v>
      </c>
    </row>
    <row r="35" spans="1:9" x14ac:dyDescent="0.2">
      <c r="A35" t="str">
        <f>'LDC Info'!$E$14</f>
        <v>Greater Sudbury Hydro Inc.</v>
      </c>
      <c r="B35" t="str">
        <f t="shared" si="4"/>
        <v>EB-2019-0037</v>
      </c>
      <c r="C35">
        <f t="shared" si="5"/>
        <v>2020</v>
      </c>
      <c r="D35">
        <f t="shared" si="6"/>
        <v>2019</v>
      </c>
      <c r="E35">
        <f t="shared" si="7"/>
        <v>2013</v>
      </c>
      <c r="F35" s="484" t="s">
        <v>646</v>
      </c>
      <c r="G35" s="484" t="s">
        <v>1101</v>
      </c>
      <c r="H35" t="str">
        <f>'App.2-K_Employee Costs'!F$12</f>
        <v>2012 Actuals</v>
      </c>
      <c r="I35">
        <f>'App.2-K_Employee Costs'!F$15</f>
        <v>0</v>
      </c>
    </row>
    <row r="36" spans="1:9" x14ac:dyDescent="0.2">
      <c r="A36" t="str">
        <f>'LDC Info'!$E$14</f>
        <v>Greater Sudbury Hydro Inc.</v>
      </c>
      <c r="B36" t="str">
        <f t="shared" si="4"/>
        <v>EB-2019-0037</v>
      </c>
      <c r="C36">
        <f t="shared" si="5"/>
        <v>2020</v>
      </c>
      <c r="D36">
        <f t="shared" si="6"/>
        <v>2019</v>
      </c>
      <c r="E36">
        <f t="shared" si="7"/>
        <v>2013</v>
      </c>
      <c r="F36" s="484" t="s">
        <v>645</v>
      </c>
      <c r="G36" s="484" t="s">
        <v>647</v>
      </c>
      <c r="H36" t="str">
        <f>'App.2-K_Employee Costs'!F$12</f>
        <v>2012 Actuals</v>
      </c>
      <c r="I36">
        <f>'App.2-K_Employee Costs'!F$18</f>
        <v>0</v>
      </c>
    </row>
    <row r="37" spans="1:9" x14ac:dyDescent="0.2">
      <c r="A37" t="str">
        <f>'LDC Info'!$E$14</f>
        <v>Greater Sudbury Hydro Inc.</v>
      </c>
      <c r="B37" t="str">
        <f t="shared" si="4"/>
        <v>EB-2019-0037</v>
      </c>
      <c r="C37">
        <f t="shared" si="5"/>
        <v>2020</v>
      </c>
      <c r="D37">
        <f t="shared" si="6"/>
        <v>2019</v>
      </c>
      <c r="E37">
        <f t="shared" si="7"/>
        <v>2013</v>
      </c>
      <c r="F37" s="484" t="s">
        <v>646</v>
      </c>
      <c r="G37" s="484" t="s">
        <v>647</v>
      </c>
      <c r="H37" t="str">
        <f>'App.2-K_Employee Costs'!F$12</f>
        <v>2012 Actuals</v>
      </c>
      <c r="I37">
        <f>'App.2-K_Employee Costs'!F$19</f>
        <v>0</v>
      </c>
    </row>
    <row r="38" spans="1:9" x14ac:dyDescent="0.2">
      <c r="A38" t="str">
        <f>'LDC Info'!$E$14</f>
        <v>Greater Sudbury Hydro Inc.</v>
      </c>
      <c r="B38" t="str">
        <f t="shared" si="4"/>
        <v>EB-2019-0037</v>
      </c>
      <c r="C38">
        <f t="shared" si="5"/>
        <v>2020</v>
      </c>
      <c r="D38">
        <f t="shared" si="6"/>
        <v>2019</v>
      </c>
      <c r="E38">
        <f t="shared" si="7"/>
        <v>2013</v>
      </c>
      <c r="F38" s="484" t="s">
        <v>645</v>
      </c>
      <c r="G38" s="484" t="s">
        <v>1074</v>
      </c>
      <c r="H38" t="str">
        <f>'App.2-K_Employee Costs'!F$12</f>
        <v>2012 Actuals</v>
      </c>
      <c r="I38">
        <f>'App.2-K_Employee Costs'!F$22</f>
        <v>0</v>
      </c>
    </row>
    <row r="39" spans="1:9" x14ac:dyDescent="0.2">
      <c r="A39" t="str">
        <f>'LDC Info'!$E$14</f>
        <v>Greater Sudbury Hydro Inc.</v>
      </c>
      <c r="B39" t="str">
        <f t="shared" si="4"/>
        <v>EB-2019-0037</v>
      </c>
      <c r="C39">
        <f t="shared" si="5"/>
        <v>2020</v>
      </c>
      <c r="D39">
        <f t="shared" si="6"/>
        <v>2019</v>
      </c>
      <c r="E39">
        <f t="shared" si="7"/>
        <v>2013</v>
      </c>
      <c r="F39" s="484" t="s">
        <v>646</v>
      </c>
      <c r="G39" s="484" t="s">
        <v>1074</v>
      </c>
      <c r="H39" t="str">
        <f>'App.2-K_Employee Costs'!F$12</f>
        <v>2012 Actuals</v>
      </c>
      <c r="I39">
        <f>'App.2-K_Employee Costs'!F$23</f>
        <v>0</v>
      </c>
    </row>
    <row r="40" spans="1:9" x14ac:dyDescent="0.2">
      <c r="A40" t="str">
        <f>'LDC Info'!$E$14</f>
        <v>Greater Sudbury Hydro Inc.</v>
      </c>
      <c r="B40" t="str">
        <f t="shared" si="4"/>
        <v>EB-2019-0037</v>
      </c>
      <c r="C40">
        <f t="shared" si="5"/>
        <v>2020</v>
      </c>
      <c r="D40">
        <f t="shared" si="6"/>
        <v>2019</v>
      </c>
      <c r="E40">
        <f t="shared" si="7"/>
        <v>2013</v>
      </c>
      <c r="F40" s="484" t="s">
        <v>645</v>
      </c>
      <c r="G40" s="484" t="s">
        <v>0</v>
      </c>
      <c r="H40" t="str">
        <f>'App.2-K_Employee Costs'!F$12</f>
        <v>2012 Actuals</v>
      </c>
      <c r="I40">
        <f>'App.2-K_Employee Costs'!F$26</f>
        <v>0</v>
      </c>
    </row>
    <row r="41" spans="1:9" x14ac:dyDescent="0.2">
      <c r="A41" t="str">
        <f>'LDC Info'!$E$14</f>
        <v>Greater Sudbury Hydro Inc.</v>
      </c>
      <c r="B41" t="str">
        <f t="shared" si="4"/>
        <v>EB-2019-0037</v>
      </c>
      <c r="C41">
        <f t="shared" si="5"/>
        <v>2020</v>
      </c>
      <c r="D41">
        <f t="shared" si="6"/>
        <v>2019</v>
      </c>
      <c r="E41">
        <f t="shared" si="7"/>
        <v>2013</v>
      </c>
      <c r="F41" s="484" t="s">
        <v>646</v>
      </c>
      <c r="G41" s="484" t="s">
        <v>0</v>
      </c>
      <c r="H41" t="str">
        <f>'App.2-K_Employee Costs'!F$12</f>
        <v>2012 Actuals</v>
      </c>
      <c r="I41">
        <f>'App.2-K_Employee Costs'!F$27</f>
        <v>0</v>
      </c>
    </row>
    <row r="42" spans="1:9" x14ac:dyDescent="0.2">
      <c r="A42" t="str">
        <f>'LDC Info'!$E$14</f>
        <v>Greater Sudbury Hydro Inc.</v>
      </c>
      <c r="B42" t="str">
        <f t="shared" si="4"/>
        <v>EB-2019-0037</v>
      </c>
      <c r="C42">
        <f t="shared" si="5"/>
        <v>2020</v>
      </c>
      <c r="D42">
        <f t="shared" si="6"/>
        <v>2019</v>
      </c>
      <c r="E42">
        <f t="shared" si="7"/>
        <v>2013</v>
      </c>
      <c r="F42" t="s">
        <v>645</v>
      </c>
      <c r="G42" t="s">
        <v>1101</v>
      </c>
      <c r="H42" t="str">
        <f>'App.2-K_Employee Costs'!G$12</f>
        <v>Last Rebasing Year (2013 OEB Approved)</v>
      </c>
      <c r="I42">
        <f>'App.2-K_Employee Costs'!G$14</f>
        <v>16.305851917131125</v>
      </c>
    </row>
    <row r="43" spans="1:9" x14ac:dyDescent="0.2">
      <c r="A43" t="str">
        <f>'LDC Info'!$E$14</f>
        <v>Greater Sudbury Hydro Inc.</v>
      </c>
      <c r="B43" t="str">
        <f t="shared" si="4"/>
        <v>EB-2019-0037</v>
      </c>
      <c r="C43">
        <f t="shared" si="5"/>
        <v>2020</v>
      </c>
      <c r="D43">
        <f t="shared" si="6"/>
        <v>2019</v>
      </c>
      <c r="E43">
        <f t="shared" si="7"/>
        <v>2013</v>
      </c>
      <c r="F43" t="s">
        <v>646</v>
      </c>
      <c r="G43" t="s">
        <v>1101</v>
      </c>
      <c r="H43" t="str">
        <f>'App.2-K_Employee Costs'!G$12</f>
        <v>Last Rebasing Year (2013 OEB Approved)</v>
      </c>
      <c r="I43">
        <f>'App.2-K_Employee Costs'!G$15</f>
        <v>81.788654679883336</v>
      </c>
    </row>
    <row r="44" spans="1:9" x14ac:dyDescent="0.2">
      <c r="A44" t="str">
        <f>'LDC Info'!$E$14</f>
        <v>Greater Sudbury Hydro Inc.</v>
      </c>
      <c r="B44" t="str">
        <f t="shared" si="4"/>
        <v>EB-2019-0037</v>
      </c>
      <c r="C44">
        <f t="shared" si="5"/>
        <v>2020</v>
      </c>
      <c r="D44">
        <f t="shared" si="6"/>
        <v>2019</v>
      </c>
      <c r="E44">
        <f t="shared" si="7"/>
        <v>2013</v>
      </c>
      <c r="F44" t="s">
        <v>645</v>
      </c>
      <c r="G44" t="s">
        <v>647</v>
      </c>
      <c r="H44" t="str">
        <f>'App.2-K_Employee Costs'!G$12</f>
        <v>Last Rebasing Year (2013 OEB Approved)</v>
      </c>
      <c r="I44">
        <f>'App.2-K_Employee Costs'!G$18</f>
        <v>1821044.6958380081</v>
      </c>
    </row>
    <row r="45" spans="1:9" x14ac:dyDescent="0.2">
      <c r="A45" t="str">
        <f>'LDC Info'!$E$14</f>
        <v>Greater Sudbury Hydro Inc.</v>
      </c>
      <c r="B45" t="str">
        <f t="shared" si="4"/>
        <v>EB-2019-0037</v>
      </c>
      <c r="C45">
        <f t="shared" si="5"/>
        <v>2020</v>
      </c>
      <c r="D45">
        <f t="shared" si="6"/>
        <v>2019</v>
      </c>
      <c r="E45">
        <f t="shared" si="7"/>
        <v>2013</v>
      </c>
      <c r="F45" t="s">
        <v>646</v>
      </c>
      <c r="G45" t="s">
        <v>647</v>
      </c>
      <c r="H45" t="str">
        <f>'App.2-K_Employee Costs'!G$12</f>
        <v>Last Rebasing Year (2013 OEB Approved)</v>
      </c>
      <c r="I45">
        <f>'App.2-K_Employee Costs'!G$19</f>
        <v>5844920.353585273</v>
      </c>
    </row>
    <row r="46" spans="1:9" x14ac:dyDescent="0.2">
      <c r="A46" t="str">
        <f>'LDC Info'!$E$14</f>
        <v>Greater Sudbury Hydro Inc.</v>
      </c>
      <c r="B46" t="str">
        <f t="shared" si="4"/>
        <v>EB-2019-0037</v>
      </c>
      <c r="C46">
        <f t="shared" si="5"/>
        <v>2020</v>
      </c>
      <c r="D46">
        <f t="shared" si="6"/>
        <v>2019</v>
      </c>
      <c r="E46">
        <f t="shared" si="7"/>
        <v>2013</v>
      </c>
      <c r="F46" t="s">
        <v>645</v>
      </c>
      <c r="G46" t="s">
        <v>1074</v>
      </c>
      <c r="H46" t="str">
        <f>'App.2-K_Employee Costs'!G$12</f>
        <v>Last Rebasing Year (2013 OEB Approved)</v>
      </c>
      <c r="I46">
        <f>'App.2-K_Employee Costs'!G$22</f>
        <v>524620.60261938162</v>
      </c>
    </row>
    <row r="47" spans="1:9" x14ac:dyDescent="0.2">
      <c r="A47" t="str">
        <f>'LDC Info'!$E$14</f>
        <v>Greater Sudbury Hydro Inc.</v>
      </c>
      <c r="B47" t="str">
        <f t="shared" si="4"/>
        <v>EB-2019-0037</v>
      </c>
      <c r="C47">
        <f t="shared" si="5"/>
        <v>2020</v>
      </c>
      <c r="D47">
        <f t="shared" si="6"/>
        <v>2019</v>
      </c>
      <c r="E47">
        <f t="shared" si="7"/>
        <v>2013</v>
      </c>
      <c r="F47" t="s">
        <v>646</v>
      </c>
      <c r="G47" t="s">
        <v>1074</v>
      </c>
      <c r="H47" t="str">
        <f>'App.2-K_Employee Costs'!G$12</f>
        <v>Last Rebasing Year (2013 OEB Approved)</v>
      </c>
      <c r="I47">
        <f>'App.2-K_Employee Costs'!G$23</f>
        <v>1881861.9891194978</v>
      </c>
    </row>
    <row r="48" spans="1:9" x14ac:dyDescent="0.2">
      <c r="A48" t="str">
        <f>'LDC Info'!$E$14</f>
        <v>Greater Sudbury Hydro Inc.</v>
      </c>
      <c r="B48" t="str">
        <f t="shared" si="4"/>
        <v>EB-2019-0037</v>
      </c>
      <c r="C48">
        <f t="shared" si="5"/>
        <v>2020</v>
      </c>
      <c r="D48">
        <f t="shared" si="6"/>
        <v>2019</v>
      </c>
      <c r="E48">
        <f t="shared" si="7"/>
        <v>2013</v>
      </c>
      <c r="F48" t="s">
        <v>645</v>
      </c>
      <c r="G48" t="s">
        <v>0</v>
      </c>
      <c r="H48" t="str">
        <f>'App.2-K_Employee Costs'!G$12</f>
        <v>Last Rebasing Year (2013 OEB Approved)</v>
      </c>
      <c r="I48">
        <f>'App.2-K_Employee Costs'!G$26</f>
        <v>2345665.2984573897</v>
      </c>
    </row>
    <row r="49" spans="1:9" x14ac:dyDescent="0.2">
      <c r="A49" t="str">
        <f>'LDC Info'!$E$14</f>
        <v>Greater Sudbury Hydro Inc.</v>
      </c>
      <c r="B49" t="str">
        <f t="shared" si="4"/>
        <v>EB-2019-0037</v>
      </c>
      <c r="C49">
        <f t="shared" si="5"/>
        <v>2020</v>
      </c>
      <c r="D49">
        <f t="shared" si="6"/>
        <v>2019</v>
      </c>
      <c r="E49">
        <f t="shared" si="7"/>
        <v>2013</v>
      </c>
      <c r="F49" t="s">
        <v>646</v>
      </c>
      <c r="G49" t="s">
        <v>0</v>
      </c>
      <c r="H49" t="str">
        <f>'App.2-K_Employee Costs'!G$12</f>
        <v>Last Rebasing Year (2013 OEB Approved)</v>
      </c>
      <c r="I49">
        <f>'App.2-K_Employee Costs'!G$27</f>
        <v>7726782.3427047711</v>
      </c>
    </row>
    <row r="50" spans="1:9" x14ac:dyDescent="0.2">
      <c r="A50" t="str">
        <f>'LDC Info'!$E$14</f>
        <v>Greater Sudbury Hydro Inc.</v>
      </c>
      <c r="B50" t="str">
        <f t="shared" si="4"/>
        <v>EB-2019-0037</v>
      </c>
      <c r="C50">
        <f t="shared" si="5"/>
        <v>2020</v>
      </c>
      <c r="D50">
        <f t="shared" si="6"/>
        <v>2019</v>
      </c>
      <c r="E50">
        <f t="shared" si="7"/>
        <v>2013</v>
      </c>
      <c r="F50" t="s">
        <v>645</v>
      </c>
      <c r="G50" t="s">
        <v>1101</v>
      </c>
      <c r="H50" t="str">
        <f>'App.2-K_Employee Costs'!H$12</f>
        <v>Last Rebasing Year (2013 Actuals)</v>
      </c>
      <c r="I50">
        <f>'App.2-K_Employee Costs'!H$14</f>
        <v>14.59</v>
      </c>
    </row>
    <row r="51" spans="1:9" x14ac:dyDescent="0.2">
      <c r="A51" t="str">
        <f>'LDC Info'!$E$14</f>
        <v>Greater Sudbury Hydro Inc.</v>
      </c>
      <c r="B51" t="str">
        <f t="shared" si="4"/>
        <v>EB-2019-0037</v>
      </c>
      <c r="C51">
        <f t="shared" si="5"/>
        <v>2020</v>
      </c>
      <c r="D51">
        <f t="shared" si="6"/>
        <v>2019</v>
      </c>
      <c r="E51">
        <f t="shared" si="7"/>
        <v>2013</v>
      </c>
      <c r="F51" t="s">
        <v>646</v>
      </c>
      <c r="G51" t="s">
        <v>1101</v>
      </c>
      <c r="H51" t="str">
        <f>'App.2-K_Employee Costs'!H$12</f>
        <v>Last Rebasing Year (2013 Actuals)</v>
      </c>
      <c r="I51">
        <f>'App.2-K_Employee Costs'!H$15</f>
        <v>79.22</v>
      </c>
    </row>
    <row r="52" spans="1:9" x14ac:dyDescent="0.2">
      <c r="A52" t="str">
        <f>'LDC Info'!$E$14</f>
        <v>Greater Sudbury Hydro Inc.</v>
      </c>
      <c r="B52" t="str">
        <f t="shared" si="4"/>
        <v>EB-2019-0037</v>
      </c>
      <c r="C52">
        <f t="shared" si="5"/>
        <v>2020</v>
      </c>
      <c r="D52">
        <f t="shared" si="6"/>
        <v>2019</v>
      </c>
      <c r="E52">
        <f t="shared" si="7"/>
        <v>2013</v>
      </c>
      <c r="F52" t="s">
        <v>645</v>
      </c>
      <c r="G52" t="s">
        <v>647</v>
      </c>
      <c r="H52" t="str">
        <f>'App.2-K_Employee Costs'!H$12</f>
        <v>Last Rebasing Year (2013 Actuals)</v>
      </c>
      <c r="I52">
        <f>'App.2-K_Employee Costs'!H$18</f>
        <v>1707454</v>
      </c>
    </row>
    <row r="53" spans="1:9" x14ac:dyDescent="0.2">
      <c r="A53" t="str">
        <f>'LDC Info'!$E$14</f>
        <v>Greater Sudbury Hydro Inc.</v>
      </c>
      <c r="B53" t="str">
        <f t="shared" si="4"/>
        <v>EB-2019-0037</v>
      </c>
      <c r="C53">
        <f t="shared" si="5"/>
        <v>2020</v>
      </c>
      <c r="D53">
        <f t="shared" si="6"/>
        <v>2019</v>
      </c>
      <c r="E53">
        <f t="shared" si="7"/>
        <v>2013</v>
      </c>
      <c r="F53" t="s">
        <v>646</v>
      </c>
      <c r="G53" t="s">
        <v>647</v>
      </c>
      <c r="H53" t="str">
        <f>'App.2-K_Employee Costs'!H$12</f>
        <v>Last Rebasing Year (2013 Actuals)</v>
      </c>
      <c r="I53">
        <f>'App.2-K_Employee Costs'!H$19</f>
        <v>6080523</v>
      </c>
    </row>
    <row r="54" spans="1:9" x14ac:dyDescent="0.2">
      <c r="A54" t="str">
        <f>'LDC Info'!$E$14</f>
        <v>Greater Sudbury Hydro Inc.</v>
      </c>
      <c r="B54" t="str">
        <f t="shared" si="4"/>
        <v>EB-2019-0037</v>
      </c>
      <c r="C54">
        <f t="shared" si="5"/>
        <v>2020</v>
      </c>
      <c r="D54">
        <f t="shared" si="6"/>
        <v>2019</v>
      </c>
      <c r="E54">
        <f t="shared" si="7"/>
        <v>2013</v>
      </c>
      <c r="F54" t="s">
        <v>645</v>
      </c>
      <c r="G54" t="s">
        <v>1074</v>
      </c>
      <c r="H54" t="str">
        <f>'App.2-K_Employee Costs'!H$12</f>
        <v>Last Rebasing Year (2013 Actuals)</v>
      </c>
      <c r="I54">
        <f>'App.2-K_Employee Costs'!H$22</f>
        <v>478087.12000000005</v>
      </c>
    </row>
    <row r="55" spans="1:9" x14ac:dyDescent="0.2">
      <c r="A55" t="str">
        <f>'LDC Info'!$E$14</f>
        <v>Greater Sudbury Hydro Inc.</v>
      </c>
      <c r="B55" t="str">
        <f t="shared" si="4"/>
        <v>EB-2019-0037</v>
      </c>
      <c r="C55">
        <f t="shared" si="5"/>
        <v>2020</v>
      </c>
      <c r="D55">
        <f t="shared" si="6"/>
        <v>2019</v>
      </c>
      <c r="E55">
        <f t="shared" si="7"/>
        <v>2013</v>
      </c>
      <c r="F55" t="s">
        <v>646</v>
      </c>
      <c r="G55" t="s">
        <v>1074</v>
      </c>
      <c r="H55" t="str">
        <f>'App.2-K_Employee Costs'!H$12</f>
        <v>Last Rebasing Year (2013 Actuals)</v>
      </c>
      <c r="I55">
        <f>'App.2-K_Employee Costs'!H$23</f>
        <v>1702546.4400000002</v>
      </c>
    </row>
    <row r="56" spans="1:9" x14ac:dyDescent="0.2">
      <c r="A56" t="str">
        <f>'LDC Info'!$E$14</f>
        <v>Greater Sudbury Hydro Inc.</v>
      </c>
      <c r="B56" t="str">
        <f t="shared" si="4"/>
        <v>EB-2019-0037</v>
      </c>
      <c r="C56">
        <f t="shared" si="5"/>
        <v>2020</v>
      </c>
      <c r="D56">
        <f t="shared" si="6"/>
        <v>2019</v>
      </c>
      <c r="E56">
        <f t="shared" si="7"/>
        <v>2013</v>
      </c>
      <c r="F56" t="s">
        <v>645</v>
      </c>
      <c r="G56" t="s">
        <v>0</v>
      </c>
      <c r="H56" t="str">
        <f>'App.2-K_Employee Costs'!H$12</f>
        <v>Last Rebasing Year (2013 Actuals)</v>
      </c>
      <c r="I56">
        <f>'App.2-K_Employee Costs'!H$26</f>
        <v>2185541.12</v>
      </c>
    </row>
    <row r="57" spans="1:9" x14ac:dyDescent="0.2">
      <c r="A57" t="str">
        <f>'LDC Info'!$E$14</f>
        <v>Greater Sudbury Hydro Inc.</v>
      </c>
      <c r="B57" t="str">
        <f t="shared" si="4"/>
        <v>EB-2019-0037</v>
      </c>
      <c r="C57">
        <f t="shared" si="5"/>
        <v>2020</v>
      </c>
      <c r="D57">
        <f t="shared" si="6"/>
        <v>2019</v>
      </c>
      <c r="E57">
        <f t="shared" si="7"/>
        <v>2013</v>
      </c>
      <c r="F57" t="s">
        <v>646</v>
      </c>
      <c r="G57" t="s">
        <v>0</v>
      </c>
      <c r="H57" t="str">
        <f>'App.2-K_Employee Costs'!H$12</f>
        <v>Last Rebasing Year (2013 Actuals)</v>
      </c>
      <c r="I57">
        <f>'App.2-K_Employee Costs'!H$27</f>
        <v>7783069.4400000004</v>
      </c>
    </row>
    <row r="58" spans="1:9" x14ac:dyDescent="0.2">
      <c r="A58" t="str">
        <f>'LDC Info'!$E$14</f>
        <v>Greater Sudbury Hydro Inc.</v>
      </c>
      <c r="B58" t="str">
        <f t="shared" si="4"/>
        <v>EB-2019-0037</v>
      </c>
      <c r="C58">
        <f t="shared" si="5"/>
        <v>2020</v>
      </c>
      <c r="D58">
        <f t="shared" si="6"/>
        <v>2019</v>
      </c>
      <c r="E58">
        <f t="shared" si="7"/>
        <v>2013</v>
      </c>
      <c r="F58" t="s">
        <v>645</v>
      </c>
      <c r="G58" t="s">
        <v>1101</v>
      </c>
      <c r="H58" t="str">
        <f>'App.2-K_Employee Costs'!I$12</f>
        <v>2013 Actuals</v>
      </c>
      <c r="I58">
        <f>'App.2-K_Employee Costs'!I$14</f>
        <v>0</v>
      </c>
    </row>
    <row r="59" spans="1:9" x14ac:dyDescent="0.2">
      <c r="A59" t="str">
        <f>'LDC Info'!$E$14</f>
        <v>Greater Sudbury Hydro Inc.</v>
      </c>
      <c r="B59" t="str">
        <f t="shared" si="4"/>
        <v>EB-2019-0037</v>
      </c>
      <c r="C59">
        <f t="shared" si="5"/>
        <v>2020</v>
      </c>
      <c r="D59">
        <f t="shared" si="6"/>
        <v>2019</v>
      </c>
      <c r="E59">
        <f t="shared" si="7"/>
        <v>2013</v>
      </c>
      <c r="F59" t="s">
        <v>646</v>
      </c>
      <c r="G59" t="s">
        <v>1101</v>
      </c>
      <c r="H59" t="str">
        <f>'App.2-K_Employee Costs'!I$12</f>
        <v>2013 Actuals</v>
      </c>
      <c r="I59">
        <f>'App.2-K_Employee Costs'!I$15</f>
        <v>0</v>
      </c>
    </row>
    <row r="60" spans="1:9" x14ac:dyDescent="0.2">
      <c r="A60" t="str">
        <f>'LDC Info'!$E$14</f>
        <v>Greater Sudbury Hydro Inc.</v>
      </c>
      <c r="B60" t="str">
        <f t="shared" si="4"/>
        <v>EB-2019-0037</v>
      </c>
      <c r="C60">
        <f t="shared" si="5"/>
        <v>2020</v>
      </c>
      <c r="D60">
        <f t="shared" si="6"/>
        <v>2019</v>
      </c>
      <c r="E60">
        <f t="shared" si="7"/>
        <v>2013</v>
      </c>
      <c r="F60" t="s">
        <v>645</v>
      </c>
      <c r="G60" t="s">
        <v>647</v>
      </c>
      <c r="H60" t="str">
        <f>'App.2-K_Employee Costs'!I$12</f>
        <v>2013 Actuals</v>
      </c>
      <c r="I60">
        <f>'App.2-K_Employee Costs'!I$18</f>
        <v>0</v>
      </c>
    </row>
    <row r="61" spans="1:9" x14ac:dyDescent="0.2">
      <c r="A61" t="str">
        <f>'LDC Info'!$E$14</f>
        <v>Greater Sudbury Hydro Inc.</v>
      </c>
      <c r="B61" t="str">
        <f t="shared" si="4"/>
        <v>EB-2019-0037</v>
      </c>
      <c r="C61">
        <f t="shared" si="5"/>
        <v>2020</v>
      </c>
      <c r="D61">
        <f t="shared" si="6"/>
        <v>2019</v>
      </c>
      <c r="E61">
        <f t="shared" si="7"/>
        <v>2013</v>
      </c>
      <c r="F61" t="s">
        <v>646</v>
      </c>
      <c r="G61" t="s">
        <v>647</v>
      </c>
      <c r="H61" t="str">
        <f>'App.2-K_Employee Costs'!I$12</f>
        <v>2013 Actuals</v>
      </c>
      <c r="I61">
        <f>'App.2-K_Employee Costs'!I$19</f>
        <v>0</v>
      </c>
    </row>
    <row r="62" spans="1:9" x14ac:dyDescent="0.2">
      <c r="A62" t="str">
        <f>'LDC Info'!$E$14</f>
        <v>Greater Sudbury Hydro Inc.</v>
      </c>
      <c r="B62" t="str">
        <f t="shared" si="4"/>
        <v>EB-2019-0037</v>
      </c>
      <c r="C62">
        <f t="shared" si="5"/>
        <v>2020</v>
      </c>
      <c r="D62">
        <f t="shared" si="6"/>
        <v>2019</v>
      </c>
      <c r="E62">
        <f t="shared" si="7"/>
        <v>2013</v>
      </c>
      <c r="F62" t="s">
        <v>645</v>
      </c>
      <c r="G62" t="s">
        <v>1074</v>
      </c>
      <c r="H62" t="str">
        <f>'App.2-K_Employee Costs'!I$12</f>
        <v>2013 Actuals</v>
      </c>
      <c r="I62">
        <f>'App.2-K_Employee Costs'!I$22</f>
        <v>0</v>
      </c>
    </row>
    <row r="63" spans="1:9" x14ac:dyDescent="0.2">
      <c r="A63" t="str">
        <f>'LDC Info'!$E$14</f>
        <v>Greater Sudbury Hydro Inc.</v>
      </c>
      <c r="B63" t="str">
        <f t="shared" si="4"/>
        <v>EB-2019-0037</v>
      </c>
      <c r="C63">
        <f t="shared" si="5"/>
        <v>2020</v>
      </c>
      <c r="D63">
        <f t="shared" si="6"/>
        <v>2019</v>
      </c>
      <c r="E63">
        <f t="shared" si="7"/>
        <v>2013</v>
      </c>
      <c r="F63" t="s">
        <v>646</v>
      </c>
      <c r="G63" t="s">
        <v>1074</v>
      </c>
      <c r="H63" t="str">
        <f>'App.2-K_Employee Costs'!I$12</f>
        <v>2013 Actuals</v>
      </c>
      <c r="I63">
        <f>'App.2-K_Employee Costs'!I$23</f>
        <v>0</v>
      </c>
    </row>
    <row r="64" spans="1:9" x14ac:dyDescent="0.2">
      <c r="A64" t="str">
        <f>'LDC Info'!$E$14</f>
        <v>Greater Sudbury Hydro Inc.</v>
      </c>
      <c r="B64" t="str">
        <f t="shared" si="4"/>
        <v>EB-2019-0037</v>
      </c>
      <c r="C64">
        <f t="shared" si="5"/>
        <v>2020</v>
      </c>
      <c r="D64">
        <f t="shared" si="6"/>
        <v>2019</v>
      </c>
      <c r="E64">
        <f t="shared" si="7"/>
        <v>2013</v>
      </c>
      <c r="F64" t="s">
        <v>645</v>
      </c>
      <c r="G64" t="s">
        <v>0</v>
      </c>
      <c r="H64" t="str">
        <f>'App.2-K_Employee Costs'!I$12</f>
        <v>2013 Actuals</v>
      </c>
      <c r="I64">
        <f>'App.2-K_Employee Costs'!I$26</f>
        <v>0</v>
      </c>
    </row>
    <row r="65" spans="1:9" x14ac:dyDescent="0.2">
      <c r="A65" t="str">
        <f>'LDC Info'!$E$14</f>
        <v>Greater Sudbury Hydro Inc.</v>
      </c>
      <c r="B65" t="str">
        <f t="shared" si="4"/>
        <v>EB-2019-0037</v>
      </c>
      <c r="C65">
        <f t="shared" si="5"/>
        <v>2020</v>
      </c>
      <c r="D65">
        <f t="shared" si="6"/>
        <v>2019</v>
      </c>
      <c r="E65">
        <f t="shared" si="7"/>
        <v>2013</v>
      </c>
      <c r="F65" t="s">
        <v>646</v>
      </c>
      <c r="G65" t="s">
        <v>0</v>
      </c>
      <c r="H65" t="str">
        <f>'App.2-K_Employee Costs'!I$12</f>
        <v>2013 Actuals</v>
      </c>
      <c r="I65">
        <f>'App.2-K_Employee Costs'!I$27</f>
        <v>0</v>
      </c>
    </row>
    <row r="66" spans="1:9" x14ac:dyDescent="0.2">
      <c r="A66" t="str">
        <f>'LDC Info'!$E$14</f>
        <v>Greater Sudbury Hydro Inc.</v>
      </c>
      <c r="B66" t="str">
        <f t="shared" ref="B66:B97" si="8">EBNUMBER</f>
        <v>EB-2019-0037</v>
      </c>
      <c r="C66">
        <f t="shared" ref="C66:C97" si="9">TestYear</f>
        <v>2020</v>
      </c>
      <c r="D66">
        <f t="shared" ref="D66:D97" si="10">BridgeYear</f>
        <v>2019</v>
      </c>
      <c r="E66">
        <f t="shared" ref="E66:E97" si="11">RebaseYear</f>
        <v>2013</v>
      </c>
      <c r="F66" t="s">
        <v>645</v>
      </c>
      <c r="G66" t="s">
        <v>1101</v>
      </c>
      <c r="H66" t="str">
        <f>'App.2-K_Employee Costs'!J$12</f>
        <v>Last Rebasing Year (2014 OEB Approved)</v>
      </c>
      <c r="I66">
        <f>'App.2-K_Employee Costs'!J$14</f>
        <v>0</v>
      </c>
    </row>
    <row r="67" spans="1:9" x14ac:dyDescent="0.2">
      <c r="A67" t="str">
        <f>'LDC Info'!$E$14</f>
        <v>Greater Sudbury Hydro Inc.</v>
      </c>
      <c r="B67" t="str">
        <f t="shared" si="8"/>
        <v>EB-2019-0037</v>
      </c>
      <c r="C67">
        <f t="shared" si="9"/>
        <v>2020</v>
      </c>
      <c r="D67">
        <f t="shared" si="10"/>
        <v>2019</v>
      </c>
      <c r="E67">
        <f t="shared" si="11"/>
        <v>2013</v>
      </c>
      <c r="F67" t="s">
        <v>646</v>
      </c>
      <c r="G67" t="s">
        <v>1101</v>
      </c>
      <c r="H67" t="str">
        <f>'App.2-K_Employee Costs'!J$12</f>
        <v>Last Rebasing Year (2014 OEB Approved)</v>
      </c>
      <c r="I67">
        <f>'App.2-K_Employee Costs'!J$15</f>
        <v>0</v>
      </c>
    </row>
    <row r="68" spans="1:9" x14ac:dyDescent="0.2">
      <c r="A68" t="str">
        <f>'LDC Info'!$E$14</f>
        <v>Greater Sudbury Hydro Inc.</v>
      </c>
      <c r="B68" t="str">
        <f t="shared" si="8"/>
        <v>EB-2019-0037</v>
      </c>
      <c r="C68">
        <f t="shared" si="9"/>
        <v>2020</v>
      </c>
      <c r="D68">
        <f t="shared" si="10"/>
        <v>2019</v>
      </c>
      <c r="E68">
        <f t="shared" si="11"/>
        <v>2013</v>
      </c>
      <c r="F68" t="s">
        <v>645</v>
      </c>
      <c r="G68" t="s">
        <v>647</v>
      </c>
      <c r="H68" t="str">
        <f>'App.2-K_Employee Costs'!J$12</f>
        <v>Last Rebasing Year (2014 OEB Approved)</v>
      </c>
      <c r="I68">
        <f>'App.2-K_Employee Costs'!J$18</f>
        <v>0</v>
      </c>
    </row>
    <row r="69" spans="1:9" x14ac:dyDescent="0.2">
      <c r="A69" t="str">
        <f>'LDC Info'!$E$14</f>
        <v>Greater Sudbury Hydro Inc.</v>
      </c>
      <c r="B69" t="str">
        <f t="shared" si="8"/>
        <v>EB-2019-0037</v>
      </c>
      <c r="C69">
        <f t="shared" si="9"/>
        <v>2020</v>
      </c>
      <c r="D69">
        <f t="shared" si="10"/>
        <v>2019</v>
      </c>
      <c r="E69">
        <f t="shared" si="11"/>
        <v>2013</v>
      </c>
      <c r="F69" t="s">
        <v>646</v>
      </c>
      <c r="G69" t="s">
        <v>647</v>
      </c>
      <c r="H69" t="str">
        <f>'App.2-K_Employee Costs'!J$12</f>
        <v>Last Rebasing Year (2014 OEB Approved)</v>
      </c>
      <c r="I69">
        <f>'App.2-K_Employee Costs'!J$19</f>
        <v>0</v>
      </c>
    </row>
    <row r="70" spans="1:9" x14ac:dyDescent="0.2">
      <c r="A70" t="str">
        <f>'LDC Info'!$E$14</f>
        <v>Greater Sudbury Hydro Inc.</v>
      </c>
      <c r="B70" t="str">
        <f t="shared" si="8"/>
        <v>EB-2019-0037</v>
      </c>
      <c r="C70">
        <f t="shared" si="9"/>
        <v>2020</v>
      </c>
      <c r="D70">
        <f t="shared" si="10"/>
        <v>2019</v>
      </c>
      <c r="E70">
        <f t="shared" si="11"/>
        <v>2013</v>
      </c>
      <c r="F70" t="s">
        <v>645</v>
      </c>
      <c r="G70" t="s">
        <v>1074</v>
      </c>
      <c r="H70" t="str">
        <f>'App.2-K_Employee Costs'!J$12</f>
        <v>Last Rebasing Year (2014 OEB Approved)</v>
      </c>
      <c r="I70">
        <f>'App.2-K_Employee Costs'!J$22</f>
        <v>0</v>
      </c>
    </row>
    <row r="71" spans="1:9" x14ac:dyDescent="0.2">
      <c r="A71" t="str">
        <f>'LDC Info'!$E$14</f>
        <v>Greater Sudbury Hydro Inc.</v>
      </c>
      <c r="B71" t="str">
        <f t="shared" si="8"/>
        <v>EB-2019-0037</v>
      </c>
      <c r="C71">
        <f t="shared" si="9"/>
        <v>2020</v>
      </c>
      <c r="D71">
        <f t="shared" si="10"/>
        <v>2019</v>
      </c>
      <c r="E71">
        <f t="shared" si="11"/>
        <v>2013</v>
      </c>
      <c r="F71" t="s">
        <v>646</v>
      </c>
      <c r="G71" t="s">
        <v>1074</v>
      </c>
      <c r="H71" t="str">
        <f>'App.2-K_Employee Costs'!J$12</f>
        <v>Last Rebasing Year (2014 OEB Approved)</v>
      </c>
      <c r="I71">
        <f>'App.2-K_Employee Costs'!J$23</f>
        <v>0</v>
      </c>
    </row>
    <row r="72" spans="1:9" x14ac:dyDescent="0.2">
      <c r="A72" t="str">
        <f>'LDC Info'!$E$14</f>
        <v>Greater Sudbury Hydro Inc.</v>
      </c>
      <c r="B72" t="str">
        <f t="shared" si="8"/>
        <v>EB-2019-0037</v>
      </c>
      <c r="C72">
        <f t="shared" si="9"/>
        <v>2020</v>
      </c>
      <c r="D72">
        <f t="shared" si="10"/>
        <v>2019</v>
      </c>
      <c r="E72">
        <f t="shared" si="11"/>
        <v>2013</v>
      </c>
      <c r="F72" t="s">
        <v>645</v>
      </c>
      <c r="G72" t="s">
        <v>0</v>
      </c>
      <c r="H72" t="str">
        <f>'App.2-K_Employee Costs'!J$12</f>
        <v>Last Rebasing Year (2014 OEB Approved)</v>
      </c>
      <c r="I72">
        <f>'App.2-K_Employee Costs'!J$26</f>
        <v>0</v>
      </c>
    </row>
    <row r="73" spans="1:9" x14ac:dyDescent="0.2">
      <c r="A73" t="str">
        <f>'LDC Info'!$E$14</f>
        <v>Greater Sudbury Hydro Inc.</v>
      </c>
      <c r="B73" t="str">
        <f t="shared" si="8"/>
        <v>EB-2019-0037</v>
      </c>
      <c r="C73">
        <f t="shared" si="9"/>
        <v>2020</v>
      </c>
      <c r="D73">
        <f t="shared" si="10"/>
        <v>2019</v>
      </c>
      <c r="E73">
        <f t="shared" si="11"/>
        <v>2013</v>
      </c>
      <c r="F73" t="s">
        <v>646</v>
      </c>
      <c r="G73" t="s">
        <v>0</v>
      </c>
      <c r="H73" t="str">
        <f>'App.2-K_Employee Costs'!J$12</f>
        <v>Last Rebasing Year (2014 OEB Approved)</v>
      </c>
      <c r="I73">
        <f>'App.2-K_Employee Costs'!J$27</f>
        <v>0</v>
      </c>
    </row>
    <row r="74" spans="1:9" x14ac:dyDescent="0.2">
      <c r="A74" t="str">
        <f>'LDC Info'!$E$14</f>
        <v>Greater Sudbury Hydro Inc.</v>
      </c>
      <c r="B74" t="str">
        <f t="shared" si="8"/>
        <v>EB-2019-0037</v>
      </c>
      <c r="C74">
        <f t="shared" si="9"/>
        <v>2020</v>
      </c>
      <c r="D74">
        <f t="shared" si="10"/>
        <v>2019</v>
      </c>
      <c r="E74">
        <f t="shared" si="11"/>
        <v>2013</v>
      </c>
      <c r="F74" t="s">
        <v>645</v>
      </c>
      <c r="G74" t="s">
        <v>1101</v>
      </c>
      <c r="H74" t="str">
        <f>'App.2-K_Employee Costs'!K$12</f>
        <v>Last Rebasing Year (2014 Actuals)</v>
      </c>
      <c r="I74">
        <f>'App.2-K_Employee Costs'!K$14</f>
        <v>0</v>
      </c>
    </row>
    <row r="75" spans="1:9" x14ac:dyDescent="0.2">
      <c r="A75" t="str">
        <f>'LDC Info'!$E$14</f>
        <v>Greater Sudbury Hydro Inc.</v>
      </c>
      <c r="B75" t="str">
        <f t="shared" si="8"/>
        <v>EB-2019-0037</v>
      </c>
      <c r="C75">
        <f t="shared" si="9"/>
        <v>2020</v>
      </c>
      <c r="D75">
        <f t="shared" si="10"/>
        <v>2019</v>
      </c>
      <c r="E75">
        <f t="shared" si="11"/>
        <v>2013</v>
      </c>
      <c r="F75" t="s">
        <v>646</v>
      </c>
      <c r="G75" t="s">
        <v>1101</v>
      </c>
      <c r="H75" t="str">
        <f>'App.2-K_Employee Costs'!K$12</f>
        <v>Last Rebasing Year (2014 Actuals)</v>
      </c>
      <c r="I75">
        <f>'App.2-K_Employee Costs'!K$15</f>
        <v>0</v>
      </c>
    </row>
    <row r="76" spans="1:9" x14ac:dyDescent="0.2">
      <c r="A76" t="str">
        <f>'LDC Info'!$E$14</f>
        <v>Greater Sudbury Hydro Inc.</v>
      </c>
      <c r="B76" t="str">
        <f t="shared" si="8"/>
        <v>EB-2019-0037</v>
      </c>
      <c r="C76">
        <f t="shared" si="9"/>
        <v>2020</v>
      </c>
      <c r="D76">
        <f t="shared" si="10"/>
        <v>2019</v>
      </c>
      <c r="E76">
        <f t="shared" si="11"/>
        <v>2013</v>
      </c>
      <c r="F76" t="s">
        <v>645</v>
      </c>
      <c r="G76" t="s">
        <v>647</v>
      </c>
      <c r="H76" t="str">
        <f>'App.2-K_Employee Costs'!K$12</f>
        <v>Last Rebasing Year (2014 Actuals)</v>
      </c>
      <c r="I76">
        <f>'App.2-K_Employee Costs'!K$18</f>
        <v>0</v>
      </c>
    </row>
    <row r="77" spans="1:9" x14ac:dyDescent="0.2">
      <c r="A77" t="str">
        <f>'LDC Info'!$E$14</f>
        <v>Greater Sudbury Hydro Inc.</v>
      </c>
      <c r="B77" t="str">
        <f t="shared" si="8"/>
        <v>EB-2019-0037</v>
      </c>
      <c r="C77">
        <f t="shared" si="9"/>
        <v>2020</v>
      </c>
      <c r="D77">
        <f t="shared" si="10"/>
        <v>2019</v>
      </c>
      <c r="E77">
        <f t="shared" si="11"/>
        <v>2013</v>
      </c>
      <c r="F77" t="s">
        <v>646</v>
      </c>
      <c r="G77" t="s">
        <v>647</v>
      </c>
      <c r="H77" t="str">
        <f>'App.2-K_Employee Costs'!K$12</f>
        <v>Last Rebasing Year (2014 Actuals)</v>
      </c>
      <c r="I77">
        <f>'App.2-K_Employee Costs'!K$19</f>
        <v>0</v>
      </c>
    </row>
    <row r="78" spans="1:9" x14ac:dyDescent="0.2">
      <c r="A78" t="str">
        <f>'LDC Info'!$E$14</f>
        <v>Greater Sudbury Hydro Inc.</v>
      </c>
      <c r="B78" t="str">
        <f t="shared" si="8"/>
        <v>EB-2019-0037</v>
      </c>
      <c r="C78">
        <f t="shared" si="9"/>
        <v>2020</v>
      </c>
      <c r="D78">
        <f t="shared" si="10"/>
        <v>2019</v>
      </c>
      <c r="E78">
        <f t="shared" si="11"/>
        <v>2013</v>
      </c>
      <c r="F78" t="s">
        <v>645</v>
      </c>
      <c r="G78" t="s">
        <v>1074</v>
      </c>
      <c r="H78" t="str">
        <f>'App.2-K_Employee Costs'!K$12</f>
        <v>Last Rebasing Year (2014 Actuals)</v>
      </c>
      <c r="I78">
        <f>'App.2-K_Employee Costs'!K$22</f>
        <v>0</v>
      </c>
    </row>
    <row r="79" spans="1:9" x14ac:dyDescent="0.2">
      <c r="A79" t="str">
        <f>'LDC Info'!$E$14</f>
        <v>Greater Sudbury Hydro Inc.</v>
      </c>
      <c r="B79" t="str">
        <f t="shared" si="8"/>
        <v>EB-2019-0037</v>
      </c>
      <c r="C79">
        <f t="shared" si="9"/>
        <v>2020</v>
      </c>
      <c r="D79">
        <f t="shared" si="10"/>
        <v>2019</v>
      </c>
      <c r="E79">
        <f t="shared" si="11"/>
        <v>2013</v>
      </c>
      <c r="F79" t="s">
        <v>646</v>
      </c>
      <c r="G79" t="s">
        <v>1074</v>
      </c>
      <c r="H79" t="str">
        <f>'App.2-K_Employee Costs'!K$12</f>
        <v>Last Rebasing Year (2014 Actuals)</v>
      </c>
      <c r="I79">
        <f>'App.2-K_Employee Costs'!K$23</f>
        <v>0</v>
      </c>
    </row>
    <row r="80" spans="1:9" x14ac:dyDescent="0.2">
      <c r="A80" t="str">
        <f>'LDC Info'!$E$14</f>
        <v>Greater Sudbury Hydro Inc.</v>
      </c>
      <c r="B80" t="str">
        <f t="shared" si="8"/>
        <v>EB-2019-0037</v>
      </c>
      <c r="C80">
        <f t="shared" si="9"/>
        <v>2020</v>
      </c>
      <c r="D80">
        <f t="shared" si="10"/>
        <v>2019</v>
      </c>
      <c r="E80">
        <f t="shared" si="11"/>
        <v>2013</v>
      </c>
      <c r="F80" t="s">
        <v>645</v>
      </c>
      <c r="G80" t="s">
        <v>0</v>
      </c>
      <c r="H80" t="str">
        <f>'App.2-K_Employee Costs'!K$12</f>
        <v>Last Rebasing Year (2014 Actuals)</v>
      </c>
      <c r="I80">
        <f>'App.2-K_Employee Costs'!K$26</f>
        <v>0</v>
      </c>
    </row>
    <row r="81" spans="1:9" x14ac:dyDescent="0.2">
      <c r="A81" t="str">
        <f>'LDC Info'!$E$14</f>
        <v>Greater Sudbury Hydro Inc.</v>
      </c>
      <c r="B81" t="str">
        <f t="shared" si="8"/>
        <v>EB-2019-0037</v>
      </c>
      <c r="C81">
        <f t="shared" si="9"/>
        <v>2020</v>
      </c>
      <c r="D81">
        <f t="shared" si="10"/>
        <v>2019</v>
      </c>
      <c r="E81">
        <f t="shared" si="11"/>
        <v>2013</v>
      </c>
      <c r="F81" t="s">
        <v>646</v>
      </c>
      <c r="G81" t="s">
        <v>0</v>
      </c>
      <c r="H81" t="str">
        <f>'App.2-K_Employee Costs'!K$12</f>
        <v>Last Rebasing Year (2014 Actuals)</v>
      </c>
      <c r="I81">
        <f>'App.2-K_Employee Costs'!K$27</f>
        <v>0</v>
      </c>
    </row>
    <row r="82" spans="1:9" x14ac:dyDescent="0.2">
      <c r="A82" t="str">
        <f>'LDC Info'!$E$14</f>
        <v>Greater Sudbury Hydro Inc.</v>
      </c>
      <c r="B82" t="str">
        <f t="shared" si="8"/>
        <v>EB-2019-0037</v>
      </c>
      <c r="C82">
        <f t="shared" si="9"/>
        <v>2020</v>
      </c>
      <c r="D82">
        <f t="shared" si="10"/>
        <v>2019</v>
      </c>
      <c r="E82">
        <f t="shared" si="11"/>
        <v>2013</v>
      </c>
      <c r="F82" t="s">
        <v>645</v>
      </c>
      <c r="G82" t="s">
        <v>1101</v>
      </c>
      <c r="H82" t="str">
        <f>'App.2-K_Employee Costs'!L$12</f>
        <v>2014 Actuals</v>
      </c>
      <c r="I82">
        <f>'App.2-K_Employee Costs'!L$14</f>
        <v>15.36</v>
      </c>
    </row>
    <row r="83" spans="1:9" x14ac:dyDescent="0.2">
      <c r="A83" t="str">
        <f>'LDC Info'!$E$14</f>
        <v>Greater Sudbury Hydro Inc.</v>
      </c>
      <c r="B83" t="str">
        <f t="shared" si="8"/>
        <v>EB-2019-0037</v>
      </c>
      <c r="C83">
        <f t="shared" si="9"/>
        <v>2020</v>
      </c>
      <c r="D83">
        <f t="shared" si="10"/>
        <v>2019</v>
      </c>
      <c r="E83">
        <f t="shared" si="11"/>
        <v>2013</v>
      </c>
      <c r="F83" t="s">
        <v>646</v>
      </c>
      <c r="G83" t="s">
        <v>1101</v>
      </c>
      <c r="H83" t="str">
        <f>'App.2-K_Employee Costs'!L$12</f>
        <v>2014 Actuals</v>
      </c>
      <c r="I83">
        <f>'App.2-K_Employee Costs'!L$15</f>
        <v>78.509999999999991</v>
      </c>
    </row>
    <row r="84" spans="1:9" x14ac:dyDescent="0.2">
      <c r="A84" t="str">
        <f>'LDC Info'!$E$14</f>
        <v>Greater Sudbury Hydro Inc.</v>
      </c>
      <c r="B84" t="str">
        <f t="shared" si="8"/>
        <v>EB-2019-0037</v>
      </c>
      <c r="C84">
        <f t="shared" si="9"/>
        <v>2020</v>
      </c>
      <c r="D84">
        <f t="shared" si="10"/>
        <v>2019</v>
      </c>
      <c r="E84">
        <f t="shared" si="11"/>
        <v>2013</v>
      </c>
      <c r="F84" t="s">
        <v>645</v>
      </c>
      <c r="G84" t="s">
        <v>647</v>
      </c>
      <c r="H84" t="str">
        <f>'App.2-K_Employee Costs'!L$12</f>
        <v>2014 Actuals</v>
      </c>
      <c r="I84">
        <f>'App.2-K_Employee Costs'!L$18</f>
        <v>1962963.15</v>
      </c>
    </row>
    <row r="85" spans="1:9" x14ac:dyDescent="0.2">
      <c r="A85" t="str">
        <f>'LDC Info'!$E$14</f>
        <v>Greater Sudbury Hydro Inc.</v>
      </c>
      <c r="B85" t="str">
        <f t="shared" si="8"/>
        <v>EB-2019-0037</v>
      </c>
      <c r="C85">
        <f t="shared" si="9"/>
        <v>2020</v>
      </c>
      <c r="D85">
        <f t="shared" si="10"/>
        <v>2019</v>
      </c>
      <c r="E85">
        <f t="shared" si="11"/>
        <v>2013</v>
      </c>
      <c r="F85" t="s">
        <v>646</v>
      </c>
      <c r="G85" t="s">
        <v>647</v>
      </c>
      <c r="H85" t="str">
        <f>'App.2-K_Employee Costs'!L$12</f>
        <v>2014 Actuals</v>
      </c>
      <c r="I85">
        <f>'App.2-K_Employee Costs'!L$19</f>
        <v>6477564.0500000007</v>
      </c>
    </row>
    <row r="86" spans="1:9" x14ac:dyDescent="0.2">
      <c r="A86" t="str">
        <f>'LDC Info'!$E$14</f>
        <v>Greater Sudbury Hydro Inc.</v>
      </c>
      <c r="B86" t="str">
        <f t="shared" si="8"/>
        <v>EB-2019-0037</v>
      </c>
      <c r="C86">
        <f t="shared" si="9"/>
        <v>2020</v>
      </c>
      <c r="D86">
        <f t="shared" si="10"/>
        <v>2019</v>
      </c>
      <c r="E86">
        <f t="shared" si="11"/>
        <v>2013</v>
      </c>
      <c r="F86" t="s">
        <v>645</v>
      </c>
      <c r="G86" t="s">
        <v>1074</v>
      </c>
      <c r="H86" t="str">
        <f>'App.2-K_Employee Costs'!L$12</f>
        <v>2014 Actuals</v>
      </c>
      <c r="I86">
        <f>'App.2-K_Employee Costs'!L$22</f>
        <v>490740.78749999998</v>
      </c>
    </row>
    <row r="87" spans="1:9" x14ac:dyDescent="0.2">
      <c r="A87" t="str">
        <f>'LDC Info'!$E$14</f>
        <v>Greater Sudbury Hydro Inc.</v>
      </c>
      <c r="B87" t="str">
        <f t="shared" si="8"/>
        <v>EB-2019-0037</v>
      </c>
      <c r="C87">
        <f t="shared" si="9"/>
        <v>2020</v>
      </c>
      <c r="D87">
        <f t="shared" si="10"/>
        <v>2019</v>
      </c>
      <c r="E87">
        <f t="shared" si="11"/>
        <v>2013</v>
      </c>
      <c r="F87" t="s">
        <v>646</v>
      </c>
      <c r="G87" t="s">
        <v>1074</v>
      </c>
      <c r="H87" t="str">
        <f>'App.2-K_Employee Costs'!L$12</f>
        <v>2014 Actuals</v>
      </c>
      <c r="I87">
        <f>'App.2-K_Employee Costs'!L$23</f>
        <v>1619391.0125000002</v>
      </c>
    </row>
    <row r="88" spans="1:9" x14ac:dyDescent="0.2">
      <c r="A88" t="str">
        <f>'LDC Info'!$E$14</f>
        <v>Greater Sudbury Hydro Inc.</v>
      </c>
      <c r="B88" t="str">
        <f t="shared" si="8"/>
        <v>EB-2019-0037</v>
      </c>
      <c r="C88">
        <f t="shared" si="9"/>
        <v>2020</v>
      </c>
      <c r="D88">
        <f t="shared" si="10"/>
        <v>2019</v>
      </c>
      <c r="E88">
        <f t="shared" si="11"/>
        <v>2013</v>
      </c>
      <c r="F88" t="s">
        <v>645</v>
      </c>
      <c r="G88" t="s">
        <v>0</v>
      </c>
      <c r="H88" t="str">
        <f>'App.2-K_Employee Costs'!L$12</f>
        <v>2014 Actuals</v>
      </c>
      <c r="I88">
        <f>'App.2-K_Employee Costs'!L$26</f>
        <v>2453703.9375</v>
      </c>
    </row>
    <row r="89" spans="1:9" x14ac:dyDescent="0.2">
      <c r="A89" t="str">
        <f>'LDC Info'!$E$14</f>
        <v>Greater Sudbury Hydro Inc.</v>
      </c>
      <c r="B89" t="str">
        <f t="shared" si="8"/>
        <v>EB-2019-0037</v>
      </c>
      <c r="C89">
        <f t="shared" si="9"/>
        <v>2020</v>
      </c>
      <c r="D89">
        <f t="shared" si="10"/>
        <v>2019</v>
      </c>
      <c r="E89">
        <f t="shared" si="11"/>
        <v>2013</v>
      </c>
      <c r="F89" t="s">
        <v>646</v>
      </c>
      <c r="G89" t="s">
        <v>0</v>
      </c>
      <c r="H89" t="str">
        <f>'App.2-K_Employee Costs'!L$12</f>
        <v>2014 Actuals</v>
      </c>
      <c r="I89">
        <f>'App.2-K_Employee Costs'!L$27</f>
        <v>8096955.0625000009</v>
      </c>
    </row>
    <row r="90" spans="1:9" x14ac:dyDescent="0.2">
      <c r="A90" t="str">
        <f>'LDC Info'!$E$14</f>
        <v>Greater Sudbury Hydro Inc.</v>
      </c>
      <c r="B90" t="str">
        <f t="shared" si="8"/>
        <v>EB-2019-0037</v>
      </c>
      <c r="C90">
        <f t="shared" si="9"/>
        <v>2020</v>
      </c>
      <c r="D90">
        <f t="shared" si="10"/>
        <v>2019</v>
      </c>
      <c r="E90">
        <f t="shared" si="11"/>
        <v>2013</v>
      </c>
      <c r="F90" t="s">
        <v>645</v>
      </c>
      <c r="G90" t="s">
        <v>1101</v>
      </c>
      <c r="H90" t="str">
        <f>'App.2-K_Employee Costs'!M$12</f>
        <v>Last Rebasing Year (2015 OEB Approved)</v>
      </c>
      <c r="I90">
        <f>'App.2-K_Employee Costs'!M$14</f>
        <v>0</v>
      </c>
    </row>
    <row r="91" spans="1:9" x14ac:dyDescent="0.2">
      <c r="A91" t="str">
        <f>'LDC Info'!$E$14</f>
        <v>Greater Sudbury Hydro Inc.</v>
      </c>
      <c r="B91" t="str">
        <f t="shared" si="8"/>
        <v>EB-2019-0037</v>
      </c>
      <c r="C91">
        <f t="shared" si="9"/>
        <v>2020</v>
      </c>
      <c r="D91">
        <f t="shared" si="10"/>
        <v>2019</v>
      </c>
      <c r="E91">
        <f t="shared" si="11"/>
        <v>2013</v>
      </c>
      <c r="F91" t="s">
        <v>646</v>
      </c>
      <c r="G91" t="s">
        <v>1101</v>
      </c>
      <c r="H91" t="str">
        <f>'App.2-K_Employee Costs'!M$12</f>
        <v>Last Rebasing Year (2015 OEB Approved)</v>
      </c>
      <c r="I91">
        <f>'App.2-K_Employee Costs'!M$15</f>
        <v>0</v>
      </c>
    </row>
    <row r="92" spans="1:9" x14ac:dyDescent="0.2">
      <c r="A92" t="str">
        <f>'LDC Info'!$E$14</f>
        <v>Greater Sudbury Hydro Inc.</v>
      </c>
      <c r="B92" t="str">
        <f t="shared" si="8"/>
        <v>EB-2019-0037</v>
      </c>
      <c r="C92">
        <f t="shared" si="9"/>
        <v>2020</v>
      </c>
      <c r="D92">
        <f t="shared" si="10"/>
        <v>2019</v>
      </c>
      <c r="E92">
        <f t="shared" si="11"/>
        <v>2013</v>
      </c>
      <c r="F92" t="s">
        <v>645</v>
      </c>
      <c r="G92" t="s">
        <v>647</v>
      </c>
      <c r="H92" t="str">
        <f>'App.2-K_Employee Costs'!M$12</f>
        <v>Last Rebasing Year (2015 OEB Approved)</v>
      </c>
      <c r="I92">
        <f>'App.2-K_Employee Costs'!M$18</f>
        <v>0</v>
      </c>
    </row>
    <row r="93" spans="1:9" x14ac:dyDescent="0.2">
      <c r="A93" t="str">
        <f>'LDC Info'!$E$14</f>
        <v>Greater Sudbury Hydro Inc.</v>
      </c>
      <c r="B93" t="str">
        <f t="shared" si="8"/>
        <v>EB-2019-0037</v>
      </c>
      <c r="C93">
        <f t="shared" si="9"/>
        <v>2020</v>
      </c>
      <c r="D93">
        <f t="shared" si="10"/>
        <v>2019</v>
      </c>
      <c r="E93">
        <f t="shared" si="11"/>
        <v>2013</v>
      </c>
      <c r="F93" t="s">
        <v>646</v>
      </c>
      <c r="G93" t="s">
        <v>647</v>
      </c>
      <c r="H93" t="str">
        <f>'App.2-K_Employee Costs'!M$12</f>
        <v>Last Rebasing Year (2015 OEB Approved)</v>
      </c>
      <c r="I93">
        <f>'App.2-K_Employee Costs'!M$19</f>
        <v>0</v>
      </c>
    </row>
    <row r="94" spans="1:9" x14ac:dyDescent="0.2">
      <c r="A94" t="str">
        <f>'LDC Info'!$E$14</f>
        <v>Greater Sudbury Hydro Inc.</v>
      </c>
      <c r="B94" t="str">
        <f t="shared" si="8"/>
        <v>EB-2019-0037</v>
      </c>
      <c r="C94">
        <f t="shared" si="9"/>
        <v>2020</v>
      </c>
      <c r="D94">
        <f t="shared" si="10"/>
        <v>2019</v>
      </c>
      <c r="E94">
        <f t="shared" si="11"/>
        <v>2013</v>
      </c>
      <c r="F94" t="s">
        <v>645</v>
      </c>
      <c r="G94" t="s">
        <v>1074</v>
      </c>
      <c r="H94" t="str">
        <f>'App.2-K_Employee Costs'!M$12</f>
        <v>Last Rebasing Year (2015 OEB Approved)</v>
      </c>
      <c r="I94">
        <f>'App.2-K_Employee Costs'!M$22</f>
        <v>0</v>
      </c>
    </row>
    <row r="95" spans="1:9" x14ac:dyDescent="0.2">
      <c r="A95" t="str">
        <f>'LDC Info'!$E$14</f>
        <v>Greater Sudbury Hydro Inc.</v>
      </c>
      <c r="B95" t="str">
        <f t="shared" si="8"/>
        <v>EB-2019-0037</v>
      </c>
      <c r="C95">
        <f t="shared" si="9"/>
        <v>2020</v>
      </c>
      <c r="D95">
        <f t="shared" si="10"/>
        <v>2019</v>
      </c>
      <c r="E95">
        <f t="shared" si="11"/>
        <v>2013</v>
      </c>
      <c r="F95" t="s">
        <v>646</v>
      </c>
      <c r="G95" t="s">
        <v>1074</v>
      </c>
      <c r="H95" t="str">
        <f>'App.2-K_Employee Costs'!M$12</f>
        <v>Last Rebasing Year (2015 OEB Approved)</v>
      </c>
      <c r="I95">
        <f>'App.2-K_Employee Costs'!M$23</f>
        <v>0</v>
      </c>
    </row>
    <row r="96" spans="1:9" x14ac:dyDescent="0.2">
      <c r="A96" t="str">
        <f>'LDC Info'!$E$14</f>
        <v>Greater Sudbury Hydro Inc.</v>
      </c>
      <c r="B96" t="str">
        <f t="shared" si="8"/>
        <v>EB-2019-0037</v>
      </c>
      <c r="C96">
        <f t="shared" si="9"/>
        <v>2020</v>
      </c>
      <c r="D96">
        <f t="shared" si="10"/>
        <v>2019</v>
      </c>
      <c r="E96">
        <f t="shared" si="11"/>
        <v>2013</v>
      </c>
      <c r="F96" t="s">
        <v>645</v>
      </c>
      <c r="G96" t="s">
        <v>0</v>
      </c>
      <c r="H96" t="str">
        <f>'App.2-K_Employee Costs'!M$12</f>
        <v>Last Rebasing Year (2015 OEB Approved)</v>
      </c>
      <c r="I96">
        <f>'App.2-K_Employee Costs'!M$26</f>
        <v>0</v>
      </c>
    </row>
    <row r="97" spans="1:9" x14ac:dyDescent="0.2">
      <c r="A97" t="str">
        <f>'LDC Info'!$E$14</f>
        <v>Greater Sudbury Hydro Inc.</v>
      </c>
      <c r="B97" t="str">
        <f t="shared" si="8"/>
        <v>EB-2019-0037</v>
      </c>
      <c r="C97">
        <f t="shared" si="9"/>
        <v>2020</v>
      </c>
      <c r="D97">
        <f t="shared" si="10"/>
        <v>2019</v>
      </c>
      <c r="E97">
        <f t="shared" si="11"/>
        <v>2013</v>
      </c>
      <c r="F97" t="s">
        <v>646</v>
      </c>
      <c r="G97" t="s">
        <v>0</v>
      </c>
      <c r="H97" t="str">
        <f>'App.2-K_Employee Costs'!M$12</f>
        <v>Last Rebasing Year (2015 OEB Approved)</v>
      </c>
      <c r="I97">
        <f>'App.2-K_Employee Costs'!M$27</f>
        <v>0</v>
      </c>
    </row>
    <row r="98" spans="1:9" x14ac:dyDescent="0.2">
      <c r="A98" t="str">
        <f>'LDC Info'!$E$14</f>
        <v>Greater Sudbury Hydro Inc.</v>
      </c>
      <c r="B98" t="str">
        <f t="shared" ref="B98:B129" si="12">EBNUMBER</f>
        <v>EB-2019-0037</v>
      </c>
      <c r="C98">
        <f t="shared" ref="C98:C129" si="13">TestYear</f>
        <v>2020</v>
      </c>
      <c r="D98">
        <f t="shared" ref="D98:D129" si="14">BridgeYear</f>
        <v>2019</v>
      </c>
      <c r="E98">
        <f t="shared" ref="E98:E129" si="15">RebaseYear</f>
        <v>2013</v>
      </c>
      <c r="F98" t="s">
        <v>645</v>
      </c>
      <c r="G98" t="s">
        <v>1101</v>
      </c>
      <c r="H98" t="str">
        <f>'App.2-K_Employee Costs'!N$12</f>
        <v>Last Rebasing Year (2015 Actuals)</v>
      </c>
      <c r="I98">
        <f>'App.2-K_Employee Costs'!N$14</f>
        <v>0</v>
      </c>
    </row>
    <row r="99" spans="1:9" x14ac:dyDescent="0.2">
      <c r="A99" t="str">
        <f>'LDC Info'!$E$14</f>
        <v>Greater Sudbury Hydro Inc.</v>
      </c>
      <c r="B99" t="str">
        <f t="shared" si="12"/>
        <v>EB-2019-0037</v>
      </c>
      <c r="C99">
        <f t="shared" si="13"/>
        <v>2020</v>
      </c>
      <c r="D99">
        <f t="shared" si="14"/>
        <v>2019</v>
      </c>
      <c r="E99">
        <f t="shared" si="15"/>
        <v>2013</v>
      </c>
      <c r="F99" t="s">
        <v>646</v>
      </c>
      <c r="G99" t="s">
        <v>1101</v>
      </c>
      <c r="H99" t="str">
        <f>'App.2-K_Employee Costs'!N$12</f>
        <v>Last Rebasing Year (2015 Actuals)</v>
      </c>
      <c r="I99">
        <f>'App.2-K_Employee Costs'!N$15</f>
        <v>0</v>
      </c>
    </row>
    <row r="100" spans="1:9" x14ac:dyDescent="0.2">
      <c r="A100" t="str">
        <f>'LDC Info'!$E$14</f>
        <v>Greater Sudbury Hydro Inc.</v>
      </c>
      <c r="B100" t="str">
        <f t="shared" si="12"/>
        <v>EB-2019-0037</v>
      </c>
      <c r="C100">
        <f t="shared" si="13"/>
        <v>2020</v>
      </c>
      <c r="D100">
        <f t="shared" si="14"/>
        <v>2019</v>
      </c>
      <c r="E100">
        <f t="shared" si="15"/>
        <v>2013</v>
      </c>
      <c r="F100" t="s">
        <v>645</v>
      </c>
      <c r="G100" t="s">
        <v>647</v>
      </c>
      <c r="H100" t="str">
        <f>'App.2-K_Employee Costs'!N$12</f>
        <v>Last Rebasing Year (2015 Actuals)</v>
      </c>
      <c r="I100">
        <f>'App.2-K_Employee Costs'!N$18</f>
        <v>0</v>
      </c>
    </row>
    <row r="101" spans="1:9" x14ac:dyDescent="0.2">
      <c r="A101" t="str">
        <f>'LDC Info'!$E$14</f>
        <v>Greater Sudbury Hydro Inc.</v>
      </c>
      <c r="B101" t="str">
        <f t="shared" si="12"/>
        <v>EB-2019-0037</v>
      </c>
      <c r="C101">
        <f t="shared" si="13"/>
        <v>2020</v>
      </c>
      <c r="D101">
        <f t="shared" si="14"/>
        <v>2019</v>
      </c>
      <c r="E101">
        <f t="shared" si="15"/>
        <v>2013</v>
      </c>
      <c r="F101" t="s">
        <v>646</v>
      </c>
      <c r="G101" t="s">
        <v>647</v>
      </c>
      <c r="H101" t="str">
        <f>'App.2-K_Employee Costs'!N$12</f>
        <v>Last Rebasing Year (2015 Actuals)</v>
      </c>
      <c r="I101">
        <f>'App.2-K_Employee Costs'!N$19</f>
        <v>0</v>
      </c>
    </row>
    <row r="102" spans="1:9" x14ac:dyDescent="0.2">
      <c r="A102" t="str">
        <f>'LDC Info'!$E$14</f>
        <v>Greater Sudbury Hydro Inc.</v>
      </c>
      <c r="B102" t="str">
        <f t="shared" si="12"/>
        <v>EB-2019-0037</v>
      </c>
      <c r="C102">
        <f t="shared" si="13"/>
        <v>2020</v>
      </c>
      <c r="D102">
        <f t="shared" si="14"/>
        <v>2019</v>
      </c>
      <c r="E102">
        <f t="shared" si="15"/>
        <v>2013</v>
      </c>
      <c r="F102" t="s">
        <v>645</v>
      </c>
      <c r="G102" t="s">
        <v>1074</v>
      </c>
      <c r="H102" t="str">
        <f>'App.2-K_Employee Costs'!N$12</f>
        <v>Last Rebasing Year (2015 Actuals)</v>
      </c>
      <c r="I102">
        <f>'App.2-K_Employee Costs'!N$22</f>
        <v>0</v>
      </c>
    </row>
    <row r="103" spans="1:9" x14ac:dyDescent="0.2">
      <c r="A103" t="str">
        <f>'LDC Info'!$E$14</f>
        <v>Greater Sudbury Hydro Inc.</v>
      </c>
      <c r="B103" t="str">
        <f t="shared" si="12"/>
        <v>EB-2019-0037</v>
      </c>
      <c r="C103">
        <f t="shared" si="13"/>
        <v>2020</v>
      </c>
      <c r="D103">
        <f t="shared" si="14"/>
        <v>2019</v>
      </c>
      <c r="E103">
        <f t="shared" si="15"/>
        <v>2013</v>
      </c>
      <c r="F103" t="s">
        <v>646</v>
      </c>
      <c r="G103" t="s">
        <v>1074</v>
      </c>
      <c r="H103" t="str">
        <f>'App.2-K_Employee Costs'!N$12</f>
        <v>Last Rebasing Year (2015 Actuals)</v>
      </c>
      <c r="I103">
        <f>'App.2-K_Employee Costs'!N$23</f>
        <v>0</v>
      </c>
    </row>
    <row r="104" spans="1:9" x14ac:dyDescent="0.2">
      <c r="A104" t="str">
        <f>'LDC Info'!$E$14</f>
        <v>Greater Sudbury Hydro Inc.</v>
      </c>
      <c r="B104" t="str">
        <f t="shared" si="12"/>
        <v>EB-2019-0037</v>
      </c>
      <c r="C104">
        <f t="shared" si="13"/>
        <v>2020</v>
      </c>
      <c r="D104">
        <f t="shared" si="14"/>
        <v>2019</v>
      </c>
      <c r="E104">
        <f t="shared" si="15"/>
        <v>2013</v>
      </c>
      <c r="F104" t="s">
        <v>645</v>
      </c>
      <c r="G104" t="s">
        <v>0</v>
      </c>
      <c r="H104" t="str">
        <f>'App.2-K_Employee Costs'!N$12</f>
        <v>Last Rebasing Year (2015 Actuals)</v>
      </c>
      <c r="I104">
        <f>'App.2-K_Employee Costs'!N$26</f>
        <v>0</v>
      </c>
    </row>
    <row r="105" spans="1:9" x14ac:dyDescent="0.2">
      <c r="A105" t="str">
        <f>'LDC Info'!$E$14</f>
        <v>Greater Sudbury Hydro Inc.</v>
      </c>
      <c r="B105" t="str">
        <f t="shared" si="12"/>
        <v>EB-2019-0037</v>
      </c>
      <c r="C105">
        <f t="shared" si="13"/>
        <v>2020</v>
      </c>
      <c r="D105">
        <f t="shared" si="14"/>
        <v>2019</v>
      </c>
      <c r="E105">
        <f t="shared" si="15"/>
        <v>2013</v>
      </c>
      <c r="F105" t="s">
        <v>646</v>
      </c>
      <c r="G105" t="s">
        <v>0</v>
      </c>
      <c r="H105" t="str">
        <f>'App.2-K_Employee Costs'!N$12</f>
        <v>Last Rebasing Year (2015 Actuals)</v>
      </c>
      <c r="I105">
        <f>'App.2-K_Employee Costs'!N$27</f>
        <v>0</v>
      </c>
    </row>
    <row r="106" spans="1:9" x14ac:dyDescent="0.2">
      <c r="A106" t="str">
        <f>'LDC Info'!$E$14</f>
        <v>Greater Sudbury Hydro Inc.</v>
      </c>
      <c r="B106" t="str">
        <f t="shared" si="12"/>
        <v>EB-2019-0037</v>
      </c>
      <c r="C106">
        <f t="shared" si="13"/>
        <v>2020</v>
      </c>
      <c r="D106">
        <f t="shared" si="14"/>
        <v>2019</v>
      </c>
      <c r="E106">
        <f t="shared" si="15"/>
        <v>2013</v>
      </c>
      <c r="F106" t="s">
        <v>645</v>
      </c>
      <c r="G106" t="s">
        <v>1101</v>
      </c>
      <c r="H106" t="str">
        <f>'App.2-K_Employee Costs'!O$12</f>
        <v>2015 Actuals</v>
      </c>
      <c r="I106">
        <f>'App.2-K_Employee Costs'!O$14</f>
        <v>16.510000000000002</v>
      </c>
    </row>
    <row r="107" spans="1:9" x14ac:dyDescent="0.2">
      <c r="A107" t="str">
        <f>'LDC Info'!$E$14</f>
        <v>Greater Sudbury Hydro Inc.</v>
      </c>
      <c r="B107" t="str">
        <f t="shared" si="12"/>
        <v>EB-2019-0037</v>
      </c>
      <c r="C107">
        <f t="shared" si="13"/>
        <v>2020</v>
      </c>
      <c r="D107">
        <f t="shared" si="14"/>
        <v>2019</v>
      </c>
      <c r="E107">
        <f t="shared" si="15"/>
        <v>2013</v>
      </c>
      <c r="F107" t="s">
        <v>646</v>
      </c>
      <c r="G107" t="s">
        <v>1101</v>
      </c>
      <c r="H107" t="str">
        <f>'App.2-K_Employee Costs'!O$12</f>
        <v>2015 Actuals</v>
      </c>
      <c r="I107">
        <f>'App.2-K_Employee Costs'!O$15</f>
        <v>79.599999999999994</v>
      </c>
    </row>
    <row r="108" spans="1:9" x14ac:dyDescent="0.2">
      <c r="A108" t="str">
        <f>'LDC Info'!$E$14</f>
        <v>Greater Sudbury Hydro Inc.</v>
      </c>
      <c r="B108" t="str">
        <f t="shared" si="12"/>
        <v>EB-2019-0037</v>
      </c>
      <c r="C108">
        <f t="shared" si="13"/>
        <v>2020</v>
      </c>
      <c r="D108">
        <f t="shared" si="14"/>
        <v>2019</v>
      </c>
      <c r="E108">
        <f t="shared" si="15"/>
        <v>2013</v>
      </c>
      <c r="F108" t="s">
        <v>645</v>
      </c>
      <c r="G108" t="s">
        <v>647</v>
      </c>
      <c r="H108" t="str">
        <f>'App.2-K_Employee Costs'!O$12</f>
        <v>2015 Actuals</v>
      </c>
      <c r="I108">
        <f>'App.2-K_Employee Costs'!O$18</f>
        <v>1974269.63</v>
      </c>
    </row>
    <row r="109" spans="1:9" x14ac:dyDescent="0.2">
      <c r="A109" t="str">
        <f>'LDC Info'!$E$14</f>
        <v>Greater Sudbury Hydro Inc.</v>
      </c>
      <c r="B109" t="str">
        <f t="shared" si="12"/>
        <v>EB-2019-0037</v>
      </c>
      <c r="C109">
        <f t="shared" si="13"/>
        <v>2020</v>
      </c>
      <c r="D109">
        <f t="shared" si="14"/>
        <v>2019</v>
      </c>
      <c r="E109">
        <f t="shared" si="15"/>
        <v>2013</v>
      </c>
      <c r="F109" t="s">
        <v>646</v>
      </c>
      <c r="G109" t="s">
        <v>647</v>
      </c>
      <c r="H109" t="str">
        <f>'App.2-K_Employee Costs'!O$12</f>
        <v>2015 Actuals</v>
      </c>
      <c r="I109">
        <f>'App.2-K_Employee Costs'!O$19</f>
        <v>6400055.6299999999</v>
      </c>
    </row>
    <row r="110" spans="1:9" x14ac:dyDescent="0.2">
      <c r="A110" t="str">
        <f>'LDC Info'!$E$14</f>
        <v>Greater Sudbury Hydro Inc.</v>
      </c>
      <c r="B110" t="str">
        <f t="shared" si="12"/>
        <v>EB-2019-0037</v>
      </c>
      <c r="C110">
        <f t="shared" si="13"/>
        <v>2020</v>
      </c>
      <c r="D110">
        <f t="shared" si="14"/>
        <v>2019</v>
      </c>
      <c r="E110">
        <f t="shared" si="15"/>
        <v>2013</v>
      </c>
      <c r="F110" t="s">
        <v>645</v>
      </c>
      <c r="G110" t="s">
        <v>1074</v>
      </c>
      <c r="H110" t="str">
        <f>'App.2-K_Employee Costs'!O$12</f>
        <v>2015 Actuals</v>
      </c>
      <c r="I110">
        <f>'App.2-K_Employee Costs'!O$22</f>
        <v>533052.80009999999</v>
      </c>
    </row>
    <row r="111" spans="1:9" x14ac:dyDescent="0.2">
      <c r="A111" t="str">
        <f>'LDC Info'!$E$14</f>
        <v>Greater Sudbury Hydro Inc.</v>
      </c>
      <c r="B111" t="str">
        <f t="shared" si="12"/>
        <v>EB-2019-0037</v>
      </c>
      <c r="C111">
        <f t="shared" si="13"/>
        <v>2020</v>
      </c>
      <c r="D111">
        <f t="shared" si="14"/>
        <v>2019</v>
      </c>
      <c r="E111">
        <f t="shared" si="15"/>
        <v>2013</v>
      </c>
      <c r="F111" t="s">
        <v>646</v>
      </c>
      <c r="G111" t="s">
        <v>1074</v>
      </c>
      <c r="H111" t="str">
        <f>'App.2-K_Employee Costs'!O$12</f>
        <v>2015 Actuals</v>
      </c>
      <c r="I111">
        <f>'App.2-K_Employee Costs'!O$23</f>
        <v>1728015.0201000001</v>
      </c>
    </row>
    <row r="112" spans="1:9" x14ac:dyDescent="0.2">
      <c r="A112" t="str">
        <f>'LDC Info'!$E$14</f>
        <v>Greater Sudbury Hydro Inc.</v>
      </c>
      <c r="B112" t="str">
        <f t="shared" si="12"/>
        <v>EB-2019-0037</v>
      </c>
      <c r="C112">
        <f t="shared" si="13"/>
        <v>2020</v>
      </c>
      <c r="D112">
        <f t="shared" si="14"/>
        <v>2019</v>
      </c>
      <c r="E112">
        <f t="shared" si="15"/>
        <v>2013</v>
      </c>
      <c r="F112" t="s">
        <v>645</v>
      </c>
      <c r="G112" t="s">
        <v>0</v>
      </c>
      <c r="H112" t="str">
        <f>'App.2-K_Employee Costs'!O$12</f>
        <v>2015 Actuals</v>
      </c>
      <c r="I112">
        <f>'App.2-K_Employee Costs'!O$26</f>
        <v>2507322.4301</v>
      </c>
    </row>
    <row r="113" spans="1:9" x14ac:dyDescent="0.2">
      <c r="A113" t="str">
        <f>'LDC Info'!$E$14</f>
        <v>Greater Sudbury Hydro Inc.</v>
      </c>
      <c r="B113" t="str">
        <f t="shared" si="12"/>
        <v>EB-2019-0037</v>
      </c>
      <c r="C113">
        <f t="shared" si="13"/>
        <v>2020</v>
      </c>
      <c r="D113">
        <f t="shared" si="14"/>
        <v>2019</v>
      </c>
      <c r="E113">
        <f t="shared" si="15"/>
        <v>2013</v>
      </c>
      <c r="F113" t="s">
        <v>646</v>
      </c>
      <c r="G113" t="s">
        <v>0</v>
      </c>
      <c r="H113" t="str">
        <f>'App.2-K_Employee Costs'!O$12</f>
        <v>2015 Actuals</v>
      </c>
      <c r="I113">
        <f>'App.2-K_Employee Costs'!O$27</f>
        <v>8128070.6501000002</v>
      </c>
    </row>
    <row r="114" spans="1:9" x14ac:dyDescent="0.2">
      <c r="A114" t="str">
        <f>'LDC Info'!$E$14</f>
        <v>Greater Sudbury Hydro Inc.</v>
      </c>
      <c r="B114" t="str">
        <f t="shared" si="12"/>
        <v>EB-2019-0037</v>
      </c>
      <c r="C114">
        <f t="shared" si="13"/>
        <v>2020</v>
      </c>
      <c r="D114">
        <f t="shared" si="14"/>
        <v>2019</v>
      </c>
      <c r="E114">
        <f t="shared" si="15"/>
        <v>2013</v>
      </c>
      <c r="F114" t="s">
        <v>645</v>
      </c>
      <c r="G114" t="s">
        <v>1101</v>
      </c>
      <c r="H114" t="str">
        <f>'App.2-K_Employee Costs'!P$12</f>
        <v>Last Rebasing Year (2016 OEB Approved)</v>
      </c>
      <c r="I114">
        <f>'App.2-K_Employee Costs'!P$14</f>
        <v>0</v>
      </c>
    </row>
    <row r="115" spans="1:9" x14ac:dyDescent="0.2">
      <c r="A115" t="str">
        <f>'LDC Info'!$E$14</f>
        <v>Greater Sudbury Hydro Inc.</v>
      </c>
      <c r="B115" t="str">
        <f t="shared" si="12"/>
        <v>EB-2019-0037</v>
      </c>
      <c r="C115">
        <f t="shared" si="13"/>
        <v>2020</v>
      </c>
      <c r="D115">
        <f t="shared" si="14"/>
        <v>2019</v>
      </c>
      <c r="E115">
        <f t="shared" si="15"/>
        <v>2013</v>
      </c>
      <c r="F115" t="s">
        <v>646</v>
      </c>
      <c r="G115" t="s">
        <v>1101</v>
      </c>
      <c r="H115" t="str">
        <f>'App.2-K_Employee Costs'!P$12</f>
        <v>Last Rebasing Year (2016 OEB Approved)</v>
      </c>
      <c r="I115">
        <f>'App.2-K_Employee Costs'!P$15</f>
        <v>0</v>
      </c>
    </row>
    <row r="116" spans="1:9" x14ac:dyDescent="0.2">
      <c r="A116" t="str">
        <f>'LDC Info'!$E$14</f>
        <v>Greater Sudbury Hydro Inc.</v>
      </c>
      <c r="B116" t="str">
        <f t="shared" si="12"/>
        <v>EB-2019-0037</v>
      </c>
      <c r="C116">
        <f t="shared" si="13"/>
        <v>2020</v>
      </c>
      <c r="D116">
        <f t="shared" si="14"/>
        <v>2019</v>
      </c>
      <c r="E116">
        <f t="shared" si="15"/>
        <v>2013</v>
      </c>
      <c r="F116" t="s">
        <v>645</v>
      </c>
      <c r="G116" t="s">
        <v>647</v>
      </c>
      <c r="H116" t="str">
        <f>'App.2-K_Employee Costs'!P$12</f>
        <v>Last Rebasing Year (2016 OEB Approved)</v>
      </c>
      <c r="I116">
        <f>'App.2-K_Employee Costs'!P$18</f>
        <v>0</v>
      </c>
    </row>
    <row r="117" spans="1:9" x14ac:dyDescent="0.2">
      <c r="A117" t="str">
        <f>'LDC Info'!$E$14</f>
        <v>Greater Sudbury Hydro Inc.</v>
      </c>
      <c r="B117" t="str">
        <f t="shared" si="12"/>
        <v>EB-2019-0037</v>
      </c>
      <c r="C117">
        <f t="shared" si="13"/>
        <v>2020</v>
      </c>
      <c r="D117">
        <f t="shared" si="14"/>
        <v>2019</v>
      </c>
      <c r="E117">
        <f t="shared" si="15"/>
        <v>2013</v>
      </c>
      <c r="F117" t="s">
        <v>646</v>
      </c>
      <c r="G117" t="s">
        <v>647</v>
      </c>
      <c r="H117" t="str">
        <f>'App.2-K_Employee Costs'!P$12</f>
        <v>Last Rebasing Year (2016 OEB Approved)</v>
      </c>
      <c r="I117">
        <f>'App.2-K_Employee Costs'!P$19</f>
        <v>0</v>
      </c>
    </row>
    <row r="118" spans="1:9" x14ac:dyDescent="0.2">
      <c r="A118" t="str">
        <f>'LDC Info'!$E$14</f>
        <v>Greater Sudbury Hydro Inc.</v>
      </c>
      <c r="B118" t="str">
        <f t="shared" si="12"/>
        <v>EB-2019-0037</v>
      </c>
      <c r="C118">
        <f t="shared" si="13"/>
        <v>2020</v>
      </c>
      <c r="D118">
        <f t="shared" si="14"/>
        <v>2019</v>
      </c>
      <c r="E118">
        <f t="shared" si="15"/>
        <v>2013</v>
      </c>
      <c r="F118" t="s">
        <v>645</v>
      </c>
      <c r="G118" t="s">
        <v>1074</v>
      </c>
      <c r="H118" t="str">
        <f>'App.2-K_Employee Costs'!P$12</f>
        <v>Last Rebasing Year (2016 OEB Approved)</v>
      </c>
      <c r="I118">
        <f>'App.2-K_Employee Costs'!P$22</f>
        <v>0</v>
      </c>
    </row>
    <row r="119" spans="1:9" x14ac:dyDescent="0.2">
      <c r="A119" t="str">
        <f>'LDC Info'!$E$14</f>
        <v>Greater Sudbury Hydro Inc.</v>
      </c>
      <c r="B119" t="str">
        <f t="shared" si="12"/>
        <v>EB-2019-0037</v>
      </c>
      <c r="C119">
        <f t="shared" si="13"/>
        <v>2020</v>
      </c>
      <c r="D119">
        <f t="shared" si="14"/>
        <v>2019</v>
      </c>
      <c r="E119">
        <f t="shared" si="15"/>
        <v>2013</v>
      </c>
      <c r="F119" t="s">
        <v>646</v>
      </c>
      <c r="G119" t="s">
        <v>1074</v>
      </c>
      <c r="H119" t="str">
        <f>'App.2-K_Employee Costs'!P$12</f>
        <v>Last Rebasing Year (2016 OEB Approved)</v>
      </c>
      <c r="I119">
        <f>'App.2-K_Employee Costs'!P$23</f>
        <v>0</v>
      </c>
    </row>
    <row r="120" spans="1:9" x14ac:dyDescent="0.2">
      <c r="A120" t="str">
        <f>'LDC Info'!$E$14</f>
        <v>Greater Sudbury Hydro Inc.</v>
      </c>
      <c r="B120" t="str">
        <f t="shared" si="12"/>
        <v>EB-2019-0037</v>
      </c>
      <c r="C120">
        <f t="shared" si="13"/>
        <v>2020</v>
      </c>
      <c r="D120">
        <f t="shared" si="14"/>
        <v>2019</v>
      </c>
      <c r="E120">
        <f t="shared" si="15"/>
        <v>2013</v>
      </c>
      <c r="F120" t="s">
        <v>645</v>
      </c>
      <c r="G120" t="s">
        <v>0</v>
      </c>
      <c r="H120" t="str">
        <f>'App.2-K_Employee Costs'!P$12</f>
        <v>Last Rebasing Year (2016 OEB Approved)</v>
      </c>
      <c r="I120">
        <f>'App.2-K_Employee Costs'!P$26</f>
        <v>0</v>
      </c>
    </row>
    <row r="121" spans="1:9" x14ac:dyDescent="0.2">
      <c r="A121" t="str">
        <f>'LDC Info'!$E$14</f>
        <v>Greater Sudbury Hydro Inc.</v>
      </c>
      <c r="B121" t="str">
        <f t="shared" si="12"/>
        <v>EB-2019-0037</v>
      </c>
      <c r="C121">
        <f t="shared" si="13"/>
        <v>2020</v>
      </c>
      <c r="D121">
        <f t="shared" si="14"/>
        <v>2019</v>
      </c>
      <c r="E121">
        <f t="shared" si="15"/>
        <v>2013</v>
      </c>
      <c r="F121" t="s">
        <v>646</v>
      </c>
      <c r="G121" t="s">
        <v>0</v>
      </c>
      <c r="H121" t="str">
        <f>'App.2-K_Employee Costs'!P$12</f>
        <v>Last Rebasing Year (2016 OEB Approved)</v>
      </c>
      <c r="I121">
        <f>'App.2-K_Employee Costs'!P$27</f>
        <v>0</v>
      </c>
    </row>
    <row r="122" spans="1:9" x14ac:dyDescent="0.2">
      <c r="A122" t="str">
        <f>'LDC Info'!$E$14</f>
        <v>Greater Sudbury Hydro Inc.</v>
      </c>
      <c r="B122" t="str">
        <f t="shared" si="12"/>
        <v>EB-2019-0037</v>
      </c>
      <c r="C122">
        <f t="shared" si="13"/>
        <v>2020</v>
      </c>
      <c r="D122">
        <f t="shared" si="14"/>
        <v>2019</v>
      </c>
      <c r="E122">
        <f t="shared" si="15"/>
        <v>2013</v>
      </c>
      <c r="F122" t="s">
        <v>645</v>
      </c>
      <c r="G122" t="s">
        <v>1101</v>
      </c>
      <c r="H122" t="str">
        <f>'App.2-K_Employee Costs'!Q$12</f>
        <v>Last Rebasing Year (2016 Actuals)</v>
      </c>
      <c r="I122">
        <f>'App.2-K_Employee Costs'!Q$14</f>
        <v>0</v>
      </c>
    </row>
    <row r="123" spans="1:9" x14ac:dyDescent="0.2">
      <c r="A123" t="str">
        <f>'LDC Info'!$E$14</f>
        <v>Greater Sudbury Hydro Inc.</v>
      </c>
      <c r="B123" t="str">
        <f t="shared" si="12"/>
        <v>EB-2019-0037</v>
      </c>
      <c r="C123">
        <f t="shared" si="13"/>
        <v>2020</v>
      </c>
      <c r="D123">
        <f t="shared" si="14"/>
        <v>2019</v>
      </c>
      <c r="E123">
        <f t="shared" si="15"/>
        <v>2013</v>
      </c>
      <c r="F123" t="s">
        <v>646</v>
      </c>
      <c r="G123" t="s">
        <v>1101</v>
      </c>
      <c r="H123" t="str">
        <f>'App.2-K_Employee Costs'!Q$12</f>
        <v>Last Rebasing Year (2016 Actuals)</v>
      </c>
      <c r="I123">
        <f>'App.2-K_Employee Costs'!Q$15</f>
        <v>0</v>
      </c>
    </row>
    <row r="124" spans="1:9" x14ac:dyDescent="0.2">
      <c r="A124" t="str">
        <f>'LDC Info'!$E$14</f>
        <v>Greater Sudbury Hydro Inc.</v>
      </c>
      <c r="B124" t="str">
        <f t="shared" si="12"/>
        <v>EB-2019-0037</v>
      </c>
      <c r="C124">
        <f t="shared" si="13"/>
        <v>2020</v>
      </c>
      <c r="D124">
        <f t="shared" si="14"/>
        <v>2019</v>
      </c>
      <c r="E124">
        <f t="shared" si="15"/>
        <v>2013</v>
      </c>
      <c r="F124" t="s">
        <v>645</v>
      </c>
      <c r="G124" t="s">
        <v>647</v>
      </c>
      <c r="H124" t="str">
        <f>'App.2-K_Employee Costs'!Q$12</f>
        <v>Last Rebasing Year (2016 Actuals)</v>
      </c>
      <c r="I124">
        <f>'App.2-K_Employee Costs'!Q$18</f>
        <v>0</v>
      </c>
    </row>
    <row r="125" spans="1:9" x14ac:dyDescent="0.2">
      <c r="A125" t="str">
        <f>'LDC Info'!$E$14</f>
        <v>Greater Sudbury Hydro Inc.</v>
      </c>
      <c r="B125" t="str">
        <f t="shared" si="12"/>
        <v>EB-2019-0037</v>
      </c>
      <c r="C125">
        <f t="shared" si="13"/>
        <v>2020</v>
      </c>
      <c r="D125">
        <f t="shared" si="14"/>
        <v>2019</v>
      </c>
      <c r="E125">
        <f t="shared" si="15"/>
        <v>2013</v>
      </c>
      <c r="F125" t="s">
        <v>646</v>
      </c>
      <c r="G125" t="s">
        <v>647</v>
      </c>
      <c r="H125" t="str">
        <f>'App.2-K_Employee Costs'!Q$12</f>
        <v>Last Rebasing Year (2016 Actuals)</v>
      </c>
      <c r="I125">
        <f>'App.2-K_Employee Costs'!Q$19</f>
        <v>0</v>
      </c>
    </row>
    <row r="126" spans="1:9" x14ac:dyDescent="0.2">
      <c r="A126" t="str">
        <f>'LDC Info'!$E$14</f>
        <v>Greater Sudbury Hydro Inc.</v>
      </c>
      <c r="B126" t="str">
        <f t="shared" si="12"/>
        <v>EB-2019-0037</v>
      </c>
      <c r="C126">
        <f t="shared" si="13"/>
        <v>2020</v>
      </c>
      <c r="D126">
        <f t="shared" si="14"/>
        <v>2019</v>
      </c>
      <c r="E126">
        <f t="shared" si="15"/>
        <v>2013</v>
      </c>
      <c r="F126" t="s">
        <v>645</v>
      </c>
      <c r="G126" t="s">
        <v>1074</v>
      </c>
      <c r="H126" t="str">
        <f>'App.2-K_Employee Costs'!Q$12</f>
        <v>Last Rebasing Year (2016 Actuals)</v>
      </c>
      <c r="I126">
        <f>'App.2-K_Employee Costs'!Q$22</f>
        <v>0</v>
      </c>
    </row>
    <row r="127" spans="1:9" x14ac:dyDescent="0.2">
      <c r="A127" t="str">
        <f>'LDC Info'!$E$14</f>
        <v>Greater Sudbury Hydro Inc.</v>
      </c>
      <c r="B127" t="str">
        <f t="shared" si="12"/>
        <v>EB-2019-0037</v>
      </c>
      <c r="C127">
        <f t="shared" si="13"/>
        <v>2020</v>
      </c>
      <c r="D127">
        <f t="shared" si="14"/>
        <v>2019</v>
      </c>
      <c r="E127">
        <f t="shared" si="15"/>
        <v>2013</v>
      </c>
      <c r="F127" t="s">
        <v>646</v>
      </c>
      <c r="G127" t="s">
        <v>1074</v>
      </c>
      <c r="H127" t="str">
        <f>'App.2-K_Employee Costs'!Q$12</f>
        <v>Last Rebasing Year (2016 Actuals)</v>
      </c>
      <c r="I127">
        <f>'App.2-K_Employee Costs'!Q$23</f>
        <v>0</v>
      </c>
    </row>
    <row r="128" spans="1:9" x14ac:dyDescent="0.2">
      <c r="A128" t="str">
        <f>'LDC Info'!$E$14</f>
        <v>Greater Sudbury Hydro Inc.</v>
      </c>
      <c r="B128" t="str">
        <f t="shared" si="12"/>
        <v>EB-2019-0037</v>
      </c>
      <c r="C128">
        <f t="shared" si="13"/>
        <v>2020</v>
      </c>
      <c r="D128">
        <f t="shared" si="14"/>
        <v>2019</v>
      </c>
      <c r="E128">
        <f t="shared" si="15"/>
        <v>2013</v>
      </c>
      <c r="F128" t="s">
        <v>645</v>
      </c>
      <c r="G128" t="s">
        <v>0</v>
      </c>
      <c r="H128" t="str">
        <f>'App.2-K_Employee Costs'!Q$12</f>
        <v>Last Rebasing Year (2016 Actuals)</v>
      </c>
      <c r="I128">
        <f>'App.2-K_Employee Costs'!Q$26</f>
        <v>0</v>
      </c>
    </row>
    <row r="129" spans="1:9" x14ac:dyDescent="0.2">
      <c r="A129" t="str">
        <f>'LDC Info'!$E$14</f>
        <v>Greater Sudbury Hydro Inc.</v>
      </c>
      <c r="B129" t="str">
        <f t="shared" si="12"/>
        <v>EB-2019-0037</v>
      </c>
      <c r="C129">
        <f t="shared" si="13"/>
        <v>2020</v>
      </c>
      <c r="D129">
        <f t="shared" si="14"/>
        <v>2019</v>
      </c>
      <c r="E129">
        <f t="shared" si="15"/>
        <v>2013</v>
      </c>
      <c r="F129" t="s">
        <v>646</v>
      </c>
      <c r="G129" t="s">
        <v>0</v>
      </c>
      <c r="H129" t="str">
        <f>'App.2-K_Employee Costs'!Q$12</f>
        <v>Last Rebasing Year (2016 Actuals)</v>
      </c>
      <c r="I129">
        <f>'App.2-K_Employee Costs'!Q$27</f>
        <v>0</v>
      </c>
    </row>
    <row r="130" spans="1:9" x14ac:dyDescent="0.2">
      <c r="A130" t="str">
        <f>'LDC Info'!$E$14</f>
        <v>Greater Sudbury Hydro Inc.</v>
      </c>
      <c r="B130" t="str">
        <f t="shared" ref="B130:B161" si="16">EBNUMBER</f>
        <v>EB-2019-0037</v>
      </c>
      <c r="C130">
        <f t="shared" ref="C130:C161" si="17">TestYear</f>
        <v>2020</v>
      </c>
      <c r="D130">
        <f t="shared" ref="D130:D161" si="18">BridgeYear</f>
        <v>2019</v>
      </c>
      <c r="E130">
        <f t="shared" ref="E130:E161" si="19">RebaseYear</f>
        <v>2013</v>
      </c>
      <c r="F130" t="s">
        <v>645</v>
      </c>
      <c r="G130" t="s">
        <v>1101</v>
      </c>
      <c r="H130" t="str">
        <f>'App.2-K_Employee Costs'!R$12</f>
        <v>2016 Actuals</v>
      </c>
      <c r="I130">
        <f>'App.2-K_Employee Costs'!R$14</f>
        <v>17.61</v>
      </c>
    </row>
    <row r="131" spans="1:9" x14ac:dyDescent="0.2">
      <c r="A131" t="str">
        <f>'LDC Info'!$E$14</f>
        <v>Greater Sudbury Hydro Inc.</v>
      </c>
      <c r="B131" t="str">
        <f t="shared" si="16"/>
        <v>EB-2019-0037</v>
      </c>
      <c r="C131">
        <f t="shared" si="17"/>
        <v>2020</v>
      </c>
      <c r="D131">
        <f t="shared" si="18"/>
        <v>2019</v>
      </c>
      <c r="E131">
        <f t="shared" si="19"/>
        <v>2013</v>
      </c>
      <c r="F131" t="s">
        <v>646</v>
      </c>
      <c r="G131" t="s">
        <v>1101</v>
      </c>
      <c r="H131" t="str">
        <f>'App.2-K_Employee Costs'!R$12</f>
        <v>2016 Actuals</v>
      </c>
      <c r="I131">
        <f>'App.2-K_Employee Costs'!R$15</f>
        <v>81.740000000000009</v>
      </c>
    </row>
    <row r="132" spans="1:9" x14ac:dyDescent="0.2">
      <c r="A132" t="str">
        <f>'LDC Info'!$E$14</f>
        <v>Greater Sudbury Hydro Inc.</v>
      </c>
      <c r="B132" t="str">
        <f t="shared" si="16"/>
        <v>EB-2019-0037</v>
      </c>
      <c r="C132">
        <f t="shared" si="17"/>
        <v>2020</v>
      </c>
      <c r="D132">
        <f t="shared" si="18"/>
        <v>2019</v>
      </c>
      <c r="E132">
        <f t="shared" si="19"/>
        <v>2013</v>
      </c>
      <c r="F132" t="s">
        <v>645</v>
      </c>
      <c r="G132" t="s">
        <v>647</v>
      </c>
      <c r="H132" t="str">
        <f>'App.2-K_Employee Costs'!R$12</f>
        <v>2016 Actuals</v>
      </c>
      <c r="I132">
        <f>'App.2-K_Employee Costs'!R$18</f>
        <v>2241686.9</v>
      </c>
    </row>
    <row r="133" spans="1:9" x14ac:dyDescent="0.2">
      <c r="A133" t="str">
        <f>'LDC Info'!$E$14</f>
        <v>Greater Sudbury Hydro Inc.</v>
      </c>
      <c r="B133" t="str">
        <f t="shared" si="16"/>
        <v>EB-2019-0037</v>
      </c>
      <c r="C133">
        <f t="shared" si="17"/>
        <v>2020</v>
      </c>
      <c r="D133">
        <f t="shared" si="18"/>
        <v>2019</v>
      </c>
      <c r="E133">
        <f t="shared" si="19"/>
        <v>2013</v>
      </c>
      <c r="F133" t="s">
        <v>646</v>
      </c>
      <c r="G133" t="s">
        <v>647</v>
      </c>
      <c r="H133" t="str">
        <f>'App.2-K_Employee Costs'!R$12</f>
        <v>2016 Actuals</v>
      </c>
      <c r="I133">
        <f>'App.2-K_Employee Costs'!R$19</f>
        <v>6590524.1899999995</v>
      </c>
    </row>
    <row r="134" spans="1:9" x14ac:dyDescent="0.2">
      <c r="A134" t="str">
        <f>'LDC Info'!$E$14</f>
        <v>Greater Sudbury Hydro Inc.</v>
      </c>
      <c r="B134" t="str">
        <f t="shared" si="16"/>
        <v>EB-2019-0037</v>
      </c>
      <c r="C134">
        <f t="shared" si="17"/>
        <v>2020</v>
      </c>
      <c r="D134">
        <f t="shared" si="18"/>
        <v>2019</v>
      </c>
      <c r="E134">
        <f t="shared" si="19"/>
        <v>2013</v>
      </c>
      <c r="F134" t="s">
        <v>645</v>
      </c>
      <c r="G134" t="s">
        <v>1074</v>
      </c>
      <c r="H134" t="str">
        <f>'App.2-K_Employee Costs'!R$12</f>
        <v>2016 Actuals</v>
      </c>
      <c r="I134">
        <f>'App.2-K_Employee Costs'!R$22</f>
        <v>605255.46299999999</v>
      </c>
    </row>
    <row r="135" spans="1:9" x14ac:dyDescent="0.2">
      <c r="A135" t="str">
        <f>'LDC Info'!$E$14</f>
        <v>Greater Sudbury Hydro Inc.</v>
      </c>
      <c r="B135" t="str">
        <f t="shared" si="16"/>
        <v>EB-2019-0037</v>
      </c>
      <c r="C135">
        <f t="shared" si="17"/>
        <v>2020</v>
      </c>
      <c r="D135">
        <f t="shared" si="18"/>
        <v>2019</v>
      </c>
      <c r="E135">
        <f t="shared" si="19"/>
        <v>2013</v>
      </c>
      <c r="F135" t="s">
        <v>646</v>
      </c>
      <c r="G135" t="s">
        <v>1074</v>
      </c>
      <c r="H135" t="str">
        <f>'App.2-K_Employee Costs'!R$12</f>
        <v>2016 Actuals</v>
      </c>
      <c r="I135">
        <f>'App.2-K_Employee Costs'!R$23</f>
        <v>1779441.5312999999</v>
      </c>
    </row>
    <row r="136" spans="1:9" x14ac:dyDescent="0.2">
      <c r="A136" t="str">
        <f>'LDC Info'!$E$14</f>
        <v>Greater Sudbury Hydro Inc.</v>
      </c>
      <c r="B136" t="str">
        <f t="shared" si="16"/>
        <v>EB-2019-0037</v>
      </c>
      <c r="C136">
        <f t="shared" si="17"/>
        <v>2020</v>
      </c>
      <c r="D136">
        <f t="shared" si="18"/>
        <v>2019</v>
      </c>
      <c r="E136">
        <f t="shared" si="19"/>
        <v>2013</v>
      </c>
      <c r="F136" t="s">
        <v>645</v>
      </c>
      <c r="G136" t="s">
        <v>0</v>
      </c>
      <c r="H136" t="str">
        <f>'App.2-K_Employee Costs'!R$12</f>
        <v>2016 Actuals</v>
      </c>
      <c r="I136">
        <f>'App.2-K_Employee Costs'!R$26</f>
        <v>2846942.3629999999</v>
      </c>
    </row>
    <row r="137" spans="1:9" x14ac:dyDescent="0.2">
      <c r="A137" t="str">
        <f>'LDC Info'!$E$14</f>
        <v>Greater Sudbury Hydro Inc.</v>
      </c>
      <c r="B137" t="str">
        <f t="shared" si="16"/>
        <v>EB-2019-0037</v>
      </c>
      <c r="C137">
        <f t="shared" si="17"/>
        <v>2020</v>
      </c>
      <c r="D137">
        <f t="shared" si="18"/>
        <v>2019</v>
      </c>
      <c r="E137">
        <f t="shared" si="19"/>
        <v>2013</v>
      </c>
      <c r="F137" t="s">
        <v>646</v>
      </c>
      <c r="G137" t="s">
        <v>0</v>
      </c>
      <c r="H137" t="str">
        <f>'App.2-K_Employee Costs'!R$12</f>
        <v>2016 Actuals</v>
      </c>
      <c r="I137">
        <f>'App.2-K_Employee Costs'!R$27</f>
        <v>8369965.7212999994</v>
      </c>
    </row>
    <row r="138" spans="1:9" x14ac:dyDescent="0.2">
      <c r="A138" t="str">
        <f>'LDC Info'!$E$14</f>
        <v>Greater Sudbury Hydro Inc.</v>
      </c>
      <c r="B138" t="str">
        <f t="shared" si="16"/>
        <v>EB-2019-0037</v>
      </c>
      <c r="C138">
        <f t="shared" si="17"/>
        <v>2020</v>
      </c>
      <c r="D138">
        <f t="shared" si="18"/>
        <v>2019</v>
      </c>
      <c r="E138">
        <f t="shared" si="19"/>
        <v>2013</v>
      </c>
      <c r="F138" t="s">
        <v>645</v>
      </c>
      <c r="G138" t="s">
        <v>1101</v>
      </c>
      <c r="H138" t="str">
        <f>'App.2-K_Employee Costs'!S$12</f>
        <v>Last Rebasing Year (2017 OEB Approved)</v>
      </c>
      <c r="I138">
        <f>'App.2-K_Employee Costs'!S$14</f>
        <v>0</v>
      </c>
    </row>
    <row r="139" spans="1:9" x14ac:dyDescent="0.2">
      <c r="A139" t="str">
        <f>'LDC Info'!$E$14</f>
        <v>Greater Sudbury Hydro Inc.</v>
      </c>
      <c r="B139" t="str">
        <f t="shared" si="16"/>
        <v>EB-2019-0037</v>
      </c>
      <c r="C139">
        <f t="shared" si="17"/>
        <v>2020</v>
      </c>
      <c r="D139">
        <f t="shared" si="18"/>
        <v>2019</v>
      </c>
      <c r="E139">
        <f t="shared" si="19"/>
        <v>2013</v>
      </c>
      <c r="F139" t="s">
        <v>646</v>
      </c>
      <c r="G139" t="s">
        <v>1101</v>
      </c>
      <c r="H139" t="str">
        <f>'App.2-K_Employee Costs'!S$12</f>
        <v>Last Rebasing Year (2017 OEB Approved)</v>
      </c>
      <c r="I139">
        <f>'App.2-K_Employee Costs'!S$15</f>
        <v>0</v>
      </c>
    </row>
    <row r="140" spans="1:9" x14ac:dyDescent="0.2">
      <c r="A140" t="str">
        <f>'LDC Info'!$E$14</f>
        <v>Greater Sudbury Hydro Inc.</v>
      </c>
      <c r="B140" t="str">
        <f t="shared" si="16"/>
        <v>EB-2019-0037</v>
      </c>
      <c r="C140">
        <f t="shared" si="17"/>
        <v>2020</v>
      </c>
      <c r="D140">
        <f t="shared" si="18"/>
        <v>2019</v>
      </c>
      <c r="E140">
        <f t="shared" si="19"/>
        <v>2013</v>
      </c>
      <c r="F140" t="s">
        <v>645</v>
      </c>
      <c r="G140" t="s">
        <v>647</v>
      </c>
      <c r="H140" t="str">
        <f>'App.2-K_Employee Costs'!S$12</f>
        <v>Last Rebasing Year (2017 OEB Approved)</v>
      </c>
      <c r="I140">
        <f>'App.2-K_Employee Costs'!S$18</f>
        <v>0</v>
      </c>
    </row>
    <row r="141" spans="1:9" x14ac:dyDescent="0.2">
      <c r="A141" t="str">
        <f>'LDC Info'!$E$14</f>
        <v>Greater Sudbury Hydro Inc.</v>
      </c>
      <c r="B141" t="str">
        <f t="shared" si="16"/>
        <v>EB-2019-0037</v>
      </c>
      <c r="C141">
        <f t="shared" si="17"/>
        <v>2020</v>
      </c>
      <c r="D141">
        <f t="shared" si="18"/>
        <v>2019</v>
      </c>
      <c r="E141">
        <f t="shared" si="19"/>
        <v>2013</v>
      </c>
      <c r="F141" t="s">
        <v>646</v>
      </c>
      <c r="G141" t="s">
        <v>647</v>
      </c>
      <c r="H141" t="str">
        <f>'App.2-K_Employee Costs'!S$12</f>
        <v>Last Rebasing Year (2017 OEB Approved)</v>
      </c>
      <c r="I141">
        <f>'App.2-K_Employee Costs'!S$19</f>
        <v>0</v>
      </c>
    </row>
    <row r="142" spans="1:9" x14ac:dyDescent="0.2">
      <c r="A142" t="str">
        <f>'LDC Info'!$E$14</f>
        <v>Greater Sudbury Hydro Inc.</v>
      </c>
      <c r="B142" t="str">
        <f t="shared" si="16"/>
        <v>EB-2019-0037</v>
      </c>
      <c r="C142">
        <f t="shared" si="17"/>
        <v>2020</v>
      </c>
      <c r="D142">
        <f t="shared" si="18"/>
        <v>2019</v>
      </c>
      <c r="E142">
        <f t="shared" si="19"/>
        <v>2013</v>
      </c>
      <c r="F142" t="s">
        <v>645</v>
      </c>
      <c r="G142" t="s">
        <v>1074</v>
      </c>
      <c r="H142" t="str">
        <f>'App.2-K_Employee Costs'!S$12</f>
        <v>Last Rebasing Year (2017 OEB Approved)</v>
      </c>
      <c r="I142">
        <f>'App.2-K_Employee Costs'!S$22</f>
        <v>0</v>
      </c>
    </row>
    <row r="143" spans="1:9" x14ac:dyDescent="0.2">
      <c r="A143" t="str">
        <f>'LDC Info'!$E$14</f>
        <v>Greater Sudbury Hydro Inc.</v>
      </c>
      <c r="B143" t="str">
        <f t="shared" si="16"/>
        <v>EB-2019-0037</v>
      </c>
      <c r="C143">
        <f t="shared" si="17"/>
        <v>2020</v>
      </c>
      <c r="D143">
        <f t="shared" si="18"/>
        <v>2019</v>
      </c>
      <c r="E143">
        <f t="shared" si="19"/>
        <v>2013</v>
      </c>
      <c r="F143" t="s">
        <v>646</v>
      </c>
      <c r="G143" t="s">
        <v>1074</v>
      </c>
      <c r="H143" t="str">
        <f>'App.2-K_Employee Costs'!S$12</f>
        <v>Last Rebasing Year (2017 OEB Approved)</v>
      </c>
      <c r="I143">
        <f>'App.2-K_Employee Costs'!S$23</f>
        <v>0</v>
      </c>
    </row>
    <row r="144" spans="1:9" x14ac:dyDescent="0.2">
      <c r="A144" t="str">
        <f>'LDC Info'!$E$14</f>
        <v>Greater Sudbury Hydro Inc.</v>
      </c>
      <c r="B144" t="str">
        <f t="shared" si="16"/>
        <v>EB-2019-0037</v>
      </c>
      <c r="C144">
        <f t="shared" si="17"/>
        <v>2020</v>
      </c>
      <c r="D144">
        <f t="shared" si="18"/>
        <v>2019</v>
      </c>
      <c r="E144">
        <f t="shared" si="19"/>
        <v>2013</v>
      </c>
      <c r="F144" t="s">
        <v>645</v>
      </c>
      <c r="G144" t="s">
        <v>0</v>
      </c>
      <c r="H144" t="str">
        <f>'App.2-K_Employee Costs'!S$12</f>
        <v>Last Rebasing Year (2017 OEB Approved)</v>
      </c>
      <c r="I144">
        <f>'App.2-K_Employee Costs'!S$26</f>
        <v>0</v>
      </c>
    </row>
    <row r="145" spans="1:9" x14ac:dyDescent="0.2">
      <c r="A145" t="str">
        <f>'LDC Info'!$E$14</f>
        <v>Greater Sudbury Hydro Inc.</v>
      </c>
      <c r="B145" t="str">
        <f t="shared" si="16"/>
        <v>EB-2019-0037</v>
      </c>
      <c r="C145">
        <f t="shared" si="17"/>
        <v>2020</v>
      </c>
      <c r="D145">
        <f t="shared" si="18"/>
        <v>2019</v>
      </c>
      <c r="E145">
        <f t="shared" si="19"/>
        <v>2013</v>
      </c>
      <c r="F145" t="s">
        <v>646</v>
      </c>
      <c r="G145" t="s">
        <v>0</v>
      </c>
      <c r="H145" t="str">
        <f>'App.2-K_Employee Costs'!S$12</f>
        <v>Last Rebasing Year (2017 OEB Approved)</v>
      </c>
      <c r="I145">
        <f>'App.2-K_Employee Costs'!S$27</f>
        <v>0</v>
      </c>
    </row>
    <row r="146" spans="1:9" x14ac:dyDescent="0.2">
      <c r="A146" t="str">
        <f>'LDC Info'!$E$14</f>
        <v>Greater Sudbury Hydro Inc.</v>
      </c>
      <c r="B146" t="str">
        <f t="shared" si="16"/>
        <v>EB-2019-0037</v>
      </c>
      <c r="C146">
        <f t="shared" si="17"/>
        <v>2020</v>
      </c>
      <c r="D146">
        <f t="shared" si="18"/>
        <v>2019</v>
      </c>
      <c r="E146">
        <f t="shared" si="19"/>
        <v>2013</v>
      </c>
      <c r="F146" t="s">
        <v>645</v>
      </c>
      <c r="G146" t="s">
        <v>1101</v>
      </c>
      <c r="H146" t="str">
        <f>'App.2-K_Employee Costs'!T$12</f>
        <v>Last Rebasing Year (2017 Actuals)</v>
      </c>
      <c r="I146">
        <f>'App.2-K_Employee Costs'!T$14</f>
        <v>0</v>
      </c>
    </row>
    <row r="147" spans="1:9" x14ac:dyDescent="0.2">
      <c r="A147" t="str">
        <f>'LDC Info'!$E$14</f>
        <v>Greater Sudbury Hydro Inc.</v>
      </c>
      <c r="B147" t="str">
        <f t="shared" si="16"/>
        <v>EB-2019-0037</v>
      </c>
      <c r="C147">
        <f t="shared" si="17"/>
        <v>2020</v>
      </c>
      <c r="D147">
        <f t="shared" si="18"/>
        <v>2019</v>
      </c>
      <c r="E147">
        <f t="shared" si="19"/>
        <v>2013</v>
      </c>
      <c r="F147" t="s">
        <v>646</v>
      </c>
      <c r="G147" t="s">
        <v>1101</v>
      </c>
      <c r="H147" t="str">
        <f>'App.2-K_Employee Costs'!T$12</f>
        <v>Last Rebasing Year (2017 Actuals)</v>
      </c>
      <c r="I147">
        <f>'App.2-K_Employee Costs'!T$15</f>
        <v>0</v>
      </c>
    </row>
    <row r="148" spans="1:9" x14ac:dyDescent="0.2">
      <c r="A148" t="str">
        <f>'LDC Info'!$E$14</f>
        <v>Greater Sudbury Hydro Inc.</v>
      </c>
      <c r="B148" t="str">
        <f t="shared" si="16"/>
        <v>EB-2019-0037</v>
      </c>
      <c r="C148">
        <f t="shared" si="17"/>
        <v>2020</v>
      </c>
      <c r="D148">
        <f t="shared" si="18"/>
        <v>2019</v>
      </c>
      <c r="E148">
        <f t="shared" si="19"/>
        <v>2013</v>
      </c>
      <c r="F148" t="s">
        <v>645</v>
      </c>
      <c r="G148" t="s">
        <v>647</v>
      </c>
      <c r="H148" t="str">
        <f>'App.2-K_Employee Costs'!T$12</f>
        <v>Last Rebasing Year (2017 Actuals)</v>
      </c>
      <c r="I148">
        <f>'App.2-K_Employee Costs'!T$18</f>
        <v>0</v>
      </c>
    </row>
    <row r="149" spans="1:9" x14ac:dyDescent="0.2">
      <c r="A149" t="str">
        <f>'LDC Info'!$E$14</f>
        <v>Greater Sudbury Hydro Inc.</v>
      </c>
      <c r="B149" t="str">
        <f t="shared" si="16"/>
        <v>EB-2019-0037</v>
      </c>
      <c r="C149">
        <f t="shared" si="17"/>
        <v>2020</v>
      </c>
      <c r="D149">
        <f t="shared" si="18"/>
        <v>2019</v>
      </c>
      <c r="E149">
        <f t="shared" si="19"/>
        <v>2013</v>
      </c>
      <c r="F149" t="s">
        <v>646</v>
      </c>
      <c r="G149" t="s">
        <v>647</v>
      </c>
      <c r="H149" t="str">
        <f>'App.2-K_Employee Costs'!T$12</f>
        <v>Last Rebasing Year (2017 Actuals)</v>
      </c>
      <c r="I149">
        <f>'App.2-K_Employee Costs'!T$19</f>
        <v>0</v>
      </c>
    </row>
    <row r="150" spans="1:9" x14ac:dyDescent="0.2">
      <c r="A150" t="str">
        <f>'LDC Info'!$E$14</f>
        <v>Greater Sudbury Hydro Inc.</v>
      </c>
      <c r="B150" t="str">
        <f t="shared" si="16"/>
        <v>EB-2019-0037</v>
      </c>
      <c r="C150">
        <f t="shared" si="17"/>
        <v>2020</v>
      </c>
      <c r="D150">
        <f t="shared" si="18"/>
        <v>2019</v>
      </c>
      <c r="E150">
        <f t="shared" si="19"/>
        <v>2013</v>
      </c>
      <c r="F150" t="s">
        <v>645</v>
      </c>
      <c r="G150" t="s">
        <v>1074</v>
      </c>
      <c r="H150" t="str">
        <f>'App.2-K_Employee Costs'!T$12</f>
        <v>Last Rebasing Year (2017 Actuals)</v>
      </c>
      <c r="I150">
        <f>'App.2-K_Employee Costs'!T$22</f>
        <v>0</v>
      </c>
    </row>
    <row r="151" spans="1:9" x14ac:dyDescent="0.2">
      <c r="A151" t="str">
        <f>'LDC Info'!$E$14</f>
        <v>Greater Sudbury Hydro Inc.</v>
      </c>
      <c r="B151" t="str">
        <f t="shared" si="16"/>
        <v>EB-2019-0037</v>
      </c>
      <c r="C151">
        <f t="shared" si="17"/>
        <v>2020</v>
      </c>
      <c r="D151">
        <f t="shared" si="18"/>
        <v>2019</v>
      </c>
      <c r="E151">
        <f t="shared" si="19"/>
        <v>2013</v>
      </c>
      <c r="F151" t="s">
        <v>646</v>
      </c>
      <c r="G151" t="s">
        <v>1074</v>
      </c>
      <c r="H151" t="str">
        <f>'App.2-K_Employee Costs'!T$12</f>
        <v>Last Rebasing Year (2017 Actuals)</v>
      </c>
      <c r="I151">
        <f>'App.2-K_Employee Costs'!T$23</f>
        <v>0</v>
      </c>
    </row>
    <row r="152" spans="1:9" x14ac:dyDescent="0.2">
      <c r="A152" t="str">
        <f>'LDC Info'!$E$14</f>
        <v>Greater Sudbury Hydro Inc.</v>
      </c>
      <c r="B152" t="str">
        <f t="shared" si="16"/>
        <v>EB-2019-0037</v>
      </c>
      <c r="C152">
        <f t="shared" si="17"/>
        <v>2020</v>
      </c>
      <c r="D152">
        <f t="shared" si="18"/>
        <v>2019</v>
      </c>
      <c r="E152">
        <f t="shared" si="19"/>
        <v>2013</v>
      </c>
      <c r="F152" t="s">
        <v>645</v>
      </c>
      <c r="G152" t="s">
        <v>0</v>
      </c>
      <c r="H152" t="str">
        <f>'App.2-K_Employee Costs'!T$12</f>
        <v>Last Rebasing Year (2017 Actuals)</v>
      </c>
      <c r="I152">
        <f>'App.2-K_Employee Costs'!T$26</f>
        <v>0</v>
      </c>
    </row>
    <row r="153" spans="1:9" x14ac:dyDescent="0.2">
      <c r="A153" t="str">
        <f>'LDC Info'!$E$14</f>
        <v>Greater Sudbury Hydro Inc.</v>
      </c>
      <c r="B153" t="str">
        <f t="shared" si="16"/>
        <v>EB-2019-0037</v>
      </c>
      <c r="C153">
        <f t="shared" si="17"/>
        <v>2020</v>
      </c>
      <c r="D153">
        <f t="shared" si="18"/>
        <v>2019</v>
      </c>
      <c r="E153">
        <f t="shared" si="19"/>
        <v>2013</v>
      </c>
      <c r="F153" t="s">
        <v>646</v>
      </c>
      <c r="G153" t="s">
        <v>0</v>
      </c>
      <c r="H153" t="str">
        <f>'App.2-K_Employee Costs'!T$12</f>
        <v>Last Rebasing Year (2017 Actuals)</v>
      </c>
      <c r="I153">
        <f>'App.2-K_Employee Costs'!T$27</f>
        <v>0</v>
      </c>
    </row>
    <row r="154" spans="1:9" x14ac:dyDescent="0.2">
      <c r="A154" t="str">
        <f>'LDC Info'!$E$14</f>
        <v>Greater Sudbury Hydro Inc.</v>
      </c>
      <c r="B154" t="str">
        <f t="shared" si="16"/>
        <v>EB-2019-0037</v>
      </c>
      <c r="C154">
        <f t="shared" si="17"/>
        <v>2020</v>
      </c>
      <c r="D154">
        <f t="shared" si="18"/>
        <v>2019</v>
      </c>
      <c r="E154">
        <f t="shared" si="19"/>
        <v>2013</v>
      </c>
      <c r="F154" t="s">
        <v>645</v>
      </c>
      <c r="G154" t="s">
        <v>1101</v>
      </c>
      <c r="H154" t="str">
        <f>'App.2-K_Employee Costs'!U$12</f>
        <v>2017 Actuals</v>
      </c>
      <c r="I154">
        <f>'App.2-K_Employee Costs'!U$14</f>
        <v>18.05</v>
      </c>
    </row>
    <row r="155" spans="1:9" x14ac:dyDescent="0.2">
      <c r="A155" t="str">
        <f>'LDC Info'!$E$14</f>
        <v>Greater Sudbury Hydro Inc.</v>
      </c>
      <c r="B155" t="str">
        <f t="shared" si="16"/>
        <v>EB-2019-0037</v>
      </c>
      <c r="C155">
        <f t="shared" si="17"/>
        <v>2020</v>
      </c>
      <c r="D155">
        <f t="shared" si="18"/>
        <v>2019</v>
      </c>
      <c r="E155">
        <f t="shared" si="19"/>
        <v>2013</v>
      </c>
      <c r="F155" t="s">
        <v>646</v>
      </c>
      <c r="G155" t="s">
        <v>1101</v>
      </c>
      <c r="H155" t="str">
        <f>'App.2-K_Employee Costs'!U$12</f>
        <v>2017 Actuals</v>
      </c>
      <c r="I155">
        <f>'App.2-K_Employee Costs'!U$15</f>
        <v>84.33</v>
      </c>
    </row>
    <row r="156" spans="1:9" x14ac:dyDescent="0.2">
      <c r="A156" t="str">
        <f>'LDC Info'!$E$14</f>
        <v>Greater Sudbury Hydro Inc.</v>
      </c>
      <c r="B156" t="str">
        <f t="shared" si="16"/>
        <v>EB-2019-0037</v>
      </c>
      <c r="C156">
        <f t="shared" si="17"/>
        <v>2020</v>
      </c>
      <c r="D156">
        <f t="shared" si="18"/>
        <v>2019</v>
      </c>
      <c r="E156">
        <f t="shared" si="19"/>
        <v>2013</v>
      </c>
      <c r="F156" t="s">
        <v>645</v>
      </c>
      <c r="G156" t="s">
        <v>647</v>
      </c>
      <c r="H156" t="str">
        <f>'App.2-K_Employee Costs'!U$12</f>
        <v>2017 Actuals</v>
      </c>
      <c r="I156">
        <f>'App.2-K_Employee Costs'!U$18</f>
        <v>2361673.14</v>
      </c>
    </row>
    <row r="157" spans="1:9" x14ac:dyDescent="0.2">
      <c r="A157" t="str">
        <f>'LDC Info'!$E$14</f>
        <v>Greater Sudbury Hydro Inc.</v>
      </c>
      <c r="B157" t="str">
        <f t="shared" si="16"/>
        <v>EB-2019-0037</v>
      </c>
      <c r="C157">
        <f t="shared" si="17"/>
        <v>2020</v>
      </c>
      <c r="D157">
        <f t="shared" si="18"/>
        <v>2019</v>
      </c>
      <c r="E157">
        <f t="shared" si="19"/>
        <v>2013</v>
      </c>
      <c r="F157" t="s">
        <v>646</v>
      </c>
      <c r="G157" t="s">
        <v>647</v>
      </c>
      <c r="H157" t="str">
        <f>'App.2-K_Employee Costs'!U$12</f>
        <v>2017 Actuals</v>
      </c>
      <c r="I157">
        <f>'App.2-K_Employee Costs'!U$19</f>
        <v>6731388.5700000003</v>
      </c>
    </row>
    <row r="158" spans="1:9" x14ac:dyDescent="0.2">
      <c r="A158" t="str">
        <f>'LDC Info'!$E$14</f>
        <v>Greater Sudbury Hydro Inc.</v>
      </c>
      <c r="B158" t="str">
        <f t="shared" si="16"/>
        <v>EB-2019-0037</v>
      </c>
      <c r="C158">
        <f t="shared" si="17"/>
        <v>2020</v>
      </c>
      <c r="D158">
        <f t="shared" si="18"/>
        <v>2019</v>
      </c>
      <c r="E158">
        <f t="shared" si="19"/>
        <v>2013</v>
      </c>
      <c r="F158" t="s">
        <v>645</v>
      </c>
      <c r="G158" t="s">
        <v>1074</v>
      </c>
      <c r="H158" t="str">
        <f>'App.2-K_Employee Costs'!U$12</f>
        <v>2017 Actuals</v>
      </c>
      <c r="I158">
        <f>'App.2-K_Employee Costs'!U$22</f>
        <v>637651.74780000013</v>
      </c>
    </row>
    <row r="159" spans="1:9" x14ac:dyDescent="0.2">
      <c r="A159" t="str">
        <f>'LDC Info'!$E$14</f>
        <v>Greater Sudbury Hydro Inc.</v>
      </c>
      <c r="B159" t="str">
        <f t="shared" si="16"/>
        <v>EB-2019-0037</v>
      </c>
      <c r="C159">
        <f t="shared" si="17"/>
        <v>2020</v>
      </c>
      <c r="D159">
        <f t="shared" si="18"/>
        <v>2019</v>
      </c>
      <c r="E159">
        <f t="shared" si="19"/>
        <v>2013</v>
      </c>
      <c r="F159" t="s">
        <v>646</v>
      </c>
      <c r="G159" t="s">
        <v>1074</v>
      </c>
      <c r="H159" t="str">
        <f>'App.2-K_Employee Costs'!U$12</f>
        <v>2017 Actuals</v>
      </c>
      <c r="I159">
        <f>'App.2-K_Employee Costs'!U$23</f>
        <v>1817474.9139000003</v>
      </c>
    </row>
    <row r="160" spans="1:9" x14ac:dyDescent="0.2">
      <c r="A160" t="str">
        <f>'LDC Info'!$E$14</f>
        <v>Greater Sudbury Hydro Inc.</v>
      </c>
      <c r="B160" t="str">
        <f t="shared" si="16"/>
        <v>EB-2019-0037</v>
      </c>
      <c r="C160">
        <f t="shared" si="17"/>
        <v>2020</v>
      </c>
      <c r="D160">
        <f t="shared" si="18"/>
        <v>2019</v>
      </c>
      <c r="E160">
        <f t="shared" si="19"/>
        <v>2013</v>
      </c>
      <c r="F160" t="s">
        <v>645</v>
      </c>
      <c r="G160" t="s">
        <v>0</v>
      </c>
      <c r="H160" t="str">
        <f>'App.2-K_Employee Costs'!U$12</f>
        <v>2017 Actuals</v>
      </c>
      <c r="I160">
        <f>'App.2-K_Employee Costs'!U$26</f>
        <v>2999324.8878000001</v>
      </c>
    </row>
    <row r="161" spans="1:9" x14ac:dyDescent="0.2">
      <c r="A161" t="str">
        <f>'LDC Info'!$E$14</f>
        <v>Greater Sudbury Hydro Inc.</v>
      </c>
      <c r="B161" t="str">
        <f t="shared" si="16"/>
        <v>EB-2019-0037</v>
      </c>
      <c r="C161">
        <f t="shared" si="17"/>
        <v>2020</v>
      </c>
      <c r="D161">
        <f t="shared" si="18"/>
        <v>2019</v>
      </c>
      <c r="E161">
        <f t="shared" si="19"/>
        <v>2013</v>
      </c>
      <c r="F161" t="s">
        <v>646</v>
      </c>
      <c r="G161" t="s">
        <v>0</v>
      </c>
      <c r="H161" t="str">
        <f>'App.2-K_Employee Costs'!U$12</f>
        <v>2017 Actuals</v>
      </c>
      <c r="I161">
        <f>'App.2-K_Employee Costs'!U$27</f>
        <v>8548863.4839000013</v>
      </c>
    </row>
    <row r="162" spans="1:9" x14ac:dyDescent="0.2">
      <c r="A162" t="str">
        <f>'LDC Info'!$E$14</f>
        <v>Greater Sudbury Hydro Inc.</v>
      </c>
      <c r="B162" t="str">
        <f t="shared" ref="B162:B193" si="20">EBNUMBER</f>
        <v>EB-2019-0037</v>
      </c>
      <c r="C162">
        <f t="shared" ref="C162:C193" si="21">TestYear</f>
        <v>2020</v>
      </c>
      <c r="D162">
        <f t="shared" ref="D162:D193" si="22">BridgeYear</f>
        <v>2019</v>
      </c>
      <c r="E162">
        <f t="shared" ref="E162:E193" si="23">RebaseYear</f>
        <v>2013</v>
      </c>
      <c r="F162" t="s">
        <v>645</v>
      </c>
      <c r="G162" t="s">
        <v>1101</v>
      </c>
      <c r="H162" t="str">
        <f>'App.2-K_Employee Costs'!V$12</f>
        <v>Last Rebasing Year (2018 OEB Approved)</v>
      </c>
      <c r="I162">
        <f>'App.2-K_Employee Costs'!V$14</f>
        <v>0</v>
      </c>
    </row>
    <row r="163" spans="1:9" x14ac:dyDescent="0.2">
      <c r="A163" t="str">
        <f>'LDC Info'!$E$14</f>
        <v>Greater Sudbury Hydro Inc.</v>
      </c>
      <c r="B163" t="str">
        <f t="shared" si="20"/>
        <v>EB-2019-0037</v>
      </c>
      <c r="C163">
        <f t="shared" si="21"/>
        <v>2020</v>
      </c>
      <c r="D163">
        <f t="shared" si="22"/>
        <v>2019</v>
      </c>
      <c r="E163">
        <f t="shared" si="23"/>
        <v>2013</v>
      </c>
      <c r="F163" t="s">
        <v>646</v>
      </c>
      <c r="G163" t="s">
        <v>1101</v>
      </c>
      <c r="H163" t="str">
        <f>'App.2-K_Employee Costs'!V$12</f>
        <v>Last Rebasing Year (2018 OEB Approved)</v>
      </c>
      <c r="I163">
        <f>'App.2-K_Employee Costs'!V$15</f>
        <v>0</v>
      </c>
    </row>
    <row r="164" spans="1:9" x14ac:dyDescent="0.2">
      <c r="A164" t="str">
        <f>'LDC Info'!$E$14</f>
        <v>Greater Sudbury Hydro Inc.</v>
      </c>
      <c r="B164" t="str">
        <f t="shared" si="20"/>
        <v>EB-2019-0037</v>
      </c>
      <c r="C164">
        <f t="shared" si="21"/>
        <v>2020</v>
      </c>
      <c r="D164">
        <f t="shared" si="22"/>
        <v>2019</v>
      </c>
      <c r="E164">
        <f t="shared" si="23"/>
        <v>2013</v>
      </c>
      <c r="F164" t="s">
        <v>645</v>
      </c>
      <c r="G164" t="s">
        <v>647</v>
      </c>
      <c r="H164" t="str">
        <f>'App.2-K_Employee Costs'!V$12</f>
        <v>Last Rebasing Year (2018 OEB Approved)</v>
      </c>
      <c r="I164">
        <f>'App.2-K_Employee Costs'!V$18</f>
        <v>0</v>
      </c>
    </row>
    <row r="165" spans="1:9" x14ac:dyDescent="0.2">
      <c r="A165" t="str">
        <f>'LDC Info'!$E$14</f>
        <v>Greater Sudbury Hydro Inc.</v>
      </c>
      <c r="B165" t="str">
        <f t="shared" si="20"/>
        <v>EB-2019-0037</v>
      </c>
      <c r="C165">
        <f t="shared" si="21"/>
        <v>2020</v>
      </c>
      <c r="D165">
        <f t="shared" si="22"/>
        <v>2019</v>
      </c>
      <c r="E165">
        <f t="shared" si="23"/>
        <v>2013</v>
      </c>
      <c r="F165" t="s">
        <v>646</v>
      </c>
      <c r="G165" t="s">
        <v>647</v>
      </c>
      <c r="H165" t="str">
        <f>'App.2-K_Employee Costs'!V$12</f>
        <v>Last Rebasing Year (2018 OEB Approved)</v>
      </c>
      <c r="I165">
        <f>'App.2-K_Employee Costs'!V$19</f>
        <v>0</v>
      </c>
    </row>
    <row r="166" spans="1:9" x14ac:dyDescent="0.2">
      <c r="A166" t="str">
        <f>'LDC Info'!$E$14</f>
        <v>Greater Sudbury Hydro Inc.</v>
      </c>
      <c r="B166" t="str">
        <f t="shared" si="20"/>
        <v>EB-2019-0037</v>
      </c>
      <c r="C166">
        <f t="shared" si="21"/>
        <v>2020</v>
      </c>
      <c r="D166">
        <f t="shared" si="22"/>
        <v>2019</v>
      </c>
      <c r="E166">
        <f t="shared" si="23"/>
        <v>2013</v>
      </c>
      <c r="F166" t="s">
        <v>645</v>
      </c>
      <c r="G166" t="s">
        <v>1074</v>
      </c>
      <c r="H166" t="str">
        <f>'App.2-K_Employee Costs'!V$12</f>
        <v>Last Rebasing Year (2018 OEB Approved)</v>
      </c>
      <c r="I166">
        <f>'App.2-K_Employee Costs'!V$22</f>
        <v>0</v>
      </c>
    </row>
    <row r="167" spans="1:9" x14ac:dyDescent="0.2">
      <c r="A167" t="str">
        <f>'LDC Info'!$E$14</f>
        <v>Greater Sudbury Hydro Inc.</v>
      </c>
      <c r="B167" t="str">
        <f t="shared" si="20"/>
        <v>EB-2019-0037</v>
      </c>
      <c r="C167">
        <f t="shared" si="21"/>
        <v>2020</v>
      </c>
      <c r="D167">
        <f t="shared" si="22"/>
        <v>2019</v>
      </c>
      <c r="E167">
        <f t="shared" si="23"/>
        <v>2013</v>
      </c>
      <c r="F167" t="s">
        <v>646</v>
      </c>
      <c r="G167" t="s">
        <v>1074</v>
      </c>
      <c r="H167" t="str">
        <f>'App.2-K_Employee Costs'!V$12</f>
        <v>Last Rebasing Year (2018 OEB Approved)</v>
      </c>
      <c r="I167">
        <f>'App.2-K_Employee Costs'!V$23</f>
        <v>0</v>
      </c>
    </row>
    <row r="168" spans="1:9" x14ac:dyDescent="0.2">
      <c r="A168" t="str">
        <f>'LDC Info'!$E$14</f>
        <v>Greater Sudbury Hydro Inc.</v>
      </c>
      <c r="B168" t="str">
        <f t="shared" si="20"/>
        <v>EB-2019-0037</v>
      </c>
      <c r="C168">
        <f t="shared" si="21"/>
        <v>2020</v>
      </c>
      <c r="D168">
        <f t="shared" si="22"/>
        <v>2019</v>
      </c>
      <c r="E168">
        <f t="shared" si="23"/>
        <v>2013</v>
      </c>
      <c r="F168" t="s">
        <v>645</v>
      </c>
      <c r="G168" t="s">
        <v>0</v>
      </c>
      <c r="H168" t="str">
        <f>'App.2-K_Employee Costs'!V$12</f>
        <v>Last Rebasing Year (2018 OEB Approved)</v>
      </c>
      <c r="I168">
        <f>'App.2-K_Employee Costs'!V$26</f>
        <v>0</v>
      </c>
    </row>
    <row r="169" spans="1:9" x14ac:dyDescent="0.2">
      <c r="A169" t="str">
        <f>'LDC Info'!$E$14</f>
        <v>Greater Sudbury Hydro Inc.</v>
      </c>
      <c r="B169" t="str">
        <f t="shared" si="20"/>
        <v>EB-2019-0037</v>
      </c>
      <c r="C169">
        <f t="shared" si="21"/>
        <v>2020</v>
      </c>
      <c r="D169">
        <f t="shared" si="22"/>
        <v>2019</v>
      </c>
      <c r="E169">
        <f t="shared" si="23"/>
        <v>2013</v>
      </c>
      <c r="F169" t="s">
        <v>646</v>
      </c>
      <c r="G169" t="s">
        <v>0</v>
      </c>
      <c r="H169" t="str">
        <f>'App.2-K_Employee Costs'!V$12</f>
        <v>Last Rebasing Year (2018 OEB Approved)</v>
      </c>
      <c r="I169">
        <f>'App.2-K_Employee Costs'!V$27</f>
        <v>0</v>
      </c>
    </row>
    <row r="170" spans="1:9" x14ac:dyDescent="0.2">
      <c r="A170" t="str">
        <f>'LDC Info'!$E$14</f>
        <v>Greater Sudbury Hydro Inc.</v>
      </c>
      <c r="B170" t="str">
        <f t="shared" si="20"/>
        <v>EB-2019-0037</v>
      </c>
      <c r="C170">
        <f t="shared" si="21"/>
        <v>2020</v>
      </c>
      <c r="D170">
        <f t="shared" si="22"/>
        <v>2019</v>
      </c>
      <c r="E170">
        <f t="shared" si="23"/>
        <v>2013</v>
      </c>
      <c r="F170" t="s">
        <v>645</v>
      </c>
      <c r="G170" t="s">
        <v>1101</v>
      </c>
      <c r="H170" t="str">
        <f>'App.2-K_Employee Costs'!W$12</f>
        <v>Last Rebasing Year (2018 Actuals)</v>
      </c>
      <c r="I170">
        <f>'App.2-K_Employee Costs'!W$14</f>
        <v>0</v>
      </c>
    </row>
    <row r="171" spans="1:9" x14ac:dyDescent="0.2">
      <c r="A171" t="str">
        <f>'LDC Info'!$E$14</f>
        <v>Greater Sudbury Hydro Inc.</v>
      </c>
      <c r="B171" t="str">
        <f t="shared" si="20"/>
        <v>EB-2019-0037</v>
      </c>
      <c r="C171">
        <f t="shared" si="21"/>
        <v>2020</v>
      </c>
      <c r="D171">
        <f t="shared" si="22"/>
        <v>2019</v>
      </c>
      <c r="E171">
        <f t="shared" si="23"/>
        <v>2013</v>
      </c>
      <c r="F171" t="s">
        <v>646</v>
      </c>
      <c r="G171" t="s">
        <v>1101</v>
      </c>
      <c r="H171" t="str">
        <f>'App.2-K_Employee Costs'!W$12</f>
        <v>Last Rebasing Year (2018 Actuals)</v>
      </c>
      <c r="I171">
        <f>'App.2-K_Employee Costs'!W$15</f>
        <v>0</v>
      </c>
    </row>
    <row r="172" spans="1:9" x14ac:dyDescent="0.2">
      <c r="A172" t="str">
        <f>'LDC Info'!$E$14</f>
        <v>Greater Sudbury Hydro Inc.</v>
      </c>
      <c r="B172" t="str">
        <f t="shared" si="20"/>
        <v>EB-2019-0037</v>
      </c>
      <c r="C172">
        <f t="shared" si="21"/>
        <v>2020</v>
      </c>
      <c r="D172">
        <f t="shared" si="22"/>
        <v>2019</v>
      </c>
      <c r="E172">
        <f t="shared" si="23"/>
        <v>2013</v>
      </c>
      <c r="F172" t="s">
        <v>645</v>
      </c>
      <c r="G172" t="s">
        <v>647</v>
      </c>
      <c r="H172" t="str">
        <f>'App.2-K_Employee Costs'!W$12</f>
        <v>Last Rebasing Year (2018 Actuals)</v>
      </c>
      <c r="I172">
        <f>'App.2-K_Employee Costs'!W$18</f>
        <v>0</v>
      </c>
    </row>
    <row r="173" spans="1:9" x14ac:dyDescent="0.2">
      <c r="A173" t="str">
        <f>'LDC Info'!$E$14</f>
        <v>Greater Sudbury Hydro Inc.</v>
      </c>
      <c r="B173" t="str">
        <f t="shared" si="20"/>
        <v>EB-2019-0037</v>
      </c>
      <c r="C173">
        <f t="shared" si="21"/>
        <v>2020</v>
      </c>
      <c r="D173">
        <f t="shared" si="22"/>
        <v>2019</v>
      </c>
      <c r="E173">
        <f t="shared" si="23"/>
        <v>2013</v>
      </c>
      <c r="F173" t="s">
        <v>646</v>
      </c>
      <c r="G173" t="s">
        <v>647</v>
      </c>
      <c r="H173" t="str">
        <f>'App.2-K_Employee Costs'!W$12</f>
        <v>Last Rebasing Year (2018 Actuals)</v>
      </c>
      <c r="I173">
        <f>'App.2-K_Employee Costs'!W$19</f>
        <v>0</v>
      </c>
    </row>
    <row r="174" spans="1:9" x14ac:dyDescent="0.2">
      <c r="A174" t="str">
        <f>'LDC Info'!$E$14</f>
        <v>Greater Sudbury Hydro Inc.</v>
      </c>
      <c r="B174" t="str">
        <f t="shared" si="20"/>
        <v>EB-2019-0037</v>
      </c>
      <c r="C174">
        <f t="shared" si="21"/>
        <v>2020</v>
      </c>
      <c r="D174">
        <f t="shared" si="22"/>
        <v>2019</v>
      </c>
      <c r="E174">
        <f t="shared" si="23"/>
        <v>2013</v>
      </c>
      <c r="F174" t="s">
        <v>645</v>
      </c>
      <c r="G174" t="s">
        <v>1074</v>
      </c>
      <c r="H174" t="str">
        <f>'App.2-K_Employee Costs'!W$12</f>
        <v>Last Rebasing Year (2018 Actuals)</v>
      </c>
      <c r="I174">
        <f>'App.2-K_Employee Costs'!W$22</f>
        <v>0</v>
      </c>
    </row>
    <row r="175" spans="1:9" x14ac:dyDescent="0.2">
      <c r="A175" t="str">
        <f>'LDC Info'!$E$14</f>
        <v>Greater Sudbury Hydro Inc.</v>
      </c>
      <c r="B175" t="str">
        <f t="shared" si="20"/>
        <v>EB-2019-0037</v>
      </c>
      <c r="C175">
        <f t="shared" si="21"/>
        <v>2020</v>
      </c>
      <c r="D175">
        <f t="shared" si="22"/>
        <v>2019</v>
      </c>
      <c r="E175">
        <f t="shared" si="23"/>
        <v>2013</v>
      </c>
      <c r="F175" t="s">
        <v>646</v>
      </c>
      <c r="G175" t="s">
        <v>1074</v>
      </c>
      <c r="H175" t="str">
        <f>'App.2-K_Employee Costs'!W$12</f>
        <v>Last Rebasing Year (2018 Actuals)</v>
      </c>
      <c r="I175">
        <f>'App.2-K_Employee Costs'!W$23</f>
        <v>0</v>
      </c>
    </row>
    <row r="176" spans="1:9" x14ac:dyDescent="0.2">
      <c r="A176" t="str">
        <f>'LDC Info'!$E$14</f>
        <v>Greater Sudbury Hydro Inc.</v>
      </c>
      <c r="B176" t="str">
        <f t="shared" si="20"/>
        <v>EB-2019-0037</v>
      </c>
      <c r="C176">
        <f t="shared" si="21"/>
        <v>2020</v>
      </c>
      <c r="D176">
        <f t="shared" si="22"/>
        <v>2019</v>
      </c>
      <c r="E176">
        <f t="shared" si="23"/>
        <v>2013</v>
      </c>
      <c r="F176" t="s">
        <v>645</v>
      </c>
      <c r="G176" t="s">
        <v>0</v>
      </c>
      <c r="H176" t="str">
        <f>'App.2-K_Employee Costs'!W$12</f>
        <v>Last Rebasing Year (2018 Actuals)</v>
      </c>
      <c r="I176">
        <f>'App.2-K_Employee Costs'!W$26</f>
        <v>0</v>
      </c>
    </row>
    <row r="177" spans="1:9" x14ac:dyDescent="0.2">
      <c r="A177" t="str">
        <f>'LDC Info'!$E$14</f>
        <v>Greater Sudbury Hydro Inc.</v>
      </c>
      <c r="B177" t="str">
        <f t="shared" si="20"/>
        <v>EB-2019-0037</v>
      </c>
      <c r="C177">
        <f t="shared" si="21"/>
        <v>2020</v>
      </c>
      <c r="D177">
        <f t="shared" si="22"/>
        <v>2019</v>
      </c>
      <c r="E177">
        <f t="shared" si="23"/>
        <v>2013</v>
      </c>
      <c r="F177" t="s">
        <v>646</v>
      </c>
      <c r="G177" t="s">
        <v>0</v>
      </c>
      <c r="H177" t="str">
        <f>'App.2-K_Employee Costs'!W$12</f>
        <v>Last Rebasing Year (2018 Actuals)</v>
      </c>
      <c r="I177">
        <f>'App.2-K_Employee Costs'!W$27</f>
        <v>0</v>
      </c>
    </row>
    <row r="178" spans="1:9" x14ac:dyDescent="0.2">
      <c r="A178" t="str">
        <f>'LDC Info'!$E$14</f>
        <v>Greater Sudbury Hydro Inc.</v>
      </c>
      <c r="B178" t="str">
        <f t="shared" si="20"/>
        <v>EB-2019-0037</v>
      </c>
      <c r="C178">
        <f t="shared" si="21"/>
        <v>2020</v>
      </c>
      <c r="D178">
        <f t="shared" si="22"/>
        <v>2019</v>
      </c>
      <c r="E178">
        <f t="shared" si="23"/>
        <v>2013</v>
      </c>
      <c r="F178" t="s">
        <v>645</v>
      </c>
      <c r="G178" t="s">
        <v>1101</v>
      </c>
      <c r="H178" t="str">
        <f>'App.2-K_Employee Costs'!X$12</f>
        <v>2018 Actuals</v>
      </c>
      <c r="I178">
        <f>'App.2-K_Employee Costs'!X$14</f>
        <v>18.010000000000002</v>
      </c>
    </row>
    <row r="179" spans="1:9" x14ac:dyDescent="0.2">
      <c r="A179" t="str">
        <f>'LDC Info'!$E$14</f>
        <v>Greater Sudbury Hydro Inc.</v>
      </c>
      <c r="B179" t="str">
        <f t="shared" si="20"/>
        <v>EB-2019-0037</v>
      </c>
      <c r="C179">
        <f t="shared" si="21"/>
        <v>2020</v>
      </c>
      <c r="D179">
        <f t="shared" si="22"/>
        <v>2019</v>
      </c>
      <c r="E179">
        <f t="shared" si="23"/>
        <v>2013</v>
      </c>
      <c r="F179" t="s">
        <v>646</v>
      </c>
      <c r="G179" t="s">
        <v>1101</v>
      </c>
      <c r="H179" t="str">
        <f>'App.2-K_Employee Costs'!X$12</f>
        <v>2018 Actuals</v>
      </c>
      <c r="I179">
        <f>'App.2-K_Employee Costs'!X$15</f>
        <v>81.88</v>
      </c>
    </row>
    <row r="180" spans="1:9" x14ac:dyDescent="0.2">
      <c r="A180" t="str">
        <f>'LDC Info'!$E$14</f>
        <v>Greater Sudbury Hydro Inc.</v>
      </c>
      <c r="B180" t="str">
        <f t="shared" si="20"/>
        <v>EB-2019-0037</v>
      </c>
      <c r="C180">
        <f t="shared" si="21"/>
        <v>2020</v>
      </c>
      <c r="D180">
        <f t="shared" si="22"/>
        <v>2019</v>
      </c>
      <c r="E180">
        <f t="shared" si="23"/>
        <v>2013</v>
      </c>
      <c r="F180" t="s">
        <v>645</v>
      </c>
      <c r="G180" t="s">
        <v>647</v>
      </c>
      <c r="H180" t="str">
        <f>'App.2-K_Employee Costs'!X$12</f>
        <v>2018 Actuals</v>
      </c>
      <c r="I180">
        <f>'App.2-K_Employee Costs'!X$18</f>
        <v>2463786.7400000002</v>
      </c>
    </row>
    <row r="181" spans="1:9" x14ac:dyDescent="0.2">
      <c r="A181" t="str">
        <f>'LDC Info'!$E$14</f>
        <v>Greater Sudbury Hydro Inc.</v>
      </c>
      <c r="B181" t="str">
        <f t="shared" si="20"/>
        <v>EB-2019-0037</v>
      </c>
      <c r="C181">
        <f t="shared" si="21"/>
        <v>2020</v>
      </c>
      <c r="D181">
        <f t="shared" si="22"/>
        <v>2019</v>
      </c>
      <c r="E181">
        <f t="shared" si="23"/>
        <v>2013</v>
      </c>
      <c r="F181" t="s">
        <v>646</v>
      </c>
      <c r="G181" t="s">
        <v>647</v>
      </c>
      <c r="H181" t="str">
        <f>'App.2-K_Employee Costs'!X$12</f>
        <v>2018 Actuals</v>
      </c>
      <c r="I181">
        <f>'App.2-K_Employee Costs'!X$19</f>
        <v>6818813.3200000003</v>
      </c>
    </row>
    <row r="182" spans="1:9" x14ac:dyDescent="0.2">
      <c r="A182" t="str">
        <f>'LDC Info'!$E$14</f>
        <v>Greater Sudbury Hydro Inc.</v>
      </c>
      <c r="B182" t="str">
        <f t="shared" si="20"/>
        <v>EB-2019-0037</v>
      </c>
      <c r="C182">
        <f t="shared" si="21"/>
        <v>2020</v>
      </c>
      <c r="D182">
        <f t="shared" si="22"/>
        <v>2019</v>
      </c>
      <c r="E182">
        <f t="shared" si="23"/>
        <v>2013</v>
      </c>
      <c r="F182" t="s">
        <v>645</v>
      </c>
      <c r="G182" t="s">
        <v>1074</v>
      </c>
      <c r="H182" t="str">
        <f>'App.2-K_Employee Costs'!X$12</f>
        <v>2018 Actuals</v>
      </c>
      <c r="I182">
        <f>'App.2-K_Employee Costs'!X$22</f>
        <v>640584.55240000004</v>
      </c>
    </row>
    <row r="183" spans="1:9" x14ac:dyDescent="0.2">
      <c r="A183" t="str">
        <f>'LDC Info'!$E$14</f>
        <v>Greater Sudbury Hydro Inc.</v>
      </c>
      <c r="B183" t="str">
        <f t="shared" si="20"/>
        <v>EB-2019-0037</v>
      </c>
      <c r="C183">
        <f t="shared" si="21"/>
        <v>2020</v>
      </c>
      <c r="D183">
        <f t="shared" si="22"/>
        <v>2019</v>
      </c>
      <c r="E183">
        <f t="shared" si="23"/>
        <v>2013</v>
      </c>
      <c r="F183" t="s">
        <v>646</v>
      </c>
      <c r="G183" t="s">
        <v>1074</v>
      </c>
      <c r="H183" t="str">
        <f>'App.2-K_Employee Costs'!X$12</f>
        <v>2018 Actuals</v>
      </c>
      <c r="I183">
        <f>'App.2-K_Employee Costs'!X$23</f>
        <v>1772891.4632000001</v>
      </c>
    </row>
    <row r="184" spans="1:9" x14ac:dyDescent="0.2">
      <c r="A184" t="str">
        <f>'LDC Info'!$E$14</f>
        <v>Greater Sudbury Hydro Inc.</v>
      </c>
      <c r="B184" t="str">
        <f t="shared" si="20"/>
        <v>EB-2019-0037</v>
      </c>
      <c r="C184">
        <f t="shared" si="21"/>
        <v>2020</v>
      </c>
      <c r="D184">
        <f t="shared" si="22"/>
        <v>2019</v>
      </c>
      <c r="E184">
        <f t="shared" si="23"/>
        <v>2013</v>
      </c>
      <c r="F184" t="s">
        <v>645</v>
      </c>
      <c r="G184" t="s">
        <v>0</v>
      </c>
      <c r="H184" t="str">
        <f>'App.2-K_Employee Costs'!X$12</f>
        <v>2018 Actuals</v>
      </c>
      <c r="I184">
        <f>'App.2-K_Employee Costs'!X$26</f>
        <v>3104371.2924000002</v>
      </c>
    </row>
    <row r="185" spans="1:9" x14ac:dyDescent="0.2">
      <c r="A185" t="str">
        <f>'LDC Info'!$E$14</f>
        <v>Greater Sudbury Hydro Inc.</v>
      </c>
      <c r="B185" t="str">
        <f t="shared" si="20"/>
        <v>EB-2019-0037</v>
      </c>
      <c r="C185">
        <f t="shared" si="21"/>
        <v>2020</v>
      </c>
      <c r="D185">
        <f t="shared" si="22"/>
        <v>2019</v>
      </c>
      <c r="E185">
        <f t="shared" si="23"/>
        <v>2013</v>
      </c>
      <c r="F185" t="s">
        <v>646</v>
      </c>
      <c r="G185" t="s">
        <v>0</v>
      </c>
      <c r="H185" t="str">
        <f>'App.2-K_Employee Costs'!X$12</f>
        <v>2018 Actuals</v>
      </c>
      <c r="I185">
        <f>'App.2-K_Employee Costs'!X$27</f>
        <v>8591704.7831999995</v>
      </c>
    </row>
    <row r="186" spans="1:9" x14ac:dyDescent="0.2">
      <c r="A186" t="str">
        <f>'LDC Info'!$E$14</f>
        <v>Greater Sudbury Hydro Inc.</v>
      </c>
      <c r="B186" t="str">
        <f t="shared" si="20"/>
        <v>EB-2019-0037</v>
      </c>
      <c r="C186">
        <f t="shared" si="21"/>
        <v>2020</v>
      </c>
      <c r="D186">
        <f t="shared" si="22"/>
        <v>2019</v>
      </c>
      <c r="E186">
        <f t="shared" si="23"/>
        <v>2013</v>
      </c>
      <c r="F186" t="s">
        <v>645</v>
      </c>
      <c r="G186" t="s">
        <v>1101</v>
      </c>
      <c r="H186" t="str">
        <f>'App.2-K_Employee Costs'!Y$12</f>
        <v>2019 Bridge Year</v>
      </c>
      <c r="I186">
        <f>'App.2-K_Employee Costs'!Y$14</f>
        <v>17.840446666666661</v>
      </c>
    </row>
    <row r="187" spans="1:9" x14ac:dyDescent="0.2">
      <c r="A187" t="str">
        <f>'LDC Info'!$E$14</f>
        <v>Greater Sudbury Hydro Inc.</v>
      </c>
      <c r="B187" t="str">
        <f t="shared" si="20"/>
        <v>EB-2019-0037</v>
      </c>
      <c r="C187">
        <f t="shared" si="21"/>
        <v>2020</v>
      </c>
      <c r="D187">
        <f t="shared" si="22"/>
        <v>2019</v>
      </c>
      <c r="E187">
        <f t="shared" si="23"/>
        <v>2013</v>
      </c>
      <c r="F187" t="s">
        <v>646</v>
      </c>
      <c r="G187" t="s">
        <v>1101</v>
      </c>
      <c r="H187" t="str">
        <f>'App.2-K_Employee Costs'!Y$12</f>
        <v>2019 Bridge Year</v>
      </c>
      <c r="I187">
        <f>'App.2-K_Employee Costs'!Y$15</f>
        <v>81.504614843186815</v>
      </c>
    </row>
    <row r="188" spans="1:9" x14ac:dyDescent="0.2">
      <c r="A188" t="str">
        <f>'LDC Info'!$E$14</f>
        <v>Greater Sudbury Hydro Inc.</v>
      </c>
      <c r="B188" t="str">
        <f t="shared" si="20"/>
        <v>EB-2019-0037</v>
      </c>
      <c r="C188">
        <f t="shared" si="21"/>
        <v>2020</v>
      </c>
      <c r="D188">
        <f t="shared" si="22"/>
        <v>2019</v>
      </c>
      <c r="E188">
        <f t="shared" si="23"/>
        <v>2013</v>
      </c>
      <c r="F188" t="s">
        <v>645</v>
      </c>
      <c r="G188" t="s">
        <v>647</v>
      </c>
      <c r="H188" t="str">
        <f>'App.2-K_Employee Costs'!Y$12</f>
        <v>2019 Bridge Year</v>
      </c>
      <c r="I188">
        <f>'App.2-K_Employee Costs'!Y$18</f>
        <v>2433554.75</v>
      </c>
    </row>
    <row r="189" spans="1:9" x14ac:dyDescent="0.2">
      <c r="A189" t="str">
        <f>'LDC Info'!$E$14</f>
        <v>Greater Sudbury Hydro Inc.</v>
      </c>
      <c r="B189" t="str">
        <f t="shared" si="20"/>
        <v>EB-2019-0037</v>
      </c>
      <c r="C189">
        <f t="shared" si="21"/>
        <v>2020</v>
      </c>
      <c r="D189">
        <f t="shared" si="22"/>
        <v>2019</v>
      </c>
      <c r="E189">
        <f t="shared" si="23"/>
        <v>2013</v>
      </c>
      <c r="F189" t="s">
        <v>646</v>
      </c>
      <c r="G189" t="s">
        <v>647</v>
      </c>
      <c r="H189" t="str">
        <f>'App.2-K_Employee Costs'!Y$12</f>
        <v>2019 Bridge Year</v>
      </c>
      <c r="I189">
        <f>'App.2-K_Employee Costs'!Y$19</f>
        <v>6954530.4699999997</v>
      </c>
    </row>
    <row r="190" spans="1:9" x14ac:dyDescent="0.2">
      <c r="A190" t="str">
        <f>'LDC Info'!$E$14</f>
        <v>Greater Sudbury Hydro Inc.</v>
      </c>
      <c r="B190" t="str">
        <f t="shared" si="20"/>
        <v>EB-2019-0037</v>
      </c>
      <c r="C190">
        <f t="shared" si="21"/>
        <v>2020</v>
      </c>
      <c r="D190">
        <f t="shared" si="22"/>
        <v>2019</v>
      </c>
      <c r="E190">
        <f t="shared" si="23"/>
        <v>2013</v>
      </c>
      <c r="F190" t="s">
        <v>645</v>
      </c>
      <c r="G190" t="s">
        <v>1074</v>
      </c>
      <c r="H190" t="str">
        <f>'App.2-K_Employee Costs'!Y$12</f>
        <v>2019 Bridge Year</v>
      </c>
      <c r="I190">
        <f>'App.2-K_Employee Costs'!Y$22</f>
        <v>693563</v>
      </c>
    </row>
    <row r="191" spans="1:9" x14ac:dyDescent="0.2">
      <c r="A191" t="str">
        <f>'LDC Info'!$E$14</f>
        <v>Greater Sudbury Hydro Inc.</v>
      </c>
      <c r="B191" t="str">
        <f t="shared" si="20"/>
        <v>EB-2019-0037</v>
      </c>
      <c r="C191">
        <f t="shared" si="21"/>
        <v>2020</v>
      </c>
      <c r="D191">
        <f t="shared" si="22"/>
        <v>2019</v>
      </c>
      <c r="E191">
        <f t="shared" si="23"/>
        <v>2013</v>
      </c>
      <c r="F191" t="s">
        <v>646</v>
      </c>
      <c r="G191" t="s">
        <v>1074</v>
      </c>
      <c r="H191" t="str">
        <f>'App.2-K_Employee Costs'!Y$12</f>
        <v>2019 Bridge Year</v>
      </c>
      <c r="I191">
        <f>'App.2-K_Employee Costs'!Y$23</f>
        <v>1982041</v>
      </c>
    </row>
    <row r="192" spans="1:9" x14ac:dyDescent="0.2">
      <c r="A192" t="str">
        <f>'LDC Info'!$E$14</f>
        <v>Greater Sudbury Hydro Inc.</v>
      </c>
      <c r="B192" t="str">
        <f t="shared" si="20"/>
        <v>EB-2019-0037</v>
      </c>
      <c r="C192">
        <f t="shared" si="21"/>
        <v>2020</v>
      </c>
      <c r="D192">
        <f t="shared" si="22"/>
        <v>2019</v>
      </c>
      <c r="E192">
        <f t="shared" si="23"/>
        <v>2013</v>
      </c>
      <c r="F192" t="s">
        <v>645</v>
      </c>
      <c r="G192" t="s">
        <v>0</v>
      </c>
      <c r="H192" t="str">
        <f>'App.2-K_Employee Costs'!Y$12</f>
        <v>2019 Bridge Year</v>
      </c>
      <c r="I192">
        <f>'App.2-K_Employee Costs'!Y$26</f>
        <v>3127117.75</v>
      </c>
    </row>
    <row r="193" spans="1:9" x14ac:dyDescent="0.2">
      <c r="A193" t="str">
        <f>'LDC Info'!$E$14</f>
        <v>Greater Sudbury Hydro Inc.</v>
      </c>
      <c r="B193" t="str">
        <f t="shared" si="20"/>
        <v>EB-2019-0037</v>
      </c>
      <c r="C193">
        <f t="shared" si="21"/>
        <v>2020</v>
      </c>
      <c r="D193">
        <f t="shared" si="22"/>
        <v>2019</v>
      </c>
      <c r="E193">
        <f t="shared" si="23"/>
        <v>2013</v>
      </c>
      <c r="F193" t="s">
        <v>646</v>
      </c>
      <c r="G193" t="s">
        <v>0</v>
      </c>
      <c r="H193" t="str">
        <f>'App.2-K_Employee Costs'!Y$12</f>
        <v>2019 Bridge Year</v>
      </c>
      <c r="I193">
        <f>'App.2-K_Employee Costs'!Y$27</f>
        <v>8936571.4699999988</v>
      </c>
    </row>
    <row r="194" spans="1:9" x14ac:dyDescent="0.2">
      <c r="A194" t="str">
        <f>'LDC Info'!$E$14</f>
        <v>Greater Sudbury Hydro Inc.</v>
      </c>
      <c r="B194" t="str">
        <f t="shared" ref="B194:B201" si="24">EBNUMBER</f>
        <v>EB-2019-0037</v>
      </c>
      <c r="C194">
        <f t="shared" ref="C194:C201" si="25">TestYear</f>
        <v>2020</v>
      </c>
      <c r="D194">
        <f t="shared" ref="D194:D201" si="26">BridgeYear</f>
        <v>2019</v>
      </c>
      <c r="E194">
        <f t="shared" ref="E194:E201" si="27">RebaseYear</f>
        <v>2013</v>
      </c>
      <c r="F194" t="s">
        <v>645</v>
      </c>
      <c r="G194" t="s">
        <v>1101</v>
      </c>
      <c r="H194" t="str">
        <f>'App.2-K_Employee Costs'!Z$12</f>
        <v>2020 Test Year</v>
      </c>
      <c r="I194">
        <f>'App.2-K_Employee Costs'!Z$14</f>
        <v>17.694099999999999</v>
      </c>
    </row>
    <row r="195" spans="1:9" x14ac:dyDescent="0.2">
      <c r="A195" t="str">
        <f>'LDC Info'!$E$14</f>
        <v>Greater Sudbury Hydro Inc.</v>
      </c>
      <c r="B195" t="str">
        <f t="shared" si="24"/>
        <v>EB-2019-0037</v>
      </c>
      <c r="C195">
        <f t="shared" si="25"/>
        <v>2020</v>
      </c>
      <c r="D195">
        <f t="shared" si="26"/>
        <v>2019</v>
      </c>
      <c r="E195">
        <f t="shared" si="27"/>
        <v>2013</v>
      </c>
      <c r="F195" t="s">
        <v>646</v>
      </c>
      <c r="G195" t="s">
        <v>1101</v>
      </c>
      <c r="H195" t="str">
        <f>'App.2-K_Employee Costs'!Z$12</f>
        <v>2020 Test Year</v>
      </c>
      <c r="I195">
        <f>'App.2-K_Employee Costs'!Z$15</f>
        <v>88.239658761299353</v>
      </c>
    </row>
    <row r="196" spans="1:9" x14ac:dyDescent="0.2">
      <c r="A196" t="str">
        <f>'LDC Info'!$E$14</f>
        <v>Greater Sudbury Hydro Inc.</v>
      </c>
      <c r="B196" t="str">
        <f t="shared" si="24"/>
        <v>EB-2019-0037</v>
      </c>
      <c r="C196">
        <f t="shared" si="25"/>
        <v>2020</v>
      </c>
      <c r="D196">
        <f t="shared" si="26"/>
        <v>2019</v>
      </c>
      <c r="E196">
        <f t="shared" si="27"/>
        <v>2013</v>
      </c>
      <c r="F196" t="s">
        <v>645</v>
      </c>
      <c r="G196" t="s">
        <v>647</v>
      </c>
      <c r="H196" t="str">
        <f>'App.2-K_Employee Costs'!Z$12</f>
        <v>2020 Test Year</v>
      </c>
      <c r="I196">
        <f>'App.2-K_Employee Costs'!Z$18</f>
        <v>2401356.845621</v>
      </c>
    </row>
    <row r="197" spans="1:9" x14ac:dyDescent="0.2">
      <c r="A197" t="str">
        <f>'LDC Info'!$E$14</f>
        <v>Greater Sudbury Hydro Inc.</v>
      </c>
      <c r="B197" t="str">
        <f t="shared" si="24"/>
        <v>EB-2019-0037</v>
      </c>
      <c r="C197">
        <f t="shared" si="25"/>
        <v>2020</v>
      </c>
      <c r="D197">
        <f t="shared" si="26"/>
        <v>2019</v>
      </c>
      <c r="E197">
        <f t="shared" si="27"/>
        <v>2013</v>
      </c>
      <c r="F197" t="s">
        <v>646</v>
      </c>
      <c r="G197" t="s">
        <v>647</v>
      </c>
      <c r="H197" t="str">
        <f>'App.2-K_Employee Costs'!Z$12</f>
        <v>2020 Test Year</v>
      </c>
      <c r="I197">
        <f>'App.2-K_Employee Costs'!Z$19</f>
        <v>7640201.1317848507</v>
      </c>
    </row>
    <row r="198" spans="1:9" x14ac:dyDescent="0.2">
      <c r="A198" t="str">
        <f>'LDC Info'!$E$14</f>
        <v>Greater Sudbury Hydro Inc.</v>
      </c>
      <c r="B198" t="str">
        <f t="shared" si="24"/>
        <v>EB-2019-0037</v>
      </c>
      <c r="C198">
        <f t="shared" si="25"/>
        <v>2020</v>
      </c>
      <c r="D198">
        <f t="shared" si="26"/>
        <v>2019</v>
      </c>
      <c r="E198">
        <f t="shared" si="27"/>
        <v>2013</v>
      </c>
      <c r="F198" t="s">
        <v>645</v>
      </c>
      <c r="G198" t="s">
        <v>1074</v>
      </c>
      <c r="H198" t="str">
        <f>'App.2-K_Employee Costs'!Z$12</f>
        <v>2020 Test Year</v>
      </c>
      <c r="I198">
        <f>'App.2-K_Employee Costs'!Z$22</f>
        <v>737904.87369802536</v>
      </c>
    </row>
    <row r="199" spans="1:9" x14ac:dyDescent="0.2">
      <c r="A199" t="str">
        <f>'LDC Info'!$E$14</f>
        <v>Greater Sudbury Hydro Inc.</v>
      </c>
      <c r="B199" t="str">
        <f t="shared" si="24"/>
        <v>EB-2019-0037</v>
      </c>
      <c r="C199">
        <f t="shared" si="25"/>
        <v>2020</v>
      </c>
      <c r="D199">
        <f t="shared" si="26"/>
        <v>2019</v>
      </c>
      <c r="E199">
        <f t="shared" si="27"/>
        <v>2013</v>
      </c>
      <c r="F199" t="s">
        <v>646</v>
      </c>
      <c r="G199" t="s">
        <v>1074</v>
      </c>
      <c r="H199" t="str">
        <f>'App.2-K_Employee Costs'!Z$12</f>
        <v>2020 Test Year</v>
      </c>
      <c r="I199">
        <f>'App.2-K_Employee Costs'!Z$23</f>
        <v>2331664.004276942</v>
      </c>
    </row>
    <row r="200" spans="1:9" x14ac:dyDescent="0.2">
      <c r="A200" t="str">
        <f>'LDC Info'!$E$14</f>
        <v>Greater Sudbury Hydro Inc.</v>
      </c>
      <c r="B200" t="str">
        <f t="shared" si="24"/>
        <v>EB-2019-0037</v>
      </c>
      <c r="C200">
        <f t="shared" si="25"/>
        <v>2020</v>
      </c>
      <c r="D200">
        <f t="shared" si="26"/>
        <v>2019</v>
      </c>
      <c r="E200">
        <f t="shared" si="27"/>
        <v>2013</v>
      </c>
      <c r="F200" t="s">
        <v>645</v>
      </c>
      <c r="G200" t="s">
        <v>0</v>
      </c>
      <c r="H200" t="str">
        <f>'App.2-K_Employee Costs'!Z$12</f>
        <v>2020 Test Year</v>
      </c>
      <c r="I200">
        <f>'App.2-K_Employee Costs'!Z$26</f>
        <v>3139261.7193190255</v>
      </c>
    </row>
    <row r="201" spans="1:9" x14ac:dyDescent="0.2">
      <c r="A201" t="str">
        <f>'LDC Info'!$E$14</f>
        <v>Greater Sudbury Hydro Inc.</v>
      </c>
      <c r="B201" t="str">
        <f t="shared" si="24"/>
        <v>EB-2019-0037</v>
      </c>
      <c r="C201">
        <f t="shared" si="25"/>
        <v>2020</v>
      </c>
      <c r="D201">
        <f t="shared" si="26"/>
        <v>2019</v>
      </c>
      <c r="E201">
        <f t="shared" si="27"/>
        <v>2013</v>
      </c>
      <c r="F201" t="s">
        <v>646</v>
      </c>
      <c r="G201" t="s">
        <v>0</v>
      </c>
      <c r="H201" t="str">
        <f>'App.2-K_Employee Costs'!Z$12</f>
        <v>2020 Test Year</v>
      </c>
      <c r="I201">
        <f>'App.2-K_Employee Costs'!Z$27</f>
        <v>9971865.1360617932</v>
      </c>
    </row>
  </sheetData>
  <sheetProtection algorithmName="SHA-512" hashValue="PX3Q0Tg8kljKqzhRsGuhpcMkPLeEzQs2sg9GrzBQMUZ/kdnOfDLpB+5WpotFxRaM4Z4VrKE73ishad2C0SEYTg==" saltValue="pGdje46Wci/k5//J49NIHw==" spinCount="100000" sheet="1" objects="1" scenarios="1"/>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theme="7" tint="0.39997558519241921"/>
    <pageSetUpPr fitToPage="1"/>
  </sheetPr>
  <dimension ref="B1:L38"/>
  <sheetViews>
    <sheetView showGridLines="0" zoomScaleNormal="100" workbookViewId="0">
      <selection activeCell="D19" sqref="D19"/>
    </sheetView>
  </sheetViews>
  <sheetFormatPr defaultColWidth="9.28515625" defaultRowHeight="12.75" x14ac:dyDescent="0.2"/>
  <cols>
    <col min="1" max="1" width="2.7109375" style="27" customWidth="1"/>
    <col min="2" max="2" width="6" style="27" customWidth="1"/>
    <col min="3" max="3" width="21.7109375" style="27" customWidth="1"/>
    <col min="4" max="4" width="17.7109375" style="27" customWidth="1"/>
    <col min="5" max="11" width="14.7109375" style="27" customWidth="1"/>
    <col min="12" max="12" width="15.7109375" style="27" customWidth="1"/>
    <col min="13" max="16384" width="9.28515625" style="27"/>
  </cols>
  <sheetData>
    <row r="1" spans="2:12" x14ac:dyDescent="0.2">
      <c r="K1" s="208" t="s">
        <v>264</v>
      </c>
      <c r="L1" s="1432" t="str">
        <f>EBNUMBER</f>
        <v>EB-2019-0037</v>
      </c>
    </row>
    <row r="2" spans="2:12" x14ac:dyDescent="0.2">
      <c r="K2" s="208" t="s">
        <v>265</v>
      </c>
      <c r="L2" s="41"/>
    </row>
    <row r="3" spans="2:12" x14ac:dyDescent="0.2">
      <c r="K3" s="208" t="s">
        <v>266</v>
      </c>
      <c r="L3" s="41"/>
    </row>
    <row r="4" spans="2:12" x14ac:dyDescent="0.2">
      <c r="K4" s="208" t="s">
        <v>267</v>
      </c>
      <c r="L4" s="41"/>
    </row>
    <row r="5" spans="2:12" x14ac:dyDescent="0.2">
      <c r="K5" s="208" t="s">
        <v>268</v>
      </c>
      <c r="L5" s="42"/>
    </row>
    <row r="6" spans="2:12" x14ac:dyDescent="0.2">
      <c r="K6" s="208"/>
      <c r="L6" s="40"/>
    </row>
    <row r="7" spans="2:12" x14ac:dyDescent="0.2">
      <c r="K7" s="208" t="s">
        <v>269</v>
      </c>
      <c r="L7" s="1448"/>
    </row>
    <row r="9" spans="2:12" ht="18" x14ac:dyDescent="0.25">
      <c r="B9" s="2218" t="s">
        <v>152</v>
      </c>
      <c r="C9" s="2218"/>
      <c r="D9" s="2218"/>
      <c r="E9" s="2218"/>
      <c r="F9" s="2218"/>
      <c r="G9" s="2218"/>
      <c r="H9" s="2218"/>
      <c r="I9" s="2218"/>
      <c r="J9" s="2218"/>
      <c r="K9" s="2218"/>
      <c r="L9" s="2218"/>
    </row>
    <row r="10" spans="2:12" ht="21" x14ac:dyDescent="0.25">
      <c r="B10" s="2218" t="s">
        <v>875</v>
      </c>
      <c r="C10" s="2218"/>
      <c r="D10" s="2218"/>
      <c r="E10" s="2218"/>
      <c r="F10" s="2218"/>
      <c r="G10" s="2218"/>
      <c r="H10" s="2218"/>
      <c r="I10" s="2218"/>
      <c r="J10" s="2218"/>
      <c r="K10" s="2218"/>
      <c r="L10" s="2218"/>
    </row>
    <row r="11" spans="2:12" ht="18" x14ac:dyDescent="0.25">
      <c r="B11" s="589"/>
      <c r="C11" s="589"/>
      <c r="D11" s="589"/>
      <c r="E11" s="589"/>
      <c r="F11" s="1433"/>
      <c r="G11" s="1433"/>
      <c r="H11" s="603"/>
      <c r="I11" s="589"/>
      <c r="J11" s="589"/>
      <c r="K11" s="589"/>
      <c r="L11" s="592"/>
    </row>
    <row r="12" spans="2:12" ht="13.5" thickBot="1" x14ac:dyDescent="0.25">
      <c r="L12" s="591"/>
    </row>
    <row r="13" spans="2:12" ht="39" thickBot="1" x14ac:dyDescent="0.25">
      <c r="B13" s="240"/>
      <c r="C13" s="241"/>
      <c r="D13" s="1131" t="str">
        <f>"Last Rebasing Year "&amp;RebaseYear&amp;" - OEB Approved"</f>
        <v>Last Rebasing Year 2013 - OEB Approved</v>
      </c>
      <c r="E13" s="1131" t="str">
        <f>"Last Rebasing Year "&amp;RebaseYear&amp;" -  Actual"</f>
        <v>Last Rebasing Year 2013 -  Actual</v>
      </c>
      <c r="F13" s="1131" t="str">
        <f>BridgeYear -5 &amp; " Actuals"</f>
        <v>2014 Actuals</v>
      </c>
      <c r="G13" s="1131" t="str">
        <f>BridgeYear -4 &amp; " Actuals"</f>
        <v>2015 Actuals</v>
      </c>
      <c r="H13" s="1131" t="str">
        <f>BridgeYear -3 &amp; " Actuals"</f>
        <v>2016 Actuals</v>
      </c>
      <c r="I13" s="1131" t="str">
        <f>BridgeYear -2 &amp; " Actuals"</f>
        <v>2017 Actuals</v>
      </c>
      <c r="J13" s="1131" t="str">
        <f>BridgeYear -1 &amp; " Actuals"</f>
        <v>2018 Actuals</v>
      </c>
      <c r="K13" s="1131" t="str">
        <f>BridgeYear &amp; " Bridge Year"</f>
        <v>2019 Bridge Year</v>
      </c>
      <c r="L13" s="1132" t="str">
        <f>TestYear &amp; " Test Year"</f>
        <v>2020 Test Year</v>
      </c>
    </row>
    <row r="14" spans="2:12" ht="13.5" thickBot="1" x14ac:dyDescent="0.25">
      <c r="B14" s="2240" t="s">
        <v>90</v>
      </c>
      <c r="C14" s="2241"/>
      <c r="D14" s="226" t="s">
        <v>91</v>
      </c>
      <c r="E14" s="226" t="s">
        <v>91</v>
      </c>
      <c r="F14" s="226" t="s">
        <v>91</v>
      </c>
      <c r="G14" s="226" t="s">
        <v>92</v>
      </c>
      <c r="H14" s="226" t="s">
        <v>92</v>
      </c>
      <c r="I14" s="226" t="s">
        <v>92</v>
      </c>
      <c r="J14" s="226" t="s">
        <v>92</v>
      </c>
      <c r="K14" s="226" t="s">
        <v>92</v>
      </c>
      <c r="L14" s="227" t="s">
        <v>92</v>
      </c>
    </row>
    <row r="15" spans="2:12" ht="12.75" customHeight="1" x14ac:dyDescent="0.2">
      <c r="B15" s="2242" t="s">
        <v>922</v>
      </c>
      <c r="C15" s="2243"/>
      <c r="D15" s="1391"/>
      <c r="E15" s="1391"/>
      <c r="F15" s="1391"/>
      <c r="G15" s="1391"/>
      <c r="H15" s="1391"/>
      <c r="I15" s="1391"/>
      <c r="J15" s="1391"/>
      <c r="K15" s="1391"/>
      <c r="L15" s="1392"/>
    </row>
    <row r="16" spans="2:12" ht="15" customHeight="1" x14ac:dyDescent="0.2">
      <c r="B16" s="2236" t="s">
        <v>920</v>
      </c>
      <c r="C16" s="2237"/>
      <c r="D16" s="245">
        <v>7988294</v>
      </c>
      <c r="E16" s="245">
        <v>7349985.709999999</v>
      </c>
      <c r="F16" s="245">
        <v>6672329.3700000467</v>
      </c>
      <c r="G16" s="245">
        <v>7498654.6400000043</v>
      </c>
      <c r="H16" s="245">
        <v>7543236.5800000019</v>
      </c>
      <c r="I16" s="245">
        <v>7666726.2199999588</v>
      </c>
      <c r="J16" s="245">
        <v>7578671.6499999799</v>
      </c>
      <c r="K16" s="245">
        <v>7980188.3300000168</v>
      </c>
      <c r="L16" s="246">
        <v>8926285</v>
      </c>
    </row>
    <row r="17" spans="2:12" ht="15" customHeight="1" x14ac:dyDescent="0.2">
      <c r="B17" s="2236" t="s">
        <v>921</v>
      </c>
      <c r="C17" s="2237"/>
      <c r="D17" s="245">
        <v>5949245</v>
      </c>
      <c r="E17" s="245">
        <v>6894680.2299999855</v>
      </c>
      <c r="F17" s="245">
        <v>7057635.7100000009</v>
      </c>
      <c r="G17" s="245">
        <v>6815280.1800000016</v>
      </c>
      <c r="H17" s="245">
        <v>7619608.2600000091</v>
      </c>
      <c r="I17" s="245">
        <v>6980746.2100000065</v>
      </c>
      <c r="J17" s="245">
        <v>7363109.0599999987</v>
      </c>
      <c r="K17" s="245">
        <v>7400599.5600000108</v>
      </c>
      <c r="L17" s="246">
        <v>7311492</v>
      </c>
    </row>
    <row r="18" spans="2:12" ht="28.5" customHeight="1" x14ac:dyDescent="0.2">
      <c r="B18" s="2236" t="s">
        <v>908</v>
      </c>
      <c r="C18" s="2237"/>
      <c r="D18" s="1499">
        <f>SUM(D16:D17)</f>
        <v>13937539</v>
      </c>
      <c r="E18" s="1499">
        <f t="shared" ref="E18:L18" si="0">SUM(E16:E17)</f>
        <v>14244665.939999985</v>
      </c>
      <c r="F18" s="1499">
        <f t="shared" si="0"/>
        <v>13729965.080000047</v>
      </c>
      <c r="G18" s="1499">
        <f t="shared" si="0"/>
        <v>14313934.820000006</v>
      </c>
      <c r="H18" s="1499">
        <f t="shared" si="0"/>
        <v>15162844.840000011</v>
      </c>
      <c r="I18" s="1499">
        <f t="shared" si="0"/>
        <v>14647472.429999966</v>
      </c>
      <c r="J18" s="1499">
        <f t="shared" si="0"/>
        <v>14941780.709999979</v>
      </c>
      <c r="K18" s="1499">
        <f t="shared" si="0"/>
        <v>15380787.890000027</v>
      </c>
      <c r="L18" s="1500">
        <f t="shared" si="0"/>
        <v>16237777</v>
      </c>
    </row>
    <row r="19" spans="2:12" ht="27" customHeight="1" x14ac:dyDescent="0.2">
      <c r="B19" s="2238" t="s">
        <v>873</v>
      </c>
      <c r="C19" s="2239"/>
      <c r="D19" s="243">
        <v>57463</v>
      </c>
      <c r="E19" s="243">
        <v>57444</v>
      </c>
      <c r="F19" s="243">
        <v>57601</v>
      </c>
      <c r="G19" s="243">
        <v>57707.5</v>
      </c>
      <c r="H19" s="243">
        <v>57779</v>
      </c>
      <c r="I19" s="243">
        <v>57850.5</v>
      </c>
      <c r="J19" s="243">
        <v>58028</v>
      </c>
      <c r="K19" s="243">
        <v>58250.5</v>
      </c>
      <c r="L19" s="244">
        <v>58422.361915333466</v>
      </c>
    </row>
    <row r="20" spans="2:12" ht="27" customHeight="1" x14ac:dyDescent="0.2">
      <c r="B20" s="2235" t="s">
        <v>874</v>
      </c>
      <c r="C20" s="2234"/>
      <c r="D20" s="1501">
        <v>98.094506597014458</v>
      </c>
      <c r="E20" s="1501">
        <v>93.81</v>
      </c>
      <c r="F20" s="1501">
        <v>93.86999999999999</v>
      </c>
      <c r="G20" s="1501">
        <v>96.11</v>
      </c>
      <c r="H20" s="1501">
        <v>99.350000000000009</v>
      </c>
      <c r="I20" s="1501">
        <v>102.38</v>
      </c>
      <c r="J20" s="1501">
        <v>99.89</v>
      </c>
      <c r="K20" s="1501">
        <v>99.34506150985348</v>
      </c>
      <c r="L20" s="1502">
        <v>105.93375876129934</v>
      </c>
    </row>
    <row r="21" spans="2:12" ht="15.75" customHeight="1" x14ac:dyDescent="0.2">
      <c r="B21" s="2235" t="s">
        <v>505</v>
      </c>
      <c r="C21" s="2234"/>
      <c r="D21" s="1503">
        <f>IF(D20=0,"",D19/D20)</f>
        <v>585.79223234248786</v>
      </c>
      <c r="E21" s="1503">
        <f t="shared" ref="E21:L21" si="1">IF(E20=0,"",E19/E20)</f>
        <v>612.34409977614325</v>
      </c>
      <c r="F21" s="1503">
        <f t="shared" si="1"/>
        <v>613.62522637690427</v>
      </c>
      <c r="G21" s="1503">
        <f t="shared" si="1"/>
        <v>600.43179689938609</v>
      </c>
      <c r="H21" s="1503">
        <f t="shared" si="1"/>
        <v>581.57020634121784</v>
      </c>
      <c r="I21" s="1503">
        <f t="shared" si="1"/>
        <v>565.05665168978317</v>
      </c>
      <c r="J21" s="1503">
        <f t="shared" si="1"/>
        <v>580.91901091200316</v>
      </c>
      <c r="K21" s="1503">
        <f t="shared" si="1"/>
        <v>586.34520040256314</v>
      </c>
      <c r="L21" s="1504">
        <f t="shared" si="1"/>
        <v>551.4989989827194</v>
      </c>
    </row>
    <row r="22" spans="2:12" x14ac:dyDescent="0.2">
      <c r="B22" s="2235" t="s">
        <v>151</v>
      </c>
      <c r="C22" s="2234"/>
      <c r="D22" s="1505"/>
      <c r="E22" s="1505"/>
      <c r="F22" s="1505"/>
      <c r="G22" s="1505"/>
      <c r="H22" s="1505"/>
      <c r="I22" s="1505"/>
      <c r="J22" s="1505"/>
      <c r="K22" s="1505"/>
      <c r="L22" s="1506"/>
    </row>
    <row r="23" spans="2:12" x14ac:dyDescent="0.2">
      <c r="B23" s="2233" t="s">
        <v>913</v>
      </c>
      <c r="C23" s="2234"/>
      <c r="D23" s="1507">
        <f t="shared" ref="D23:L23" si="2">IF(D19=0,"",D16/D19)</f>
        <v>139.01630614482363</v>
      </c>
      <c r="E23" s="1507">
        <f t="shared" si="2"/>
        <v>127.95045104797714</v>
      </c>
      <c r="F23" s="1507">
        <f t="shared" si="2"/>
        <v>115.83704050276985</v>
      </c>
      <c r="G23" s="1507">
        <f t="shared" si="2"/>
        <v>129.94246224494225</v>
      </c>
      <c r="H23" s="1507">
        <f t="shared" si="2"/>
        <v>130.55325602727638</v>
      </c>
      <c r="I23" s="1507">
        <f t="shared" si="2"/>
        <v>132.5265333921048</v>
      </c>
      <c r="J23" s="1507">
        <f t="shared" si="2"/>
        <v>130.60370252291963</v>
      </c>
      <c r="K23" s="1507">
        <f t="shared" si="2"/>
        <v>136.99776534107033</v>
      </c>
      <c r="L23" s="1508">
        <f t="shared" si="2"/>
        <v>152.78884159007646</v>
      </c>
    </row>
    <row r="24" spans="2:12" x14ac:dyDescent="0.2">
      <c r="B24" s="1382" t="s">
        <v>914</v>
      </c>
      <c r="C24" s="1383"/>
      <c r="D24" s="1507">
        <f t="shared" ref="D24:L24" si="3">IF(D19=0,"",D17/D19)</f>
        <v>103.5317508657745</v>
      </c>
      <c r="E24" s="1507">
        <f t="shared" si="3"/>
        <v>120.02437556576815</v>
      </c>
      <c r="F24" s="1507">
        <f t="shared" si="3"/>
        <v>122.52627055085851</v>
      </c>
      <c r="G24" s="1507">
        <f t="shared" si="3"/>
        <v>118.10042334185334</v>
      </c>
      <c r="H24" s="1507">
        <f t="shared" si="3"/>
        <v>131.87504560480468</v>
      </c>
      <c r="I24" s="1507">
        <f t="shared" si="3"/>
        <v>120.66872732301374</v>
      </c>
      <c r="J24" s="1507">
        <f t="shared" si="3"/>
        <v>126.88889949679462</v>
      </c>
      <c r="K24" s="1507">
        <f t="shared" si="3"/>
        <v>127.04782894567447</v>
      </c>
      <c r="L24" s="1508">
        <f t="shared" si="3"/>
        <v>125.1488601333154</v>
      </c>
    </row>
    <row r="25" spans="2:12" x14ac:dyDescent="0.2">
      <c r="B25" s="1382" t="s">
        <v>915</v>
      </c>
      <c r="C25" s="1383"/>
      <c r="D25" s="1507">
        <f t="shared" ref="D25:L25" si="4">IF(D19=0,"",D18/D19)</f>
        <v>242.54805701059811</v>
      </c>
      <c r="E25" s="1507">
        <f t="shared" si="4"/>
        <v>247.97482661374528</v>
      </c>
      <c r="F25" s="1507">
        <f t="shared" si="4"/>
        <v>238.36331105362834</v>
      </c>
      <c r="G25" s="1507">
        <f t="shared" si="4"/>
        <v>248.04288558679559</v>
      </c>
      <c r="H25" s="1507">
        <f t="shared" si="4"/>
        <v>262.42830163208106</v>
      </c>
      <c r="I25" s="1507">
        <f t="shared" si="4"/>
        <v>253.19526071511856</v>
      </c>
      <c r="J25" s="1507">
        <f t="shared" si="4"/>
        <v>257.49260201971424</v>
      </c>
      <c r="K25" s="1507">
        <f t="shared" si="4"/>
        <v>264.0455942867448</v>
      </c>
      <c r="L25" s="1508">
        <f t="shared" si="4"/>
        <v>277.93770172339185</v>
      </c>
    </row>
    <row r="26" spans="2:12" x14ac:dyDescent="0.2">
      <c r="B26" s="2235" t="s">
        <v>916</v>
      </c>
      <c r="C26" s="2234"/>
      <c r="D26" s="1509"/>
      <c r="E26" s="1509"/>
      <c r="F26" s="1509"/>
      <c r="G26" s="1509"/>
      <c r="H26" s="1509"/>
      <c r="I26" s="1509"/>
      <c r="J26" s="1509"/>
      <c r="K26" s="1509"/>
      <c r="L26" s="1510"/>
    </row>
    <row r="27" spans="2:12" x14ac:dyDescent="0.2">
      <c r="B27" s="2233" t="s">
        <v>917</v>
      </c>
      <c r="C27" s="2234"/>
      <c r="D27" s="1507">
        <f>IF(D20=0,"",D16/D20)</f>
        <v>81434.672308582944</v>
      </c>
      <c r="E27" s="1507">
        <f t="shared" ref="E27:K27" si="5">IF(E20=0,"",E16/E20)</f>
        <v>78349.703762925055</v>
      </c>
      <c r="F27" s="1507">
        <f t="shared" si="5"/>
        <v>71080.530201342786</v>
      </c>
      <c r="G27" s="1507">
        <f t="shared" si="5"/>
        <v>78021.586099261302</v>
      </c>
      <c r="H27" s="1507">
        <f t="shared" si="5"/>
        <v>75925.884046300969</v>
      </c>
      <c r="I27" s="1507">
        <f t="shared" si="5"/>
        <v>74884.99921859699</v>
      </c>
      <c r="J27" s="1507">
        <f t="shared" si="5"/>
        <v>75870.173691059957</v>
      </c>
      <c r="K27" s="1507">
        <f t="shared" si="5"/>
        <v>80327.9821736132</v>
      </c>
      <c r="L27" s="1508">
        <f>IF(L20=0,"",L16/L20)</f>
        <v>84262.89319265644</v>
      </c>
    </row>
    <row r="28" spans="2:12" x14ac:dyDescent="0.2">
      <c r="B28" s="1382" t="s">
        <v>918</v>
      </c>
      <c r="C28" s="1383"/>
      <c r="D28" s="1507">
        <f>IF(D20=0,"",D17/D20)</f>
        <v>60648.09545798834</v>
      </c>
      <c r="E28" s="1507">
        <f t="shared" ref="E28:K28" si="6">IF(E20=0,"",E17/E20)</f>
        <v>73496.218207014026</v>
      </c>
      <c r="F28" s="1507">
        <f t="shared" si="6"/>
        <v>75185.210503888375</v>
      </c>
      <c r="G28" s="1507">
        <f t="shared" si="6"/>
        <v>70911.249401727211</v>
      </c>
      <c r="H28" s="1507">
        <f t="shared" si="6"/>
        <v>76694.597483643767</v>
      </c>
      <c r="I28" s="1507">
        <f t="shared" si="6"/>
        <v>68184.667024809605</v>
      </c>
      <c r="J28" s="1507">
        <f t="shared" si="6"/>
        <v>73712.173991390518</v>
      </c>
      <c r="K28" s="1507">
        <f t="shared" si="6"/>
        <v>74493.884723862066</v>
      </c>
      <c r="L28" s="1508">
        <f>IF(L20=0,"",L17/L20)</f>
        <v>69019.471087351791</v>
      </c>
    </row>
    <row r="29" spans="2:12" ht="13.5" thickBot="1" x14ac:dyDescent="0.25">
      <c r="B29" s="1393" t="s">
        <v>919</v>
      </c>
      <c r="C29" s="1394"/>
      <c r="D29" s="1511">
        <f>IF(D20=0,"",D18/D20)</f>
        <v>142082.76776657128</v>
      </c>
      <c r="E29" s="1511">
        <f t="shared" ref="E29:K29" si="7">IF(E20=0,"",E18/E20)</f>
        <v>151845.92196993908</v>
      </c>
      <c r="F29" s="1511">
        <f t="shared" si="7"/>
        <v>146265.74070523115</v>
      </c>
      <c r="G29" s="1511">
        <f t="shared" si="7"/>
        <v>148932.83550098853</v>
      </c>
      <c r="H29" s="1511">
        <f t="shared" si="7"/>
        <v>152620.48152994475</v>
      </c>
      <c r="I29" s="1511">
        <f t="shared" si="7"/>
        <v>143069.66624340659</v>
      </c>
      <c r="J29" s="1511">
        <f t="shared" si="7"/>
        <v>149582.34768245049</v>
      </c>
      <c r="K29" s="1511">
        <f t="shared" si="7"/>
        <v>154821.86689747524</v>
      </c>
      <c r="L29" s="1512">
        <f>IF(L20=0,"",L18/L20)</f>
        <v>153282.36428000825</v>
      </c>
    </row>
    <row r="31" spans="2:12" x14ac:dyDescent="0.2">
      <c r="B31" s="186" t="s">
        <v>6</v>
      </c>
    </row>
    <row r="33" spans="2:12" ht="12.75" customHeight="1" x14ac:dyDescent="0.2">
      <c r="B33" s="253">
        <v>1</v>
      </c>
      <c r="C33" s="1868" t="s">
        <v>1011</v>
      </c>
      <c r="D33" s="2232"/>
      <c r="E33" s="2232"/>
      <c r="F33" s="2232"/>
      <c r="G33" s="2232"/>
      <c r="H33" s="2232"/>
      <c r="I33" s="2232"/>
      <c r="J33" s="2232"/>
      <c r="K33" s="2232"/>
      <c r="L33" s="2232"/>
    </row>
    <row r="34" spans="2:12" ht="15" customHeight="1" x14ac:dyDescent="0.2">
      <c r="B34" s="190"/>
      <c r="C34" s="2232"/>
      <c r="D34" s="2232"/>
      <c r="E34" s="2232"/>
      <c r="F34" s="2232"/>
      <c r="G34" s="2232"/>
      <c r="H34" s="2232"/>
      <c r="I34" s="2232"/>
      <c r="J34" s="2232"/>
      <c r="K34" s="2232"/>
      <c r="L34" s="2232"/>
    </row>
    <row r="35" spans="2:12" x14ac:dyDescent="0.2">
      <c r="B35" s="253">
        <v>2</v>
      </c>
      <c r="C35" s="2231" t="s">
        <v>1012</v>
      </c>
      <c r="D35" s="2231"/>
      <c r="E35" s="2231"/>
      <c r="F35" s="2231"/>
      <c r="G35" s="2231"/>
      <c r="H35" s="2231"/>
      <c r="I35" s="2231"/>
      <c r="J35" s="2231"/>
      <c r="K35" s="2231"/>
      <c r="L35" s="2231"/>
    </row>
    <row r="36" spans="2:12" x14ac:dyDescent="0.2">
      <c r="B36" s="253">
        <v>3</v>
      </c>
      <c r="C36" s="1868" t="s">
        <v>1010</v>
      </c>
      <c r="D36" s="1868"/>
      <c r="E36" s="1868"/>
      <c r="F36" s="1868"/>
      <c r="G36" s="1868"/>
      <c r="H36" s="1868"/>
      <c r="I36" s="1868"/>
      <c r="J36" s="1868"/>
      <c r="K36" s="1868"/>
      <c r="L36" s="1868"/>
    </row>
    <row r="37" spans="2:12" ht="13.5" customHeight="1" x14ac:dyDescent="0.2">
      <c r="B37" s="253">
        <v>4</v>
      </c>
      <c r="C37" s="1868" t="s">
        <v>507</v>
      </c>
      <c r="D37" s="1868"/>
      <c r="E37" s="1868"/>
      <c r="F37" s="1868"/>
      <c r="G37" s="1868"/>
      <c r="H37" s="1868"/>
      <c r="I37" s="1868"/>
      <c r="J37" s="1868"/>
      <c r="K37" s="1868"/>
      <c r="L37" s="1868"/>
    </row>
    <row r="38" spans="2:12" ht="14.25" customHeight="1" x14ac:dyDescent="0.2">
      <c r="B38" s="220">
        <v>5</v>
      </c>
      <c r="C38" s="1868" t="s">
        <v>996</v>
      </c>
      <c r="D38" s="1868"/>
      <c r="E38" s="1868"/>
      <c r="F38" s="1868"/>
      <c r="G38" s="1868"/>
      <c r="H38" s="1868"/>
      <c r="I38" s="1868"/>
      <c r="J38" s="1868"/>
      <c r="K38" s="1868"/>
      <c r="L38" s="1868"/>
    </row>
  </sheetData>
  <mergeCells count="19">
    <mergeCell ref="B14:C14"/>
    <mergeCell ref="B15:C15"/>
    <mergeCell ref="B16:C16"/>
    <mergeCell ref="B9:L9"/>
    <mergeCell ref="B10:L10"/>
    <mergeCell ref="B23:C23"/>
    <mergeCell ref="B26:C26"/>
    <mergeCell ref="B27:C27"/>
    <mergeCell ref="B17:C17"/>
    <mergeCell ref="B18:C18"/>
    <mergeCell ref="B19:C19"/>
    <mergeCell ref="B20:C20"/>
    <mergeCell ref="B21:C21"/>
    <mergeCell ref="B22:C22"/>
    <mergeCell ref="C38:L38"/>
    <mergeCell ref="C35:L35"/>
    <mergeCell ref="C36:L36"/>
    <mergeCell ref="C37:L37"/>
    <mergeCell ref="C33:L34"/>
  </mergeCells>
  <dataValidations count="2">
    <dataValidation allowBlank="1" showInputMessage="1" showErrorMessage="1" promptTitle="Date Format" prompt="E.g:  &quot;August 1, 2011&quot;" sqref="L7" xr:uid="{00000000-0002-0000-2400-000000000000}"/>
    <dataValidation type="list" allowBlank="1" showInputMessage="1" showErrorMessage="1" sqref="D14:L14" xr:uid="{00000000-0002-0000-2400-000001000000}">
      <formula1>"CGAAP, MIFRS, USGAAP, ASPE"</formula1>
    </dataValidation>
  </dataValidations>
  <pageMargins left="0.75" right="0.75" top="1" bottom="1" header="0.5" footer="0.5"/>
  <pageSetup scale="74"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tabColor theme="7" tint="0.39997558519241921"/>
    <pageSetUpPr fitToPage="1"/>
  </sheetPr>
  <dimension ref="A1:L39"/>
  <sheetViews>
    <sheetView showGridLines="0" zoomScaleNormal="100" workbookViewId="0"/>
  </sheetViews>
  <sheetFormatPr defaultColWidth="9.28515625" defaultRowHeight="12.75" x14ac:dyDescent="0.2"/>
  <cols>
    <col min="1" max="1" width="6" style="27" customWidth="1"/>
    <col min="2" max="2" width="21.7109375" style="27" customWidth="1"/>
    <col min="3" max="3" width="17.7109375" style="27" customWidth="1"/>
    <col min="4" max="4" width="14.7109375" style="27" customWidth="1"/>
    <col min="5" max="7" width="13.7109375" style="27" customWidth="1"/>
    <col min="8" max="8" width="13" style="27" customWidth="1"/>
    <col min="9" max="11" width="12.28515625" style="27" customWidth="1"/>
    <col min="12" max="12" width="12.7109375" style="27" customWidth="1"/>
    <col min="13" max="16384" width="9.28515625" style="27"/>
  </cols>
  <sheetData>
    <row r="1" spans="1:12" x14ac:dyDescent="0.2">
      <c r="K1" s="208" t="s">
        <v>264</v>
      </c>
      <c r="L1" s="440" t="str">
        <f>EBNUMBER</f>
        <v>EB-2019-0037</v>
      </c>
    </row>
    <row r="2" spans="1:12" x14ac:dyDescent="0.2">
      <c r="K2" s="208" t="s">
        <v>265</v>
      </c>
      <c r="L2" s="41"/>
    </row>
    <row r="3" spans="1:12" x14ac:dyDescent="0.2">
      <c r="K3" s="208" t="s">
        <v>266</v>
      </c>
      <c r="L3" s="41"/>
    </row>
    <row r="4" spans="1:12" x14ac:dyDescent="0.2">
      <c r="K4" s="208" t="s">
        <v>267</v>
      </c>
      <c r="L4" s="41"/>
    </row>
    <row r="5" spans="1:12" x14ac:dyDescent="0.2">
      <c r="K5" s="208" t="s">
        <v>268</v>
      </c>
      <c r="L5" s="42"/>
    </row>
    <row r="6" spans="1:12" x14ac:dyDescent="0.2">
      <c r="K6" s="208"/>
      <c r="L6" s="40"/>
    </row>
    <row r="7" spans="1:12" x14ac:dyDescent="0.2">
      <c r="K7" s="208" t="s">
        <v>269</v>
      </c>
      <c r="L7" s="42"/>
    </row>
    <row r="9" spans="1:12" ht="18" x14ac:dyDescent="0.25">
      <c r="A9" s="2218" t="s">
        <v>152</v>
      </c>
      <c r="B9" s="2218"/>
      <c r="C9" s="2218"/>
      <c r="D9" s="2218"/>
      <c r="E9" s="2218"/>
      <c r="F9" s="2218"/>
      <c r="G9" s="2218"/>
      <c r="H9" s="2218"/>
      <c r="I9" s="2218"/>
      <c r="J9" s="2218"/>
      <c r="K9" s="2218"/>
      <c r="L9" s="2218"/>
    </row>
    <row r="10" spans="1:12" ht="21" x14ac:dyDescent="0.25">
      <c r="A10" s="2218" t="s">
        <v>875</v>
      </c>
      <c r="B10" s="2218"/>
      <c r="C10" s="2218"/>
      <c r="D10" s="2218"/>
      <c r="E10" s="2218"/>
      <c r="F10" s="2218"/>
      <c r="G10" s="2218"/>
      <c r="H10" s="2218"/>
      <c r="I10" s="2218"/>
      <c r="J10" s="2218"/>
      <c r="K10" s="2218"/>
      <c r="L10" s="2218"/>
    </row>
    <row r="11" spans="1:12" ht="18.75" thickBot="1" x14ac:dyDescent="0.3">
      <c r="A11" s="449"/>
      <c r="B11" s="449"/>
      <c r="C11" s="449"/>
      <c r="D11" s="449"/>
      <c r="E11" s="449"/>
      <c r="F11" s="449"/>
      <c r="G11" s="449"/>
      <c r="H11" s="449"/>
    </row>
    <row r="12" spans="1:12" ht="13.5" thickBot="1" x14ac:dyDescent="0.25">
      <c r="H12" s="2248" t="s">
        <v>907</v>
      </c>
      <c r="I12" s="2249"/>
      <c r="J12" s="2249"/>
      <c r="K12" s="2249"/>
      <c r="L12" s="2250"/>
    </row>
    <row r="13" spans="1:12" ht="39" thickBot="1" x14ac:dyDescent="0.25">
      <c r="A13" s="240"/>
      <c r="B13" s="241"/>
      <c r="C13" s="242" t="str">
        <f>"Last Rebasing Year - "&amp;RebaseYear&amp;"- Board Approved"</f>
        <v>Last Rebasing Year - 2013- Board Approved</v>
      </c>
      <c r="D13" s="242" t="str">
        <f>"Last Rebasing Year - "&amp;RebaseYear&amp;"-  Actual"</f>
        <v>Last Rebasing Year - 2013-  Actual</v>
      </c>
      <c r="E13" s="223" t="str">
        <f>BridgeYear -2 &amp; " Actuals"</f>
        <v>2017 Actuals</v>
      </c>
      <c r="F13" s="223" t="str">
        <f>BridgeYear -1 &amp; " Actuals"</f>
        <v>2018 Actuals</v>
      </c>
      <c r="G13" s="223" t="str">
        <f>BridgeYear &amp; " Bridge Year"</f>
        <v>2019 Bridge Year</v>
      </c>
      <c r="H13" s="224" t="str">
        <f>TestYear &amp; " Test Year"</f>
        <v>2020 Test Year</v>
      </c>
      <c r="I13" s="224" t="str">
        <f>TestYear+1 &amp; " Year"</f>
        <v>2021 Year</v>
      </c>
      <c r="J13" s="224" t="str">
        <f>TestYear+2 &amp; " Year"</f>
        <v>2022 Year</v>
      </c>
      <c r="K13" s="224" t="str">
        <f>TestYear+3 &amp; " Year"</f>
        <v>2023 Year</v>
      </c>
      <c r="L13" s="224" t="str">
        <f>TestYear+4 &amp; " Year"</f>
        <v>2024 Year</v>
      </c>
    </row>
    <row r="14" spans="1:12" ht="13.5" thickBot="1" x14ac:dyDescent="0.25">
      <c r="A14" s="2240" t="s">
        <v>90</v>
      </c>
      <c r="B14" s="2241"/>
      <c r="C14" s="226"/>
      <c r="D14" s="226"/>
      <c r="E14" s="226"/>
      <c r="F14" s="226"/>
      <c r="G14" s="226"/>
      <c r="H14" s="227"/>
      <c r="I14" s="227"/>
      <c r="J14" s="227"/>
      <c r="K14" s="227"/>
      <c r="L14" s="227"/>
    </row>
    <row r="15" spans="1:12" ht="12.75" customHeight="1" x14ac:dyDescent="0.2">
      <c r="A15" s="2246" t="s">
        <v>922</v>
      </c>
      <c r="B15" s="2247"/>
      <c r="C15" s="452"/>
      <c r="D15" s="452"/>
      <c r="E15" s="452"/>
      <c r="F15" s="452"/>
      <c r="G15" s="452"/>
      <c r="H15" s="453"/>
      <c r="I15" s="453"/>
      <c r="J15" s="453"/>
      <c r="K15" s="453"/>
      <c r="L15" s="453"/>
    </row>
    <row r="16" spans="1:12" ht="15" customHeight="1" x14ac:dyDescent="0.2">
      <c r="A16" s="2236" t="s">
        <v>920</v>
      </c>
      <c r="B16" s="2237"/>
      <c r="C16" s="245"/>
      <c r="D16" s="245"/>
      <c r="E16" s="245"/>
      <c r="F16" s="245"/>
      <c r="G16" s="245"/>
      <c r="H16" s="246"/>
      <c r="I16" s="246"/>
      <c r="J16" s="246"/>
      <c r="K16" s="246"/>
      <c r="L16" s="246"/>
    </row>
    <row r="17" spans="1:12" ht="15" customHeight="1" x14ac:dyDescent="0.2">
      <c r="A17" s="2236" t="s">
        <v>921</v>
      </c>
      <c r="B17" s="2237"/>
      <c r="C17" s="245"/>
      <c r="D17" s="245"/>
      <c r="E17" s="245"/>
      <c r="F17" s="245"/>
      <c r="G17" s="245"/>
      <c r="H17" s="246"/>
      <c r="I17" s="246"/>
      <c r="J17" s="246"/>
      <c r="K17" s="246"/>
      <c r="L17" s="246"/>
    </row>
    <row r="18" spans="1:12" ht="28.5" customHeight="1" x14ac:dyDescent="0.2">
      <c r="A18" s="2236" t="s">
        <v>908</v>
      </c>
      <c r="B18" s="2237"/>
      <c r="C18" s="454">
        <f>SUM(C16:C17)</f>
        <v>0</v>
      </c>
      <c r="D18" s="454">
        <f t="shared" ref="D18:L18" si="0">SUM(D16:D17)</f>
        <v>0</v>
      </c>
      <c r="E18" s="454">
        <f t="shared" si="0"/>
        <v>0</v>
      </c>
      <c r="F18" s="454">
        <f t="shared" si="0"/>
        <v>0</v>
      </c>
      <c r="G18" s="454">
        <f t="shared" si="0"/>
        <v>0</v>
      </c>
      <c r="H18" s="454">
        <f t="shared" si="0"/>
        <v>0</v>
      </c>
      <c r="I18" s="454">
        <f t="shared" si="0"/>
        <v>0</v>
      </c>
      <c r="J18" s="454">
        <f t="shared" si="0"/>
        <v>0</v>
      </c>
      <c r="K18" s="454">
        <f t="shared" si="0"/>
        <v>0</v>
      </c>
      <c r="L18" s="454">
        <f t="shared" si="0"/>
        <v>0</v>
      </c>
    </row>
    <row r="19" spans="1:12" ht="27" customHeight="1" x14ac:dyDescent="0.2">
      <c r="A19" s="2238" t="s">
        <v>873</v>
      </c>
      <c r="B19" s="2239"/>
      <c r="C19" s="243"/>
      <c r="D19" s="243"/>
      <c r="E19" s="243"/>
      <c r="F19" s="243"/>
      <c r="G19" s="243"/>
      <c r="H19" s="244"/>
      <c r="I19" s="244"/>
      <c r="J19" s="244"/>
      <c r="K19" s="244"/>
      <c r="L19" s="244"/>
    </row>
    <row r="20" spans="1:12" ht="27" customHeight="1" x14ac:dyDescent="0.2">
      <c r="A20" s="2235" t="s">
        <v>874</v>
      </c>
      <c r="B20" s="2234"/>
      <c r="C20" s="249"/>
      <c r="D20" s="249"/>
      <c r="E20" s="249"/>
      <c r="F20" s="249"/>
      <c r="G20" s="249"/>
      <c r="H20" s="250"/>
      <c r="I20" s="250"/>
      <c r="J20" s="250"/>
      <c r="K20" s="250"/>
      <c r="L20" s="250"/>
    </row>
    <row r="21" spans="1:12" ht="27" customHeight="1" x14ac:dyDescent="0.2">
      <c r="A21" s="2235" t="s">
        <v>505</v>
      </c>
      <c r="B21" s="2234"/>
      <c r="C21" s="251" t="str">
        <f>IF(C20=0,"",C19/C20)</f>
        <v/>
      </c>
      <c r="D21" s="251" t="str">
        <f t="shared" ref="D21:L21" si="1">IF(D20=0,"",D19/D20)</f>
        <v/>
      </c>
      <c r="E21" s="251" t="str">
        <f t="shared" si="1"/>
        <v/>
      </c>
      <c r="F21" s="251" t="str">
        <f t="shared" si="1"/>
        <v/>
      </c>
      <c r="G21" s="251" t="str">
        <f t="shared" si="1"/>
        <v/>
      </c>
      <c r="H21" s="251" t="str">
        <f t="shared" si="1"/>
        <v/>
      </c>
      <c r="I21" s="251" t="str">
        <f t="shared" si="1"/>
        <v/>
      </c>
      <c r="J21" s="251" t="str">
        <f t="shared" si="1"/>
        <v/>
      </c>
      <c r="K21" s="251" t="str">
        <f t="shared" si="1"/>
        <v/>
      </c>
      <c r="L21" s="251" t="str">
        <f t="shared" si="1"/>
        <v/>
      </c>
    </row>
    <row r="22" spans="1:12" x14ac:dyDescent="0.2">
      <c r="A22" s="2235" t="s">
        <v>151</v>
      </c>
      <c r="B22" s="2234"/>
      <c r="C22" s="247"/>
      <c r="D22" s="247"/>
      <c r="E22" s="247"/>
      <c r="F22" s="247"/>
      <c r="G22" s="247"/>
      <c r="H22" s="248"/>
      <c r="I22" s="248"/>
      <c r="J22" s="248"/>
      <c r="K22" s="248"/>
      <c r="L22" s="248"/>
    </row>
    <row r="23" spans="1:12" x14ac:dyDescent="0.2">
      <c r="A23" s="2233" t="s">
        <v>913</v>
      </c>
      <c r="B23" s="2234"/>
      <c r="C23" s="222" t="str">
        <f>IF(C19=0,"",C16/C19)</f>
        <v/>
      </c>
      <c r="D23" s="222" t="str">
        <f t="shared" ref="D23:L23" si="2">IF(D19=0,"",D16/D19)</f>
        <v/>
      </c>
      <c r="E23" s="222" t="str">
        <f t="shared" si="2"/>
        <v/>
      </c>
      <c r="F23" s="222" t="str">
        <f t="shared" si="2"/>
        <v/>
      </c>
      <c r="G23" s="222" t="str">
        <f t="shared" si="2"/>
        <v/>
      </c>
      <c r="H23" s="222" t="str">
        <f t="shared" si="2"/>
        <v/>
      </c>
      <c r="I23" s="222" t="str">
        <f t="shared" si="2"/>
        <v/>
      </c>
      <c r="J23" s="222" t="str">
        <f t="shared" si="2"/>
        <v/>
      </c>
      <c r="K23" s="222" t="str">
        <f t="shared" si="2"/>
        <v/>
      </c>
      <c r="L23" s="222" t="str">
        <f t="shared" si="2"/>
        <v/>
      </c>
    </row>
    <row r="24" spans="1:12" x14ac:dyDescent="0.2">
      <c r="A24" s="451" t="s">
        <v>914</v>
      </c>
      <c r="B24" s="450"/>
      <c r="C24" s="222" t="str">
        <f>IF(C19=0,"",C17/C19)</f>
        <v/>
      </c>
      <c r="D24" s="222" t="str">
        <f t="shared" ref="D24:L24" si="3">IF(D19=0,"",D17/D19)</f>
        <v/>
      </c>
      <c r="E24" s="222" t="str">
        <f t="shared" si="3"/>
        <v/>
      </c>
      <c r="F24" s="222" t="str">
        <f t="shared" si="3"/>
        <v/>
      </c>
      <c r="G24" s="222" t="str">
        <f t="shared" si="3"/>
        <v/>
      </c>
      <c r="H24" s="222" t="str">
        <f t="shared" si="3"/>
        <v/>
      </c>
      <c r="I24" s="222" t="str">
        <f t="shared" si="3"/>
        <v/>
      </c>
      <c r="J24" s="222" t="str">
        <f t="shared" si="3"/>
        <v/>
      </c>
      <c r="K24" s="222" t="str">
        <f t="shared" si="3"/>
        <v/>
      </c>
      <c r="L24" s="222" t="str">
        <f t="shared" si="3"/>
        <v/>
      </c>
    </row>
    <row r="25" spans="1:12" x14ac:dyDescent="0.2">
      <c r="A25" s="451" t="s">
        <v>915</v>
      </c>
      <c r="B25" s="450"/>
      <c r="C25" s="222" t="str">
        <f>IF(C19=0,"",C18/C19)</f>
        <v/>
      </c>
      <c r="D25" s="222" t="str">
        <f t="shared" ref="D25:L25" si="4">IF(D19=0,"",D18/D19)</f>
        <v/>
      </c>
      <c r="E25" s="222" t="str">
        <f t="shared" si="4"/>
        <v/>
      </c>
      <c r="F25" s="222" t="str">
        <f t="shared" si="4"/>
        <v/>
      </c>
      <c r="G25" s="222" t="str">
        <f t="shared" si="4"/>
        <v/>
      </c>
      <c r="H25" s="222" t="str">
        <f t="shared" si="4"/>
        <v/>
      </c>
      <c r="I25" s="222" t="str">
        <f t="shared" si="4"/>
        <v/>
      </c>
      <c r="J25" s="222" t="str">
        <f t="shared" si="4"/>
        <v/>
      </c>
      <c r="K25" s="222" t="str">
        <f t="shared" si="4"/>
        <v/>
      </c>
      <c r="L25" s="222" t="str">
        <f t="shared" si="4"/>
        <v/>
      </c>
    </row>
    <row r="26" spans="1:12" x14ac:dyDescent="0.2">
      <c r="A26" s="2235" t="s">
        <v>916</v>
      </c>
      <c r="B26" s="2234"/>
      <c r="C26" s="251"/>
      <c r="D26" s="251"/>
      <c r="E26" s="251"/>
      <c r="F26" s="251"/>
      <c r="G26" s="251"/>
      <c r="H26" s="252"/>
      <c r="I26" s="252"/>
      <c r="J26" s="252"/>
      <c r="K26" s="252"/>
      <c r="L26" s="252"/>
    </row>
    <row r="27" spans="1:12" x14ac:dyDescent="0.2">
      <c r="A27" s="2233" t="s">
        <v>917</v>
      </c>
      <c r="B27" s="2234"/>
      <c r="C27" s="222" t="str">
        <f>IF(C20=0,"",C16/C20)</f>
        <v/>
      </c>
      <c r="D27" s="222" t="str">
        <f t="shared" ref="D27:L27" si="5">IF(D20=0,"",D16/D20)</f>
        <v/>
      </c>
      <c r="E27" s="222" t="str">
        <f t="shared" si="5"/>
        <v/>
      </c>
      <c r="F27" s="222" t="str">
        <f t="shared" si="5"/>
        <v/>
      </c>
      <c r="G27" s="222" t="str">
        <f t="shared" si="5"/>
        <v/>
      </c>
      <c r="H27" s="222" t="str">
        <f t="shared" si="5"/>
        <v/>
      </c>
      <c r="I27" s="222" t="str">
        <f t="shared" si="5"/>
        <v/>
      </c>
      <c r="J27" s="222" t="str">
        <f t="shared" si="5"/>
        <v/>
      </c>
      <c r="K27" s="222" t="str">
        <f t="shared" si="5"/>
        <v/>
      </c>
      <c r="L27" s="222" t="str">
        <f t="shared" si="5"/>
        <v/>
      </c>
    </row>
    <row r="28" spans="1:12" x14ac:dyDescent="0.2">
      <c r="A28" s="451" t="s">
        <v>918</v>
      </c>
      <c r="B28" s="450"/>
      <c r="C28" s="222" t="str">
        <f>IF(C20=0,"",C17/C20)</f>
        <v/>
      </c>
      <c r="D28" s="222" t="str">
        <f t="shared" ref="D28:L28" si="6">IF(D20=0,"",D17/D20)</f>
        <v/>
      </c>
      <c r="E28" s="222" t="str">
        <f t="shared" si="6"/>
        <v/>
      </c>
      <c r="F28" s="222" t="str">
        <f t="shared" si="6"/>
        <v/>
      </c>
      <c r="G28" s="222" t="str">
        <f t="shared" si="6"/>
        <v/>
      </c>
      <c r="H28" s="222" t="str">
        <f t="shared" si="6"/>
        <v/>
      </c>
      <c r="I28" s="222" t="str">
        <f t="shared" si="6"/>
        <v/>
      </c>
      <c r="J28" s="222" t="str">
        <f t="shared" si="6"/>
        <v/>
      </c>
      <c r="K28" s="222" t="str">
        <f t="shared" si="6"/>
        <v/>
      </c>
      <c r="L28" s="222" t="str">
        <f t="shared" si="6"/>
        <v/>
      </c>
    </row>
    <row r="29" spans="1:12" x14ac:dyDescent="0.2">
      <c r="A29" s="451" t="s">
        <v>919</v>
      </c>
      <c r="B29" s="450"/>
      <c r="C29" s="222" t="str">
        <f>IF(C20=0,"",C18/C20)</f>
        <v/>
      </c>
      <c r="D29" s="222" t="str">
        <f t="shared" ref="D29:L29" si="7">IF(D20=0,"",D18/D20)</f>
        <v/>
      </c>
      <c r="E29" s="222" t="str">
        <f t="shared" si="7"/>
        <v/>
      </c>
      <c r="F29" s="222" t="str">
        <f t="shared" si="7"/>
        <v/>
      </c>
      <c r="G29" s="222" t="str">
        <f t="shared" si="7"/>
        <v/>
      </c>
      <c r="H29" s="222" t="str">
        <f t="shared" si="7"/>
        <v/>
      </c>
      <c r="I29" s="222" t="str">
        <f t="shared" si="7"/>
        <v/>
      </c>
      <c r="J29" s="222" t="str">
        <f t="shared" si="7"/>
        <v/>
      </c>
      <c r="K29" s="222" t="str">
        <f t="shared" si="7"/>
        <v/>
      </c>
      <c r="L29" s="222" t="str">
        <f t="shared" si="7"/>
        <v/>
      </c>
    </row>
    <row r="31" spans="1:12" x14ac:dyDescent="0.2">
      <c r="A31" s="186" t="s">
        <v>6</v>
      </c>
    </row>
    <row r="33" spans="1:12" ht="12.75" customHeight="1" x14ac:dyDescent="0.2">
      <c r="A33" s="253">
        <v>1</v>
      </c>
      <c r="B33" s="2232" t="s">
        <v>166</v>
      </c>
      <c r="C33" s="2232"/>
      <c r="D33" s="2232"/>
      <c r="E33" s="2232"/>
      <c r="F33" s="2232"/>
      <c r="G33" s="2232"/>
      <c r="H33" s="2232"/>
      <c r="I33" s="2232"/>
      <c r="J33" s="2232"/>
      <c r="K33" s="2232"/>
      <c r="L33" s="2232"/>
    </row>
    <row r="34" spans="1:12" x14ac:dyDescent="0.2">
      <c r="A34" s="190"/>
      <c r="B34" s="2232"/>
      <c r="C34" s="2232"/>
      <c r="D34" s="2232"/>
      <c r="E34" s="2232"/>
      <c r="F34" s="2232"/>
      <c r="G34" s="2232"/>
      <c r="H34" s="2232"/>
      <c r="I34" s="2232"/>
      <c r="J34" s="2232"/>
      <c r="K34" s="2232"/>
      <c r="L34" s="2232"/>
    </row>
    <row r="35" spans="1:12" x14ac:dyDescent="0.2">
      <c r="A35" s="253">
        <v>2</v>
      </c>
      <c r="B35" s="2244" t="s">
        <v>923</v>
      </c>
      <c r="C35" s="2245"/>
      <c r="D35" s="2245"/>
      <c r="E35" s="2245"/>
      <c r="F35" s="2245"/>
      <c r="G35" s="2245"/>
    </row>
    <row r="36" spans="1:12" x14ac:dyDescent="0.2">
      <c r="A36" s="253">
        <v>3</v>
      </c>
      <c r="B36" s="2244" t="s">
        <v>506</v>
      </c>
      <c r="C36" s="2245"/>
      <c r="D36" s="2245"/>
      <c r="E36" s="2245"/>
      <c r="F36" s="2245"/>
      <c r="G36" s="2245"/>
    </row>
    <row r="37" spans="1:12" ht="12.75" customHeight="1" x14ac:dyDescent="0.2">
      <c r="A37" s="253">
        <v>4</v>
      </c>
      <c r="B37" s="1868" t="s">
        <v>507</v>
      </c>
      <c r="C37" s="1868"/>
      <c r="D37" s="1868"/>
      <c r="E37" s="1868"/>
      <c r="F37" s="1868"/>
      <c r="G37" s="1868"/>
      <c r="H37" s="1868"/>
      <c r="I37" s="1868"/>
      <c r="J37" s="1868"/>
      <c r="K37" s="1868"/>
      <c r="L37" s="1868"/>
    </row>
    <row r="38" spans="1:12" ht="14.25" customHeight="1" x14ac:dyDescent="0.2">
      <c r="A38" s="220">
        <v>5</v>
      </c>
      <c r="B38" s="1868" t="s">
        <v>924</v>
      </c>
      <c r="C38" s="1868"/>
      <c r="D38" s="1868"/>
      <c r="E38" s="1868"/>
      <c r="F38" s="1868"/>
      <c r="G38" s="1868"/>
      <c r="H38" s="1868"/>
      <c r="I38" s="1868"/>
      <c r="J38" s="1868"/>
      <c r="K38" s="1868"/>
      <c r="L38" s="1868"/>
    </row>
    <row r="39" spans="1:12" x14ac:dyDescent="0.2">
      <c r="B39" s="1868"/>
      <c r="C39" s="1868"/>
      <c r="D39" s="1868"/>
      <c r="E39" s="1868"/>
      <c r="F39" s="1868"/>
      <c r="G39" s="1868"/>
      <c r="H39" s="1868"/>
      <c r="I39" s="1868"/>
      <c r="J39" s="1868"/>
      <c r="K39" s="1868"/>
      <c r="L39" s="1868"/>
    </row>
  </sheetData>
  <sheetProtection algorithmName="SHA-512" hashValue="VVlUof9uaI632JOIgoWJP0uLmQZLxNI++bYwDL0ygN+tlMsd5kws15Po0VJWaqGroQIJVnyNqT0ltyG9gVEyyw==" saltValue="ujKuiOCwFdvddc+WwEcjJA==" spinCount="100000" sheet="1" objects="1" scenarios="1"/>
  <mergeCells count="20">
    <mergeCell ref="B38:L39"/>
    <mergeCell ref="B37:L37"/>
    <mergeCell ref="B33:L34"/>
    <mergeCell ref="A20:B20"/>
    <mergeCell ref="A19:B19"/>
    <mergeCell ref="A21:B21"/>
    <mergeCell ref="A27:B27"/>
    <mergeCell ref="A9:L9"/>
    <mergeCell ref="A10:L10"/>
    <mergeCell ref="B35:G35"/>
    <mergeCell ref="B36:G36"/>
    <mergeCell ref="A22:B22"/>
    <mergeCell ref="A23:B23"/>
    <mergeCell ref="A26:B26"/>
    <mergeCell ref="A15:B15"/>
    <mergeCell ref="A14:B14"/>
    <mergeCell ref="H12:L12"/>
    <mergeCell ref="A16:B16"/>
    <mergeCell ref="A17:B17"/>
    <mergeCell ref="A18:B18"/>
  </mergeCells>
  <phoneticPr fontId="13" type="noConversion"/>
  <dataValidations count="2">
    <dataValidation allowBlank="1" showInputMessage="1" showErrorMessage="1" promptTitle="Date Format" prompt="E.g:  &quot;August 1, 2011&quot;" sqref="L7" xr:uid="{00000000-0002-0000-2500-000000000000}"/>
    <dataValidation type="list" allowBlank="1" showInputMessage="1" showErrorMessage="1" sqref="C14:L14" xr:uid="{00000000-0002-0000-2500-000001000000}">
      <formula1>"CGAAP, MIFRS, USGAAP, ASPE"</formula1>
    </dataValidation>
  </dataValidations>
  <pageMargins left="0.75" right="0.75" top="1" bottom="1" header="0.5" footer="0.5"/>
  <pageSetup scale="74"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
    <tabColor theme="7" tint="0.39997558519241921"/>
    <pageSetUpPr fitToPage="1"/>
  </sheetPr>
  <dimension ref="A1:L96"/>
  <sheetViews>
    <sheetView showGridLines="0" zoomScaleNormal="100" workbookViewId="0">
      <selection activeCell="K7" sqref="K7"/>
    </sheetView>
  </sheetViews>
  <sheetFormatPr defaultColWidth="9.28515625" defaultRowHeight="12.75" x14ac:dyDescent="0.2"/>
  <cols>
    <col min="1" max="1" width="4.28515625" style="1" customWidth="1"/>
    <col min="2" max="2" width="40.7109375" style="1" customWidth="1"/>
    <col min="3" max="3" width="17.7109375" style="1" customWidth="1"/>
    <col min="4" max="4" width="15.7109375" style="1" customWidth="1"/>
    <col min="5" max="8" width="13.7109375" style="1" customWidth="1"/>
    <col min="9" max="9" width="17" style="1" customWidth="1"/>
    <col min="10" max="10" width="12.7109375" style="1" customWidth="1"/>
    <col min="11" max="11" width="15.7109375" style="1" bestFit="1" customWidth="1"/>
    <col min="12" max="12" width="10.7109375" style="1" customWidth="1"/>
    <col min="13" max="16384" width="9.28515625" style="1"/>
  </cols>
  <sheetData>
    <row r="1" spans="1:12" x14ac:dyDescent="0.2">
      <c r="J1" s="993" t="s">
        <v>264</v>
      </c>
      <c r="K1" s="875" t="str">
        <f>EBNUMBER</f>
        <v>EB-2019-0037</v>
      </c>
    </row>
    <row r="2" spans="1:12" x14ac:dyDescent="0.2">
      <c r="J2" s="993" t="s">
        <v>265</v>
      </c>
      <c r="K2" s="41"/>
    </row>
    <row r="3" spans="1:12" x14ac:dyDescent="0.2">
      <c r="J3" s="993" t="s">
        <v>266</v>
      </c>
      <c r="K3" s="41"/>
    </row>
    <row r="4" spans="1:12" ht="15" x14ac:dyDescent="0.25">
      <c r="A4" s="1038" t="s">
        <v>1143</v>
      </c>
      <c r="J4" s="993" t="s">
        <v>267</v>
      </c>
      <c r="K4" s="41"/>
    </row>
    <row r="5" spans="1:12" x14ac:dyDescent="0.2">
      <c r="J5" s="993" t="s">
        <v>268</v>
      </c>
      <c r="K5" s="42"/>
    </row>
    <row r="6" spans="1:12" x14ac:dyDescent="0.2">
      <c r="J6" s="993"/>
      <c r="K6" s="875"/>
    </row>
    <row r="7" spans="1:12" x14ac:dyDescent="0.2">
      <c r="J7" s="993" t="s">
        <v>269</v>
      </c>
      <c r="K7" s="1448"/>
    </row>
    <row r="9" spans="1:12" ht="18" x14ac:dyDescent="0.25">
      <c r="A9" s="1856" t="s">
        <v>27</v>
      </c>
      <c r="B9" s="1856"/>
      <c r="C9" s="1856"/>
      <c r="D9" s="1856"/>
      <c r="E9" s="1856"/>
      <c r="F9" s="1856"/>
      <c r="G9" s="1856"/>
      <c r="H9" s="1856"/>
      <c r="I9" s="1856"/>
      <c r="J9" s="1856"/>
      <c r="K9" s="1856"/>
    </row>
    <row r="10" spans="1:12" ht="18" x14ac:dyDescent="0.25">
      <c r="A10" s="1856" t="s">
        <v>88</v>
      </c>
      <c r="B10" s="1856"/>
      <c r="C10" s="1856"/>
      <c r="D10" s="1856"/>
      <c r="E10" s="1856"/>
      <c r="F10" s="1856"/>
      <c r="G10" s="1856"/>
      <c r="H10" s="1856"/>
      <c r="I10" s="1856"/>
      <c r="J10" s="1856"/>
      <c r="K10" s="1856"/>
    </row>
    <row r="12" spans="1:12" ht="13.5" thickBot="1" x14ac:dyDescent="0.25"/>
    <row r="13" spans="1:12" ht="63.75" x14ac:dyDescent="0.2">
      <c r="A13" s="2253" t="s">
        <v>104</v>
      </c>
      <c r="B13" s="2254"/>
      <c r="C13" s="1193" t="s">
        <v>105</v>
      </c>
      <c r="D13" s="1193" t="s">
        <v>108</v>
      </c>
      <c r="E13" s="1194" t="str">
        <f>"Last Rebasing Year (" &amp; RebaseYear &amp; " OEB Approved)"</f>
        <v>Last Rebasing Year (2013 OEB Approved)</v>
      </c>
      <c r="F13" s="1194" t="str">
        <f>"Last Rebasing Year (" &amp; RebaseYear &amp; " Actual)"</f>
        <v>Last Rebasing Year (2013 Actual)</v>
      </c>
      <c r="G13" s="1194" t="str">
        <f>"Most Current Actuals Year " &amp; TestYear - 2</f>
        <v>Most Current Actuals Year 2018</v>
      </c>
      <c r="H13" s="1194" t="str">
        <f>TestYear -1 &amp; " Bridge Year"</f>
        <v>2019 Bridge Year</v>
      </c>
      <c r="I13" s="1193" t="s">
        <v>106</v>
      </c>
      <c r="J13" s="1194" t="str">
        <f>TestYear &amp; " Test Year"</f>
        <v>2020 Test Year</v>
      </c>
      <c r="K13" s="1195" t="s">
        <v>106</v>
      </c>
    </row>
    <row r="14" spans="1:12" x14ac:dyDescent="0.2">
      <c r="A14" s="2255" t="s">
        <v>16</v>
      </c>
      <c r="B14" s="2256"/>
      <c r="C14" s="1196" t="s">
        <v>17</v>
      </c>
      <c r="D14" s="1196" t="s">
        <v>107</v>
      </c>
      <c r="E14" s="1197" t="s">
        <v>18</v>
      </c>
      <c r="F14" s="1197" t="s">
        <v>19</v>
      </c>
      <c r="G14" s="1197" t="s">
        <v>109</v>
      </c>
      <c r="H14" s="1197" t="s">
        <v>110</v>
      </c>
      <c r="I14" s="1197" t="s">
        <v>1108</v>
      </c>
      <c r="J14" s="1197" t="s">
        <v>1109</v>
      </c>
      <c r="K14" s="1198" t="s">
        <v>1110</v>
      </c>
    </row>
    <row r="15" spans="1:12" x14ac:dyDescent="0.2">
      <c r="A15" s="2257" t="s">
        <v>1106</v>
      </c>
      <c r="B15" s="2258"/>
      <c r="C15" s="1196"/>
      <c r="D15" s="1196"/>
      <c r="E15" s="1196"/>
      <c r="F15" s="1196"/>
      <c r="G15" s="1196"/>
      <c r="H15" s="1196"/>
      <c r="I15" s="1196"/>
      <c r="J15" s="1196"/>
      <c r="K15" s="1199"/>
    </row>
    <row r="16" spans="1:12" x14ac:dyDescent="0.2">
      <c r="A16" s="1200">
        <v>1</v>
      </c>
      <c r="B16" s="1201" t="s">
        <v>111</v>
      </c>
      <c r="C16" s="1587">
        <v>5655</v>
      </c>
      <c r="D16" s="1588"/>
      <c r="E16" s="1588">
        <v>160000</v>
      </c>
      <c r="F16" s="1588">
        <v>138551</v>
      </c>
      <c r="G16" s="1588">
        <v>201856.99</v>
      </c>
      <c r="H16" s="1588">
        <v>202788</v>
      </c>
      <c r="I16" s="1202">
        <f>IF(G16=0,"",(H16-G16)/G16)</f>
        <v>4.6122257148489597E-3</v>
      </c>
      <c r="J16" s="1588">
        <v>210000</v>
      </c>
      <c r="K16" s="1203">
        <f>IF(H16=0,"",(J16-H16)/H16)</f>
        <v>3.5564234570092904E-2</v>
      </c>
      <c r="L16" s="859"/>
    </row>
    <row r="17" spans="1:12" x14ac:dyDescent="0.2">
      <c r="A17" s="1200">
        <v>2</v>
      </c>
      <c r="B17" s="1201" t="s">
        <v>112</v>
      </c>
      <c r="C17" s="1587">
        <v>5655</v>
      </c>
      <c r="D17" s="1588"/>
      <c r="E17" s="1588">
        <v>15000</v>
      </c>
      <c r="F17" s="1588">
        <v>3499.09</v>
      </c>
      <c r="G17" s="1588">
        <v>3756.23</v>
      </c>
      <c r="H17" s="1588">
        <v>1853.48</v>
      </c>
      <c r="I17" s="1202">
        <f t="shared" ref="I17:I45" si="0">IF(G17=0,"",(H17-G17)/G17)</f>
        <v>-0.50655843758236319</v>
      </c>
      <c r="J17" s="1588">
        <v>5000</v>
      </c>
      <c r="K17" s="1203">
        <f t="shared" ref="K17:K45" si="1">IF(H17=0,"",(J17-H17)/H17)</f>
        <v>1.697628245246779</v>
      </c>
      <c r="L17" s="859"/>
    </row>
    <row r="18" spans="1:12" ht="12.75" customHeight="1" x14ac:dyDescent="0.2">
      <c r="A18" s="1200">
        <v>3</v>
      </c>
      <c r="B18" s="1201" t="s">
        <v>113</v>
      </c>
      <c r="C18" s="1587">
        <v>5655</v>
      </c>
      <c r="D18" s="1588"/>
      <c r="E18" s="1588"/>
      <c r="F18" s="1588"/>
      <c r="G18" s="1588"/>
      <c r="H18" s="1588"/>
      <c r="I18" s="1202" t="str">
        <f t="shared" si="0"/>
        <v/>
      </c>
      <c r="J18" s="1588"/>
      <c r="K18" s="1203" t="str">
        <f t="shared" si="1"/>
        <v/>
      </c>
      <c r="L18" s="859"/>
    </row>
    <row r="19" spans="1:12" x14ac:dyDescent="0.2">
      <c r="A19" s="1200">
        <v>4</v>
      </c>
      <c r="B19" s="1201" t="s">
        <v>114</v>
      </c>
      <c r="C19" s="1587">
        <v>5655</v>
      </c>
      <c r="D19" s="1588"/>
      <c r="E19" s="1588"/>
      <c r="F19" s="1588"/>
      <c r="G19" s="1588">
        <v>550</v>
      </c>
      <c r="H19" s="1588">
        <v>3577</v>
      </c>
      <c r="I19" s="1202">
        <f t="shared" si="0"/>
        <v>5.5036363636363639</v>
      </c>
      <c r="J19" s="1588">
        <v>5000</v>
      </c>
      <c r="K19" s="1203">
        <f t="shared" si="1"/>
        <v>0.39781940173329605</v>
      </c>
      <c r="L19" s="859"/>
    </row>
    <row r="20" spans="1:12" x14ac:dyDescent="0.2">
      <c r="A20" s="1200">
        <v>5</v>
      </c>
      <c r="B20" s="1201" t="s">
        <v>115</v>
      </c>
      <c r="C20" s="1587">
        <v>5655</v>
      </c>
      <c r="D20" s="1588"/>
      <c r="E20" s="1588"/>
      <c r="F20" s="1588">
        <v>13306.09</v>
      </c>
      <c r="G20" s="1588">
        <v>1537.5</v>
      </c>
      <c r="H20" s="1588">
        <v>900</v>
      </c>
      <c r="I20" s="1202">
        <f t="shared" si="0"/>
        <v>-0.41463414634146339</v>
      </c>
      <c r="J20" s="1588">
        <v>5000</v>
      </c>
      <c r="K20" s="1203">
        <f t="shared" si="1"/>
        <v>4.5555555555555554</v>
      </c>
      <c r="L20" s="859"/>
    </row>
    <row r="21" spans="1:12" ht="25.5" customHeight="1" x14ac:dyDescent="0.2">
      <c r="A21" s="1200">
        <v>6</v>
      </c>
      <c r="B21" s="1201" t="s">
        <v>116</v>
      </c>
      <c r="C21" s="1587">
        <v>5655</v>
      </c>
      <c r="D21" s="1588"/>
      <c r="E21" s="1588">
        <v>144339</v>
      </c>
      <c r="F21" s="1588">
        <v>150263.52000000002</v>
      </c>
      <c r="G21" s="1588">
        <v>285977.11000000004</v>
      </c>
      <c r="H21" s="1588">
        <v>274310.04000000004</v>
      </c>
      <c r="I21" s="1202">
        <f t="shared" si="0"/>
        <v>-4.0797216252727378E-2</v>
      </c>
      <c r="J21" s="1588">
        <v>334576</v>
      </c>
      <c r="K21" s="1203">
        <f t="shared" si="1"/>
        <v>0.21970016117528893</v>
      </c>
      <c r="L21" s="859"/>
    </row>
    <row r="22" spans="1:12" ht="32.450000000000003" customHeight="1" x14ac:dyDescent="0.2">
      <c r="A22" s="1200">
        <v>7</v>
      </c>
      <c r="B22" s="1201" t="s">
        <v>81</v>
      </c>
      <c r="C22" s="1587">
        <v>5655</v>
      </c>
      <c r="D22" s="1588"/>
      <c r="E22" s="1588"/>
      <c r="F22" s="1588"/>
      <c r="G22" s="1588"/>
      <c r="H22" s="1588"/>
      <c r="I22" s="1202" t="str">
        <f t="shared" si="0"/>
        <v/>
      </c>
      <c r="J22" s="1588"/>
      <c r="K22" s="1203" t="str">
        <f t="shared" si="1"/>
        <v/>
      </c>
      <c r="L22" s="859"/>
    </row>
    <row r="23" spans="1:12" ht="13.5" customHeight="1" x14ac:dyDescent="0.2">
      <c r="A23" s="1200">
        <v>8</v>
      </c>
      <c r="B23" s="1201" t="s">
        <v>117</v>
      </c>
      <c r="C23" s="1587">
        <v>5655</v>
      </c>
      <c r="D23" s="1588"/>
      <c r="E23" s="1588"/>
      <c r="F23" s="1588"/>
      <c r="G23" s="1588"/>
      <c r="H23" s="1588"/>
      <c r="I23" s="1202" t="str">
        <f t="shared" si="0"/>
        <v/>
      </c>
      <c r="J23" s="1588"/>
      <c r="K23" s="1203" t="str">
        <f t="shared" si="1"/>
        <v/>
      </c>
      <c r="L23" s="859"/>
    </row>
    <row r="24" spans="1:12" ht="25.5" x14ac:dyDescent="0.2">
      <c r="A24" s="1200">
        <v>9</v>
      </c>
      <c r="B24" s="1201" t="s">
        <v>118</v>
      </c>
      <c r="C24" s="1587">
        <v>5655</v>
      </c>
      <c r="D24" s="1588"/>
      <c r="E24" s="1588"/>
      <c r="F24" s="1588"/>
      <c r="G24" s="1588"/>
      <c r="H24" s="1588"/>
      <c r="I24" s="1202" t="str">
        <f t="shared" si="0"/>
        <v/>
      </c>
      <c r="J24" s="1588"/>
      <c r="K24" s="1203" t="str">
        <f t="shared" si="1"/>
        <v/>
      </c>
      <c r="L24" s="859"/>
    </row>
    <row r="25" spans="1:12" x14ac:dyDescent="0.2">
      <c r="A25" s="1200">
        <v>10</v>
      </c>
      <c r="B25" s="1204" t="s">
        <v>119</v>
      </c>
      <c r="C25" s="832">
        <v>5655</v>
      </c>
      <c r="D25" s="1589"/>
      <c r="E25" s="1589"/>
      <c r="F25" s="1589"/>
      <c r="G25" s="1589"/>
      <c r="H25" s="1589"/>
      <c r="I25" s="1202" t="str">
        <f t="shared" si="0"/>
        <v/>
      </c>
      <c r="J25" s="1589"/>
      <c r="K25" s="1203" t="str">
        <f t="shared" si="1"/>
        <v/>
      </c>
      <c r="L25" s="859"/>
    </row>
    <row r="26" spans="1:12" x14ac:dyDescent="0.2">
      <c r="A26" s="1200">
        <v>11</v>
      </c>
      <c r="B26" s="833" t="s">
        <v>1456</v>
      </c>
      <c r="C26" s="832"/>
      <c r="D26" s="1589"/>
      <c r="E26" s="1589">
        <v>55000</v>
      </c>
      <c r="F26" s="1589">
        <v>45241.94</v>
      </c>
      <c r="G26" s="1589">
        <v>45241.94000000001</v>
      </c>
      <c r="H26" s="1589">
        <v>45241.94</v>
      </c>
      <c r="I26" s="1202">
        <f t="shared" si="0"/>
        <v>-1.6082328950048173E-16</v>
      </c>
      <c r="J26" s="1589">
        <v>48000</v>
      </c>
      <c r="K26" s="1203">
        <f t="shared" si="1"/>
        <v>6.0962460937793506E-2</v>
      </c>
      <c r="L26" s="859"/>
    </row>
    <row r="27" spans="1:12" x14ac:dyDescent="0.2">
      <c r="A27" s="1200">
        <v>12</v>
      </c>
      <c r="B27" s="832"/>
      <c r="C27" s="1513"/>
      <c r="D27" s="1513"/>
      <c r="E27" s="1513"/>
      <c r="F27" s="1513"/>
      <c r="G27" s="1513"/>
      <c r="H27" s="1513"/>
      <c r="I27" s="1202" t="str">
        <f t="shared" si="0"/>
        <v/>
      </c>
      <c r="J27" s="1515"/>
      <c r="K27" s="1203" t="str">
        <f t="shared" si="1"/>
        <v/>
      </c>
      <c r="L27" s="859"/>
    </row>
    <row r="28" spans="1:12" x14ac:dyDescent="0.2">
      <c r="A28" s="1200">
        <v>13</v>
      </c>
      <c r="B28" s="832"/>
      <c r="C28" s="1513"/>
      <c r="D28" s="1513"/>
      <c r="E28" s="1513"/>
      <c r="F28" s="1513"/>
      <c r="G28" s="1513"/>
      <c r="H28" s="1513"/>
      <c r="I28" s="1202" t="str">
        <f t="shared" si="0"/>
        <v/>
      </c>
      <c r="J28" s="1515"/>
      <c r="K28" s="1203" t="str">
        <f t="shared" si="1"/>
        <v/>
      </c>
      <c r="L28" s="859"/>
    </row>
    <row r="29" spans="1:12" x14ac:dyDescent="0.2">
      <c r="A29" s="1200">
        <v>14</v>
      </c>
      <c r="B29" s="832"/>
      <c r="C29" s="1513"/>
      <c r="D29" s="1513"/>
      <c r="E29" s="1513"/>
      <c r="F29" s="1513"/>
      <c r="G29" s="1513"/>
      <c r="H29" s="1513"/>
      <c r="I29" s="1202" t="str">
        <f t="shared" si="0"/>
        <v/>
      </c>
      <c r="J29" s="1515"/>
      <c r="K29" s="1203" t="str">
        <f t="shared" si="1"/>
        <v/>
      </c>
      <c r="L29" s="859"/>
    </row>
    <row r="30" spans="1:12" x14ac:dyDescent="0.2">
      <c r="A30" s="1200">
        <v>15</v>
      </c>
      <c r="B30" s="832"/>
      <c r="C30" s="1513"/>
      <c r="D30" s="1513"/>
      <c r="E30" s="1513"/>
      <c r="F30" s="1513"/>
      <c r="G30" s="1513"/>
      <c r="H30" s="1513"/>
      <c r="I30" s="1202" t="str">
        <f t="shared" si="0"/>
        <v/>
      </c>
      <c r="J30" s="1515"/>
      <c r="K30" s="1203" t="str">
        <f t="shared" si="1"/>
        <v/>
      </c>
      <c r="L30" s="859"/>
    </row>
    <row r="31" spans="1:12" x14ac:dyDescent="0.2">
      <c r="A31" s="1200">
        <v>16</v>
      </c>
      <c r="B31" s="832"/>
      <c r="C31" s="1513"/>
      <c r="D31" s="1513"/>
      <c r="E31" s="1513"/>
      <c r="F31" s="1513"/>
      <c r="G31" s="1513"/>
      <c r="H31" s="1513"/>
      <c r="I31" s="1202" t="str">
        <f t="shared" si="0"/>
        <v/>
      </c>
      <c r="J31" s="1515"/>
      <c r="K31" s="1203" t="str">
        <f t="shared" si="1"/>
        <v/>
      </c>
      <c r="L31" s="859"/>
    </row>
    <row r="32" spans="1:12" x14ac:dyDescent="0.2">
      <c r="A32" s="1200">
        <v>17</v>
      </c>
      <c r="B32" s="832"/>
      <c r="C32" s="1513"/>
      <c r="D32" s="1513"/>
      <c r="E32" s="1513"/>
      <c r="F32" s="1513"/>
      <c r="G32" s="1513"/>
      <c r="H32" s="1513"/>
      <c r="I32" s="1202" t="str">
        <f t="shared" si="0"/>
        <v/>
      </c>
      <c r="J32" s="1515"/>
      <c r="K32" s="1203" t="str">
        <f t="shared" si="1"/>
        <v/>
      </c>
      <c r="L32" s="859"/>
    </row>
    <row r="33" spans="1:12" x14ac:dyDescent="0.2">
      <c r="A33" s="1200">
        <v>18</v>
      </c>
      <c r="B33" s="832"/>
      <c r="C33" s="1513"/>
      <c r="D33" s="1513"/>
      <c r="E33" s="1513"/>
      <c r="F33" s="1513"/>
      <c r="G33" s="1513"/>
      <c r="H33" s="1513"/>
      <c r="I33" s="1202" t="str">
        <f t="shared" si="0"/>
        <v/>
      </c>
      <c r="J33" s="1515"/>
      <c r="K33" s="1203" t="str">
        <f t="shared" si="1"/>
        <v/>
      </c>
      <c r="L33" s="859"/>
    </row>
    <row r="34" spans="1:12" x14ac:dyDescent="0.2">
      <c r="A34" s="1200">
        <v>19</v>
      </c>
      <c r="B34" s="832"/>
      <c r="C34" s="1513"/>
      <c r="D34" s="1513"/>
      <c r="E34" s="1513"/>
      <c r="F34" s="1513"/>
      <c r="G34" s="1513"/>
      <c r="H34" s="1513"/>
      <c r="I34" s="1202" t="str">
        <f t="shared" si="0"/>
        <v/>
      </c>
      <c r="J34" s="1515"/>
      <c r="K34" s="1203" t="str">
        <f t="shared" si="1"/>
        <v/>
      </c>
      <c r="L34" s="859"/>
    </row>
    <row r="35" spans="1:12" x14ac:dyDescent="0.2">
      <c r="A35" s="1200">
        <v>20</v>
      </c>
      <c r="B35" s="832"/>
      <c r="C35" s="1513"/>
      <c r="D35" s="1513"/>
      <c r="E35" s="1513"/>
      <c r="F35" s="1513"/>
      <c r="G35" s="1513"/>
      <c r="H35" s="1513"/>
      <c r="I35" s="1202" t="str">
        <f t="shared" si="0"/>
        <v/>
      </c>
      <c r="J35" s="1515"/>
      <c r="K35" s="1203" t="str">
        <f t="shared" si="1"/>
        <v/>
      </c>
      <c r="L35" s="859"/>
    </row>
    <row r="36" spans="1:12" x14ac:dyDescent="0.2">
      <c r="A36" s="1200">
        <v>21</v>
      </c>
      <c r="B36" s="832"/>
      <c r="C36" s="1513"/>
      <c r="D36" s="1513"/>
      <c r="E36" s="1513"/>
      <c r="F36" s="1513"/>
      <c r="G36" s="1513"/>
      <c r="H36" s="1513"/>
      <c r="I36" s="1202" t="str">
        <f t="shared" si="0"/>
        <v/>
      </c>
      <c r="J36" s="1515"/>
      <c r="K36" s="1203" t="str">
        <f t="shared" si="1"/>
        <v/>
      </c>
      <c r="L36" s="859"/>
    </row>
    <row r="37" spans="1:12" x14ac:dyDescent="0.2">
      <c r="A37" s="1200">
        <v>22</v>
      </c>
      <c r="B37" s="832"/>
      <c r="C37" s="1513"/>
      <c r="D37" s="1513"/>
      <c r="E37" s="1513"/>
      <c r="F37" s="1513"/>
      <c r="G37" s="1513"/>
      <c r="H37" s="1513"/>
      <c r="I37" s="1202" t="str">
        <f t="shared" si="0"/>
        <v/>
      </c>
      <c r="J37" s="1515"/>
      <c r="K37" s="1203" t="str">
        <f t="shared" si="1"/>
        <v/>
      </c>
      <c r="L37" s="859"/>
    </row>
    <row r="38" spans="1:12" x14ac:dyDescent="0.2">
      <c r="A38" s="1200">
        <v>23</v>
      </c>
      <c r="B38" s="832"/>
      <c r="C38" s="1513"/>
      <c r="D38" s="1513"/>
      <c r="E38" s="1513"/>
      <c r="F38" s="1513"/>
      <c r="G38" s="1513"/>
      <c r="H38" s="1513"/>
      <c r="I38" s="1202" t="str">
        <f t="shared" si="0"/>
        <v/>
      </c>
      <c r="J38" s="1515"/>
      <c r="K38" s="1203" t="str">
        <f t="shared" si="1"/>
        <v/>
      </c>
      <c r="L38" s="859"/>
    </row>
    <row r="39" spans="1:12" x14ac:dyDescent="0.2">
      <c r="A39" s="1200">
        <v>24</v>
      </c>
      <c r="B39" s="832"/>
      <c r="C39" s="1513"/>
      <c r="D39" s="1513"/>
      <c r="E39" s="1513"/>
      <c r="F39" s="1513"/>
      <c r="G39" s="1513"/>
      <c r="H39" s="1513"/>
      <c r="I39" s="1202" t="str">
        <f t="shared" si="0"/>
        <v/>
      </c>
      <c r="J39" s="1515"/>
      <c r="K39" s="1203" t="str">
        <f t="shared" si="1"/>
        <v/>
      </c>
      <c r="L39" s="859"/>
    </row>
    <row r="40" spans="1:12" x14ac:dyDescent="0.2">
      <c r="A40" s="1200">
        <v>25</v>
      </c>
      <c r="B40" s="832"/>
      <c r="C40" s="1513"/>
      <c r="D40" s="1513"/>
      <c r="E40" s="1513"/>
      <c r="F40" s="1513"/>
      <c r="G40" s="1513"/>
      <c r="H40" s="1513"/>
      <c r="I40" s="1202" t="str">
        <f t="shared" si="0"/>
        <v/>
      </c>
      <c r="J40" s="1515"/>
      <c r="K40" s="1203" t="str">
        <f t="shared" si="1"/>
        <v/>
      </c>
      <c r="L40" s="859"/>
    </row>
    <row r="41" spans="1:12" x14ac:dyDescent="0.2">
      <c r="A41" s="1200">
        <v>26</v>
      </c>
      <c r="B41" s="832"/>
      <c r="C41" s="1513"/>
      <c r="D41" s="1513"/>
      <c r="E41" s="1513"/>
      <c r="F41" s="1513"/>
      <c r="G41" s="1513"/>
      <c r="H41" s="1513"/>
      <c r="I41" s="1202" t="str">
        <f t="shared" si="0"/>
        <v/>
      </c>
      <c r="J41" s="1515"/>
      <c r="K41" s="1203" t="str">
        <f t="shared" si="1"/>
        <v/>
      </c>
      <c r="L41" s="859"/>
    </row>
    <row r="42" spans="1:12" x14ac:dyDescent="0.2">
      <c r="A42" s="1200">
        <v>27</v>
      </c>
      <c r="B42" s="832"/>
      <c r="C42" s="1513"/>
      <c r="D42" s="1513"/>
      <c r="E42" s="1513"/>
      <c r="F42" s="1513"/>
      <c r="G42" s="1513"/>
      <c r="H42" s="1513"/>
      <c r="I42" s="1202" t="str">
        <f t="shared" si="0"/>
        <v/>
      </c>
      <c r="J42" s="1515"/>
      <c r="K42" s="1203" t="str">
        <f t="shared" si="1"/>
        <v/>
      </c>
      <c r="L42" s="859"/>
    </row>
    <row r="43" spans="1:12" x14ac:dyDescent="0.2">
      <c r="A43" s="1200">
        <v>28</v>
      </c>
      <c r="B43" s="832"/>
      <c r="C43" s="1513"/>
      <c r="D43" s="1513"/>
      <c r="E43" s="1513"/>
      <c r="F43" s="1513"/>
      <c r="G43" s="1513"/>
      <c r="H43" s="1513"/>
      <c r="I43" s="1202" t="str">
        <f t="shared" si="0"/>
        <v/>
      </c>
      <c r="J43" s="1515"/>
      <c r="K43" s="1203" t="str">
        <f t="shared" si="1"/>
        <v/>
      </c>
      <c r="L43" s="859"/>
    </row>
    <row r="44" spans="1:12" x14ac:dyDescent="0.2">
      <c r="A44" s="1200">
        <v>29</v>
      </c>
      <c r="B44" s="832"/>
      <c r="C44" s="1513"/>
      <c r="D44" s="1513"/>
      <c r="E44" s="1513"/>
      <c r="F44" s="1513"/>
      <c r="G44" s="1513"/>
      <c r="H44" s="1513"/>
      <c r="I44" s="1202" t="str">
        <f t="shared" si="0"/>
        <v/>
      </c>
      <c r="J44" s="1515"/>
      <c r="K44" s="1203" t="str">
        <f t="shared" si="1"/>
        <v/>
      </c>
      <c r="L44" s="859"/>
    </row>
    <row r="45" spans="1:12" x14ac:dyDescent="0.2">
      <c r="A45" s="1200">
        <v>30</v>
      </c>
      <c r="B45" s="832"/>
      <c r="C45" s="1513"/>
      <c r="D45" s="1513"/>
      <c r="E45" s="1513"/>
      <c r="F45" s="1513"/>
      <c r="G45" s="1513"/>
      <c r="H45" s="1513"/>
      <c r="I45" s="1202" t="str">
        <f t="shared" si="0"/>
        <v/>
      </c>
      <c r="J45" s="1515"/>
      <c r="K45" s="1203" t="str">
        <f t="shared" si="1"/>
        <v/>
      </c>
      <c r="L45" s="859"/>
    </row>
    <row r="46" spans="1:12" x14ac:dyDescent="0.2">
      <c r="A46" s="2251" t="s">
        <v>1107</v>
      </c>
      <c r="B46" s="2252"/>
      <c r="C46" s="1205"/>
      <c r="D46" s="1206"/>
      <c r="E46" s="1206"/>
      <c r="F46" s="1206"/>
      <c r="G46" s="1206"/>
      <c r="H46" s="1206"/>
      <c r="I46" s="1207"/>
      <c r="J46" s="1206"/>
      <c r="K46" s="1208"/>
      <c r="L46" s="859"/>
    </row>
    <row r="47" spans="1:12" x14ac:dyDescent="0.2">
      <c r="A47" s="1209">
        <v>1</v>
      </c>
      <c r="B47" s="1210" t="s">
        <v>511</v>
      </c>
      <c r="C47" s="832">
        <v>5655</v>
      </c>
      <c r="D47" s="1589"/>
      <c r="E47" s="1589">
        <v>20000</v>
      </c>
      <c r="F47" s="1589"/>
      <c r="G47" s="1589"/>
      <c r="H47" s="1589"/>
      <c r="I47" s="1202" t="str">
        <f t="shared" ref="I47:I79" si="2">IF(G47=0,"",(H47-G47)/G47)</f>
        <v/>
      </c>
      <c r="J47" s="1589"/>
      <c r="K47" s="1203" t="str">
        <f t="shared" ref="K47:K79" si="3">IF(H47=0,"",(J47-H47)/H47)</f>
        <v/>
      </c>
      <c r="L47" s="859"/>
    </row>
    <row r="48" spans="1:12" x14ac:dyDescent="0.2">
      <c r="A48" s="1209">
        <v>2</v>
      </c>
      <c r="B48" s="1210" t="s">
        <v>512</v>
      </c>
      <c r="C48" s="832">
        <v>5655</v>
      </c>
      <c r="D48" s="1589"/>
      <c r="E48" s="1589">
        <v>8000</v>
      </c>
      <c r="F48" s="1589">
        <v>66112</v>
      </c>
      <c r="G48" s="1589"/>
      <c r="H48" s="1589"/>
      <c r="I48" s="1202" t="str">
        <f t="shared" si="2"/>
        <v/>
      </c>
      <c r="J48" s="1589">
        <v>60000</v>
      </c>
      <c r="K48" s="1203" t="str">
        <f t="shared" si="3"/>
        <v/>
      </c>
      <c r="L48" s="859"/>
    </row>
    <row r="49" spans="1:12" x14ac:dyDescent="0.2">
      <c r="A49" s="1209">
        <v>3</v>
      </c>
      <c r="B49" s="1211" t="s">
        <v>510</v>
      </c>
      <c r="C49" s="832">
        <v>5655</v>
      </c>
      <c r="D49" s="1589"/>
      <c r="E49" s="1589">
        <v>175000</v>
      </c>
      <c r="F49" s="1589">
        <v>41525.29</v>
      </c>
      <c r="G49" s="1589"/>
      <c r="H49" s="1589"/>
      <c r="I49" s="1202" t="str">
        <f t="shared" si="2"/>
        <v/>
      </c>
      <c r="J49" s="1589">
        <v>220000</v>
      </c>
      <c r="K49" s="1203" t="str">
        <f t="shared" si="3"/>
        <v/>
      </c>
      <c r="L49" s="859"/>
    </row>
    <row r="50" spans="1:12" ht="38.25" x14ac:dyDescent="0.2">
      <c r="A50" s="1209">
        <v>4</v>
      </c>
      <c r="B50" s="1211" t="s">
        <v>508</v>
      </c>
      <c r="C50" s="832" t="s">
        <v>1607</v>
      </c>
      <c r="D50" s="1589"/>
      <c r="E50" s="1589"/>
      <c r="F50" s="1589">
        <v>48275.209999999992</v>
      </c>
      <c r="G50" s="1589"/>
      <c r="H50" s="1589"/>
      <c r="I50" s="1202" t="str">
        <f t="shared" si="2"/>
        <v/>
      </c>
      <c r="J50" s="1589">
        <v>95000</v>
      </c>
      <c r="K50" s="1203" t="str">
        <f t="shared" si="3"/>
        <v/>
      </c>
      <c r="L50" s="859"/>
    </row>
    <row r="51" spans="1:12" ht="39.75" x14ac:dyDescent="0.2">
      <c r="A51" s="1209">
        <v>5</v>
      </c>
      <c r="B51" s="1211" t="s">
        <v>509</v>
      </c>
      <c r="C51" s="832">
        <v>5655</v>
      </c>
      <c r="D51" s="1589"/>
      <c r="E51" s="1589"/>
      <c r="F51" s="1589">
        <v>7588.74</v>
      </c>
      <c r="G51" s="1589"/>
      <c r="H51" s="1589"/>
      <c r="I51" s="1202" t="str">
        <f t="shared" si="2"/>
        <v/>
      </c>
      <c r="J51" s="1589"/>
      <c r="K51" s="1203" t="str">
        <f t="shared" si="3"/>
        <v/>
      </c>
      <c r="L51" s="859"/>
    </row>
    <row r="52" spans="1:12" x14ac:dyDescent="0.2">
      <c r="A52" s="1209">
        <v>6</v>
      </c>
      <c r="B52" s="1212" t="s">
        <v>119</v>
      </c>
      <c r="C52" s="832">
        <v>5655</v>
      </c>
      <c r="D52" s="1589"/>
      <c r="E52" s="1589">
        <v>145000</v>
      </c>
      <c r="F52" s="1589">
        <v>51536.53</v>
      </c>
      <c r="G52" s="1589"/>
      <c r="H52" s="1589"/>
      <c r="I52" s="1202" t="str">
        <f t="shared" si="2"/>
        <v/>
      </c>
      <c r="J52" s="1589">
        <v>60000</v>
      </c>
      <c r="K52" s="1203" t="str">
        <f t="shared" si="3"/>
        <v/>
      </c>
      <c r="L52" s="859"/>
    </row>
    <row r="53" spans="1:12" x14ac:dyDescent="0.2">
      <c r="A53" s="1209">
        <v>7</v>
      </c>
      <c r="B53" s="1210" t="s">
        <v>1114</v>
      </c>
      <c r="C53" s="832">
        <v>5655</v>
      </c>
      <c r="D53" s="1589"/>
      <c r="E53" s="1589"/>
      <c r="F53" s="1589"/>
      <c r="G53" s="1589"/>
      <c r="H53" s="1589"/>
      <c r="I53" s="1202" t="str">
        <f t="shared" si="2"/>
        <v/>
      </c>
      <c r="J53" s="1589"/>
      <c r="K53" s="1203" t="str">
        <f t="shared" si="3"/>
        <v/>
      </c>
      <c r="L53" s="859"/>
    </row>
    <row r="54" spans="1:12" x14ac:dyDescent="0.2">
      <c r="A54" s="1209">
        <v>8</v>
      </c>
      <c r="B54" s="833" t="s">
        <v>1559</v>
      </c>
      <c r="C54" s="832">
        <v>5655</v>
      </c>
      <c r="D54" s="1589"/>
      <c r="E54" s="1589">
        <v>40000</v>
      </c>
      <c r="F54" s="1589">
        <v>2180.94</v>
      </c>
      <c r="G54" s="1589"/>
      <c r="H54" s="1589"/>
      <c r="I54" s="1202" t="str">
        <f t="shared" si="2"/>
        <v/>
      </c>
      <c r="J54" s="1589">
        <v>15000</v>
      </c>
      <c r="K54" s="1203" t="str">
        <f t="shared" si="3"/>
        <v/>
      </c>
      <c r="L54" s="859"/>
    </row>
    <row r="55" spans="1:12" x14ac:dyDescent="0.2">
      <c r="A55" s="1209">
        <v>9</v>
      </c>
      <c r="B55" s="832"/>
      <c r="C55" s="1513"/>
      <c r="D55" s="1513"/>
      <c r="E55" s="1513"/>
      <c r="F55" s="1513"/>
      <c r="G55" s="1513"/>
      <c r="H55" s="1513"/>
      <c r="I55" s="1202" t="str">
        <f t="shared" si="2"/>
        <v/>
      </c>
      <c r="J55" s="1514"/>
      <c r="K55" s="1203" t="str">
        <f t="shared" si="3"/>
        <v/>
      </c>
      <c r="L55" s="859"/>
    </row>
    <row r="56" spans="1:12" x14ac:dyDescent="0.2">
      <c r="A56" s="1209">
        <v>10</v>
      </c>
      <c r="B56" s="832"/>
      <c r="C56" s="1513"/>
      <c r="D56" s="1513"/>
      <c r="E56" s="1513"/>
      <c r="F56" s="1513"/>
      <c r="G56" s="1513"/>
      <c r="H56" s="1513"/>
      <c r="I56" s="1202" t="str">
        <f t="shared" si="2"/>
        <v/>
      </c>
      <c r="J56" s="1514"/>
      <c r="K56" s="1203" t="str">
        <f t="shared" si="3"/>
        <v/>
      </c>
      <c r="L56" s="859"/>
    </row>
    <row r="57" spans="1:12" x14ac:dyDescent="0.2">
      <c r="A57" s="1209">
        <v>11</v>
      </c>
      <c r="B57" s="832"/>
      <c r="C57" s="1513"/>
      <c r="D57" s="1513"/>
      <c r="E57" s="1513"/>
      <c r="F57" s="1513"/>
      <c r="G57" s="1513"/>
      <c r="H57" s="1513"/>
      <c r="I57" s="1202" t="str">
        <f t="shared" si="2"/>
        <v/>
      </c>
      <c r="J57" s="1514"/>
      <c r="K57" s="1203" t="str">
        <f t="shared" si="3"/>
        <v/>
      </c>
      <c r="L57" s="859"/>
    </row>
    <row r="58" spans="1:12" x14ac:dyDescent="0.2">
      <c r="A58" s="1209">
        <v>12</v>
      </c>
      <c r="B58" s="832"/>
      <c r="C58" s="1513"/>
      <c r="D58" s="1513"/>
      <c r="E58" s="1513"/>
      <c r="F58" s="1513"/>
      <c r="G58" s="1513"/>
      <c r="H58" s="1513"/>
      <c r="I58" s="1202" t="str">
        <f t="shared" si="2"/>
        <v/>
      </c>
      <c r="J58" s="1514"/>
      <c r="K58" s="1203" t="str">
        <f t="shared" si="3"/>
        <v/>
      </c>
      <c r="L58" s="859"/>
    </row>
    <row r="59" spans="1:12" x14ac:dyDescent="0.2">
      <c r="A59" s="1209">
        <v>13</v>
      </c>
      <c r="B59" s="832"/>
      <c r="C59" s="1513"/>
      <c r="D59" s="1513"/>
      <c r="E59" s="1513"/>
      <c r="F59" s="1513"/>
      <c r="G59" s="1513"/>
      <c r="H59" s="1513"/>
      <c r="I59" s="1202" t="str">
        <f t="shared" si="2"/>
        <v/>
      </c>
      <c r="J59" s="1514"/>
      <c r="K59" s="1203" t="str">
        <f t="shared" si="3"/>
        <v/>
      </c>
      <c r="L59" s="859"/>
    </row>
    <row r="60" spans="1:12" x14ac:dyDescent="0.2">
      <c r="A60" s="1209">
        <v>14</v>
      </c>
      <c r="B60" s="832"/>
      <c r="C60" s="1513"/>
      <c r="D60" s="1513"/>
      <c r="E60" s="1513"/>
      <c r="F60" s="1513"/>
      <c r="G60" s="1513"/>
      <c r="H60" s="1513"/>
      <c r="I60" s="1202" t="str">
        <f t="shared" si="2"/>
        <v/>
      </c>
      <c r="J60" s="1514"/>
      <c r="K60" s="1203" t="str">
        <f t="shared" si="3"/>
        <v/>
      </c>
      <c r="L60" s="859"/>
    </row>
    <row r="61" spans="1:12" x14ac:dyDescent="0.2">
      <c r="A61" s="1209">
        <v>15</v>
      </c>
      <c r="B61" s="832"/>
      <c r="C61" s="1513"/>
      <c r="D61" s="1513"/>
      <c r="E61" s="1513"/>
      <c r="F61" s="1513"/>
      <c r="G61" s="1513"/>
      <c r="H61" s="1513"/>
      <c r="I61" s="1202" t="str">
        <f t="shared" si="2"/>
        <v/>
      </c>
      <c r="J61" s="1514"/>
      <c r="K61" s="1203" t="str">
        <f t="shared" si="3"/>
        <v/>
      </c>
      <c r="L61" s="859"/>
    </row>
    <row r="62" spans="1:12" x14ac:dyDescent="0.2">
      <c r="A62" s="1209">
        <v>16</v>
      </c>
      <c r="B62" s="832"/>
      <c r="C62" s="1513"/>
      <c r="D62" s="1513"/>
      <c r="E62" s="1513"/>
      <c r="F62" s="1513"/>
      <c r="G62" s="1513"/>
      <c r="H62" s="1513"/>
      <c r="I62" s="1202" t="str">
        <f t="shared" si="2"/>
        <v/>
      </c>
      <c r="J62" s="1514"/>
      <c r="K62" s="1203" t="str">
        <f t="shared" si="3"/>
        <v/>
      </c>
      <c r="L62" s="859"/>
    </row>
    <row r="63" spans="1:12" x14ac:dyDescent="0.2">
      <c r="A63" s="1209">
        <v>17</v>
      </c>
      <c r="B63" s="832"/>
      <c r="C63" s="1513"/>
      <c r="D63" s="1513"/>
      <c r="E63" s="1513"/>
      <c r="F63" s="1513"/>
      <c r="G63" s="1513"/>
      <c r="H63" s="1513"/>
      <c r="I63" s="1202" t="str">
        <f t="shared" si="2"/>
        <v/>
      </c>
      <c r="J63" s="1514"/>
      <c r="K63" s="1203" t="str">
        <f t="shared" si="3"/>
        <v/>
      </c>
      <c r="L63" s="859"/>
    </row>
    <row r="64" spans="1:12" x14ac:dyDescent="0.2">
      <c r="A64" s="1209">
        <v>18</v>
      </c>
      <c r="B64" s="832"/>
      <c r="C64" s="1513"/>
      <c r="D64" s="1513"/>
      <c r="E64" s="1513"/>
      <c r="F64" s="1513"/>
      <c r="G64" s="1513"/>
      <c r="H64" s="1513"/>
      <c r="I64" s="1202" t="str">
        <f t="shared" si="2"/>
        <v/>
      </c>
      <c r="J64" s="1514"/>
      <c r="K64" s="1203" t="str">
        <f t="shared" si="3"/>
        <v/>
      </c>
      <c r="L64" s="859"/>
    </row>
    <row r="65" spans="1:12" x14ac:dyDescent="0.2">
      <c r="A65" s="1209">
        <v>19</v>
      </c>
      <c r="B65" s="832"/>
      <c r="C65" s="1513"/>
      <c r="D65" s="1513"/>
      <c r="E65" s="1513"/>
      <c r="F65" s="1513"/>
      <c r="G65" s="1513"/>
      <c r="H65" s="1513"/>
      <c r="I65" s="1202" t="str">
        <f t="shared" si="2"/>
        <v/>
      </c>
      <c r="J65" s="1514"/>
      <c r="K65" s="1203" t="str">
        <f t="shared" si="3"/>
        <v/>
      </c>
      <c r="L65" s="859"/>
    </row>
    <row r="66" spans="1:12" x14ac:dyDescent="0.2">
      <c r="A66" s="1209">
        <v>20</v>
      </c>
      <c r="B66" s="832"/>
      <c r="C66" s="1513"/>
      <c r="D66" s="1513"/>
      <c r="E66" s="1513"/>
      <c r="F66" s="1513"/>
      <c r="G66" s="1513"/>
      <c r="H66" s="1513"/>
      <c r="I66" s="1202" t="str">
        <f t="shared" si="2"/>
        <v/>
      </c>
      <c r="J66" s="1514"/>
      <c r="K66" s="1203" t="str">
        <f t="shared" si="3"/>
        <v/>
      </c>
      <c r="L66" s="859"/>
    </row>
    <row r="67" spans="1:12" x14ac:dyDescent="0.2">
      <c r="A67" s="1209">
        <v>21</v>
      </c>
      <c r="B67" s="832"/>
      <c r="C67" s="1513"/>
      <c r="D67" s="1513"/>
      <c r="E67" s="1513"/>
      <c r="F67" s="1513"/>
      <c r="G67" s="1513"/>
      <c r="H67" s="1513"/>
      <c r="I67" s="1202" t="str">
        <f t="shared" si="2"/>
        <v/>
      </c>
      <c r="J67" s="1514"/>
      <c r="K67" s="1203" t="str">
        <f t="shared" si="3"/>
        <v/>
      </c>
      <c r="L67" s="859"/>
    </row>
    <row r="68" spans="1:12" x14ac:dyDescent="0.2">
      <c r="A68" s="1209">
        <v>22</v>
      </c>
      <c r="B68" s="832"/>
      <c r="C68" s="1513"/>
      <c r="D68" s="1513"/>
      <c r="E68" s="1513"/>
      <c r="F68" s="1513"/>
      <c r="G68" s="1513"/>
      <c r="H68" s="1513"/>
      <c r="I68" s="1202" t="str">
        <f t="shared" si="2"/>
        <v/>
      </c>
      <c r="J68" s="1514"/>
      <c r="K68" s="1203" t="str">
        <f t="shared" si="3"/>
        <v/>
      </c>
      <c r="L68" s="859"/>
    </row>
    <row r="69" spans="1:12" x14ac:dyDescent="0.2">
      <c r="A69" s="1209">
        <v>23</v>
      </c>
      <c r="B69" s="832"/>
      <c r="C69" s="1513"/>
      <c r="D69" s="1513"/>
      <c r="E69" s="1513"/>
      <c r="F69" s="1513"/>
      <c r="G69" s="1513"/>
      <c r="H69" s="1513"/>
      <c r="I69" s="1202" t="str">
        <f t="shared" si="2"/>
        <v/>
      </c>
      <c r="J69" s="1514"/>
      <c r="K69" s="1203" t="str">
        <f t="shared" si="3"/>
        <v/>
      </c>
      <c r="L69" s="859"/>
    </row>
    <row r="70" spans="1:12" x14ac:dyDescent="0.2">
      <c r="A70" s="1209">
        <v>24</v>
      </c>
      <c r="B70" s="832"/>
      <c r="C70" s="1513"/>
      <c r="D70" s="1513"/>
      <c r="E70" s="1513"/>
      <c r="F70" s="1513"/>
      <c r="G70" s="1513"/>
      <c r="H70" s="1513"/>
      <c r="I70" s="1202" t="str">
        <f t="shared" si="2"/>
        <v/>
      </c>
      <c r="J70" s="1514"/>
      <c r="K70" s="1203" t="str">
        <f t="shared" si="3"/>
        <v/>
      </c>
      <c r="L70" s="859"/>
    </row>
    <row r="71" spans="1:12" x14ac:dyDescent="0.2">
      <c r="A71" s="1209">
        <v>25</v>
      </c>
      <c r="B71" s="832"/>
      <c r="C71" s="1513"/>
      <c r="D71" s="1513"/>
      <c r="E71" s="1513"/>
      <c r="F71" s="1513"/>
      <c r="G71" s="1513"/>
      <c r="H71" s="1513"/>
      <c r="I71" s="1202" t="str">
        <f t="shared" si="2"/>
        <v/>
      </c>
      <c r="J71" s="1514"/>
      <c r="K71" s="1203" t="str">
        <f t="shared" si="3"/>
        <v/>
      </c>
      <c r="L71" s="859"/>
    </row>
    <row r="72" spans="1:12" x14ac:dyDescent="0.2">
      <c r="A72" s="1209">
        <v>26</v>
      </c>
      <c r="B72" s="832"/>
      <c r="C72" s="1513"/>
      <c r="D72" s="1513"/>
      <c r="E72" s="1513"/>
      <c r="F72" s="1513"/>
      <c r="G72" s="1513"/>
      <c r="H72" s="1513"/>
      <c r="I72" s="1202" t="str">
        <f t="shared" si="2"/>
        <v/>
      </c>
      <c r="J72" s="1514"/>
      <c r="K72" s="1203" t="str">
        <f t="shared" si="3"/>
        <v/>
      </c>
      <c r="L72" s="859"/>
    </row>
    <row r="73" spans="1:12" x14ac:dyDescent="0.2">
      <c r="A73" s="1209">
        <v>27</v>
      </c>
      <c r="B73" s="832"/>
      <c r="C73" s="1513"/>
      <c r="D73" s="1513"/>
      <c r="E73" s="1513"/>
      <c r="F73" s="1513"/>
      <c r="G73" s="1513"/>
      <c r="H73" s="1513"/>
      <c r="I73" s="1202" t="str">
        <f t="shared" si="2"/>
        <v/>
      </c>
      <c r="J73" s="1514"/>
      <c r="K73" s="1203" t="str">
        <f t="shared" si="3"/>
        <v/>
      </c>
      <c r="L73" s="859"/>
    </row>
    <row r="74" spans="1:12" x14ac:dyDescent="0.2">
      <c r="A74" s="1209">
        <v>28</v>
      </c>
      <c r="B74" s="832"/>
      <c r="C74" s="1513"/>
      <c r="D74" s="1513"/>
      <c r="E74" s="1513"/>
      <c r="F74" s="1513"/>
      <c r="G74" s="1513"/>
      <c r="H74" s="1513"/>
      <c r="I74" s="1202" t="str">
        <f t="shared" si="2"/>
        <v/>
      </c>
      <c r="J74" s="1515"/>
      <c r="K74" s="1203" t="str">
        <f t="shared" si="3"/>
        <v/>
      </c>
      <c r="L74" s="859"/>
    </row>
    <row r="75" spans="1:12" x14ac:dyDescent="0.2">
      <c r="A75" s="1209">
        <v>29</v>
      </c>
      <c r="B75" s="832"/>
      <c r="C75" s="1513"/>
      <c r="D75" s="1513"/>
      <c r="E75" s="1513"/>
      <c r="F75" s="1513"/>
      <c r="G75" s="1513"/>
      <c r="H75" s="1513"/>
      <c r="I75" s="1202" t="str">
        <f t="shared" si="2"/>
        <v/>
      </c>
      <c r="J75" s="1515"/>
      <c r="K75" s="1203" t="str">
        <f t="shared" si="3"/>
        <v/>
      </c>
      <c r="L75" s="859"/>
    </row>
    <row r="76" spans="1:12" ht="13.5" thickBot="1" x14ac:dyDescent="0.25">
      <c r="A76" s="1209">
        <v>30</v>
      </c>
      <c r="B76" s="254"/>
      <c r="C76" s="1517"/>
      <c r="D76" s="1516"/>
      <c r="E76" s="1517"/>
      <c r="F76" s="1516"/>
      <c r="G76" s="1517"/>
      <c r="H76" s="1516"/>
      <c r="I76" s="1213" t="str">
        <f>IF(G76=0,"",(H76-G76)/G76)</f>
        <v/>
      </c>
      <c r="J76" s="1516"/>
      <c r="K76" s="1214" t="str">
        <f t="shared" si="3"/>
        <v/>
      </c>
      <c r="L76" s="859"/>
    </row>
    <row r="77" spans="1:12" ht="14.25" x14ac:dyDescent="0.2">
      <c r="A77" s="1209">
        <v>1</v>
      </c>
      <c r="B77" s="1215" t="s">
        <v>1112</v>
      </c>
      <c r="C77" s="1216"/>
      <c r="D77" s="1217">
        <f>SUM(D16:D45)</f>
        <v>0</v>
      </c>
      <c r="E77" s="1217">
        <f>SUM(E16:E45)</f>
        <v>374339</v>
      </c>
      <c r="F77" s="1217">
        <f>SUM(F16:F45)</f>
        <v>350861.64</v>
      </c>
      <c r="G77" s="1217">
        <f>SUM(G16:G45)</f>
        <v>538919.77000000014</v>
      </c>
      <c r="H77" s="1217">
        <f>SUM(H16:H45)</f>
        <v>528670.46</v>
      </c>
      <c r="I77" s="1218">
        <f>IF(G77=0,"",(H77-G77)/G77)</f>
        <v>-1.9018248300670376E-2</v>
      </c>
      <c r="J77" s="1217">
        <f>SUM(J16:J45)</f>
        <v>607576</v>
      </c>
      <c r="K77" s="1219">
        <f t="shared" si="3"/>
        <v>0.14925278783308613</v>
      </c>
      <c r="L77" s="859"/>
    </row>
    <row r="78" spans="1:12" ht="15" thickBot="1" x14ac:dyDescent="0.25">
      <c r="A78" s="1209">
        <v>2</v>
      </c>
      <c r="B78" s="1220" t="s">
        <v>1113</v>
      </c>
      <c r="C78" s="1221"/>
      <c r="D78" s="1222">
        <f>SUM(D47:D76)</f>
        <v>0</v>
      </c>
      <c r="E78" s="1222">
        <f>SUM(E47:E76)</f>
        <v>388000</v>
      </c>
      <c r="F78" s="1222">
        <f>SUM(F47:F76)</f>
        <v>217218.71</v>
      </c>
      <c r="G78" s="1222">
        <f>SUM(G47:G76)</f>
        <v>0</v>
      </c>
      <c r="H78" s="1222">
        <f>SUM(H47:H76)</f>
        <v>0</v>
      </c>
      <c r="I78" s="1223" t="str">
        <f>IF(G78=0,"",(H78-G78)/G78)</f>
        <v/>
      </c>
      <c r="J78" s="1222">
        <f>SUM(J47:J76)</f>
        <v>450000</v>
      </c>
      <c r="K78" s="1224" t="str">
        <f t="shared" si="3"/>
        <v/>
      </c>
      <c r="L78" s="859"/>
    </row>
    <row r="79" spans="1:12" ht="14.25" thickTop="1" thickBot="1" x14ac:dyDescent="0.25">
      <c r="A79" s="1225">
        <v>3</v>
      </c>
      <c r="B79" s="1226" t="s">
        <v>259</v>
      </c>
      <c r="C79" s="1227"/>
      <c r="D79" s="1228">
        <f>D77+D78</f>
        <v>0</v>
      </c>
      <c r="E79" s="1228">
        <f>E77+E78</f>
        <v>762339</v>
      </c>
      <c r="F79" s="1228">
        <f>F77+F78</f>
        <v>568080.35</v>
      </c>
      <c r="G79" s="1228">
        <f>G77+G78</f>
        <v>538919.77000000014</v>
      </c>
      <c r="H79" s="1228">
        <f>H77+H78</f>
        <v>528670.46</v>
      </c>
      <c r="I79" s="1229">
        <f t="shared" si="2"/>
        <v>-1.9018248300670376E-2</v>
      </c>
      <c r="J79" s="1228">
        <f>J77+C83</f>
        <v>697576</v>
      </c>
      <c r="K79" s="1230">
        <f t="shared" si="3"/>
        <v>0.31949116279354828</v>
      </c>
      <c r="L79" s="859"/>
    </row>
    <row r="80" spans="1:12" ht="13.5" thickBot="1" x14ac:dyDescent="0.25"/>
    <row r="81" spans="1:4" ht="13.5" thickBot="1" x14ac:dyDescent="0.25">
      <c r="B81" s="1231" t="s">
        <v>1120</v>
      </c>
      <c r="C81" s="1232" t="s">
        <v>259</v>
      </c>
    </row>
    <row r="82" spans="1:4" ht="26.25" thickBot="1" x14ac:dyDescent="0.25">
      <c r="A82" s="874"/>
      <c r="B82" s="1233" t="s">
        <v>1118</v>
      </c>
      <c r="C82" s="1234">
        <f>J78</f>
        <v>450000</v>
      </c>
    </row>
    <row r="83" spans="1:4" ht="13.5" thickBot="1" x14ac:dyDescent="0.25">
      <c r="B83" s="1235" t="s">
        <v>1119</v>
      </c>
      <c r="C83" s="1236">
        <f>C82/5</f>
        <v>90000</v>
      </c>
      <c r="D83" s="953"/>
    </row>
    <row r="84" spans="1:4" x14ac:dyDescent="0.2">
      <c r="A84" s="1237"/>
      <c r="B84" s="953"/>
      <c r="C84" s="1238"/>
      <c r="D84" s="1238"/>
    </row>
    <row r="85" spans="1:4" x14ac:dyDescent="0.2">
      <c r="A85" s="1239"/>
      <c r="B85" s="953"/>
      <c r="C85" s="1240"/>
      <c r="D85" s="1240"/>
    </row>
    <row r="86" spans="1:4" x14ac:dyDescent="0.2">
      <c r="A86" s="1239"/>
      <c r="B86" s="953"/>
      <c r="C86" s="1240"/>
      <c r="D86" s="1240"/>
    </row>
    <row r="87" spans="1:4" x14ac:dyDescent="0.2">
      <c r="A87" s="1239"/>
      <c r="B87" s="953"/>
      <c r="C87" s="1240"/>
      <c r="D87" s="1240"/>
    </row>
    <row r="88" spans="1:4" ht="26.25" customHeight="1" x14ac:dyDescent="0.2">
      <c r="A88" s="1239"/>
      <c r="B88" s="953"/>
      <c r="C88" s="1240"/>
      <c r="D88" s="1240"/>
    </row>
    <row r="89" spans="1:4" ht="27" customHeight="1" x14ac:dyDescent="0.2">
      <c r="A89" s="1239"/>
      <c r="B89" s="953"/>
      <c r="C89" s="1240"/>
      <c r="D89" s="1240"/>
    </row>
    <row r="90" spans="1:4" x14ac:dyDescent="0.2">
      <c r="A90" s="1239"/>
      <c r="B90" s="953"/>
      <c r="C90" s="1240"/>
      <c r="D90" s="1240"/>
    </row>
    <row r="91" spans="1:4" x14ac:dyDescent="0.2">
      <c r="A91" s="1237"/>
      <c r="B91" s="953"/>
      <c r="C91" s="953"/>
      <c r="D91" s="953"/>
    </row>
    <row r="92" spans="1:4" x14ac:dyDescent="0.2">
      <c r="A92" s="874" t="s">
        <v>6</v>
      </c>
    </row>
    <row r="94" spans="1:4" ht="14.25" x14ac:dyDescent="0.2">
      <c r="A94" s="1241" t="s">
        <v>80</v>
      </c>
      <c r="B94" s="1" t="s">
        <v>120</v>
      </c>
    </row>
    <row r="95" spans="1:4" ht="14.25" x14ac:dyDescent="0.2">
      <c r="A95" s="1241" t="s">
        <v>82</v>
      </c>
      <c r="B95" s="860" t="s">
        <v>1111</v>
      </c>
    </row>
    <row r="96" spans="1:4" ht="14.25" x14ac:dyDescent="0.2">
      <c r="A96" s="1241" t="s">
        <v>83</v>
      </c>
      <c r="B96" s="860" t="s">
        <v>1228</v>
      </c>
    </row>
  </sheetData>
  <sheetProtection algorithmName="SHA-512" hashValue="iYECHXF/agspMw6L/IULhcw1e8m//wPFehXwICtUrQv8cOwZCFsEV5hoPsu634PKG2UOMpOJVovCRDZOtIVI6w==" saltValue="hx8KBPx1Ooe58pnoRQTJtg==" spinCount="100000" sheet="1" objects="1" scenarios="1"/>
  <mergeCells count="6">
    <mergeCell ref="A46:B46"/>
    <mergeCell ref="A13:B13"/>
    <mergeCell ref="A14:B14"/>
    <mergeCell ref="A9:K9"/>
    <mergeCell ref="A10:K10"/>
    <mergeCell ref="A15:B15"/>
  </mergeCells>
  <phoneticPr fontId="13" type="noConversion"/>
  <dataValidations count="1">
    <dataValidation allowBlank="1" showInputMessage="1" showErrorMessage="1" promptTitle="Date Format" prompt="E.g:  &quot;August 1, 2011&quot;" sqref="K7" xr:uid="{00000000-0002-0000-2600-000000000000}"/>
  </dataValidations>
  <pageMargins left="0.75" right="0.75" top="1" bottom="1" header="0.5" footer="0.5"/>
  <pageSetup scale="4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rgb="FFFFFF00"/>
  </sheetPr>
  <dimension ref="A2:L4"/>
  <sheetViews>
    <sheetView zoomScaleNormal="100" workbookViewId="0">
      <selection activeCell="M13" sqref="M13"/>
    </sheetView>
  </sheetViews>
  <sheetFormatPr defaultColWidth="9.140625" defaultRowHeight="12.75" x14ac:dyDescent="0.2"/>
  <cols>
    <col min="1" max="16384" width="9.140625" style="872"/>
  </cols>
  <sheetData>
    <row r="2" spans="1:12" ht="18" x14ac:dyDescent="0.2">
      <c r="B2" s="1857" t="s">
        <v>522</v>
      </c>
      <c r="C2" s="1857"/>
      <c r="D2" s="1857"/>
      <c r="E2" s="1857"/>
      <c r="F2" s="1857"/>
      <c r="G2" s="1857"/>
      <c r="H2" s="1857"/>
      <c r="I2" s="1857"/>
      <c r="J2" s="1857"/>
      <c r="K2" s="1857"/>
      <c r="L2" s="1857"/>
    </row>
    <row r="3" spans="1:12" ht="15" x14ac:dyDescent="0.2">
      <c r="B3" s="873"/>
    </row>
    <row r="4" spans="1:12" ht="38.25" customHeight="1" x14ac:dyDescent="0.2">
      <c r="A4" s="1858" t="s">
        <v>889</v>
      </c>
      <c r="B4" s="1859"/>
      <c r="C4" s="1859"/>
      <c r="D4" s="1859"/>
      <c r="E4" s="1859"/>
      <c r="F4" s="1859"/>
      <c r="G4" s="1859"/>
      <c r="H4" s="1859"/>
      <c r="I4" s="1859"/>
      <c r="J4" s="1859"/>
      <c r="K4" s="1859"/>
      <c r="L4" s="1859"/>
    </row>
  </sheetData>
  <mergeCells count="2">
    <mergeCell ref="B2:L2"/>
    <mergeCell ref="A4:L4"/>
  </mergeCells>
  <pageMargins left="0.7" right="0.7" top="0.75" bottom="0.75" header="0.3" footer="0.3"/>
  <pageSetup scale="77" orientation="portrait" verticalDpi="90" r:id="rId1"/>
  <colBreaks count="1" manualBreakCount="1">
    <brk id="13" max="1048575" man="1"/>
  </colBreaks>
  <drawing r:id="rId2"/>
  <legacyDrawing r:id="rId3"/>
  <oleObjects>
    <mc:AlternateContent xmlns:mc="http://schemas.openxmlformats.org/markup-compatibility/2006">
      <mc:Choice Requires="x14">
        <oleObject progId="AcroExch.Document.DC" shapeId="4097" r:id="rId4">
          <objectPr defaultSize="0" autoPict="0" r:id="rId5">
            <anchor moveWithCells="1">
              <from>
                <xdr:col>1</xdr:col>
                <xdr:colOff>257175</xdr:colOff>
                <xdr:row>6</xdr:row>
                <xdr:rowOff>133350</xdr:rowOff>
              </from>
              <to>
                <xdr:col>11</xdr:col>
                <xdr:colOff>161925</xdr:colOff>
                <xdr:row>54</xdr:row>
                <xdr:rowOff>38100</xdr:rowOff>
              </to>
            </anchor>
          </objectPr>
        </oleObject>
      </mc:Choice>
      <mc:Fallback>
        <oleObject progId="AcroExch.Document.DC" shapeId="4097"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tabColor theme="7" tint="0.39997558519241921"/>
  </sheetPr>
  <dimension ref="A1:P65"/>
  <sheetViews>
    <sheetView workbookViewId="0"/>
  </sheetViews>
  <sheetFormatPr defaultRowHeight="12.75" x14ac:dyDescent="0.2"/>
  <cols>
    <col min="1" max="1" width="10.5703125" bestFit="1" customWidth="1"/>
    <col min="2" max="2" width="10.28515625" bestFit="1" customWidth="1"/>
    <col min="4" max="4" width="10.7109375" bestFit="1" customWidth="1"/>
    <col min="5" max="5" width="17" bestFit="1" customWidth="1"/>
    <col min="6" max="6" width="79.140625" bestFit="1" customWidth="1"/>
    <col min="7" max="7" width="71.28515625" customWidth="1"/>
    <col min="9" max="9" width="20.28515625" bestFit="1" customWidth="1"/>
    <col min="10" max="10" width="37.140625" bestFit="1" customWidth="1"/>
    <col min="11" max="11" width="28.7109375" bestFit="1" customWidth="1"/>
    <col min="12" max="12" width="27.28515625" bestFit="1" customWidth="1"/>
    <col min="13" max="13" width="15.42578125" bestFit="1" customWidth="1"/>
    <col min="14" max="14" width="15.7109375" bestFit="1" customWidth="1"/>
    <col min="15" max="15" width="13.42578125" bestFit="1" customWidth="1"/>
    <col min="16" max="16" width="15.7109375" bestFit="1" customWidth="1"/>
  </cols>
  <sheetData>
    <row r="1" spans="1:16" x14ac:dyDescent="0.2">
      <c r="A1" t="s">
        <v>1081</v>
      </c>
      <c r="B1" t="s">
        <v>1082</v>
      </c>
      <c r="C1" t="s">
        <v>277</v>
      </c>
      <c r="D1" t="s">
        <v>276</v>
      </c>
      <c r="E1" t="s">
        <v>275</v>
      </c>
      <c r="F1" t="s">
        <v>104</v>
      </c>
      <c r="G1" s="9" t="s">
        <v>1115</v>
      </c>
      <c r="H1" t="s">
        <v>1102</v>
      </c>
      <c r="I1" t="s">
        <v>108</v>
      </c>
      <c r="J1" t="str">
        <f>'App.2-M_Regulatory_Costs'!E13</f>
        <v>Last Rebasing Year (2013 OEB Approved)</v>
      </c>
      <c r="K1" t="str">
        <f>'App.2-M_Regulatory_Costs'!F13</f>
        <v>Last Rebasing Year (2013 Actual)</v>
      </c>
      <c r="L1" t="str">
        <f>'App.2-M_Regulatory_Costs'!G13</f>
        <v>Most Current Actuals Year 2018</v>
      </c>
      <c r="M1" t="str">
        <f>'App.2-M_Regulatory_Costs'!H13</f>
        <v>2019 Bridge Year</v>
      </c>
      <c r="N1" t="str">
        <f>'App.2-M_Regulatory_Costs'!I13</f>
        <v>Annual % Change</v>
      </c>
      <c r="O1" t="str">
        <f>'App.2-M_Regulatory_Costs'!J13</f>
        <v>2020 Test Year</v>
      </c>
      <c r="P1" t="str">
        <f>'App.2-M_Regulatory_Costs'!K13</f>
        <v>Annual % Change</v>
      </c>
    </row>
    <row r="2" spans="1:16" x14ac:dyDescent="0.2">
      <c r="A2" t="str">
        <f>'LDC Info'!$E$14</f>
        <v>Greater Sudbury Hydro Inc.</v>
      </c>
      <c r="B2" t="str">
        <f t="shared" ref="B2:B65" si="0">EBNUMBER</f>
        <v>EB-2019-0037</v>
      </c>
      <c r="C2">
        <f t="shared" ref="C2:C65" si="1">TestYear</f>
        <v>2020</v>
      </c>
      <c r="D2">
        <f t="shared" ref="D2:D65" si="2">BridgeYear</f>
        <v>2019</v>
      </c>
      <c r="E2">
        <f t="shared" ref="E2:E65" si="3">RebaseYear</f>
        <v>2013</v>
      </c>
      <c r="F2" t="str">
        <f>'App.2-M_Regulatory_Costs'!B16</f>
        <v>OEB Annual Assessment</v>
      </c>
      <c r="G2" s="9" t="s">
        <v>1116</v>
      </c>
      <c r="H2">
        <f ca="1">INDIRECT("'App.2-M_Regulatory_Costs'!C" &amp; MATCH(F2,'App.2-M_Regulatory_Costs'!$B:$B,0))</f>
        <v>5655</v>
      </c>
      <c r="I2">
        <f ca="1">INDIRECT("'App.2-M_Regulatory_Costs'!D" &amp; MATCH($F2,'App.2-M_Regulatory_Costs'!$B:$B,0))</f>
        <v>0</v>
      </c>
      <c r="J2">
        <f ca="1">INDIRECT("'App.2-M_Regulatory_Costs'!E" &amp; MATCH($F2,'App.2-M_Regulatory_Costs'!$B:$B,0))</f>
        <v>160000</v>
      </c>
      <c r="K2">
        <f ca="1">INDIRECT("'App.2-M_Regulatory_Costs'!F" &amp; MATCH($F2,'App.2-M_Regulatory_Costs'!$B:$B,0))</f>
        <v>138551</v>
      </c>
      <c r="L2">
        <f ca="1">INDIRECT("'App.2-M_Regulatory_Costs'!G" &amp; MATCH($F2,'App.2-M_Regulatory_Costs'!$B:$B,0))</f>
        <v>201856.99</v>
      </c>
      <c r="M2">
        <f ca="1">INDIRECT("'App.2-M_Regulatory_Costs'!H" &amp; MATCH($F2,'App.2-M_Regulatory_Costs'!$B:$B,0))</f>
        <v>202788</v>
      </c>
      <c r="N2">
        <f ca="1">INDIRECT("'App.2-M_Regulatory_Costs'!I" &amp; MATCH($F2,'App.2-M_Regulatory_Costs'!$B:$B,0))</f>
        <v>4.6122257148489597E-3</v>
      </c>
      <c r="O2">
        <f ca="1">INDIRECT("'App.2-M_Regulatory_Costs'!J" &amp; MATCH($F2,'App.2-M_Regulatory_Costs'!$B:$B,0))</f>
        <v>210000</v>
      </c>
      <c r="P2">
        <f ca="1">INDIRECT("'App.2-M_Regulatory_Costs'!K" &amp; MATCH($F2,'App.2-M_Regulatory_Costs'!$B:$B,0))</f>
        <v>3.5564234570092904E-2</v>
      </c>
    </row>
    <row r="3" spans="1:16" x14ac:dyDescent="0.2">
      <c r="A3" t="str">
        <f>'LDC Info'!$E$14</f>
        <v>Greater Sudbury Hydro Inc.</v>
      </c>
      <c r="B3" t="str">
        <f t="shared" si="0"/>
        <v>EB-2019-0037</v>
      </c>
      <c r="C3">
        <f t="shared" si="1"/>
        <v>2020</v>
      </c>
      <c r="D3">
        <f t="shared" si="2"/>
        <v>2019</v>
      </c>
      <c r="E3">
        <f t="shared" si="3"/>
        <v>2013</v>
      </c>
      <c r="F3" t="str">
        <f>'App.2-M_Regulatory_Costs'!B17</f>
        <v>OEB Section 30 Costs (OEB-initiated)</v>
      </c>
      <c r="G3" s="9" t="s">
        <v>1116</v>
      </c>
      <c r="H3">
        <f ca="1">INDIRECT("'App.2-M_Regulatory_Costs'!C" &amp; MATCH(F3,'App.2-M_Regulatory_Costs'!$B:$B,0))</f>
        <v>5655</v>
      </c>
      <c r="I3">
        <f ca="1">INDIRECT("'App.2-M_Regulatory_Costs'!D" &amp; MATCH($F3,'App.2-M_Regulatory_Costs'!$B:$B,0))</f>
        <v>0</v>
      </c>
      <c r="J3">
        <f ca="1">INDIRECT("'App.2-M_Regulatory_Costs'!E" &amp; MATCH($F3,'App.2-M_Regulatory_Costs'!$B:$B,0))</f>
        <v>15000</v>
      </c>
      <c r="K3">
        <f ca="1">INDIRECT("'App.2-M_Regulatory_Costs'!F" &amp; MATCH($F3,'App.2-M_Regulatory_Costs'!$B:$B,0))</f>
        <v>3499.09</v>
      </c>
      <c r="L3">
        <f ca="1">INDIRECT("'App.2-M_Regulatory_Costs'!G" &amp; MATCH($F3,'App.2-M_Regulatory_Costs'!$B:$B,0))</f>
        <v>3756.23</v>
      </c>
      <c r="M3">
        <f ca="1">INDIRECT("'App.2-M_Regulatory_Costs'!H" &amp; MATCH($F3,'App.2-M_Regulatory_Costs'!$B:$B,0))</f>
        <v>1853.48</v>
      </c>
      <c r="N3">
        <f ca="1">INDIRECT("'App.2-M_Regulatory_Costs'!I" &amp; MATCH($F3,'App.2-M_Regulatory_Costs'!$B:$B,0))</f>
        <v>-0.50655843758236319</v>
      </c>
      <c r="O3">
        <f ca="1">INDIRECT("'App.2-M_Regulatory_Costs'!J" &amp; MATCH($F3,'App.2-M_Regulatory_Costs'!$B:$B,0))</f>
        <v>5000</v>
      </c>
      <c r="P3">
        <f ca="1">INDIRECT("'App.2-M_Regulatory_Costs'!K" &amp; MATCH($F3,'App.2-M_Regulatory_Costs'!$B:$B,0))</f>
        <v>1.697628245246779</v>
      </c>
    </row>
    <row r="4" spans="1:16" x14ac:dyDescent="0.2">
      <c r="A4" t="str">
        <f>'LDC Info'!$E$14</f>
        <v>Greater Sudbury Hydro Inc.</v>
      </c>
      <c r="B4" t="str">
        <f t="shared" si="0"/>
        <v>EB-2019-0037</v>
      </c>
      <c r="C4">
        <f t="shared" si="1"/>
        <v>2020</v>
      </c>
      <c r="D4">
        <f t="shared" si="2"/>
        <v>2019</v>
      </c>
      <c r="E4">
        <f t="shared" si="3"/>
        <v>2013</v>
      </c>
      <c r="F4" t="str">
        <f>'App.2-M_Regulatory_Costs'!B18</f>
        <v>Expert Witness costs for regulatory matters</v>
      </c>
      <c r="G4" s="9" t="s">
        <v>1116</v>
      </c>
      <c r="H4">
        <f ca="1">INDIRECT("'App.2-M_Regulatory_Costs'!C" &amp; MATCH(F4,'App.2-M_Regulatory_Costs'!$B:$B,0))</f>
        <v>5655</v>
      </c>
      <c r="I4">
        <f ca="1">INDIRECT("'App.2-M_Regulatory_Costs'!D" &amp; MATCH($F4,'App.2-M_Regulatory_Costs'!$B:$B,0))</f>
        <v>0</v>
      </c>
      <c r="J4">
        <f ca="1">INDIRECT("'App.2-M_Regulatory_Costs'!E" &amp; MATCH($F4,'App.2-M_Regulatory_Costs'!$B:$B,0))</f>
        <v>0</v>
      </c>
      <c r="K4">
        <f ca="1">INDIRECT("'App.2-M_Regulatory_Costs'!F" &amp; MATCH($F4,'App.2-M_Regulatory_Costs'!$B:$B,0))</f>
        <v>0</v>
      </c>
      <c r="L4">
        <f ca="1">INDIRECT("'App.2-M_Regulatory_Costs'!G" &amp; MATCH($F4,'App.2-M_Regulatory_Costs'!$B:$B,0))</f>
        <v>0</v>
      </c>
      <c r="M4">
        <f ca="1">INDIRECT("'App.2-M_Regulatory_Costs'!H" &amp; MATCH($F4,'App.2-M_Regulatory_Costs'!$B:$B,0))</f>
        <v>0</v>
      </c>
      <c r="N4" t="str">
        <f ca="1">INDIRECT("'App.2-M_Regulatory_Costs'!I" &amp; MATCH($F4,'App.2-M_Regulatory_Costs'!$B:$B,0))</f>
        <v/>
      </c>
      <c r="O4">
        <f ca="1">INDIRECT("'App.2-M_Regulatory_Costs'!J" &amp; MATCH($F4,'App.2-M_Regulatory_Costs'!$B:$B,0))</f>
        <v>0</v>
      </c>
      <c r="P4" t="str">
        <f ca="1">INDIRECT("'App.2-M_Regulatory_Costs'!K" &amp; MATCH($F4,'App.2-M_Regulatory_Costs'!$B:$B,0))</f>
        <v/>
      </c>
    </row>
    <row r="5" spans="1:16" x14ac:dyDescent="0.2">
      <c r="A5" t="str">
        <f>'LDC Info'!$E$14</f>
        <v>Greater Sudbury Hydro Inc.</v>
      </c>
      <c r="B5" t="str">
        <f t="shared" si="0"/>
        <v>EB-2019-0037</v>
      </c>
      <c r="C5">
        <f t="shared" si="1"/>
        <v>2020</v>
      </c>
      <c r="D5">
        <f t="shared" si="2"/>
        <v>2019</v>
      </c>
      <c r="E5">
        <f t="shared" si="3"/>
        <v>2013</v>
      </c>
      <c r="F5" t="str">
        <f>'App.2-M_Regulatory_Costs'!B19</f>
        <v>Legal costs for regulatory matters</v>
      </c>
      <c r="G5" s="9" t="s">
        <v>1116</v>
      </c>
      <c r="H5">
        <f ca="1">INDIRECT("'App.2-M_Regulatory_Costs'!C" &amp; MATCH(F5,'App.2-M_Regulatory_Costs'!$B:$B,0))</f>
        <v>5655</v>
      </c>
      <c r="I5">
        <f ca="1">INDIRECT("'App.2-M_Regulatory_Costs'!D" &amp; MATCH($F5,'App.2-M_Regulatory_Costs'!$B:$B,0))</f>
        <v>0</v>
      </c>
      <c r="J5">
        <f ca="1">INDIRECT("'App.2-M_Regulatory_Costs'!E" &amp; MATCH($F5,'App.2-M_Regulatory_Costs'!$B:$B,0))</f>
        <v>0</v>
      </c>
      <c r="K5">
        <f ca="1">INDIRECT("'App.2-M_Regulatory_Costs'!F" &amp; MATCH($F5,'App.2-M_Regulatory_Costs'!$B:$B,0))</f>
        <v>0</v>
      </c>
      <c r="L5">
        <f ca="1">INDIRECT("'App.2-M_Regulatory_Costs'!G" &amp; MATCH($F5,'App.2-M_Regulatory_Costs'!$B:$B,0))</f>
        <v>550</v>
      </c>
      <c r="M5">
        <f ca="1">INDIRECT("'App.2-M_Regulatory_Costs'!H" &amp; MATCH($F5,'App.2-M_Regulatory_Costs'!$B:$B,0))</f>
        <v>3577</v>
      </c>
      <c r="N5">
        <f ca="1">INDIRECT("'App.2-M_Regulatory_Costs'!I" &amp; MATCH($F5,'App.2-M_Regulatory_Costs'!$B:$B,0))</f>
        <v>5.5036363636363639</v>
      </c>
      <c r="O5">
        <f ca="1">INDIRECT("'App.2-M_Regulatory_Costs'!J" &amp; MATCH($F5,'App.2-M_Regulatory_Costs'!$B:$B,0))</f>
        <v>5000</v>
      </c>
      <c r="P5">
        <f ca="1">INDIRECT("'App.2-M_Regulatory_Costs'!K" &amp; MATCH($F5,'App.2-M_Regulatory_Costs'!$B:$B,0))</f>
        <v>0.39781940173329605</v>
      </c>
    </row>
    <row r="6" spans="1:16" x14ac:dyDescent="0.2">
      <c r="A6" t="str">
        <f>'LDC Info'!$E$14</f>
        <v>Greater Sudbury Hydro Inc.</v>
      </c>
      <c r="B6" t="str">
        <f t="shared" si="0"/>
        <v>EB-2019-0037</v>
      </c>
      <c r="C6">
        <f t="shared" si="1"/>
        <v>2020</v>
      </c>
      <c r="D6">
        <f t="shared" si="2"/>
        <v>2019</v>
      </c>
      <c r="E6">
        <f t="shared" si="3"/>
        <v>2013</v>
      </c>
      <c r="F6" t="str">
        <f>'App.2-M_Regulatory_Costs'!B20</f>
        <v>Consultants' costs for regulatory matters</v>
      </c>
      <c r="G6" s="9" t="s">
        <v>1116</v>
      </c>
      <c r="H6">
        <f ca="1">INDIRECT("'App.2-M_Regulatory_Costs'!C" &amp; MATCH(F6,'App.2-M_Regulatory_Costs'!$B:$B,0))</f>
        <v>5655</v>
      </c>
      <c r="I6">
        <f ca="1">INDIRECT("'App.2-M_Regulatory_Costs'!D" &amp; MATCH($F6,'App.2-M_Regulatory_Costs'!$B:$B,0))</f>
        <v>0</v>
      </c>
      <c r="J6">
        <f ca="1">INDIRECT("'App.2-M_Regulatory_Costs'!E" &amp; MATCH($F6,'App.2-M_Regulatory_Costs'!$B:$B,0))</f>
        <v>0</v>
      </c>
      <c r="K6">
        <f ca="1">INDIRECT("'App.2-M_Regulatory_Costs'!F" &amp; MATCH($F6,'App.2-M_Regulatory_Costs'!$B:$B,0))</f>
        <v>13306.09</v>
      </c>
      <c r="L6">
        <f ca="1">INDIRECT("'App.2-M_Regulatory_Costs'!G" &amp; MATCH($F6,'App.2-M_Regulatory_Costs'!$B:$B,0))</f>
        <v>1537.5</v>
      </c>
      <c r="M6">
        <f ca="1">INDIRECT("'App.2-M_Regulatory_Costs'!H" &amp; MATCH($F6,'App.2-M_Regulatory_Costs'!$B:$B,0))</f>
        <v>900</v>
      </c>
      <c r="N6">
        <f ca="1">INDIRECT("'App.2-M_Regulatory_Costs'!I" &amp; MATCH($F6,'App.2-M_Regulatory_Costs'!$B:$B,0))</f>
        <v>-0.41463414634146339</v>
      </c>
      <c r="O6">
        <f ca="1">INDIRECT("'App.2-M_Regulatory_Costs'!J" &amp; MATCH($F6,'App.2-M_Regulatory_Costs'!$B:$B,0))</f>
        <v>5000</v>
      </c>
      <c r="P6">
        <f ca="1">INDIRECT("'App.2-M_Regulatory_Costs'!K" &amp; MATCH($F6,'App.2-M_Regulatory_Costs'!$B:$B,0))</f>
        <v>4.5555555555555554</v>
      </c>
    </row>
    <row r="7" spans="1:16" x14ac:dyDescent="0.2">
      <c r="A7" t="str">
        <f>'LDC Info'!$E$14</f>
        <v>Greater Sudbury Hydro Inc.</v>
      </c>
      <c r="B7" t="str">
        <f t="shared" si="0"/>
        <v>EB-2019-0037</v>
      </c>
      <c r="C7">
        <f t="shared" si="1"/>
        <v>2020</v>
      </c>
      <c r="D7">
        <f t="shared" si="2"/>
        <v>2019</v>
      </c>
      <c r="E7">
        <f t="shared" si="3"/>
        <v>2013</v>
      </c>
      <c r="F7" t="str">
        <f>'App.2-M_Regulatory_Costs'!B21</f>
        <v>Operating expenses associated with staff resources allocated to regulatory matters</v>
      </c>
      <c r="G7" s="9" t="s">
        <v>1116</v>
      </c>
      <c r="H7">
        <f ca="1">INDIRECT("'App.2-M_Regulatory_Costs'!C" &amp; MATCH(F7,'App.2-M_Regulatory_Costs'!$B:$B,0))</f>
        <v>5655</v>
      </c>
      <c r="I7">
        <f ca="1">INDIRECT("'App.2-M_Regulatory_Costs'!D" &amp; MATCH($F7,'App.2-M_Regulatory_Costs'!$B:$B,0))</f>
        <v>0</v>
      </c>
      <c r="J7">
        <f ca="1">INDIRECT("'App.2-M_Regulatory_Costs'!E" &amp; MATCH($F7,'App.2-M_Regulatory_Costs'!$B:$B,0))</f>
        <v>144339</v>
      </c>
      <c r="K7">
        <f ca="1">INDIRECT("'App.2-M_Regulatory_Costs'!F" &amp; MATCH($F7,'App.2-M_Regulatory_Costs'!$B:$B,0))</f>
        <v>150263.52000000002</v>
      </c>
      <c r="L7">
        <f ca="1">INDIRECT("'App.2-M_Regulatory_Costs'!G" &amp; MATCH($F7,'App.2-M_Regulatory_Costs'!$B:$B,0))</f>
        <v>285977.11000000004</v>
      </c>
      <c r="M7">
        <f ca="1">INDIRECT("'App.2-M_Regulatory_Costs'!H" &amp; MATCH($F7,'App.2-M_Regulatory_Costs'!$B:$B,0))</f>
        <v>274310.04000000004</v>
      </c>
      <c r="N7">
        <f ca="1">INDIRECT("'App.2-M_Regulatory_Costs'!I" &amp; MATCH($F7,'App.2-M_Regulatory_Costs'!$B:$B,0))</f>
        <v>-4.0797216252727378E-2</v>
      </c>
      <c r="O7">
        <f ca="1">INDIRECT("'App.2-M_Regulatory_Costs'!J" &amp; MATCH($F7,'App.2-M_Regulatory_Costs'!$B:$B,0))</f>
        <v>334576</v>
      </c>
      <c r="P7">
        <f ca="1">INDIRECT("'App.2-M_Regulatory_Costs'!K" &amp; MATCH($F7,'App.2-M_Regulatory_Costs'!$B:$B,0))</f>
        <v>0.21970016117528893</v>
      </c>
    </row>
    <row r="8" spans="1:16" x14ac:dyDescent="0.2">
      <c r="A8" t="str">
        <f>'LDC Info'!$E$14</f>
        <v>Greater Sudbury Hydro Inc.</v>
      </c>
      <c r="B8" t="str">
        <f t="shared" si="0"/>
        <v>EB-2019-0037</v>
      </c>
      <c r="C8">
        <f t="shared" si="1"/>
        <v>2020</v>
      </c>
      <c r="D8">
        <f t="shared" si="2"/>
        <v>2019</v>
      </c>
      <c r="E8">
        <f t="shared" si="3"/>
        <v>2013</v>
      </c>
      <c r="F8" t="str">
        <f>'App.2-M_Regulatory_Costs'!B22</f>
        <v>Operating expenses associated with other resources allocated to regulatory matters 1</v>
      </c>
      <c r="G8" s="9" t="s">
        <v>1116</v>
      </c>
      <c r="H8">
        <f ca="1">INDIRECT("'App.2-M_Regulatory_Costs'!C" &amp; MATCH(F8,'App.2-M_Regulatory_Costs'!$B:$B,0))</f>
        <v>5655</v>
      </c>
      <c r="I8">
        <f ca="1">INDIRECT("'App.2-M_Regulatory_Costs'!D" &amp; MATCH($F8,'App.2-M_Regulatory_Costs'!$B:$B,0))</f>
        <v>0</v>
      </c>
      <c r="J8">
        <f ca="1">INDIRECT("'App.2-M_Regulatory_Costs'!E" &amp; MATCH($F8,'App.2-M_Regulatory_Costs'!$B:$B,0))</f>
        <v>0</v>
      </c>
      <c r="K8">
        <f ca="1">INDIRECT("'App.2-M_Regulatory_Costs'!F" &amp; MATCH($F8,'App.2-M_Regulatory_Costs'!$B:$B,0))</f>
        <v>0</v>
      </c>
      <c r="L8">
        <f ca="1">INDIRECT("'App.2-M_Regulatory_Costs'!G" &amp; MATCH($F8,'App.2-M_Regulatory_Costs'!$B:$B,0))</f>
        <v>0</v>
      </c>
      <c r="M8">
        <f ca="1">INDIRECT("'App.2-M_Regulatory_Costs'!H" &amp; MATCH($F8,'App.2-M_Regulatory_Costs'!$B:$B,0))</f>
        <v>0</v>
      </c>
      <c r="N8" t="str">
        <f ca="1">INDIRECT("'App.2-M_Regulatory_Costs'!I" &amp; MATCH($F8,'App.2-M_Regulatory_Costs'!$B:$B,0))</f>
        <v/>
      </c>
      <c r="O8">
        <f ca="1">INDIRECT("'App.2-M_Regulatory_Costs'!J" &amp; MATCH($F8,'App.2-M_Regulatory_Costs'!$B:$B,0))</f>
        <v>0</v>
      </c>
      <c r="P8" t="str">
        <f ca="1">INDIRECT("'App.2-M_Regulatory_Costs'!K" &amp; MATCH($F8,'App.2-M_Regulatory_Costs'!$B:$B,0))</f>
        <v/>
      </c>
    </row>
    <row r="9" spans="1:16" x14ac:dyDescent="0.2">
      <c r="A9" t="str">
        <f>'LDC Info'!$E$14</f>
        <v>Greater Sudbury Hydro Inc.</v>
      </c>
      <c r="B9" t="str">
        <f t="shared" si="0"/>
        <v>EB-2019-0037</v>
      </c>
      <c r="C9">
        <f t="shared" si="1"/>
        <v>2020</v>
      </c>
      <c r="D9">
        <f t="shared" si="2"/>
        <v>2019</v>
      </c>
      <c r="E9">
        <f t="shared" si="3"/>
        <v>2013</v>
      </c>
      <c r="F9" t="str">
        <f>'App.2-M_Regulatory_Costs'!B23</f>
        <v>Other regulatory agency fees or assessments</v>
      </c>
      <c r="G9" s="9" t="s">
        <v>1116</v>
      </c>
      <c r="H9">
        <f ca="1">INDIRECT("'App.2-M_Regulatory_Costs'!C" &amp; MATCH(F9,'App.2-M_Regulatory_Costs'!$B:$B,0))</f>
        <v>5655</v>
      </c>
      <c r="I9">
        <f ca="1">INDIRECT("'App.2-M_Regulatory_Costs'!D" &amp; MATCH($F9,'App.2-M_Regulatory_Costs'!$B:$B,0))</f>
        <v>0</v>
      </c>
      <c r="J9">
        <f ca="1">INDIRECT("'App.2-M_Regulatory_Costs'!E" &amp; MATCH($F9,'App.2-M_Regulatory_Costs'!$B:$B,0))</f>
        <v>0</v>
      </c>
      <c r="K9">
        <f ca="1">INDIRECT("'App.2-M_Regulatory_Costs'!F" &amp; MATCH($F9,'App.2-M_Regulatory_Costs'!$B:$B,0))</f>
        <v>0</v>
      </c>
      <c r="L9">
        <f ca="1">INDIRECT("'App.2-M_Regulatory_Costs'!G" &amp; MATCH($F9,'App.2-M_Regulatory_Costs'!$B:$B,0))</f>
        <v>0</v>
      </c>
      <c r="M9">
        <f ca="1">INDIRECT("'App.2-M_Regulatory_Costs'!H" &amp; MATCH($F9,'App.2-M_Regulatory_Costs'!$B:$B,0))</f>
        <v>0</v>
      </c>
      <c r="N9" t="str">
        <f ca="1">INDIRECT("'App.2-M_Regulatory_Costs'!I" &amp; MATCH($F9,'App.2-M_Regulatory_Costs'!$B:$B,0))</f>
        <v/>
      </c>
      <c r="O9">
        <f ca="1">INDIRECT("'App.2-M_Regulatory_Costs'!J" &amp; MATCH($F9,'App.2-M_Regulatory_Costs'!$B:$B,0))</f>
        <v>0</v>
      </c>
      <c r="P9" t="str">
        <f ca="1">INDIRECT("'App.2-M_Regulatory_Costs'!K" &amp; MATCH($F9,'App.2-M_Regulatory_Costs'!$B:$B,0))</f>
        <v/>
      </c>
    </row>
    <row r="10" spans="1:16" x14ac:dyDescent="0.2">
      <c r="A10" t="str">
        <f>'LDC Info'!$E$14</f>
        <v>Greater Sudbury Hydro Inc.</v>
      </c>
      <c r="B10" t="str">
        <f t="shared" si="0"/>
        <v>EB-2019-0037</v>
      </c>
      <c r="C10">
        <f t="shared" si="1"/>
        <v>2020</v>
      </c>
      <c r="D10">
        <f t="shared" si="2"/>
        <v>2019</v>
      </c>
      <c r="E10">
        <f t="shared" si="3"/>
        <v>2013</v>
      </c>
      <c r="F10" t="str">
        <f>'App.2-M_Regulatory_Costs'!B24</f>
        <v>Any other costs for regulatory matters (please define)</v>
      </c>
      <c r="G10" s="9" t="s">
        <v>1116</v>
      </c>
      <c r="H10">
        <f ca="1">INDIRECT("'App.2-M_Regulatory_Costs'!C" &amp; MATCH(F10,'App.2-M_Regulatory_Costs'!$B:$B,0))</f>
        <v>5655</v>
      </c>
      <c r="I10">
        <f ca="1">INDIRECT("'App.2-M_Regulatory_Costs'!D" &amp; MATCH($F10,'App.2-M_Regulatory_Costs'!$B:$B,0))</f>
        <v>0</v>
      </c>
      <c r="J10">
        <f ca="1">INDIRECT("'App.2-M_Regulatory_Costs'!E" &amp; MATCH($F10,'App.2-M_Regulatory_Costs'!$B:$B,0))</f>
        <v>0</v>
      </c>
      <c r="K10">
        <f ca="1">INDIRECT("'App.2-M_Regulatory_Costs'!F" &amp; MATCH($F10,'App.2-M_Regulatory_Costs'!$B:$B,0))</f>
        <v>0</v>
      </c>
      <c r="L10">
        <f ca="1">INDIRECT("'App.2-M_Regulatory_Costs'!G" &amp; MATCH($F10,'App.2-M_Regulatory_Costs'!$B:$B,0))</f>
        <v>0</v>
      </c>
      <c r="M10">
        <f ca="1">INDIRECT("'App.2-M_Regulatory_Costs'!H" &amp; MATCH($F10,'App.2-M_Regulatory_Costs'!$B:$B,0))</f>
        <v>0</v>
      </c>
      <c r="N10" t="str">
        <f ca="1">INDIRECT("'App.2-M_Regulatory_Costs'!I" &amp; MATCH($F10,'App.2-M_Regulatory_Costs'!$B:$B,0))</f>
        <v/>
      </c>
      <c r="O10">
        <f ca="1">INDIRECT("'App.2-M_Regulatory_Costs'!J" &amp; MATCH($F10,'App.2-M_Regulatory_Costs'!$B:$B,0))</f>
        <v>0</v>
      </c>
      <c r="P10" t="str">
        <f ca="1">INDIRECT("'App.2-M_Regulatory_Costs'!K" &amp; MATCH($F10,'App.2-M_Regulatory_Costs'!$B:$B,0))</f>
        <v/>
      </c>
    </row>
    <row r="11" spans="1:16" x14ac:dyDescent="0.2">
      <c r="A11" t="str">
        <f>'LDC Info'!$E$14</f>
        <v>Greater Sudbury Hydro Inc.</v>
      </c>
      <c r="B11" t="str">
        <f t="shared" si="0"/>
        <v>EB-2019-0037</v>
      </c>
      <c r="C11">
        <f t="shared" si="1"/>
        <v>2020</v>
      </c>
      <c r="D11">
        <f t="shared" si="2"/>
        <v>2019</v>
      </c>
      <c r="E11">
        <f t="shared" si="3"/>
        <v>2013</v>
      </c>
      <c r="F11" t="str">
        <f>'App.2-M_Regulatory_Costs'!B25</f>
        <v>Intervenor costs</v>
      </c>
      <c r="G11" s="9" t="s">
        <v>1116</v>
      </c>
      <c r="H11">
        <f ca="1">INDIRECT("'App.2-M_Regulatory_Costs'!C" &amp; MATCH(F11,'App.2-M_Regulatory_Costs'!$B:$B,0))</f>
        <v>5655</v>
      </c>
      <c r="I11">
        <f ca="1">INDIRECT("'App.2-M_Regulatory_Costs'!D" &amp; MATCH($F11,'App.2-M_Regulatory_Costs'!$B:$B,0))</f>
        <v>0</v>
      </c>
      <c r="J11">
        <f ca="1">INDIRECT("'App.2-M_Regulatory_Costs'!E" &amp; MATCH($F11,'App.2-M_Regulatory_Costs'!$B:$B,0))</f>
        <v>0</v>
      </c>
      <c r="K11">
        <f ca="1">INDIRECT("'App.2-M_Regulatory_Costs'!F" &amp; MATCH($F11,'App.2-M_Regulatory_Costs'!$B:$B,0))</f>
        <v>0</v>
      </c>
      <c r="L11">
        <f ca="1">INDIRECT("'App.2-M_Regulatory_Costs'!G" &amp; MATCH($F11,'App.2-M_Regulatory_Costs'!$B:$B,0))</f>
        <v>0</v>
      </c>
      <c r="M11">
        <f ca="1">INDIRECT("'App.2-M_Regulatory_Costs'!H" &amp; MATCH($F11,'App.2-M_Regulatory_Costs'!$B:$B,0))</f>
        <v>0</v>
      </c>
      <c r="N11" t="str">
        <f ca="1">INDIRECT("'App.2-M_Regulatory_Costs'!I" &amp; MATCH($F11,'App.2-M_Regulatory_Costs'!$B:$B,0))</f>
        <v/>
      </c>
      <c r="O11">
        <f ca="1">INDIRECT("'App.2-M_Regulatory_Costs'!J" &amp; MATCH($F11,'App.2-M_Regulatory_Costs'!$B:$B,0))</f>
        <v>0</v>
      </c>
      <c r="P11" t="str">
        <f ca="1">INDIRECT("'App.2-M_Regulatory_Costs'!K" &amp; MATCH($F11,'App.2-M_Regulatory_Costs'!$B:$B,0))</f>
        <v/>
      </c>
    </row>
    <row r="12" spans="1:16" x14ac:dyDescent="0.2">
      <c r="A12" t="str">
        <f>'LDC Info'!$E$14</f>
        <v>Greater Sudbury Hydro Inc.</v>
      </c>
      <c r="B12" t="str">
        <f t="shared" si="0"/>
        <v>EB-2019-0037</v>
      </c>
      <c r="C12">
        <f t="shared" si="1"/>
        <v>2020</v>
      </c>
      <c r="D12">
        <f t="shared" si="2"/>
        <v>2019</v>
      </c>
      <c r="E12">
        <f t="shared" si="3"/>
        <v>2013</v>
      </c>
      <c r="F12" t="str">
        <f>'App.2-M_Regulatory_Costs'!B26</f>
        <v>IESO Prudential Costs, Advertisements</v>
      </c>
      <c r="G12" s="9" t="s">
        <v>1116</v>
      </c>
      <c r="H12">
        <f ca="1">INDIRECT("'App.2-M_Regulatory_Costs'!C" &amp; MATCH(F12,'App.2-M_Regulatory_Costs'!$B:$B,0))</f>
        <v>0</v>
      </c>
      <c r="I12">
        <f ca="1">INDIRECT("'App.2-M_Regulatory_Costs'!D" &amp; MATCH($F12,'App.2-M_Regulatory_Costs'!$B:$B,0))</f>
        <v>0</v>
      </c>
      <c r="J12">
        <f ca="1">INDIRECT("'App.2-M_Regulatory_Costs'!E" &amp; MATCH($F12,'App.2-M_Regulatory_Costs'!$B:$B,0))</f>
        <v>55000</v>
      </c>
      <c r="K12">
        <f ca="1">INDIRECT("'App.2-M_Regulatory_Costs'!F" &amp; MATCH($F12,'App.2-M_Regulatory_Costs'!$B:$B,0))</f>
        <v>45241.94</v>
      </c>
      <c r="L12">
        <f ca="1">INDIRECT("'App.2-M_Regulatory_Costs'!G" &amp; MATCH($F12,'App.2-M_Regulatory_Costs'!$B:$B,0))</f>
        <v>45241.94000000001</v>
      </c>
      <c r="M12">
        <f ca="1">INDIRECT("'App.2-M_Regulatory_Costs'!H" &amp; MATCH($F12,'App.2-M_Regulatory_Costs'!$B:$B,0))</f>
        <v>45241.94</v>
      </c>
      <c r="N12">
        <f ca="1">INDIRECT("'App.2-M_Regulatory_Costs'!I" &amp; MATCH($F12,'App.2-M_Regulatory_Costs'!$B:$B,0))</f>
        <v>-1.6082328950048173E-16</v>
      </c>
      <c r="O12">
        <f ca="1">INDIRECT("'App.2-M_Regulatory_Costs'!J" &amp; MATCH($F12,'App.2-M_Regulatory_Costs'!$B:$B,0))</f>
        <v>48000</v>
      </c>
      <c r="P12">
        <f ca="1">INDIRECT("'App.2-M_Regulatory_Costs'!K" &amp; MATCH($F12,'App.2-M_Regulatory_Costs'!$B:$B,0))</f>
        <v>6.0962460937793506E-2</v>
      </c>
    </row>
    <row r="13" spans="1:16" x14ac:dyDescent="0.2">
      <c r="A13" t="str">
        <f>'LDC Info'!$E$14</f>
        <v>Greater Sudbury Hydro Inc.</v>
      </c>
      <c r="B13" t="str">
        <f t="shared" si="0"/>
        <v>EB-2019-0037</v>
      </c>
      <c r="C13">
        <f t="shared" si="1"/>
        <v>2020</v>
      </c>
      <c r="D13">
        <f t="shared" si="2"/>
        <v>2019</v>
      </c>
      <c r="E13">
        <f t="shared" si="3"/>
        <v>2013</v>
      </c>
      <c r="F13">
        <f>'App.2-M_Regulatory_Costs'!B27</f>
        <v>0</v>
      </c>
      <c r="G13" s="9" t="s">
        <v>1116</v>
      </c>
      <c r="H13" t="e">
        <f ca="1">INDIRECT("'App.2-M_Regulatory_Costs'!C" &amp; MATCH(F13,'App.2-M_Regulatory_Costs'!$B:$B,0))</f>
        <v>#N/A</v>
      </c>
      <c r="I13" t="e">
        <f ca="1">INDIRECT("'App.2-M_Regulatory_Costs'!D" &amp; MATCH($F13,'App.2-M_Regulatory_Costs'!$B:$B,0))</f>
        <v>#N/A</v>
      </c>
      <c r="J13" t="e">
        <f ca="1">INDIRECT("'App.2-M_Regulatory_Costs'!E" &amp; MATCH($F13,'App.2-M_Regulatory_Costs'!$B:$B,0))</f>
        <v>#N/A</v>
      </c>
      <c r="K13" t="e">
        <f ca="1">INDIRECT("'App.2-M_Regulatory_Costs'!F" &amp; MATCH($F13,'App.2-M_Regulatory_Costs'!$B:$B,0))</f>
        <v>#N/A</v>
      </c>
      <c r="L13" t="e">
        <f ca="1">INDIRECT("'App.2-M_Regulatory_Costs'!G" &amp; MATCH($F13,'App.2-M_Regulatory_Costs'!$B:$B,0))</f>
        <v>#N/A</v>
      </c>
      <c r="M13" t="e">
        <f ca="1">INDIRECT("'App.2-M_Regulatory_Costs'!H" &amp; MATCH($F13,'App.2-M_Regulatory_Costs'!$B:$B,0))</f>
        <v>#N/A</v>
      </c>
      <c r="N13" t="e">
        <f ca="1">INDIRECT("'App.2-M_Regulatory_Costs'!I" &amp; MATCH($F13,'App.2-M_Regulatory_Costs'!$B:$B,0))</f>
        <v>#N/A</v>
      </c>
      <c r="O13" t="e">
        <f ca="1">INDIRECT("'App.2-M_Regulatory_Costs'!J" &amp; MATCH($F13,'App.2-M_Regulatory_Costs'!$B:$B,0))</f>
        <v>#N/A</v>
      </c>
      <c r="P13" t="e">
        <f ca="1">INDIRECT("'App.2-M_Regulatory_Costs'!K" &amp; MATCH($F13,'App.2-M_Regulatory_Costs'!$B:$B,0))</f>
        <v>#N/A</v>
      </c>
    </row>
    <row r="14" spans="1:16" x14ac:dyDescent="0.2">
      <c r="A14" t="str">
        <f>'LDC Info'!$E$14</f>
        <v>Greater Sudbury Hydro Inc.</v>
      </c>
      <c r="B14" t="str">
        <f t="shared" si="0"/>
        <v>EB-2019-0037</v>
      </c>
      <c r="C14">
        <f t="shared" si="1"/>
        <v>2020</v>
      </c>
      <c r="D14">
        <f t="shared" si="2"/>
        <v>2019</v>
      </c>
      <c r="E14">
        <f t="shared" si="3"/>
        <v>2013</v>
      </c>
      <c r="F14">
        <f>'App.2-M_Regulatory_Costs'!B28</f>
        <v>0</v>
      </c>
      <c r="G14" s="9" t="s">
        <v>1116</v>
      </c>
      <c r="H14" t="e">
        <f ca="1">INDIRECT("'App.2-M_Regulatory_Costs'!C" &amp; MATCH(F14,'App.2-M_Regulatory_Costs'!$B:$B,0))</f>
        <v>#N/A</v>
      </c>
      <c r="I14" t="e">
        <f ca="1">INDIRECT("'App.2-M_Regulatory_Costs'!D" &amp; MATCH($F14,'App.2-M_Regulatory_Costs'!$B:$B,0))</f>
        <v>#N/A</v>
      </c>
      <c r="J14" t="e">
        <f ca="1">INDIRECT("'App.2-M_Regulatory_Costs'!E" &amp; MATCH($F14,'App.2-M_Regulatory_Costs'!$B:$B,0))</f>
        <v>#N/A</v>
      </c>
      <c r="K14" t="e">
        <f ca="1">INDIRECT("'App.2-M_Regulatory_Costs'!F" &amp; MATCH($F14,'App.2-M_Regulatory_Costs'!$B:$B,0))</f>
        <v>#N/A</v>
      </c>
      <c r="L14" t="e">
        <f ca="1">INDIRECT("'App.2-M_Regulatory_Costs'!G" &amp; MATCH($F14,'App.2-M_Regulatory_Costs'!$B:$B,0))</f>
        <v>#N/A</v>
      </c>
      <c r="M14" t="e">
        <f ca="1">INDIRECT("'App.2-M_Regulatory_Costs'!H" &amp; MATCH($F14,'App.2-M_Regulatory_Costs'!$B:$B,0))</f>
        <v>#N/A</v>
      </c>
      <c r="N14" t="e">
        <f ca="1">INDIRECT("'App.2-M_Regulatory_Costs'!I" &amp; MATCH($F14,'App.2-M_Regulatory_Costs'!$B:$B,0))</f>
        <v>#N/A</v>
      </c>
      <c r="O14" t="e">
        <f ca="1">INDIRECT("'App.2-M_Regulatory_Costs'!J" &amp; MATCH($F14,'App.2-M_Regulatory_Costs'!$B:$B,0))</f>
        <v>#N/A</v>
      </c>
      <c r="P14" t="e">
        <f ca="1">INDIRECT("'App.2-M_Regulatory_Costs'!K" &amp; MATCH($F14,'App.2-M_Regulatory_Costs'!$B:$B,0))</f>
        <v>#N/A</v>
      </c>
    </row>
    <row r="15" spans="1:16" x14ac:dyDescent="0.2">
      <c r="A15" t="str">
        <f>'LDC Info'!$E$14</f>
        <v>Greater Sudbury Hydro Inc.</v>
      </c>
      <c r="B15" t="str">
        <f t="shared" si="0"/>
        <v>EB-2019-0037</v>
      </c>
      <c r="C15">
        <f t="shared" si="1"/>
        <v>2020</v>
      </c>
      <c r="D15">
        <f t="shared" si="2"/>
        <v>2019</v>
      </c>
      <c r="E15">
        <f t="shared" si="3"/>
        <v>2013</v>
      </c>
      <c r="F15">
        <f>'App.2-M_Regulatory_Costs'!B29</f>
        <v>0</v>
      </c>
      <c r="G15" s="9" t="s">
        <v>1116</v>
      </c>
      <c r="H15" t="e">
        <f ca="1">INDIRECT("'App.2-M_Regulatory_Costs'!C" &amp; MATCH(F15,'App.2-M_Regulatory_Costs'!$B:$B,0))</f>
        <v>#N/A</v>
      </c>
      <c r="I15" t="e">
        <f ca="1">INDIRECT("'App.2-M_Regulatory_Costs'!D" &amp; MATCH($F15,'App.2-M_Regulatory_Costs'!$B:$B,0))</f>
        <v>#N/A</v>
      </c>
      <c r="J15" t="e">
        <f ca="1">INDIRECT("'App.2-M_Regulatory_Costs'!E" &amp; MATCH($F15,'App.2-M_Regulatory_Costs'!$B:$B,0))</f>
        <v>#N/A</v>
      </c>
      <c r="K15" t="e">
        <f ca="1">INDIRECT("'App.2-M_Regulatory_Costs'!F" &amp; MATCH($F15,'App.2-M_Regulatory_Costs'!$B:$B,0))</f>
        <v>#N/A</v>
      </c>
      <c r="L15" t="e">
        <f ca="1">INDIRECT("'App.2-M_Regulatory_Costs'!G" &amp; MATCH($F15,'App.2-M_Regulatory_Costs'!$B:$B,0))</f>
        <v>#N/A</v>
      </c>
      <c r="M15" t="e">
        <f ca="1">INDIRECT("'App.2-M_Regulatory_Costs'!H" &amp; MATCH($F15,'App.2-M_Regulatory_Costs'!$B:$B,0))</f>
        <v>#N/A</v>
      </c>
      <c r="N15" t="e">
        <f ca="1">INDIRECT("'App.2-M_Regulatory_Costs'!I" &amp; MATCH($F15,'App.2-M_Regulatory_Costs'!$B:$B,0))</f>
        <v>#N/A</v>
      </c>
      <c r="O15" t="e">
        <f ca="1">INDIRECT("'App.2-M_Regulatory_Costs'!J" &amp; MATCH($F15,'App.2-M_Regulatory_Costs'!$B:$B,0))</f>
        <v>#N/A</v>
      </c>
      <c r="P15" t="e">
        <f ca="1">INDIRECT("'App.2-M_Regulatory_Costs'!K" &amp; MATCH($F15,'App.2-M_Regulatory_Costs'!$B:$B,0))</f>
        <v>#N/A</v>
      </c>
    </row>
    <row r="16" spans="1:16" x14ac:dyDescent="0.2">
      <c r="A16" t="str">
        <f>'LDC Info'!$E$14</f>
        <v>Greater Sudbury Hydro Inc.</v>
      </c>
      <c r="B16" t="str">
        <f t="shared" si="0"/>
        <v>EB-2019-0037</v>
      </c>
      <c r="C16">
        <f t="shared" si="1"/>
        <v>2020</v>
      </c>
      <c r="D16">
        <f t="shared" si="2"/>
        <v>2019</v>
      </c>
      <c r="E16">
        <f t="shared" si="3"/>
        <v>2013</v>
      </c>
      <c r="F16">
        <f>'App.2-M_Regulatory_Costs'!B30</f>
        <v>0</v>
      </c>
      <c r="G16" s="9" t="s">
        <v>1116</v>
      </c>
      <c r="H16" t="e">
        <f ca="1">INDIRECT("'App.2-M_Regulatory_Costs'!C" &amp; MATCH(F16,'App.2-M_Regulatory_Costs'!$B:$B,0))</f>
        <v>#N/A</v>
      </c>
      <c r="I16" t="e">
        <f ca="1">INDIRECT("'App.2-M_Regulatory_Costs'!D" &amp; MATCH($F16,'App.2-M_Regulatory_Costs'!$B:$B,0))</f>
        <v>#N/A</v>
      </c>
      <c r="J16" t="e">
        <f ca="1">INDIRECT("'App.2-M_Regulatory_Costs'!E" &amp; MATCH($F16,'App.2-M_Regulatory_Costs'!$B:$B,0))</f>
        <v>#N/A</v>
      </c>
      <c r="K16" t="e">
        <f ca="1">INDIRECT("'App.2-M_Regulatory_Costs'!F" &amp; MATCH($F16,'App.2-M_Regulatory_Costs'!$B:$B,0))</f>
        <v>#N/A</v>
      </c>
      <c r="L16" t="e">
        <f ca="1">INDIRECT("'App.2-M_Regulatory_Costs'!G" &amp; MATCH($F16,'App.2-M_Regulatory_Costs'!$B:$B,0))</f>
        <v>#N/A</v>
      </c>
      <c r="M16" t="e">
        <f ca="1">INDIRECT("'App.2-M_Regulatory_Costs'!H" &amp; MATCH($F16,'App.2-M_Regulatory_Costs'!$B:$B,0))</f>
        <v>#N/A</v>
      </c>
      <c r="N16" t="e">
        <f ca="1">INDIRECT("'App.2-M_Regulatory_Costs'!I" &amp; MATCH($F16,'App.2-M_Regulatory_Costs'!$B:$B,0))</f>
        <v>#N/A</v>
      </c>
      <c r="O16" t="e">
        <f ca="1">INDIRECT("'App.2-M_Regulatory_Costs'!J" &amp; MATCH($F16,'App.2-M_Regulatory_Costs'!$B:$B,0))</f>
        <v>#N/A</v>
      </c>
      <c r="P16" t="e">
        <f ca="1">INDIRECT("'App.2-M_Regulatory_Costs'!K" &amp; MATCH($F16,'App.2-M_Regulatory_Costs'!$B:$B,0))</f>
        <v>#N/A</v>
      </c>
    </row>
    <row r="17" spans="1:16" x14ac:dyDescent="0.2">
      <c r="A17" t="str">
        <f>'LDC Info'!$E$14</f>
        <v>Greater Sudbury Hydro Inc.</v>
      </c>
      <c r="B17" t="str">
        <f t="shared" si="0"/>
        <v>EB-2019-0037</v>
      </c>
      <c r="C17">
        <f t="shared" si="1"/>
        <v>2020</v>
      </c>
      <c r="D17">
        <f t="shared" si="2"/>
        <v>2019</v>
      </c>
      <c r="E17">
        <f t="shared" si="3"/>
        <v>2013</v>
      </c>
      <c r="F17">
        <f>'App.2-M_Regulatory_Costs'!B31</f>
        <v>0</v>
      </c>
      <c r="G17" s="9" t="s">
        <v>1116</v>
      </c>
      <c r="H17" t="e">
        <f ca="1">INDIRECT("'App.2-M_Regulatory_Costs'!C" &amp; MATCH(F17,'App.2-M_Regulatory_Costs'!$B:$B,0))</f>
        <v>#N/A</v>
      </c>
      <c r="I17" t="e">
        <f ca="1">INDIRECT("'App.2-M_Regulatory_Costs'!D" &amp; MATCH($F17,'App.2-M_Regulatory_Costs'!$B:$B,0))</f>
        <v>#N/A</v>
      </c>
      <c r="J17" t="e">
        <f ca="1">INDIRECT("'App.2-M_Regulatory_Costs'!E" &amp; MATCH($F17,'App.2-M_Regulatory_Costs'!$B:$B,0))</f>
        <v>#N/A</v>
      </c>
      <c r="K17" t="e">
        <f ca="1">INDIRECT("'App.2-M_Regulatory_Costs'!F" &amp; MATCH($F17,'App.2-M_Regulatory_Costs'!$B:$B,0))</f>
        <v>#N/A</v>
      </c>
      <c r="L17" t="e">
        <f ca="1">INDIRECT("'App.2-M_Regulatory_Costs'!G" &amp; MATCH($F17,'App.2-M_Regulatory_Costs'!$B:$B,0))</f>
        <v>#N/A</v>
      </c>
      <c r="M17" t="e">
        <f ca="1">INDIRECT("'App.2-M_Regulatory_Costs'!H" &amp; MATCH($F17,'App.2-M_Regulatory_Costs'!$B:$B,0))</f>
        <v>#N/A</v>
      </c>
      <c r="N17" t="e">
        <f ca="1">INDIRECT("'App.2-M_Regulatory_Costs'!I" &amp; MATCH($F17,'App.2-M_Regulatory_Costs'!$B:$B,0))</f>
        <v>#N/A</v>
      </c>
      <c r="O17" t="e">
        <f ca="1">INDIRECT("'App.2-M_Regulatory_Costs'!J" &amp; MATCH($F17,'App.2-M_Regulatory_Costs'!$B:$B,0))</f>
        <v>#N/A</v>
      </c>
      <c r="P17" t="e">
        <f ca="1">INDIRECT("'App.2-M_Regulatory_Costs'!K" &amp; MATCH($F17,'App.2-M_Regulatory_Costs'!$B:$B,0))</f>
        <v>#N/A</v>
      </c>
    </row>
    <row r="18" spans="1:16" x14ac:dyDescent="0.2">
      <c r="A18" t="str">
        <f>'LDC Info'!$E$14</f>
        <v>Greater Sudbury Hydro Inc.</v>
      </c>
      <c r="B18" t="str">
        <f t="shared" si="0"/>
        <v>EB-2019-0037</v>
      </c>
      <c r="C18">
        <f t="shared" si="1"/>
        <v>2020</v>
      </c>
      <c r="D18">
        <f t="shared" si="2"/>
        <v>2019</v>
      </c>
      <c r="E18">
        <f t="shared" si="3"/>
        <v>2013</v>
      </c>
      <c r="F18">
        <f>'App.2-M_Regulatory_Costs'!B32</f>
        <v>0</v>
      </c>
      <c r="G18" s="9" t="s">
        <v>1116</v>
      </c>
      <c r="H18" t="e">
        <f ca="1">INDIRECT("'App.2-M_Regulatory_Costs'!C" &amp; MATCH(F18,'App.2-M_Regulatory_Costs'!$B:$B,0))</f>
        <v>#N/A</v>
      </c>
      <c r="I18" t="e">
        <f ca="1">INDIRECT("'App.2-M_Regulatory_Costs'!D" &amp; MATCH($F18,'App.2-M_Regulatory_Costs'!$B:$B,0))</f>
        <v>#N/A</v>
      </c>
      <c r="J18" t="e">
        <f ca="1">INDIRECT("'App.2-M_Regulatory_Costs'!E" &amp; MATCH($F18,'App.2-M_Regulatory_Costs'!$B:$B,0))</f>
        <v>#N/A</v>
      </c>
      <c r="K18" t="e">
        <f ca="1">INDIRECT("'App.2-M_Regulatory_Costs'!F" &amp; MATCH($F18,'App.2-M_Regulatory_Costs'!$B:$B,0))</f>
        <v>#N/A</v>
      </c>
      <c r="L18" t="e">
        <f ca="1">INDIRECT("'App.2-M_Regulatory_Costs'!G" &amp; MATCH($F18,'App.2-M_Regulatory_Costs'!$B:$B,0))</f>
        <v>#N/A</v>
      </c>
      <c r="M18" t="e">
        <f ca="1">INDIRECT("'App.2-M_Regulatory_Costs'!H" &amp; MATCH($F18,'App.2-M_Regulatory_Costs'!$B:$B,0))</f>
        <v>#N/A</v>
      </c>
      <c r="N18" t="e">
        <f ca="1">INDIRECT("'App.2-M_Regulatory_Costs'!I" &amp; MATCH($F18,'App.2-M_Regulatory_Costs'!$B:$B,0))</f>
        <v>#N/A</v>
      </c>
      <c r="O18" t="e">
        <f ca="1">INDIRECT("'App.2-M_Regulatory_Costs'!J" &amp; MATCH($F18,'App.2-M_Regulatory_Costs'!$B:$B,0))</f>
        <v>#N/A</v>
      </c>
      <c r="P18" t="e">
        <f ca="1">INDIRECT("'App.2-M_Regulatory_Costs'!K" &amp; MATCH($F18,'App.2-M_Regulatory_Costs'!$B:$B,0))</f>
        <v>#N/A</v>
      </c>
    </row>
    <row r="19" spans="1:16" x14ac:dyDescent="0.2">
      <c r="A19" t="str">
        <f>'LDC Info'!$E$14</f>
        <v>Greater Sudbury Hydro Inc.</v>
      </c>
      <c r="B19" t="str">
        <f t="shared" si="0"/>
        <v>EB-2019-0037</v>
      </c>
      <c r="C19">
        <f t="shared" si="1"/>
        <v>2020</v>
      </c>
      <c r="D19">
        <f t="shared" si="2"/>
        <v>2019</v>
      </c>
      <c r="E19">
        <f t="shared" si="3"/>
        <v>2013</v>
      </c>
      <c r="F19">
        <f>'App.2-M_Regulatory_Costs'!B33</f>
        <v>0</v>
      </c>
      <c r="G19" s="9" t="s">
        <v>1116</v>
      </c>
      <c r="H19" t="e">
        <f ca="1">INDIRECT("'App.2-M_Regulatory_Costs'!C" &amp; MATCH(F19,'App.2-M_Regulatory_Costs'!$B:$B,0))</f>
        <v>#N/A</v>
      </c>
      <c r="I19" t="e">
        <f ca="1">INDIRECT("'App.2-M_Regulatory_Costs'!D" &amp; MATCH($F19,'App.2-M_Regulatory_Costs'!$B:$B,0))</f>
        <v>#N/A</v>
      </c>
      <c r="J19" t="e">
        <f ca="1">INDIRECT("'App.2-M_Regulatory_Costs'!E" &amp; MATCH($F19,'App.2-M_Regulatory_Costs'!$B:$B,0))</f>
        <v>#N/A</v>
      </c>
      <c r="K19" t="e">
        <f ca="1">INDIRECT("'App.2-M_Regulatory_Costs'!F" &amp; MATCH($F19,'App.2-M_Regulatory_Costs'!$B:$B,0))</f>
        <v>#N/A</v>
      </c>
      <c r="L19" t="e">
        <f ca="1">INDIRECT("'App.2-M_Regulatory_Costs'!G" &amp; MATCH($F19,'App.2-M_Regulatory_Costs'!$B:$B,0))</f>
        <v>#N/A</v>
      </c>
      <c r="M19" t="e">
        <f ca="1">INDIRECT("'App.2-M_Regulatory_Costs'!H" &amp; MATCH($F19,'App.2-M_Regulatory_Costs'!$B:$B,0))</f>
        <v>#N/A</v>
      </c>
      <c r="N19" t="e">
        <f ca="1">INDIRECT("'App.2-M_Regulatory_Costs'!I" &amp; MATCH($F19,'App.2-M_Regulatory_Costs'!$B:$B,0))</f>
        <v>#N/A</v>
      </c>
      <c r="O19" t="e">
        <f ca="1">INDIRECT("'App.2-M_Regulatory_Costs'!J" &amp; MATCH($F19,'App.2-M_Regulatory_Costs'!$B:$B,0))</f>
        <v>#N/A</v>
      </c>
      <c r="P19" t="e">
        <f ca="1">INDIRECT("'App.2-M_Regulatory_Costs'!K" &amp; MATCH($F19,'App.2-M_Regulatory_Costs'!$B:$B,0))</f>
        <v>#N/A</v>
      </c>
    </row>
    <row r="20" spans="1:16" x14ac:dyDescent="0.2">
      <c r="A20" t="str">
        <f>'LDC Info'!$E$14</f>
        <v>Greater Sudbury Hydro Inc.</v>
      </c>
      <c r="B20" t="str">
        <f t="shared" si="0"/>
        <v>EB-2019-0037</v>
      </c>
      <c r="C20">
        <f t="shared" si="1"/>
        <v>2020</v>
      </c>
      <c r="D20">
        <f t="shared" si="2"/>
        <v>2019</v>
      </c>
      <c r="E20">
        <f t="shared" si="3"/>
        <v>2013</v>
      </c>
      <c r="F20">
        <f>'App.2-M_Regulatory_Costs'!B34</f>
        <v>0</v>
      </c>
      <c r="G20" s="9" t="s">
        <v>1116</v>
      </c>
      <c r="H20" t="e">
        <f ca="1">INDIRECT("'App.2-M_Regulatory_Costs'!C" &amp; MATCH(F20,'App.2-M_Regulatory_Costs'!$B:$B,0))</f>
        <v>#N/A</v>
      </c>
      <c r="I20" t="e">
        <f ca="1">INDIRECT("'App.2-M_Regulatory_Costs'!D" &amp; MATCH($F20,'App.2-M_Regulatory_Costs'!$B:$B,0))</f>
        <v>#N/A</v>
      </c>
      <c r="J20" t="e">
        <f ca="1">INDIRECT("'App.2-M_Regulatory_Costs'!E" &amp; MATCH($F20,'App.2-M_Regulatory_Costs'!$B:$B,0))</f>
        <v>#N/A</v>
      </c>
      <c r="K20" t="e">
        <f ca="1">INDIRECT("'App.2-M_Regulatory_Costs'!F" &amp; MATCH($F20,'App.2-M_Regulatory_Costs'!$B:$B,0))</f>
        <v>#N/A</v>
      </c>
      <c r="L20" t="e">
        <f ca="1">INDIRECT("'App.2-M_Regulatory_Costs'!G" &amp; MATCH($F20,'App.2-M_Regulatory_Costs'!$B:$B,0))</f>
        <v>#N/A</v>
      </c>
      <c r="M20" t="e">
        <f ca="1">INDIRECT("'App.2-M_Regulatory_Costs'!H" &amp; MATCH($F20,'App.2-M_Regulatory_Costs'!$B:$B,0))</f>
        <v>#N/A</v>
      </c>
      <c r="N20" t="e">
        <f ca="1">INDIRECT("'App.2-M_Regulatory_Costs'!I" &amp; MATCH($F20,'App.2-M_Regulatory_Costs'!$B:$B,0))</f>
        <v>#N/A</v>
      </c>
      <c r="O20" t="e">
        <f ca="1">INDIRECT("'App.2-M_Regulatory_Costs'!J" &amp; MATCH($F20,'App.2-M_Regulatory_Costs'!$B:$B,0))</f>
        <v>#N/A</v>
      </c>
      <c r="P20" t="e">
        <f ca="1">INDIRECT("'App.2-M_Regulatory_Costs'!K" &amp; MATCH($F20,'App.2-M_Regulatory_Costs'!$B:$B,0))</f>
        <v>#N/A</v>
      </c>
    </row>
    <row r="21" spans="1:16" x14ac:dyDescent="0.2">
      <c r="A21" t="str">
        <f>'LDC Info'!$E$14</f>
        <v>Greater Sudbury Hydro Inc.</v>
      </c>
      <c r="B21" t="str">
        <f t="shared" si="0"/>
        <v>EB-2019-0037</v>
      </c>
      <c r="C21">
        <f t="shared" si="1"/>
        <v>2020</v>
      </c>
      <c r="D21">
        <f t="shared" si="2"/>
        <v>2019</v>
      </c>
      <c r="E21">
        <f t="shared" si="3"/>
        <v>2013</v>
      </c>
      <c r="F21">
        <f>'App.2-M_Regulatory_Costs'!B35</f>
        <v>0</v>
      </c>
      <c r="G21" s="9" t="s">
        <v>1116</v>
      </c>
      <c r="H21" t="e">
        <f ca="1">INDIRECT("'App.2-M_Regulatory_Costs'!C" &amp; MATCH(F21,'App.2-M_Regulatory_Costs'!$B:$B,0))</f>
        <v>#N/A</v>
      </c>
      <c r="I21" t="e">
        <f ca="1">INDIRECT("'App.2-M_Regulatory_Costs'!D" &amp; MATCH($F21,'App.2-M_Regulatory_Costs'!$B:$B,0))</f>
        <v>#N/A</v>
      </c>
      <c r="J21" t="e">
        <f ca="1">INDIRECT("'App.2-M_Regulatory_Costs'!E" &amp; MATCH($F21,'App.2-M_Regulatory_Costs'!$B:$B,0))</f>
        <v>#N/A</v>
      </c>
      <c r="K21" t="e">
        <f ca="1">INDIRECT("'App.2-M_Regulatory_Costs'!F" &amp; MATCH($F21,'App.2-M_Regulatory_Costs'!$B:$B,0))</f>
        <v>#N/A</v>
      </c>
      <c r="L21" t="e">
        <f ca="1">INDIRECT("'App.2-M_Regulatory_Costs'!G" &amp; MATCH($F21,'App.2-M_Regulatory_Costs'!$B:$B,0))</f>
        <v>#N/A</v>
      </c>
      <c r="M21" t="e">
        <f ca="1">INDIRECT("'App.2-M_Regulatory_Costs'!H" &amp; MATCH($F21,'App.2-M_Regulatory_Costs'!$B:$B,0))</f>
        <v>#N/A</v>
      </c>
      <c r="N21" t="e">
        <f ca="1">INDIRECT("'App.2-M_Regulatory_Costs'!I" &amp; MATCH($F21,'App.2-M_Regulatory_Costs'!$B:$B,0))</f>
        <v>#N/A</v>
      </c>
      <c r="O21" t="e">
        <f ca="1">INDIRECT("'App.2-M_Regulatory_Costs'!J" &amp; MATCH($F21,'App.2-M_Regulatory_Costs'!$B:$B,0))</f>
        <v>#N/A</v>
      </c>
      <c r="P21" t="e">
        <f ca="1">INDIRECT("'App.2-M_Regulatory_Costs'!K" &amp; MATCH($F21,'App.2-M_Regulatory_Costs'!$B:$B,0))</f>
        <v>#N/A</v>
      </c>
    </row>
    <row r="22" spans="1:16" x14ac:dyDescent="0.2">
      <c r="A22" t="str">
        <f>'LDC Info'!$E$14</f>
        <v>Greater Sudbury Hydro Inc.</v>
      </c>
      <c r="B22" t="str">
        <f t="shared" si="0"/>
        <v>EB-2019-0037</v>
      </c>
      <c r="C22">
        <f t="shared" si="1"/>
        <v>2020</v>
      </c>
      <c r="D22">
        <f t="shared" si="2"/>
        <v>2019</v>
      </c>
      <c r="E22">
        <f t="shared" si="3"/>
        <v>2013</v>
      </c>
      <c r="F22">
        <f>'App.2-M_Regulatory_Costs'!B36</f>
        <v>0</v>
      </c>
      <c r="G22" s="9" t="s">
        <v>1116</v>
      </c>
      <c r="H22" t="e">
        <f ca="1">INDIRECT("'App.2-M_Regulatory_Costs'!C" &amp; MATCH(F22,'App.2-M_Regulatory_Costs'!$B:$B,0))</f>
        <v>#N/A</v>
      </c>
      <c r="I22" t="e">
        <f ca="1">INDIRECT("'App.2-M_Regulatory_Costs'!D" &amp; MATCH($F22,'App.2-M_Regulatory_Costs'!$B:$B,0))</f>
        <v>#N/A</v>
      </c>
      <c r="J22" t="e">
        <f ca="1">INDIRECT("'App.2-M_Regulatory_Costs'!E" &amp; MATCH($F22,'App.2-M_Regulatory_Costs'!$B:$B,0))</f>
        <v>#N/A</v>
      </c>
      <c r="K22" t="e">
        <f ca="1">INDIRECT("'App.2-M_Regulatory_Costs'!F" &amp; MATCH($F22,'App.2-M_Regulatory_Costs'!$B:$B,0))</f>
        <v>#N/A</v>
      </c>
      <c r="L22" t="e">
        <f ca="1">INDIRECT("'App.2-M_Regulatory_Costs'!G" &amp; MATCH($F22,'App.2-M_Regulatory_Costs'!$B:$B,0))</f>
        <v>#N/A</v>
      </c>
      <c r="M22" t="e">
        <f ca="1">INDIRECT("'App.2-M_Regulatory_Costs'!H" &amp; MATCH($F22,'App.2-M_Regulatory_Costs'!$B:$B,0))</f>
        <v>#N/A</v>
      </c>
      <c r="N22" t="e">
        <f ca="1">INDIRECT("'App.2-M_Regulatory_Costs'!I" &amp; MATCH($F22,'App.2-M_Regulatory_Costs'!$B:$B,0))</f>
        <v>#N/A</v>
      </c>
      <c r="O22" t="e">
        <f ca="1">INDIRECT("'App.2-M_Regulatory_Costs'!J" &amp; MATCH($F22,'App.2-M_Regulatory_Costs'!$B:$B,0))</f>
        <v>#N/A</v>
      </c>
      <c r="P22" t="e">
        <f ca="1">INDIRECT("'App.2-M_Regulatory_Costs'!K" &amp; MATCH($F22,'App.2-M_Regulatory_Costs'!$B:$B,0))</f>
        <v>#N/A</v>
      </c>
    </row>
    <row r="23" spans="1:16" x14ac:dyDescent="0.2">
      <c r="A23" t="str">
        <f>'LDC Info'!$E$14</f>
        <v>Greater Sudbury Hydro Inc.</v>
      </c>
      <c r="B23" t="str">
        <f t="shared" si="0"/>
        <v>EB-2019-0037</v>
      </c>
      <c r="C23">
        <f t="shared" si="1"/>
        <v>2020</v>
      </c>
      <c r="D23">
        <f t="shared" si="2"/>
        <v>2019</v>
      </c>
      <c r="E23">
        <f t="shared" si="3"/>
        <v>2013</v>
      </c>
      <c r="F23">
        <f>'App.2-M_Regulatory_Costs'!B37</f>
        <v>0</v>
      </c>
      <c r="G23" s="9" t="s">
        <v>1116</v>
      </c>
      <c r="H23" t="e">
        <f ca="1">INDIRECT("'App.2-M_Regulatory_Costs'!C" &amp; MATCH(F23,'App.2-M_Regulatory_Costs'!$B:$B,0))</f>
        <v>#N/A</v>
      </c>
      <c r="I23" t="e">
        <f ca="1">INDIRECT("'App.2-M_Regulatory_Costs'!D" &amp; MATCH($F23,'App.2-M_Regulatory_Costs'!$B:$B,0))</f>
        <v>#N/A</v>
      </c>
      <c r="J23" t="e">
        <f ca="1">INDIRECT("'App.2-M_Regulatory_Costs'!E" &amp; MATCH($F23,'App.2-M_Regulatory_Costs'!$B:$B,0))</f>
        <v>#N/A</v>
      </c>
      <c r="K23" t="e">
        <f ca="1">INDIRECT("'App.2-M_Regulatory_Costs'!F" &amp; MATCH($F23,'App.2-M_Regulatory_Costs'!$B:$B,0))</f>
        <v>#N/A</v>
      </c>
      <c r="L23" t="e">
        <f ca="1">INDIRECT("'App.2-M_Regulatory_Costs'!G" &amp; MATCH($F23,'App.2-M_Regulatory_Costs'!$B:$B,0))</f>
        <v>#N/A</v>
      </c>
      <c r="M23" t="e">
        <f ca="1">INDIRECT("'App.2-M_Regulatory_Costs'!H" &amp; MATCH($F23,'App.2-M_Regulatory_Costs'!$B:$B,0))</f>
        <v>#N/A</v>
      </c>
      <c r="N23" t="e">
        <f ca="1">INDIRECT("'App.2-M_Regulatory_Costs'!I" &amp; MATCH($F23,'App.2-M_Regulatory_Costs'!$B:$B,0))</f>
        <v>#N/A</v>
      </c>
      <c r="O23" t="e">
        <f ca="1">INDIRECT("'App.2-M_Regulatory_Costs'!J" &amp; MATCH($F23,'App.2-M_Regulatory_Costs'!$B:$B,0))</f>
        <v>#N/A</v>
      </c>
      <c r="P23" t="e">
        <f ca="1">INDIRECT("'App.2-M_Regulatory_Costs'!K" &amp; MATCH($F23,'App.2-M_Regulatory_Costs'!$B:$B,0))</f>
        <v>#N/A</v>
      </c>
    </row>
    <row r="24" spans="1:16" x14ac:dyDescent="0.2">
      <c r="A24" t="str">
        <f>'LDC Info'!$E$14</f>
        <v>Greater Sudbury Hydro Inc.</v>
      </c>
      <c r="B24" t="str">
        <f t="shared" si="0"/>
        <v>EB-2019-0037</v>
      </c>
      <c r="C24">
        <f t="shared" si="1"/>
        <v>2020</v>
      </c>
      <c r="D24">
        <f t="shared" si="2"/>
        <v>2019</v>
      </c>
      <c r="E24">
        <f t="shared" si="3"/>
        <v>2013</v>
      </c>
      <c r="F24">
        <f>'App.2-M_Regulatory_Costs'!B38</f>
        <v>0</v>
      </c>
      <c r="G24" s="9" t="s">
        <v>1116</v>
      </c>
      <c r="H24" t="e">
        <f ca="1">INDIRECT("'App.2-M_Regulatory_Costs'!C" &amp; MATCH(F24,'App.2-M_Regulatory_Costs'!$B:$B,0))</f>
        <v>#N/A</v>
      </c>
      <c r="I24" t="e">
        <f ca="1">INDIRECT("'App.2-M_Regulatory_Costs'!D" &amp; MATCH($F24,'App.2-M_Regulatory_Costs'!$B:$B,0))</f>
        <v>#N/A</v>
      </c>
      <c r="J24" t="e">
        <f ca="1">INDIRECT("'App.2-M_Regulatory_Costs'!E" &amp; MATCH($F24,'App.2-M_Regulatory_Costs'!$B:$B,0))</f>
        <v>#N/A</v>
      </c>
      <c r="K24" t="e">
        <f ca="1">INDIRECT("'App.2-M_Regulatory_Costs'!F" &amp; MATCH($F24,'App.2-M_Regulatory_Costs'!$B:$B,0))</f>
        <v>#N/A</v>
      </c>
      <c r="L24" t="e">
        <f ca="1">INDIRECT("'App.2-M_Regulatory_Costs'!G" &amp; MATCH($F24,'App.2-M_Regulatory_Costs'!$B:$B,0))</f>
        <v>#N/A</v>
      </c>
      <c r="M24" t="e">
        <f ca="1">INDIRECT("'App.2-M_Regulatory_Costs'!H" &amp; MATCH($F24,'App.2-M_Regulatory_Costs'!$B:$B,0))</f>
        <v>#N/A</v>
      </c>
      <c r="N24" t="e">
        <f ca="1">INDIRECT("'App.2-M_Regulatory_Costs'!I" &amp; MATCH($F24,'App.2-M_Regulatory_Costs'!$B:$B,0))</f>
        <v>#N/A</v>
      </c>
      <c r="O24" t="e">
        <f ca="1">INDIRECT("'App.2-M_Regulatory_Costs'!J" &amp; MATCH($F24,'App.2-M_Regulatory_Costs'!$B:$B,0))</f>
        <v>#N/A</v>
      </c>
      <c r="P24" t="e">
        <f ca="1">INDIRECT("'App.2-M_Regulatory_Costs'!K" &amp; MATCH($F24,'App.2-M_Regulatory_Costs'!$B:$B,0))</f>
        <v>#N/A</v>
      </c>
    </row>
    <row r="25" spans="1:16" x14ac:dyDescent="0.2">
      <c r="A25" t="str">
        <f>'LDC Info'!$E$14</f>
        <v>Greater Sudbury Hydro Inc.</v>
      </c>
      <c r="B25" t="str">
        <f t="shared" si="0"/>
        <v>EB-2019-0037</v>
      </c>
      <c r="C25">
        <f t="shared" si="1"/>
        <v>2020</v>
      </c>
      <c r="D25">
        <f t="shared" si="2"/>
        <v>2019</v>
      </c>
      <c r="E25">
        <f t="shared" si="3"/>
        <v>2013</v>
      </c>
      <c r="F25">
        <f>'App.2-M_Regulatory_Costs'!B39</f>
        <v>0</v>
      </c>
      <c r="G25" s="9" t="s">
        <v>1116</v>
      </c>
      <c r="H25" t="e">
        <f ca="1">INDIRECT("'App.2-M_Regulatory_Costs'!C" &amp; MATCH(F25,'App.2-M_Regulatory_Costs'!$B:$B,0))</f>
        <v>#N/A</v>
      </c>
      <c r="I25" t="e">
        <f ca="1">INDIRECT("'App.2-M_Regulatory_Costs'!D" &amp; MATCH($F25,'App.2-M_Regulatory_Costs'!$B:$B,0))</f>
        <v>#N/A</v>
      </c>
      <c r="J25" t="e">
        <f ca="1">INDIRECT("'App.2-M_Regulatory_Costs'!E" &amp; MATCH($F25,'App.2-M_Regulatory_Costs'!$B:$B,0))</f>
        <v>#N/A</v>
      </c>
      <c r="K25" t="e">
        <f ca="1">INDIRECT("'App.2-M_Regulatory_Costs'!F" &amp; MATCH($F25,'App.2-M_Regulatory_Costs'!$B:$B,0))</f>
        <v>#N/A</v>
      </c>
      <c r="L25" t="e">
        <f ca="1">INDIRECT("'App.2-M_Regulatory_Costs'!G" &amp; MATCH($F25,'App.2-M_Regulatory_Costs'!$B:$B,0))</f>
        <v>#N/A</v>
      </c>
      <c r="M25" t="e">
        <f ca="1">INDIRECT("'App.2-M_Regulatory_Costs'!H" &amp; MATCH($F25,'App.2-M_Regulatory_Costs'!$B:$B,0))</f>
        <v>#N/A</v>
      </c>
      <c r="N25" t="e">
        <f ca="1">INDIRECT("'App.2-M_Regulatory_Costs'!I" &amp; MATCH($F25,'App.2-M_Regulatory_Costs'!$B:$B,0))</f>
        <v>#N/A</v>
      </c>
      <c r="O25" t="e">
        <f ca="1">INDIRECT("'App.2-M_Regulatory_Costs'!J" &amp; MATCH($F25,'App.2-M_Regulatory_Costs'!$B:$B,0))</f>
        <v>#N/A</v>
      </c>
      <c r="P25" t="e">
        <f ca="1">INDIRECT("'App.2-M_Regulatory_Costs'!K" &amp; MATCH($F25,'App.2-M_Regulatory_Costs'!$B:$B,0))</f>
        <v>#N/A</v>
      </c>
    </row>
    <row r="26" spans="1:16" x14ac:dyDescent="0.2">
      <c r="A26" t="str">
        <f>'LDC Info'!$E$14</f>
        <v>Greater Sudbury Hydro Inc.</v>
      </c>
      <c r="B26" t="str">
        <f t="shared" si="0"/>
        <v>EB-2019-0037</v>
      </c>
      <c r="C26">
        <f t="shared" si="1"/>
        <v>2020</v>
      </c>
      <c r="D26">
        <f t="shared" si="2"/>
        <v>2019</v>
      </c>
      <c r="E26">
        <f t="shared" si="3"/>
        <v>2013</v>
      </c>
      <c r="F26">
        <f>'App.2-M_Regulatory_Costs'!B40</f>
        <v>0</v>
      </c>
      <c r="G26" s="9" t="s">
        <v>1116</v>
      </c>
      <c r="H26" t="e">
        <f ca="1">INDIRECT("'App.2-M_Regulatory_Costs'!C" &amp; MATCH(F26,'App.2-M_Regulatory_Costs'!$B:$B,0))</f>
        <v>#N/A</v>
      </c>
      <c r="I26" t="e">
        <f ca="1">INDIRECT("'App.2-M_Regulatory_Costs'!D" &amp; MATCH($F26,'App.2-M_Regulatory_Costs'!$B:$B,0))</f>
        <v>#N/A</v>
      </c>
      <c r="J26" t="e">
        <f ca="1">INDIRECT("'App.2-M_Regulatory_Costs'!E" &amp; MATCH($F26,'App.2-M_Regulatory_Costs'!$B:$B,0))</f>
        <v>#N/A</v>
      </c>
      <c r="K26" t="e">
        <f ca="1">INDIRECT("'App.2-M_Regulatory_Costs'!F" &amp; MATCH($F26,'App.2-M_Regulatory_Costs'!$B:$B,0))</f>
        <v>#N/A</v>
      </c>
      <c r="L26" t="e">
        <f ca="1">INDIRECT("'App.2-M_Regulatory_Costs'!G" &amp; MATCH($F26,'App.2-M_Regulatory_Costs'!$B:$B,0))</f>
        <v>#N/A</v>
      </c>
      <c r="M26" t="e">
        <f ca="1">INDIRECT("'App.2-M_Regulatory_Costs'!H" &amp; MATCH($F26,'App.2-M_Regulatory_Costs'!$B:$B,0))</f>
        <v>#N/A</v>
      </c>
      <c r="N26" t="e">
        <f ca="1">INDIRECT("'App.2-M_Regulatory_Costs'!I" &amp; MATCH($F26,'App.2-M_Regulatory_Costs'!$B:$B,0))</f>
        <v>#N/A</v>
      </c>
      <c r="O26" t="e">
        <f ca="1">INDIRECT("'App.2-M_Regulatory_Costs'!J" &amp; MATCH($F26,'App.2-M_Regulatory_Costs'!$B:$B,0))</f>
        <v>#N/A</v>
      </c>
      <c r="P26" t="e">
        <f ca="1">INDIRECT("'App.2-M_Regulatory_Costs'!K" &amp; MATCH($F26,'App.2-M_Regulatory_Costs'!$B:$B,0))</f>
        <v>#N/A</v>
      </c>
    </row>
    <row r="27" spans="1:16" x14ac:dyDescent="0.2">
      <c r="A27" t="str">
        <f>'LDC Info'!$E$14</f>
        <v>Greater Sudbury Hydro Inc.</v>
      </c>
      <c r="B27" t="str">
        <f t="shared" si="0"/>
        <v>EB-2019-0037</v>
      </c>
      <c r="C27">
        <f t="shared" si="1"/>
        <v>2020</v>
      </c>
      <c r="D27">
        <f t="shared" si="2"/>
        <v>2019</v>
      </c>
      <c r="E27">
        <f t="shared" si="3"/>
        <v>2013</v>
      </c>
      <c r="F27">
        <f>'App.2-M_Regulatory_Costs'!B41</f>
        <v>0</v>
      </c>
      <c r="G27" s="9" t="s">
        <v>1116</v>
      </c>
      <c r="H27" t="e">
        <f ca="1">INDIRECT("'App.2-M_Regulatory_Costs'!C" &amp; MATCH(F27,'App.2-M_Regulatory_Costs'!$B:$B,0))</f>
        <v>#N/A</v>
      </c>
      <c r="I27" t="e">
        <f ca="1">INDIRECT("'App.2-M_Regulatory_Costs'!D" &amp; MATCH($F27,'App.2-M_Regulatory_Costs'!$B:$B,0))</f>
        <v>#N/A</v>
      </c>
      <c r="J27" t="e">
        <f ca="1">INDIRECT("'App.2-M_Regulatory_Costs'!E" &amp; MATCH($F27,'App.2-M_Regulatory_Costs'!$B:$B,0))</f>
        <v>#N/A</v>
      </c>
      <c r="K27" t="e">
        <f ca="1">INDIRECT("'App.2-M_Regulatory_Costs'!F" &amp; MATCH($F27,'App.2-M_Regulatory_Costs'!$B:$B,0))</f>
        <v>#N/A</v>
      </c>
      <c r="L27" t="e">
        <f ca="1">INDIRECT("'App.2-M_Regulatory_Costs'!G" &amp; MATCH($F27,'App.2-M_Regulatory_Costs'!$B:$B,0))</f>
        <v>#N/A</v>
      </c>
      <c r="M27" t="e">
        <f ca="1">INDIRECT("'App.2-M_Regulatory_Costs'!H" &amp; MATCH($F27,'App.2-M_Regulatory_Costs'!$B:$B,0))</f>
        <v>#N/A</v>
      </c>
      <c r="N27" t="e">
        <f ca="1">INDIRECT("'App.2-M_Regulatory_Costs'!I" &amp; MATCH($F27,'App.2-M_Regulatory_Costs'!$B:$B,0))</f>
        <v>#N/A</v>
      </c>
      <c r="O27" t="e">
        <f ca="1">INDIRECT("'App.2-M_Regulatory_Costs'!J" &amp; MATCH($F27,'App.2-M_Regulatory_Costs'!$B:$B,0))</f>
        <v>#N/A</v>
      </c>
      <c r="P27" t="e">
        <f ca="1">INDIRECT("'App.2-M_Regulatory_Costs'!K" &amp; MATCH($F27,'App.2-M_Regulatory_Costs'!$B:$B,0))</f>
        <v>#N/A</v>
      </c>
    </row>
    <row r="28" spans="1:16" x14ac:dyDescent="0.2">
      <c r="A28" t="str">
        <f>'LDC Info'!$E$14</f>
        <v>Greater Sudbury Hydro Inc.</v>
      </c>
      <c r="B28" t="str">
        <f t="shared" si="0"/>
        <v>EB-2019-0037</v>
      </c>
      <c r="C28">
        <f t="shared" si="1"/>
        <v>2020</v>
      </c>
      <c r="D28">
        <f t="shared" si="2"/>
        <v>2019</v>
      </c>
      <c r="E28">
        <f t="shared" si="3"/>
        <v>2013</v>
      </c>
      <c r="F28">
        <f>'App.2-M_Regulatory_Costs'!B42</f>
        <v>0</v>
      </c>
      <c r="G28" s="9" t="s">
        <v>1116</v>
      </c>
      <c r="H28" t="e">
        <f ca="1">INDIRECT("'App.2-M_Regulatory_Costs'!C" &amp; MATCH(F28,'App.2-M_Regulatory_Costs'!$B:$B,0))</f>
        <v>#N/A</v>
      </c>
      <c r="I28" t="e">
        <f ca="1">INDIRECT("'App.2-M_Regulatory_Costs'!D" &amp; MATCH($F28,'App.2-M_Regulatory_Costs'!$B:$B,0))</f>
        <v>#N/A</v>
      </c>
      <c r="J28" t="e">
        <f ca="1">INDIRECT("'App.2-M_Regulatory_Costs'!E" &amp; MATCH($F28,'App.2-M_Regulatory_Costs'!$B:$B,0))</f>
        <v>#N/A</v>
      </c>
      <c r="K28" t="e">
        <f ca="1">INDIRECT("'App.2-M_Regulatory_Costs'!F" &amp; MATCH($F28,'App.2-M_Regulatory_Costs'!$B:$B,0))</f>
        <v>#N/A</v>
      </c>
      <c r="L28" t="e">
        <f ca="1">INDIRECT("'App.2-M_Regulatory_Costs'!G" &amp; MATCH($F28,'App.2-M_Regulatory_Costs'!$B:$B,0))</f>
        <v>#N/A</v>
      </c>
      <c r="M28" t="e">
        <f ca="1">INDIRECT("'App.2-M_Regulatory_Costs'!H" &amp; MATCH($F28,'App.2-M_Regulatory_Costs'!$B:$B,0))</f>
        <v>#N/A</v>
      </c>
      <c r="N28" t="e">
        <f ca="1">INDIRECT("'App.2-M_Regulatory_Costs'!I" &amp; MATCH($F28,'App.2-M_Regulatory_Costs'!$B:$B,0))</f>
        <v>#N/A</v>
      </c>
      <c r="O28" t="e">
        <f ca="1">INDIRECT("'App.2-M_Regulatory_Costs'!J" &amp; MATCH($F28,'App.2-M_Regulatory_Costs'!$B:$B,0))</f>
        <v>#N/A</v>
      </c>
      <c r="P28" t="e">
        <f ca="1">INDIRECT("'App.2-M_Regulatory_Costs'!K" &amp; MATCH($F28,'App.2-M_Regulatory_Costs'!$B:$B,0))</f>
        <v>#N/A</v>
      </c>
    </row>
    <row r="29" spans="1:16" x14ac:dyDescent="0.2">
      <c r="A29" t="str">
        <f>'LDC Info'!$E$14</f>
        <v>Greater Sudbury Hydro Inc.</v>
      </c>
      <c r="B29" t="str">
        <f t="shared" si="0"/>
        <v>EB-2019-0037</v>
      </c>
      <c r="C29">
        <f t="shared" si="1"/>
        <v>2020</v>
      </c>
      <c r="D29">
        <f t="shared" si="2"/>
        <v>2019</v>
      </c>
      <c r="E29">
        <f t="shared" si="3"/>
        <v>2013</v>
      </c>
      <c r="F29">
        <f>'App.2-M_Regulatory_Costs'!B43</f>
        <v>0</v>
      </c>
      <c r="G29" s="9" t="s">
        <v>1116</v>
      </c>
      <c r="H29" t="e">
        <f ca="1">INDIRECT("'App.2-M_Regulatory_Costs'!C" &amp; MATCH(F29,'App.2-M_Regulatory_Costs'!$B:$B,0))</f>
        <v>#N/A</v>
      </c>
      <c r="I29" t="e">
        <f ca="1">INDIRECT("'App.2-M_Regulatory_Costs'!D" &amp; MATCH($F29,'App.2-M_Regulatory_Costs'!$B:$B,0))</f>
        <v>#N/A</v>
      </c>
      <c r="J29" t="e">
        <f ca="1">INDIRECT("'App.2-M_Regulatory_Costs'!E" &amp; MATCH($F29,'App.2-M_Regulatory_Costs'!$B:$B,0))</f>
        <v>#N/A</v>
      </c>
      <c r="K29" t="e">
        <f ca="1">INDIRECT("'App.2-M_Regulatory_Costs'!F" &amp; MATCH($F29,'App.2-M_Regulatory_Costs'!$B:$B,0))</f>
        <v>#N/A</v>
      </c>
      <c r="L29" t="e">
        <f ca="1">INDIRECT("'App.2-M_Regulatory_Costs'!G" &amp; MATCH($F29,'App.2-M_Regulatory_Costs'!$B:$B,0))</f>
        <v>#N/A</v>
      </c>
      <c r="M29" t="e">
        <f ca="1">INDIRECT("'App.2-M_Regulatory_Costs'!H" &amp; MATCH($F29,'App.2-M_Regulatory_Costs'!$B:$B,0))</f>
        <v>#N/A</v>
      </c>
      <c r="N29" t="e">
        <f ca="1">INDIRECT("'App.2-M_Regulatory_Costs'!I" &amp; MATCH($F29,'App.2-M_Regulatory_Costs'!$B:$B,0))</f>
        <v>#N/A</v>
      </c>
      <c r="O29" t="e">
        <f ca="1">INDIRECT("'App.2-M_Regulatory_Costs'!J" &amp; MATCH($F29,'App.2-M_Regulatory_Costs'!$B:$B,0))</f>
        <v>#N/A</v>
      </c>
      <c r="P29" t="e">
        <f ca="1">INDIRECT("'App.2-M_Regulatory_Costs'!K" &amp; MATCH($F29,'App.2-M_Regulatory_Costs'!$B:$B,0))</f>
        <v>#N/A</v>
      </c>
    </row>
    <row r="30" spans="1:16" x14ac:dyDescent="0.2">
      <c r="A30" t="str">
        <f>'LDC Info'!$E$14</f>
        <v>Greater Sudbury Hydro Inc.</v>
      </c>
      <c r="B30" t="str">
        <f t="shared" si="0"/>
        <v>EB-2019-0037</v>
      </c>
      <c r="C30">
        <f t="shared" si="1"/>
        <v>2020</v>
      </c>
      <c r="D30">
        <f t="shared" si="2"/>
        <v>2019</v>
      </c>
      <c r="E30">
        <f t="shared" si="3"/>
        <v>2013</v>
      </c>
      <c r="F30">
        <f>'App.2-M_Regulatory_Costs'!B44</f>
        <v>0</v>
      </c>
      <c r="G30" s="9" t="s">
        <v>1116</v>
      </c>
      <c r="H30" t="e">
        <f ca="1">INDIRECT("'App.2-M_Regulatory_Costs'!C" &amp; MATCH(F30,'App.2-M_Regulatory_Costs'!$B:$B,0))</f>
        <v>#N/A</v>
      </c>
      <c r="I30" t="e">
        <f ca="1">INDIRECT("'App.2-M_Regulatory_Costs'!D" &amp; MATCH($F30,'App.2-M_Regulatory_Costs'!$B:$B,0))</f>
        <v>#N/A</v>
      </c>
      <c r="J30" t="e">
        <f ca="1">INDIRECT("'App.2-M_Regulatory_Costs'!E" &amp; MATCH($F30,'App.2-M_Regulatory_Costs'!$B:$B,0))</f>
        <v>#N/A</v>
      </c>
      <c r="K30" t="e">
        <f ca="1">INDIRECT("'App.2-M_Regulatory_Costs'!F" &amp; MATCH($F30,'App.2-M_Regulatory_Costs'!$B:$B,0))</f>
        <v>#N/A</v>
      </c>
      <c r="L30" t="e">
        <f ca="1">INDIRECT("'App.2-M_Regulatory_Costs'!G" &amp; MATCH($F30,'App.2-M_Regulatory_Costs'!$B:$B,0))</f>
        <v>#N/A</v>
      </c>
      <c r="M30" t="e">
        <f ca="1">INDIRECT("'App.2-M_Regulatory_Costs'!H" &amp; MATCH($F30,'App.2-M_Regulatory_Costs'!$B:$B,0))</f>
        <v>#N/A</v>
      </c>
      <c r="N30" t="e">
        <f ca="1">INDIRECT("'App.2-M_Regulatory_Costs'!I" &amp; MATCH($F30,'App.2-M_Regulatory_Costs'!$B:$B,0))</f>
        <v>#N/A</v>
      </c>
      <c r="O30" t="e">
        <f ca="1">INDIRECT("'App.2-M_Regulatory_Costs'!J" &amp; MATCH($F30,'App.2-M_Regulatory_Costs'!$B:$B,0))</f>
        <v>#N/A</v>
      </c>
      <c r="P30" t="e">
        <f ca="1">INDIRECT("'App.2-M_Regulatory_Costs'!K" &amp; MATCH($F30,'App.2-M_Regulatory_Costs'!$B:$B,0))</f>
        <v>#N/A</v>
      </c>
    </row>
    <row r="31" spans="1:16" x14ac:dyDescent="0.2">
      <c r="A31" t="str">
        <f>'LDC Info'!$E$14</f>
        <v>Greater Sudbury Hydro Inc.</v>
      </c>
      <c r="B31" t="str">
        <f t="shared" si="0"/>
        <v>EB-2019-0037</v>
      </c>
      <c r="C31">
        <f t="shared" si="1"/>
        <v>2020</v>
      </c>
      <c r="D31">
        <f t="shared" si="2"/>
        <v>2019</v>
      </c>
      <c r="E31">
        <f t="shared" si="3"/>
        <v>2013</v>
      </c>
      <c r="F31">
        <f>'App.2-M_Regulatory_Costs'!B45</f>
        <v>0</v>
      </c>
      <c r="G31" s="9" t="s">
        <v>1116</v>
      </c>
      <c r="H31" t="e">
        <f ca="1">INDIRECT("'App.2-M_Regulatory_Costs'!C" &amp; MATCH(F31,'App.2-M_Regulatory_Costs'!$B:$B,0))</f>
        <v>#N/A</v>
      </c>
      <c r="I31" t="e">
        <f ca="1">INDIRECT("'App.2-M_Regulatory_Costs'!D" &amp; MATCH($F31,'App.2-M_Regulatory_Costs'!$B:$B,0))</f>
        <v>#N/A</v>
      </c>
      <c r="J31" t="e">
        <f ca="1">INDIRECT("'App.2-M_Regulatory_Costs'!E" &amp; MATCH($F31,'App.2-M_Regulatory_Costs'!$B:$B,0))</f>
        <v>#N/A</v>
      </c>
      <c r="K31" t="e">
        <f ca="1">INDIRECT("'App.2-M_Regulatory_Costs'!F" &amp; MATCH($F31,'App.2-M_Regulatory_Costs'!$B:$B,0))</f>
        <v>#N/A</v>
      </c>
      <c r="L31" t="e">
        <f ca="1">INDIRECT("'App.2-M_Regulatory_Costs'!G" &amp; MATCH($F31,'App.2-M_Regulatory_Costs'!$B:$B,0))</f>
        <v>#N/A</v>
      </c>
      <c r="M31" t="e">
        <f ca="1">INDIRECT("'App.2-M_Regulatory_Costs'!H" &amp; MATCH($F31,'App.2-M_Regulatory_Costs'!$B:$B,0))</f>
        <v>#N/A</v>
      </c>
      <c r="N31" t="e">
        <f ca="1">INDIRECT("'App.2-M_Regulatory_Costs'!I" &amp; MATCH($F31,'App.2-M_Regulatory_Costs'!$B:$B,0))</f>
        <v>#N/A</v>
      </c>
      <c r="O31" t="e">
        <f ca="1">INDIRECT("'App.2-M_Regulatory_Costs'!J" &amp; MATCH($F31,'App.2-M_Regulatory_Costs'!$B:$B,0))</f>
        <v>#N/A</v>
      </c>
      <c r="P31" t="e">
        <f ca="1">INDIRECT("'App.2-M_Regulatory_Costs'!K" &amp; MATCH($F31,'App.2-M_Regulatory_Costs'!$B:$B,0))</f>
        <v>#N/A</v>
      </c>
    </row>
    <row r="32" spans="1:16" x14ac:dyDescent="0.2">
      <c r="A32" t="str">
        <f>'LDC Info'!$E$14</f>
        <v>Greater Sudbury Hydro Inc.</v>
      </c>
      <c r="B32" t="str">
        <f t="shared" si="0"/>
        <v>EB-2019-0037</v>
      </c>
      <c r="C32">
        <f t="shared" si="1"/>
        <v>2020</v>
      </c>
      <c r="D32">
        <f t="shared" si="2"/>
        <v>2019</v>
      </c>
      <c r="E32">
        <f t="shared" si="3"/>
        <v>2013</v>
      </c>
      <c r="G32" s="9"/>
    </row>
    <row r="33" spans="1:16" x14ac:dyDescent="0.2">
      <c r="A33" t="str">
        <f>'LDC Info'!$E$14</f>
        <v>Greater Sudbury Hydro Inc.</v>
      </c>
      <c r="B33" t="str">
        <f t="shared" si="0"/>
        <v>EB-2019-0037</v>
      </c>
      <c r="C33">
        <f t="shared" si="1"/>
        <v>2020</v>
      </c>
      <c r="D33">
        <f t="shared" si="2"/>
        <v>2019</v>
      </c>
      <c r="E33">
        <f t="shared" si="3"/>
        <v>2013</v>
      </c>
      <c r="F33" t="str">
        <f>'App.2-M_Regulatory_Costs'!B47</f>
        <v>Expert Witness costs</v>
      </c>
      <c r="G33" s="9" t="s">
        <v>1117</v>
      </c>
      <c r="H33">
        <f ca="1">INDIRECT("'App.2-M_Regulatory_Costs'!C" &amp; MATCH(F33,'App.2-M_Regulatory_Costs'!$B:$B,0))</f>
        <v>5655</v>
      </c>
      <c r="I33">
        <f ca="1">INDIRECT("'App.2-M_Regulatory_Costs'!D" &amp; MATCH($F33,'App.2-M_Regulatory_Costs'!$B:$B,0))</f>
        <v>0</v>
      </c>
      <c r="J33">
        <f ca="1">INDIRECT("'App.2-M_Regulatory_Costs'!E" &amp; MATCH($F33,'App.2-M_Regulatory_Costs'!$B:$B,0))</f>
        <v>20000</v>
      </c>
      <c r="K33">
        <f ca="1">INDIRECT("'App.2-M_Regulatory_Costs'!F" &amp; MATCH($F33,'App.2-M_Regulatory_Costs'!$B:$B,0))</f>
        <v>0</v>
      </c>
      <c r="L33">
        <f ca="1">INDIRECT("'App.2-M_Regulatory_Costs'!G" &amp; MATCH($F33,'App.2-M_Regulatory_Costs'!$B:$B,0))</f>
        <v>0</v>
      </c>
      <c r="M33">
        <f ca="1">INDIRECT("'App.2-M_Regulatory_Costs'!H" &amp; MATCH($F33,'App.2-M_Regulatory_Costs'!$B:$B,0))</f>
        <v>0</v>
      </c>
      <c r="N33" t="str">
        <f ca="1">INDIRECT("'App.2-M_Regulatory_Costs'!I" &amp; MATCH($F33,'App.2-M_Regulatory_Costs'!$B:$B,0))</f>
        <v/>
      </c>
      <c r="O33">
        <f ca="1">INDIRECT("'App.2-M_Regulatory_Costs'!J" &amp; MATCH($F33,'App.2-M_Regulatory_Costs'!$B:$B,0))</f>
        <v>0</v>
      </c>
      <c r="P33" t="str">
        <f ca="1">INDIRECT("'App.2-M_Regulatory_Costs'!K" &amp; MATCH($F33,'App.2-M_Regulatory_Costs'!$B:$B,0))</f>
        <v/>
      </c>
    </row>
    <row r="34" spans="1:16" x14ac:dyDescent="0.2">
      <c r="A34" t="str">
        <f>'LDC Info'!$E$14</f>
        <v>Greater Sudbury Hydro Inc.</v>
      </c>
      <c r="B34" t="str">
        <f t="shared" si="0"/>
        <v>EB-2019-0037</v>
      </c>
      <c r="C34">
        <f t="shared" si="1"/>
        <v>2020</v>
      </c>
      <c r="D34">
        <f t="shared" si="2"/>
        <v>2019</v>
      </c>
      <c r="E34">
        <f t="shared" si="3"/>
        <v>2013</v>
      </c>
      <c r="F34" t="str">
        <f>'App.2-M_Regulatory_Costs'!B48</f>
        <v>Legal costs</v>
      </c>
      <c r="G34" s="9" t="s">
        <v>1117</v>
      </c>
      <c r="H34">
        <f ca="1">INDIRECT("'App.2-M_Regulatory_Costs'!C" &amp; MATCH(F34,'App.2-M_Regulatory_Costs'!$B:$B,0))</f>
        <v>5655</v>
      </c>
      <c r="I34">
        <f ca="1">INDIRECT("'App.2-M_Regulatory_Costs'!D" &amp; MATCH($F34,'App.2-M_Regulatory_Costs'!$B:$B,0))</f>
        <v>0</v>
      </c>
      <c r="J34">
        <f ca="1">INDIRECT("'App.2-M_Regulatory_Costs'!E" &amp; MATCH($F34,'App.2-M_Regulatory_Costs'!$B:$B,0))</f>
        <v>8000</v>
      </c>
      <c r="K34">
        <f ca="1">INDIRECT("'App.2-M_Regulatory_Costs'!F" &amp; MATCH($F34,'App.2-M_Regulatory_Costs'!$B:$B,0))</f>
        <v>66112</v>
      </c>
      <c r="L34">
        <f ca="1">INDIRECT("'App.2-M_Regulatory_Costs'!G" &amp; MATCH($F34,'App.2-M_Regulatory_Costs'!$B:$B,0))</f>
        <v>0</v>
      </c>
      <c r="M34">
        <f ca="1">INDIRECT("'App.2-M_Regulatory_Costs'!H" &amp; MATCH($F34,'App.2-M_Regulatory_Costs'!$B:$B,0))</f>
        <v>0</v>
      </c>
      <c r="N34" t="str">
        <f ca="1">INDIRECT("'App.2-M_Regulatory_Costs'!I" &amp; MATCH($F34,'App.2-M_Regulatory_Costs'!$B:$B,0))</f>
        <v/>
      </c>
      <c r="O34">
        <f ca="1">INDIRECT("'App.2-M_Regulatory_Costs'!J" &amp; MATCH($F34,'App.2-M_Regulatory_Costs'!$B:$B,0))</f>
        <v>60000</v>
      </c>
      <c r="P34" t="str">
        <f ca="1">INDIRECT("'App.2-M_Regulatory_Costs'!K" &amp; MATCH($F34,'App.2-M_Regulatory_Costs'!$B:$B,0))</f>
        <v/>
      </c>
    </row>
    <row r="35" spans="1:16" x14ac:dyDescent="0.2">
      <c r="A35" t="str">
        <f>'LDC Info'!$E$14</f>
        <v>Greater Sudbury Hydro Inc.</v>
      </c>
      <c r="B35" t="str">
        <f t="shared" si="0"/>
        <v>EB-2019-0037</v>
      </c>
      <c r="C35">
        <f t="shared" si="1"/>
        <v>2020</v>
      </c>
      <c r="D35">
        <f t="shared" si="2"/>
        <v>2019</v>
      </c>
      <c r="E35">
        <f t="shared" si="3"/>
        <v>2013</v>
      </c>
      <c r="F35" t="str">
        <f>'App.2-M_Regulatory_Costs'!B49</f>
        <v>Consultants' costs</v>
      </c>
      <c r="G35" s="9" t="s">
        <v>1117</v>
      </c>
      <c r="H35">
        <f ca="1">INDIRECT("'App.2-M_Regulatory_Costs'!C" &amp; MATCH(F35,'App.2-M_Regulatory_Costs'!$B:$B,0))</f>
        <v>5655</v>
      </c>
      <c r="I35">
        <f ca="1">INDIRECT("'App.2-M_Regulatory_Costs'!D" &amp; MATCH($F35,'App.2-M_Regulatory_Costs'!$B:$B,0))</f>
        <v>0</v>
      </c>
      <c r="J35">
        <f ca="1">INDIRECT("'App.2-M_Regulatory_Costs'!E" &amp; MATCH($F35,'App.2-M_Regulatory_Costs'!$B:$B,0))</f>
        <v>175000</v>
      </c>
      <c r="K35">
        <f ca="1">INDIRECT("'App.2-M_Regulatory_Costs'!F" &amp; MATCH($F35,'App.2-M_Regulatory_Costs'!$B:$B,0))</f>
        <v>41525.29</v>
      </c>
      <c r="L35">
        <f ca="1">INDIRECT("'App.2-M_Regulatory_Costs'!G" &amp; MATCH($F35,'App.2-M_Regulatory_Costs'!$B:$B,0))</f>
        <v>0</v>
      </c>
      <c r="M35">
        <f ca="1">INDIRECT("'App.2-M_Regulatory_Costs'!H" &amp; MATCH($F35,'App.2-M_Regulatory_Costs'!$B:$B,0))</f>
        <v>0</v>
      </c>
      <c r="N35" t="str">
        <f ca="1">INDIRECT("'App.2-M_Regulatory_Costs'!I" &amp; MATCH($F35,'App.2-M_Regulatory_Costs'!$B:$B,0))</f>
        <v/>
      </c>
      <c r="O35">
        <f ca="1">INDIRECT("'App.2-M_Regulatory_Costs'!J" &amp; MATCH($F35,'App.2-M_Regulatory_Costs'!$B:$B,0))</f>
        <v>220000</v>
      </c>
      <c r="P35" t="str">
        <f ca="1">INDIRECT("'App.2-M_Regulatory_Costs'!K" &amp; MATCH($F35,'App.2-M_Regulatory_Costs'!$B:$B,0))</f>
        <v/>
      </c>
    </row>
    <row r="36" spans="1:16" x14ac:dyDescent="0.2">
      <c r="A36" t="str">
        <f>'LDC Info'!$E$14</f>
        <v>Greater Sudbury Hydro Inc.</v>
      </c>
      <c r="B36" t="str">
        <f t="shared" si="0"/>
        <v>EB-2019-0037</v>
      </c>
      <c r="C36">
        <f t="shared" si="1"/>
        <v>2020</v>
      </c>
      <c r="D36">
        <f t="shared" si="2"/>
        <v>2019</v>
      </c>
      <c r="E36">
        <f t="shared" si="3"/>
        <v>2013</v>
      </c>
      <c r="F36" t="str">
        <f>'App.2-M_Regulatory_Costs'!B50</f>
        <v>Incremental operating expenses associated with staff resources allocated to this application.</v>
      </c>
      <c r="G36" s="9" t="s">
        <v>1117</v>
      </c>
      <c r="H36" t="str">
        <f ca="1">INDIRECT("'App.2-M_Regulatory_Costs'!C" &amp; MATCH(F36,'App.2-M_Regulatory_Costs'!$B:$B,0))</f>
        <v>various accounts</v>
      </c>
      <c r="I36">
        <f ca="1">INDIRECT("'App.2-M_Regulatory_Costs'!D" &amp; MATCH($F36,'App.2-M_Regulatory_Costs'!$B:$B,0))</f>
        <v>0</v>
      </c>
      <c r="J36">
        <f ca="1">INDIRECT("'App.2-M_Regulatory_Costs'!E" &amp; MATCH($F36,'App.2-M_Regulatory_Costs'!$B:$B,0))</f>
        <v>0</v>
      </c>
      <c r="K36">
        <f ca="1">INDIRECT("'App.2-M_Regulatory_Costs'!F" &amp; MATCH($F36,'App.2-M_Regulatory_Costs'!$B:$B,0))</f>
        <v>48275.209999999992</v>
      </c>
      <c r="L36">
        <f ca="1">INDIRECT("'App.2-M_Regulatory_Costs'!G" &amp; MATCH($F36,'App.2-M_Regulatory_Costs'!$B:$B,0))</f>
        <v>0</v>
      </c>
      <c r="M36">
        <f ca="1">INDIRECT("'App.2-M_Regulatory_Costs'!H" &amp; MATCH($F36,'App.2-M_Regulatory_Costs'!$B:$B,0))</f>
        <v>0</v>
      </c>
      <c r="N36" t="str">
        <f ca="1">INDIRECT("'App.2-M_Regulatory_Costs'!I" &amp; MATCH($F36,'App.2-M_Regulatory_Costs'!$B:$B,0))</f>
        <v/>
      </c>
      <c r="O36">
        <f ca="1">INDIRECT("'App.2-M_Regulatory_Costs'!J" &amp; MATCH($F36,'App.2-M_Regulatory_Costs'!$B:$B,0))</f>
        <v>95000</v>
      </c>
      <c r="P36" t="str">
        <f ca="1">INDIRECT("'App.2-M_Regulatory_Costs'!K" &amp; MATCH($F36,'App.2-M_Regulatory_Costs'!$B:$B,0))</f>
        <v/>
      </c>
    </row>
    <row r="37" spans="1:16" x14ac:dyDescent="0.2">
      <c r="A37" t="str">
        <f>'LDC Info'!$E$14</f>
        <v>Greater Sudbury Hydro Inc.</v>
      </c>
      <c r="B37" t="str">
        <f t="shared" si="0"/>
        <v>EB-2019-0037</v>
      </c>
      <c r="C37">
        <f t="shared" si="1"/>
        <v>2020</v>
      </c>
      <c r="D37">
        <f t="shared" si="2"/>
        <v>2019</v>
      </c>
      <c r="E37">
        <f t="shared" si="3"/>
        <v>2013</v>
      </c>
      <c r="F37" t="str">
        <f>'App.2-M_Regulatory_Costs'!B51</f>
        <v>Incremental operating expenses associated with other resources allocated to this application. 1</v>
      </c>
      <c r="G37" s="9" t="s">
        <v>1117</v>
      </c>
      <c r="H37">
        <f ca="1">INDIRECT("'App.2-M_Regulatory_Costs'!C" &amp; MATCH(F37,'App.2-M_Regulatory_Costs'!$B:$B,0))</f>
        <v>5655</v>
      </c>
      <c r="I37">
        <f ca="1">INDIRECT("'App.2-M_Regulatory_Costs'!D" &amp; MATCH($F37,'App.2-M_Regulatory_Costs'!$B:$B,0))</f>
        <v>0</v>
      </c>
      <c r="J37">
        <f ca="1">INDIRECT("'App.2-M_Regulatory_Costs'!E" &amp; MATCH($F37,'App.2-M_Regulatory_Costs'!$B:$B,0))</f>
        <v>0</v>
      </c>
      <c r="K37">
        <f ca="1">INDIRECT("'App.2-M_Regulatory_Costs'!F" &amp; MATCH($F37,'App.2-M_Regulatory_Costs'!$B:$B,0))</f>
        <v>7588.74</v>
      </c>
      <c r="L37">
        <f ca="1">INDIRECT("'App.2-M_Regulatory_Costs'!G" &amp; MATCH($F37,'App.2-M_Regulatory_Costs'!$B:$B,0))</f>
        <v>0</v>
      </c>
      <c r="M37">
        <f ca="1">INDIRECT("'App.2-M_Regulatory_Costs'!H" &amp; MATCH($F37,'App.2-M_Regulatory_Costs'!$B:$B,0))</f>
        <v>0</v>
      </c>
      <c r="N37" t="str">
        <f ca="1">INDIRECT("'App.2-M_Regulatory_Costs'!I" &amp; MATCH($F37,'App.2-M_Regulatory_Costs'!$B:$B,0))</f>
        <v/>
      </c>
      <c r="O37">
        <f ca="1">INDIRECT("'App.2-M_Regulatory_Costs'!J" &amp; MATCH($F37,'App.2-M_Regulatory_Costs'!$B:$B,0))</f>
        <v>0</v>
      </c>
      <c r="P37" t="str">
        <f ca="1">INDIRECT("'App.2-M_Regulatory_Costs'!K" &amp; MATCH($F37,'App.2-M_Regulatory_Costs'!$B:$B,0))</f>
        <v/>
      </c>
    </row>
    <row r="38" spans="1:16" x14ac:dyDescent="0.2">
      <c r="A38" t="str">
        <f>'LDC Info'!$E$14</f>
        <v>Greater Sudbury Hydro Inc.</v>
      </c>
      <c r="B38" t="str">
        <f t="shared" si="0"/>
        <v>EB-2019-0037</v>
      </c>
      <c r="C38">
        <f t="shared" si="1"/>
        <v>2020</v>
      </c>
      <c r="D38">
        <f t="shared" si="2"/>
        <v>2019</v>
      </c>
      <c r="E38">
        <f t="shared" si="3"/>
        <v>2013</v>
      </c>
      <c r="F38" t="str">
        <f>'App.2-M_Regulatory_Costs'!B52</f>
        <v>Intervenor costs</v>
      </c>
      <c r="G38" s="9" t="s">
        <v>1117</v>
      </c>
      <c r="H38">
        <f ca="1">INDIRECT("'App.2-M_Regulatory_Costs'!C" &amp; MATCH(F38,'App.2-M_Regulatory_Costs'!$B:$B,0))</f>
        <v>5655</v>
      </c>
      <c r="I38">
        <f ca="1">INDIRECT("'App.2-M_Regulatory_Costs'!D" &amp; MATCH($F38,'App.2-M_Regulatory_Costs'!$B:$B,0))</f>
        <v>0</v>
      </c>
      <c r="J38">
        <f ca="1">INDIRECT("'App.2-M_Regulatory_Costs'!E" &amp; MATCH($F38,'App.2-M_Regulatory_Costs'!$B:$B,0))</f>
        <v>0</v>
      </c>
      <c r="K38">
        <f ca="1">INDIRECT("'App.2-M_Regulatory_Costs'!F" &amp; MATCH($F38,'App.2-M_Regulatory_Costs'!$B:$B,0))</f>
        <v>0</v>
      </c>
      <c r="L38">
        <f ca="1">INDIRECT("'App.2-M_Regulatory_Costs'!G" &amp; MATCH($F38,'App.2-M_Regulatory_Costs'!$B:$B,0))</f>
        <v>0</v>
      </c>
      <c r="M38">
        <f ca="1">INDIRECT("'App.2-M_Regulatory_Costs'!H" &amp; MATCH($F38,'App.2-M_Regulatory_Costs'!$B:$B,0))</f>
        <v>0</v>
      </c>
      <c r="N38" t="str">
        <f ca="1">INDIRECT("'App.2-M_Regulatory_Costs'!I" &amp; MATCH($F38,'App.2-M_Regulatory_Costs'!$B:$B,0))</f>
        <v/>
      </c>
      <c r="O38">
        <f ca="1">INDIRECT("'App.2-M_Regulatory_Costs'!J" &amp; MATCH($F38,'App.2-M_Regulatory_Costs'!$B:$B,0))</f>
        <v>0</v>
      </c>
      <c r="P38" t="str">
        <f ca="1">INDIRECT("'App.2-M_Regulatory_Costs'!K" &amp; MATCH($F38,'App.2-M_Regulatory_Costs'!$B:$B,0))</f>
        <v/>
      </c>
    </row>
    <row r="39" spans="1:16" x14ac:dyDescent="0.2">
      <c r="A39" t="str">
        <f>'LDC Info'!$E$14</f>
        <v>Greater Sudbury Hydro Inc.</v>
      </c>
      <c r="B39" t="str">
        <f t="shared" si="0"/>
        <v>EB-2019-0037</v>
      </c>
      <c r="C39">
        <f t="shared" si="1"/>
        <v>2020</v>
      </c>
      <c r="D39">
        <f t="shared" si="2"/>
        <v>2019</v>
      </c>
      <c r="E39">
        <f t="shared" si="3"/>
        <v>2013</v>
      </c>
      <c r="F39" t="str">
        <f>'App.2-M_Regulatory_Costs'!B53</f>
        <v>OEB Section 30 Costs (application-related)</v>
      </c>
      <c r="G39" s="9" t="s">
        <v>1117</v>
      </c>
      <c r="H39">
        <f ca="1">INDIRECT("'App.2-M_Regulatory_Costs'!C" &amp; MATCH(F39,'App.2-M_Regulatory_Costs'!$B:$B,0))</f>
        <v>5655</v>
      </c>
      <c r="I39">
        <f ca="1">INDIRECT("'App.2-M_Regulatory_Costs'!D" &amp; MATCH($F39,'App.2-M_Regulatory_Costs'!$B:$B,0))</f>
        <v>0</v>
      </c>
      <c r="J39">
        <f ca="1">INDIRECT("'App.2-M_Regulatory_Costs'!E" &amp; MATCH($F39,'App.2-M_Regulatory_Costs'!$B:$B,0))</f>
        <v>0</v>
      </c>
      <c r="K39">
        <f ca="1">INDIRECT("'App.2-M_Regulatory_Costs'!F" &amp; MATCH($F39,'App.2-M_Regulatory_Costs'!$B:$B,0))</f>
        <v>0</v>
      </c>
      <c r="L39">
        <f ca="1">INDIRECT("'App.2-M_Regulatory_Costs'!G" &amp; MATCH($F39,'App.2-M_Regulatory_Costs'!$B:$B,0))</f>
        <v>0</v>
      </c>
      <c r="M39">
        <f ca="1">INDIRECT("'App.2-M_Regulatory_Costs'!H" &amp; MATCH($F39,'App.2-M_Regulatory_Costs'!$B:$B,0))</f>
        <v>0</v>
      </c>
      <c r="N39" t="str">
        <f ca="1">INDIRECT("'App.2-M_Regulatory_Costs'!I" &amp; MATCH($F39,'App.2-M_Regulatory_Costs'!$B:$B,0))</f>
        <v/>
      </c>
      <c r="O39">
        <f ca="1">INDIRECT("'App.2-M_Regulatory_Costs'!J" &amp; MATCH($F39,'App.2-M_Regulatory_Costs'!$B:$B,0))</f>
        <v>0</v>
      </c>
      <c r="P39" t="str">
        <f ca="1">INDIRECT("'App.2-M_Regulatory_Costs'!K" &amp; MATCH($F39,'App.2-M_Regulatory_Costs'!$B:$B,0))</f>
        <v/>
      </c>
    </row>
    <row r="40" spans="1:16" x14ac:dyDescent="0.2">
      <c r="A40" t="str">
        <f>'LDC Info'!$E$14</f>
        <v>Greater Sudbury Hydro Inc.</v>
      </c>
      <c r="B40" t="str">
        <f t="shared" si="0"/>
        <v>EB-2019-0037</v>
      </c>
      <c r="C40">
        <f t="shared" si="1"/>
        <v>2020</v>
      </c>
      <c r="D40">
        <f t="shared" si="2"/>
        <v>2019</v>
      </c>
      <c r="E40">
        <f t="shared" si="3"/>
        <v>2013</v>
      </c>
      <c r="F40" t="str">
        <f>'App.2-M_Regulatory_Costs'!B54</f>
        <v>Travel Costs</v>
      </c>
      <c r="G40" s="9" t="s">
        <v>1117</v>
      </c>
      <c r="H40">
        <f ca="1">INDIRECT("'App.2-M_Regulatory_Costs'!C" &amp; MATCH(F40,'App.2-M_Regulatory_Costs'!$B:$B,0))</f>
        <v>5655</v>
      </c>
      <c r="I40">
        <f ca="1">INDIRECT("'App.2-M_Regulatory_Costs'!D" &amp; MATCH($F40,'App.2-M_Regulatory_Costs'!$B:$B,0))</f>
        <v>0</v>
      </c>
      <c r="J40">
        <f ca="1">INDIRECT("'App.2-M_Regulatory_Costs'!E" &amp; MATCH($F40,'App.2-M_Regulatory_Costs'!$B:$B,0))</f>
        <v>40000</v>
      </c>
      <c r="K40">
        <f ca="1">INDIRECT("'App.2-M_Regulatory_Costs'!F" &amp; MATCH($F40,'App.2-M_Regulatory_Costs'!$B:$B,0))</f>
        <v>2180.94</v>
      </c>
      <c r="L40">
        <f ca="1">INDIRECT("'App.2-M_Regulatory_Costs'!G" &amp; MATCH($F40,'App.2-M_Regulatory_Costs'!$B:$B,0))</f>
        <v>0</v>
      </c>
      <c r="M40">
        <f ca="1">INDIRECT("'App.2-M_Regulatory_Costs'!H" &amp; MATCH($F40,'App.2-M_Regulatory_Costs'!$B:$B,0))</f>
        <v>0</v>
      </c>
      <c r="N40" t="str">
        <f ca="1">INDIRECT("'App.2-M_Regulatory_Costs'!I" &amp; MATCH($F40,'App.2-M_Regulatory_Costs'!$B:$B,0))</f>
        <v/>
      </c>
      <c r="O40">
        <f ca="1">INDIRECT("'App.2-M_Regulatory_Costs'!J" &amp; MATCH($F40,'App.2-M_Regulatory_Costs'!$B:$B,0))</f>
        <v>15000</v>
      </c>
      <c r="P40" t="str">
        <f ca="1">INDIRECT("'App.2-M_Regulatory_Costs'!K" &amp; MATCH($F40,'App.2-M_Regulatory_Costs'!$B:$B,0))</f>
        <v/>
      </c>
    </row>
    <row r="41" spans="1:16" x14ac:dyDescent="0.2">
      <c r="A41" t="str">
        <f>'LDC Info'!$E$14</f>
        <v>Greater Sudbury Hydro Inc.</v>
      </c>
      <c r="B41" t="str">
        <f t="shared" si="0"/>
        <v>EB-2019-0037</v>
      </c>
      <c r="C41">
        <f t="shared" si="1"/>
        <v>2020</v>
      </c>
      <c r="D41">
        <f t="shared" si="2"/>
        <v>2019</v>
      </c>
      <c r="E41">
        <f t="shared" si="3"/>
        <v>2013</v>
      </c>
      <c r="F41">
        <f>'App.2-M_Regulatory_Costs'!B55</f>
        <v>0</v>
      </c>
      <c r="G41" s="9" t="s">
        <v>1117</v>
      </c>
      <c r="H41" t="e">
        <f ca="1">INDIRECT("'App.2-M_Regulatory_Costs'!C" &amp; MATCH(F41,'App.2-M_Regulatory_Costs'!$B:$B,0))</f>
        <v>#N/A</v>
      </c>
      <c r="I41" t="e">
        <f ca="1">INDIRECT("'App.2-M_Regulatory_Costs'!D" &amp; MATCH($F41,'App.2-M_Regulatory_Costs'!$B:$B,0))</f>
        <v>#N/A</v>
      </c>
      <c r="J41" t="e">
        <f ca="1">INDIRECT("'App.2-M_Regulatory_Costs'!E" &amp; MATCH($F41,'App.2-M_Regulatory_Costs'!$B:$B,0))</f>
        <v>#N/A</v>
      </c>
      <c r="K41" t="e">
        <f ca="1">INDIRECT("'App.2-M_Regulatory_Costs'!F" &amp; MATCH($F41,'App.2-M_Regulatory_Costs'!$B:$B,0))</f>
        <v>#N/A</v>
      </c>
      <c r="L41" t="e">
        <f ca="1">INDIRECT("'App.2-M_Regulatory_Costs'!G" &amp; MATCH($F41,'App.2-M_Regulatory_Costs'!$B:$B,0))</f>
        <v>#N/A</v>
      </c>
      <c r="M41" t="e">
        <f ca="1">INDIRECT("'App.2-M_Regulatory_Costs'!H" &amp; MATCH($F41,'App.2-M_Regulatory_Costs'!$B:$B,0))</f>
        <v>#N/A</v>
      </c>
      <c r="N41" t="e">
        <f ca="1">INDIRECT("'App.2-M_Regulatory_Costs'!I" &amp; MATCH($F41,'App.2-M_Regulatory_Costs'!$B:$B,0))</f>
        <v>#N/A</v>
      </c>
      <c r="O41" t="e">
        <f ca="1">INDIRECT("'App.2-M_Regulatory_Costs'!J" &amp; MATCH($F41,'App.2-M_Regulatory_Costs'!$B:$B,0))</f>
        <v>#N/A</v>
      </c>
      <c r="P41" t="e">
        <f ca="1">INDIRECT("'App.2-M_Regulatory_Costs'!K" &amp; MATCH($F41,'App.2-M_Regulatory_Costs'!$B:$B,0))</f>
        <v>#N/A</v>
      </c>
    </row>
    <row r="42" spans="1:16" x14ac:dyDescent="0.2">
      <c r="A42" t="str">
        <f>'LDC Info'!$E$14</f>
        <v>Greater Sudbury Hydro Inc.</v>
      </c>
      <c r="B42" t="str">
        <f t="shared" si="0"/>
        <v>EB-2019-0037</v>
      </c>
      <c r="C42">
        <f t="shared" si="1"/>
        <v>2020</v>
      </c>
      <c r="D42">
        <f t="shared" si="2"/>
        <v>2019</v>
      </c>
      <c r="E42">
        <f t="shared" si="3"/>
        <v>2013</v>
      </c>
      <c r="F42">
        <f>'App.2-M_Regulatory_Costs'!B56</f>
        <v>0</v>
      </c>
      <c r="G42" s="9" t="s">
        <v>1117</v>
      </c>
      <c r="H42" t="e">
        <f ca="1">INDIRECT("'App.2-M_Regulatory_Costs'!C" &amp; MATCH(F42,'App.2-M_Regulatory_Costs'!$B:$B,0))</f>
        <v>#N/A</v>
      </c>
      <c r="I42" t="e">
        <f ca="1">INDIRECT("'App.2-M_Regulatory_Costs'!D" &amp; MATCH($F42,'App.2-M_Regulatory_Costs'!$B:$B,0))</f>
        <v>#N/A</v>
      </c>
      <c r="J42" t="e">
        <f ca="1">INDIRECT("'App.2-M_Regulatory_Costs'!E" &amp; MATCH($F42,'App.2-M_Regulatory_Costs'!$B:$B,0))</f>
        <v>#N/A</v>
      </c>
      <c r="K42" t="e">
        <f ca="1">INDIRECT("'App.2-M_Regulatory_Costs'!F" &amp; MATCH($F42,'App.2-M_Regulatory_Costs'!$B:$B,0))</f>
        <v>#N/A</v>
      </c>
      <c r="L42" t="e">
        <f ca="1">INDIRECT("'App.2-M_Regulatory_Costs'!G" &amp; MATCH($F42,'App.2-M_Regulatory_Costs'!$B:$B,0))</f>
        <v>#N/A</v>
      </c>
      <c r="M42" t="e">
        <f ca="1">INDIRECT("'App.2-M_Regulatory_Costs'!H" &amp; MATCH($F42,'App.2-M_Regulatory_Costs'!$B:$B,0))</f>
        <v>#N/A</v>
      </c>
      <c r="N42" t="e">
        <f ca="1">INDIRECT("'App.2-M_Regulatory_Costs'!I" &amp; MATCH($F42,'App.2-M_Regulatory_Costs'!$B:$B,0))</f>
        <v>#N/A</v>
      </c>
      <c r="O42" t="e">
        <f ca="1">INDIRECT("'App.2-M_Regulatory_Costs'!J" &amp; MATCH($F42,'App.2-M_Regulatory_Costs'!$B:$B,0))</f>
        <v>#N/A</v>
      </c>
      <c r="P42" t="e">
        <f ca="1">INDIRECT("'App.2-M_Regulatory_Costs'!K" &amp; MATCH($F42,'App.2-M_Regulatory_Costs'!$B:$B,0))</f>
        <v>#N/A</v>
      </c>
    </row>
    <row r="43" spans="1:16" x14ac:dyDescent="0.2">
      <c r="A43" t="str">
        <f>'LDC Info'!$E$14</f>
        <v>Greater Sudbury Hydro Inc.</v>
      </c>
      <c r="B43" t="str">
        <f t="shared" si="0"/>
        <v>EB-2019-0037</v>
      </c>
      <c r="C43">
        <f t="shared" si="1"/>
        <v>2020</v>
      </c>
      <c r="D43">
        <f t="shared" si="2"/>
        <v>2019</v>
      </c>
      <c r="E43">
        <f t="shared" si="3"/>
        <v>2013</v>
      </c>
      <c r="F43">
        <f>'App.2-M_Regulatory_Costs'!B57</f>
        <v>0</v>
      </c>
      <c r="G43" s="9" t="s">
        <v>1117</v>
      </c>
      <c r="H43" t="e">
        <f ca="1">INDIRECT("'App.2-M_Regulatory_Costs'!C" &amp; MATCH(F43,'App.2-M_Regulatory_Costs'!$B:$B,0))</f>
        <v>#N/A</v>
      </c>
      <c r="I43" t="e">
        <f ca="1">INDIRECT("'App.2-M_Regulatory_Costs'!D" &amp; MATCH($F43,'App.2-M_Regulatory_Costs'!$B:$B,0))</f>
        <v>#N/A</v>
      </c>
      <c r="J43" t="e">
        <f ca="1">INDIRECT("'App.2-M_Regulatory_Costs'!E" &amp; MATCH($F43,'App.2-M_Regulatory_Costs'!$B:$B,0))</f>
        <v>#N/A</v>
      </c>
      <c r="K43" t="e">
        <f ca="1">INDIRECT("'App.2-M_Regulatory_Costs'!F" &amp; MATCH($F43,'App.2-M_Regulatory_Costs'!$B:$B,0))</f>
        <v>#N/A</v>
      </c>
      <c r="L43" t="e">
        <f ca="1">INDIRECT("'App.2-M_Regulatory_Costs'!G" &amp; MATCH($F43,'App.2-M_Regulatory_Costs'!$B:$B,0))</f>
        <v>#N/A</v>
      </c>
      <c r="M43" t="e">
        <f ca="1">INDIRECT("'App.2-M_Regulatory_Costs'!H" &amp; MATCH($F43,'App.2-M_Regulatory_Costs'!$B:$B,0))</f>
        <v>#N/A</v>
      </c>
      <c r="N43" t="e">
        <f ca="1">INDIRECT("'App.2-M_Regulatory_Costs'!I" &amp; MATCH($F43,'App.2-M_Regulatory_Costs'!$B:$B,0))</f>
        <v>#N/A</v>
      </c>
      <c r="O43" t="e">
        <f ca="1">INDIRECT("'App.2-M_Regulatory_Costs'!J" &amp; MATCH($F43,'App.2-M_Regulatory_Costs'!$B:$B,0))</f>
        <v>#N/A</v>
      </c>
      <c r="P43" t="e">
        <f ca="1">INDIRECT("'App.2-M_Regulatory_Costs'!K" &amp; MATCH($F43,'App.2-M_Regulatory_Costs'!$B:$B,0))</f>
        <v>#N/A</v>
      </c>
    </row>
    <row r="44" spans="1:16" x14ac:dyDescent="0.2">
      <c r="A44" t="str">
        <f>'LDC Info'!$E$14</f>
        <v>Greater Sudbury Hydro Inc.</v>
      </c>
      <c r="B44" t="str">
        <f t="shared" si="0"/>
        <v>EB-2019-0037</v>
      </c>
      <c r="C44">
        <f t="shared" si="1"/>
        <v>2020</v>
      </c>
      <c r="D44">
        <f t="shared" si="2"/>
        <v>2019</v>
      </c>
      <c r="E44">
        <f t="shared" si="3"/>
        <v>2013</v>
      </c>
      <c r="F44">
        <f>'App.2-M_Regulatory_Costs'!B58</f>
        <v>0</v>
      </c>
      <c r="G44" s="9" t="s">
        <v>1117</v>
      </c>
      <c r="H44" t="e">
        <f ca="1">INDIRECT("'App.2-M_Regulatory_Costs'!C" &amp; MATCH(F44,'App.2-M_Regulatory_Costs'!$B:$B,0))</f>
        <v>#N/A</v>
      </c>
      <c r="I44" t="e">
        <f ca="1">INDIRECT("'App.2-M_Regulatory_Costs'!D" &amp; MATCH($F44,'App.2-M_Regulatory_Costs'!$B:$B,0))</f>
        <v>#N/A</v>
      </c>
      <c r="J44" t="e">
        <f ca="1">INDIRECT("'App.2-M_Regulatory_Costs'!E" &amp; MATCH($F44,'App.2-M_Regulatory_Costs'!$B:$B,0))</f>
        <v>#N/A</v>
      </c>
      <c r="K44" t="e">
        <f ca="1">INDIRECT("'App.2-M_Regulatory_Costs'!F" &amp; MATCH($F44,'App.2-M_Regulatory_Costs'!$B:$B,0))</f>
        <v>#N/A</v>
      </c>
      <c r="L44" t="e">
        <f ca="1">INDIRECT("'App.2-M_Regulatory_Costs'!G" &amp; MATCH($F44,'App.2-M_Regulatory_Costs'!$B:$B,0))</f>
        <v>#N/A</v>
      </c>
      <c r="M44" t="e">
        <f ca="1">INDIRECT("'App.2-M_Regulatory_Costs'!H" &amp; MATCH($F44,'App.2-M_Regulatory_Costs'!$B:$B,0))</f>
        <v>#N/A</v>
      </c>
      <c r="N44" t="e">
        <f ca="1">INDIRECT("'App.2-M_Regulatory_Costs'!I" &amp; MATCH($F44,'App.2-M_Regulatory_Costs'!$B:$B,0))</f>
        <v>#N/A</v>
      </c>
      <c r="O44" t="e">
        <f ca="1">INDIRECT("'App.2-M_Regulatory_Costs'!J" &amp; MATCH($F44,'App.2-M_Regulatory_Costs'!$B:$B,0))</f>
        <v>#N/A</v>
      </c>
      <c r="P44" t="e">
        <f ca="1">INDIRECT("'App.2-M_Regulatory_Costs'!K" &amp; MATCH($F44,'App.2-M_Regulatory_Costs'!$B:$B,0))</f>
        <v>#N/A</v>
      </c>
    </row>
    <row r="45" spans="1:16" x14ac:dyDescent="0.2">
      <c r="A45" t="str">
        <f>'LDC Info'!$E$14</f>
        <v>Greater Sudbury Hydro Inc.</v>
      </c>
      <c r="B45" t="str">
        <f t="shared" si="0"/>
        <v>EB-2019-0037</v>
      </c>
      <c r="C45">
        <f t="shared" si="1"/>
        <v>2020</v>
      </c>
      <c r="D45">
        <f t="shared" si="2"/>
        <v>2019</v>
      </c>
      <c r="E45">
        <f t="shared" si="3"/>
        <v>2013</v>
      </c>
      <c r="F45">
        <f>'App.2-M_Regulatory_Costs'!B59</f>
        <v>0</v>
      </c>
      <c r="G45" s="9" t="s">
        <v>1117</v>
      </c>
      <c r="H45" t="e">
        <f ca="1">INDIRECT("'App.2-M_Regulatory_Costs'!C" &amp; MATCH(F45,'App.2-M_Regulatory_Costs'!$B:$B,0))</f>
        <v>#N/A</v>
      </c>
      <c r="I45" t="e">
        <f ca="1">INDIRECT("'App.2-M_Regulatory_Costs'!D" &amp; MATCH($F45,'App.2-M_Regulatory_Costs'!$B:$B,0))</f>
        <v>#N/A</v>
      </c>
      <c r="J45" t="e">
        <f ca="1">INDIRECT("'App.2-M_Regulatory_Costs'!E" &amp; MATCH($F45,'App.2-M_Regulatory_Costs'!$B:$B,0))</f>
        <v>#N/A</v>
      </c>
      <c r="K45" t="e">
        <f ca="1">INDIRECT("'App.2-M_Regulatory_Costs'!F" &amp; MATCH($F45,'App.2-M_Regulatory_Costs'!$B:$B,0))</f>
        <v>#N/A</v>
      </c>
      <c r="L45" t="e">
        <f ca="1">INDIRECT("'App.2-M_Regulatory_Costs'!G" &amp; MATCH($F45,'App.2-M_Regulatory_Costs'!$B:$B,0))</f>
        <v>#N/A</v>
      </c>
      <c r="M45" t="e">
        <f ca="1">INDIRECT("'App.2-M_Regulatory_Costs'!H" &amp; MATCH($F45,'App.2-M_Regulatory_Costs'!$B:$B,0))</f>
        <v>#N/A</v>
      </c>
      <c r="N45" t="e">
        <f ca="1">INDIRECT("'App.2-M_Regulatory_Costs'!I" &amp; MATCH($F45,'App.2-M_Regulatory_Costs'!$B:$B,0))</f>
        <v>#N/A</v>
      </c>
      <c r="O45" t="e">
        <f ca="1">INDIRECT("'App.2-M_Regulatory_Costs'!J" &amp; MATCH($F45,'App.2-M_Regulatory_Costs'!$B:$B,0))</f>
        <v>#N/A</v>
      </c>
      <c r="P45" t="e">
        <f ca="1">INDIRECT("'App.2-M_Regulatory_Costs'!K" &amp; MATCH($F45,'App.2-M_Regulatory_Costs'!$B:$B,0))</f>
        <v>#N/A</v>
      </c>
    </row>
    <row r="46" spans="1:16" x14ac:dyDescent="0.2">
      <c r="A46" t="str">
        <f>'LDC Info'!$E$14</f>
        <v>Greater Sudbury Hydro Inc.</v>
      </c>
      <c r="B46" t="str">
        <f t="shared" si="0"/>
        <v>EB-2019-0037</v>
      </c>
      <c r="C46">
        <f t="shared" si="1"/>
        <v>2020</v>
      </c>
      <c r="D46">
        <f t="shared" si="2"/>
        <v>2019</v>
      </c>
      <c r="E46">
        <f t="shared" si="3"/>
        <v>2013</v>
      </c>
      <c r="F46">
        <f>'App.2-M_Regulatory_Costs'!B60</f>
        <v>0</v>
      </c>
      <c r="G46" s="9" t="s">
        <v>1117</v>
      </c>
      <c r="H46" t="e">
        <f ca="1">INDIRECT("'App.2-M_Regulatory_Costs'!C" &amp; MATCH(F46,'App.2-M_Regulatory_Costs'!$B:$B,0))</f>
        <v>#N/A</v>
      </c>
      <c r="I46" t="e">
        <f ca="1">INDIRECT("'App.2-M_Regulatory_Costs'!D" &amp; MATCH($F46,'App.2-M_Regulatory_Costs'!$B:$B,0))</f>
        <v>#N/A</v>
      </c>
      <c r="J46" t="e">
        <f ca="1">INDIRECT("'App.2-M_Regulatory_Costs'!E" &amp; MATCH($F46,'App.2-M_Regulatory_Costs'!$B:$B,0))</f>
        <v>#N/A</v>
      </c>
      <c r="K46" t="e">
        <f ca="1">INDIRECT("'App.2-M_Regulatory_Costs'!F" &amp; MATCH($F46,'App.2-M_Regulatory_Costs'!$B:$B,0))</f>
        <v>#N/A</v>
      </c>
      <c r="L46" t="e">
        <f ca="1">INDIRECT("'App.2-M_Regulatory_Costs'!G" &amp; MATCH($F46,'App.2-M_Regulatory_Costs'!$B:$B,0))</f>
        <v>#N/A</v>
      </c>
      <c r="M46" t="e">
        <f ca="1">INDIRECT("'App.2-M_Regulatory_Costs'!H" &amp; MATCH($F46,'App.2-M_Regulatory_Costs'!$B:$B,0))</f>
        <v>#N/A</v>
      </c>
      <c r="N46" t="e">
        <f ca="1">INDIRECT("'App.2-M_Regulatory_Costs'!I" &amp; MATCH($F46,'App.2-M_Regulatory_Costs'!$B:$B,0))</f>
        <v>#N/A</v>
      </c>
      <c r="O46" t="e">
        <f ca="1">INDIRECT("'App.2-M_Regulatory_Costs'!J" &amp; MATCH($F46,'App.2-M_Regulatory_Costs'!$B:$B,0))</f>
        <v>#N/A</v>
      </c>
      <c r="P46" t="e">
        <f ca="1">INDIRECT("'App.2-M_Regulatory_Costs'!K" &amp; MATCH($F46,'App.2-M_Regulatory_Costs'!$B:$B,0))</f>
        <v>#N/A</v>
      </c>
    </row>
    <row r="47" spans="1:16" x14ac:dyDescent="0.2">
      <c r="A47" t="str">
        <f>'LDC Info'!$E$14</f>
        <v>Greater Sudbury Hydro Inc.</v>
      </c>
      <c r="B47" t="str">
        <f t="shared" si="0"/>
        <v>EB-2019-0037</v>
      </c>
      <c r="C47">
        <f t="shared" si="1"/>
        <v>2020</v>
      </c>
      <c r="D47">
        <f t="shared" si="2"/>
        <v>2019</v>
      </c>
      <c r="E47">
        <f t="shared" si="3"/>
        <v>2013</v>
      </c>
      <c r="F47">
        <f>'App.2-M_Regulatory_Costs'!B61</f>
        <v>0</v>
      </c>
      <c r="G47" s="9" t="s">
        <v>1117</v>
      </c>
      <c r="H47" t="e">
        <f ca="1">INDIRECT("'App.2-M_Regulatory_Costs'!C" &amp; MATCH(F47,'App.2-M_Regulatory_Costs'!$B:$B,0))</f>
        <v>#N/A</v>
      </c>
      <c r="I47" t="e">
        <f ca="1">INDIRECT("'App.2-M_Regulatory_Costs'!D" &amp; MATCH($F47,'App.2-M_Regulatory_Costs'!$B:$B,0))</f>
        <v>#N/A</v>
      </c>
      <c r="J47" t="e">
        <f ca="1">INDIRECT("'App.2-M_Regulatory_Costs'!E" &amp; MATCH($F47,'App.2-M_Regulatory_Costs'!$B:$B,0))</f>
        <v>#N/A</v>
      </c>
      <c r="K47" t="e">
        <f ca="1">INDIRECT("'App.2-M_Regulatory_Costs'!F" &amp; MATCH($F47,'App.2-M_Regulatory_Costs'!$B:$B,0))</f>
        <v>#N/A</v>
      </c>
      <c r="L47" t="e">
        <f ca="1">INDIRECT("'App.2-M_Regulatory_Costs'!G" &amp; MATCH($F47,'App.2-M_Regulatory_Costs'!$B:$B,0))</f>
        <v>#N/A</v>
      </c>
      <c r="M47" t="e">
        <f ca="1">INDIRECT("'App.2-M_Regulatory_Costs'!H" &amp; MATCH($F47,'App.2-M_Regulatory_Costs'!$B:$B,0))</f>
        <v>#N/A</v>
      </c>
      <c r="N47" t="e">
        <f ca="1">INDIRECT("'App.2-M_Regulatory_Costs'!I" &amp; MATCH($F47,'App.2-M_Regulatory_Costs'!$B:$B,0))</f>
        <v>#N/A</v>
      </c>
      <c r="O47" t="e">
        <f ca="1">INDIRECT("'App.2-M_Regulatory_Costs'!J" &amp; MATCH($F47,'App.2-M_Regulatory_Costs'!$B:$B,0))</f>
        <v>#N/A</v>
      </c>
      <c r="P47" t="e">
        <f ca="1">INDIRECT("'App.2-M_Regulatory_Costs'!K" &amp; MATCH($F47,'App.2-M_Regulatory_Costs'!$B:$B,0))</f>
        <v>#N/A</v>
      </c>
    </row>
    <row r="48" spans="1:16" x14ac:dyDescent="0.2">
      <c r="A48" t="str">
        <f>'LDC Info'!$E$14</f>
        <v>Greater Sudbury Hydro Inc.</v>
      </c>
      <c r="B48" t="str">
        <f t="shared" si="0"/>
        <v>EB-2019-0037</v>
      </c>
      <c r="C48">
        <f t="shared" si="1"/>
        <v>2020</v>
      </c>
      <c r="D48">
        <f t="shared" si="2"/>
        <v>2019</v>
      </c>
      <c r="E48">
        <f t="shared" si="3"/>
        <v>2013</v>
      </c>
      <c r="F48">
        <f>'App.2-M_Regulatory_Costs'!B62</f>
        <v>0</v>
      </c>
      <c r="G48" s="9" t="s">
        <v>1117</v>
      </c>
      <c r="H48" t="e">
        <f ca="1">INDIRECT("'App.2-M_Regulatory_Costs'!C" &amp; MATCH(F48,'App.2-M_Regulatory_Costs'!$B:$B,0))</f>
        <v>#N/A</v>
      </c>
      <c r="I48" t="e">
        <f ca="1">INDIRECT("'App.2-M_Regulatory_Costs'!D" &amp; MATCH($F48,'App.2-M_Regulatory_Costs'!$B:$B,0))</f>
        <v>#N/A</v>
      </c>
      <c r="J48" t="e">
        <f ca="1">INDIRECT("'App.2-M_Regulatory_Costs'!E" &amp; MATCH($F48,'App.2-M_Regulatory_Costs'!$B:$B,0))</f>
        <v>#N/A</v>
      </c>
      <c r="K48" t="e">
        <f ca="1">INDIRECT("'App.2-M_Regulatory_Costs'!F" &amp; MATCH($F48,'App.2-M_Regulatory_Costs'!$B:$B,0))</f>
        <v>#N/A</v>
      </c>
      <c r="L48" t="e">
        <f ca="1">INDIRECT("'App.2-M_Regulatory_Costs'!G" &amp; MATCH($F48,'App.2-M_Regulatory_Costs'!$B:$B,0))</f>
        <v>#N/A</v>
      </c>
      <c r="M48" t="e">
        <f ca="1">INDIRECT("'App.2-M_Regulatory_Costs'!H" &amp; MATCH($F48,'App.2-M_Regulatory_Costs'!$B:$B,0))</f>
        <v>#N/A</v>
      </c>
      <c r="N48" t="e">
        <f ca="1">INDIRECT("'App.2-M_Regulatory_Costs'!I" &amp; MATCH($F48,'App.2-M_Regulatory_Costs'!$B:$B,0))</f>
        <v>#N/A</v>
      </c>
      <c r="O48" t="e">
        <f ca="1">INDIRECT("'App.2-M_Regulatory_Costs'!J" &amp; MATCH($F48,'App.2-M_Regulatory_Costs'!$B:$B,0))</f>
        <v>#N/A</v>
      </c>
      <c r="P48" t="e">
        <f ca="1">INDIRECT("'App.2-M_Regulatory_Costs'!K" &amp; MATCH($F48,'App.2-M_Regulatory_Costs'!$B:$B,0))</f>
        <v>#N/A</v>
      </c>
    </row>
    <row r="49" spans="1:16" x14ac:dyDescent="0.2">
      <c r="A49" t="str">
        <f>'LDC Info'!$E$14</f>
        <v>Greater Sudbury Hydro Inc.</v>
      </c>
      <c r="B49" t="str">
        <f t="shared" si="0"/>
        <v>EB-2019-0037</v>
      </c>
      <c r="C49">
        <f t="shared" si="1"/>
        <v>2020</v>
      </c>
      <c r="D49">
        <f t="shared" si="2"/>
        <v>2019</v>
      </c>
      <c r="E49">
        <f t="shared" si="3"/>
        <v>2013</v>
      </c>
      <c r="F49">
        <f>'App.2-M_Regulatory_Costs'!B63</f>
        <v>0</v>
      </c>
      <c r="G49" s="9" t="s">
        <v>1117</v>
      </c>
      <c r="H49" t="e">
        <f ca="1">INDIRECT("'App.2-M_Regulatory_Costs'!C" &amp; MATCH(F49,'App.2-M_Regulatory_Costs'!$B:$B,0))</f>
        <v>#N/A</v>
      </c>
      <c r="I49" t="e">
        <f ca="1">INDIRECT("'App.2-M_Regulatory_Costs'!D" &amp; MATCH($F49,'App.2-M_Regulatory_Costs'!$B:$B,0))</f>
        <v>#N/A</v>
      </c>
      <c r="J49" t="e">
        <f ca="1">INDIRECT("'App.2-M_Regulatory_Costs'!E" &amp; MATCH($F49,'App.2-M_Regulatory_Costs'!$B:$B,0))</f>
        <v>#N/A</v>
      </c>
      <c r="K49" t="e">
        <f ca="1">INDIRECT("'App.2-M_Regulatory_Costs'!F" &amp; MATCH($F49,'App.2-M_Regulatory_Costs'!$B:$B,0))</f>
        <v>#N/A</v>
      </c>
      <c r="L49" t="e">
        <f ca="1">INDIRECT("'App.2-M_Regulatory_Costs'!G" &amp; MATCH($F49,'App.2-M_Regulatory_Costs'!$B:$B,0))</f>
        <v>#N/A</v>
      </c>
      <c r="M49" t="e">
        <f ca="1">INDIRECT("'App.2-M_Regulatory_Costs'!H" &amp; MATCH($F49,'App.2-M_Regulatory_Costs'!$B:$B,0))</f>
        <v>#N/A</v>
      </c>
      <c r="N49" t="e">
        <f ca="1">INDIRECT("'App.2-M_Regulatory_Costs'!I" &amp; MATCH($F49,'App.2-M_Regulatory_Costs'!$B:$B,0))</f>
        <v>#N/A</v>
      </c>
      <c r="O49" t="e">
        <f ca="1">INDIRECT("'App.2-M_Regulatory_Costs'!J" &amp; MATCH($F49,'App.2-M_Regulatory_Costs'!$B:$B,0))</f>
        <v>#N/A</v>
      </c>
      <c r="P49" t="e">
        <f ca="1">INDIRECT("'App.2-M_Regulatory_Costs'!K" &amp; MATCH($F49,'App.2-M_Regulatory_Costs'!$B:$B,0))</f>
        <v>#N/A</v>
      </c>
    </row>
    <row r="50" spans="1:16" x14ac:dyDescent="0.2">
      <c r="A50" t="str">
        <f>'LDC Info'!$E$14</f>
        <v>Greater Sudbury Hydro Inc.</v>
      </c>
      <c r="B50" t="str">
        <f t="shared" si="0"/>
        <v>EB-2019-0037</v>
      </c>
      <c r="C50">
        <f t="shared" si="1"/>
        <v>2020</v>
      </c>
      <c r="D50">
        <f t="shared" si="2"/>
        <v>2019</v>
      </c>
      <c r="E50">
        <f t="shared" si="3"/>
        <v>2013</v>
      </c>
      <c r="F50">
        <f>'App.2-M_Regulatory_Costs'!B64</f>
        <v>0</v>
      </c>
      <c r="G50" s="9" t="s">
        <v>1117</v>
      </c>
      <c r="H50" t="e">
        <f ca="1">INDIRECT("'App.2-M_Regulatory_Costs'!C" &amp; MATCH(F50,'App.2-M_Regulatory_Costs'!$B:$B,0))</f>
        <v>#N/A</v>
      </c>
      <c r="I50" t="e">
        <f ca="1">INDIRECT("'App.2-M_Regulatory_Costs'!D" &amp; MATCH($F50,'App.2-M_Regulatory_Costs'!$B:$B,0))</f>
        <v>#N/A</v>
      </c>
      <c r="J50" t="e">
        <f ca="1">INDIRECT("'App.2-M_Regulatory_Costs'!E" &amp; MATCH($F50,'App.2-M_Regulatory_Costs'!$B:$B,0))</f>
        <v>#N/A</v>
      </c>
      <c r="K50" t="e">
        <f ca="1">INDIRECT("'App.2-M_Regulatory_Costs'!F" &amp; MATCH($F50,'App.2-M_Regulatory_Costs'!$B:$B,0))</f>
        <v>#N/A</v>
      </c>
      <c r="L50" t="e">
        <f ca="1">INDIRECT("'App.2-M_Regulatory_Costs'!G" &amp; MATCH($F50,'App.2-M_Regulatory_Costs'!$B:$B,0))</f>
        <v>#N/A</v>
      </c>
      <c r="M50" t="e">
        <f ca="1">INDIRECT("'App.2-M_Regulatory_Costs'!H" &amp; MATCH($F50,'App.2-M_Regulatory_Costs'!$B:$B,0))</f>
        <v>#N/A</v>
      </c>
      <c r="N50" t="e">
        <f ca="1">INDIRECT("'App.2-M_Regulatory_Costs'!I" &amp; MATCH($F50,'App.2-M_Regulatory_Costs'!$B:$B,0))</f>
        <v>#N/A</v>
      </c>
      <c r="O50" t="e">
        <f ca="1">INDIRECT("'App.2-M_Regulatory_Costs'!J" &amp; MATCH($F50,'App.2-M_Regulatory_Costs'!$B:$B,0))</f>
        <v>#N/A</v>
      </c>
      <c r="P50" t="e">
        <f ca="1">INDIRECT("'App.2-M_Regulatory_Costs'!K" &amp; MATCH($F50,'App.2-M_Regulatory_Costs'!$B:$B,0))</f>
        <v>#N/A</v>
      </c>
    </row>
    <row r="51" spans="1:16" x14ac:dyDescent="0.2">
      <c r="A51" t="str">
        <f>'LDC Info'!$E$14</f>
        <v>Greater Sudbury Hydro Inc.</v>
      </c>
      <c r="B51" t="str">
        <f t="shared" si="0"/>
        <v>EB-2019-0037</v>
      </c>
      <c r="C51">
        <f t="shared" si="1"/>
        <v>2020</v>
      </c>
      <c r="D51">
        <f t="shared" si="2"/>
        <v>2019</v>
      </c>
      <c r="E51">
        <f t="shared" si="3"/>
        <v>2013</v>
      </c>
      <c r="F51">
        <f>'App.2-M_Regulatory_Costs'!B65</f>
        <v>0</v>
      </c>
      <c r="G51" s="9" t="s">
        <v>1117</v>
      </c>
      <c r="H51" t="e">
        <f ca="1">INDIRECT("'App.2-M_Regulatory_Costs'!C" &amp; MATCH(F51,'App.2-M_Regulatory_Costs'!$B:$B,0))</f>
        <v>#N/A</v>
      </c>
      <c r="I51" t="e">
        <f ca="1">INDIRECT("'App.2-M_Regulatory_Costs'!D" &amp; MATCH($F51,'App.2-M_Regulatory_Costs'!$B:$B,0))</f>
        <v>#N/A</v>
      </c>
      <c r="J51" t="e">
        <f ca="1">INDIRECT("'App.2-M_Regulatory_Costs'!E" &amp; MATCH($F51,'App.2-M_Regulatory_Costs'!$B:$B,0))</f>
        <v>#N/A</v>
      </c>
      <c r="K51" t="e">
        <f ca="1">INDIRECT("'App.2-M_Regulatory_Costs'!F" &amp; MATCH($F51,'App.2-M_Regulatory_Costs'!$B:$B,0))</f>
        <v>#N/A</v>
      </c>
      <c r="L51" t="e">
        <f ca="1">INDIRECT("'App.2-M_Regulatory_Costs'!G" &amp; MATCH($F51,'App.2-M_Regulatory_Costs'!$B:$B,0))</f>
        <v>#N/A</v>
      </c>
      <c r="M51" t="e">
        <f ca="1">INDIRECT("'App.2-M_Regulatory_Costs'!H" &amp; MATCH($F51,'App.2-M_Regulatory_Costs'!$B:$B,0))</f>
        <v>#N/A</v>
      </c>
      <c r="N51" t="e">
        <f ca="1">INDIRECT("'App.2-M_Regulatory_Costs'!I" &amp; MATCH($F51,'App.2-M_Regulatory_Costs'!$B:$B,0))</f>
        <v>#N/A</v>
      </c>
      <c r="O51" t="e">
        <f ca="1">INDIRECT("'App.2-M_Regulatory_Costs'!J" &amp; MATCH($F51,'App.2-M_Regulatory_Costs'!$B:$B,0))</f>
        <v>#N/A</v>
      </c>
      <c r="P51" t="e">
        <f ca="1">INDIRECT("'App.2-M_Regulatory_Costs'!K" &amp; MATCH($F51,'App.2-M_Regulatory_Costs'!$B:$B,0))</f>
        <v>#N/A</v>
      </c>
    </row>
    <row r="52" spans="1:16" x14ac:dyDescent="0.2">
      <c r="A52" t="str">
        <f>'LDC Info'!$E$14</f>
        <v>Greater Sudbury Hydro Inc.</v>
      </c>
      <c r="B52" t="str">
        <f t="shared" si="0"/>
        <v>EB-2019-0037</v>
      </c>
      <c r="C52">
        <f t="shared" si="1"/>
        <v>2020</v>
      </c>
      <c r="D52">
        <f t="shared" si="2"/>
        <v>2019</v>
      </c>
      <c r="E52">
        <f t="shared" si="3"/>
        <v>2013</v>
      </c>
      <c r="F52">
        <f>'App.2-M_Regulatory_Costs'!B66</f>
        <v>0</v>
      </c>
      <c r="G52" s="9" t="s">
        <v>1117</v>
      </c>
      <c r="H52" t="e">
        <f ca="1">INDIRECT("'App.2-M_Regulatory_Costs'!C" &amp; MATCH(F52,'App.2-M_Regulatory_Costs'!$B:$B,0))</f>
        <v>#N/A</v>
      </c>
      <c r="I52" t="e">
        <f ca="1">INDIRECT("'App.2-M_Regulatory_Costs'!D" &amp; MATCH($F52,'App.2-M_Regulatory_Costs'!$B:$B,0))</f>
        <v>#N/A</v>
      </c>
      <c r="J52" t="e">
        <f ca="1">INDIRECT("'App.2-M_Regulatory_Costs'!E" &amp; MATCH($F52,'App.2-M_Regulatory_Costs'!$B:$B,0))</f>
        <v>#N/A</v>
      </c>
      <c r="K52" t="e">
        <f ca="1">INDIRECT("'App.2-M_Regulatory_Costs'!F" &amp; MATCH($F52,'App.2-M_Regulatory_Costs'!$B:$B,0))</f>
        <v>#N/A</v>
      </c>
      <c r="L52" t="e">
        <f ca="1">INDIRECT("'App.2-M_Regulatory_Costs'!G" &amp; MATCH($F52,'App.2-M_Regulatory_Costs'!$B:$B,0))</f>
        <v>#N/A</v>
      </c>
      <c r="M52" t="e">
        <f ca="1">INDIRECT("'App.2-M_Regulatory_Costs'!H" &amp; MATCH($F52,'App.2-M_Regulatory_Costs'!$B:$B,0))</f>
        <v>#N/A</v>
      </c>
      <c r="N52" t="e">
        <f ca="1">INDIRECT("'App.2-M_Regulatory_Costs'!I" &amp; MATCH($F52,'App.2-M_Regulatory_Costs'!$B:$B,0))</f>
        <v>#N/A</v>
      </c>
      <c r="O52" t="e">
        <f ca="1">INDIRECT("'App.2-M_Regulatory_Costs'!J" &amp; MATCH($F52,'App.2-M_Regulatory_Costs'!$B:$B,0))</f>
        <v>#N/A</v>
      </c>
      <c r="P52" t="e">
        <f ca="1">INDIRECT("'App.2-M_Regulatory_Costs'!K" &amp; MATCH($F52,'App.2-M_Regulatory_Costs'!$B:$B,0))</f>
        <v>#N/A</v>
      </c>
    </row>
    <row r="53" spans="1:16" x14ac:dyDescent="0.2">
      <c r="A53" t="str">
        <f>'LDC Info'!$E$14</f>
        <v>Greater Sudbury Hydro Inc.</v>
      </c>
      <c r="B53" t="str">
        <f t="shared" si="0"/>
        <v>EB-2019-0037</v>
      </c>
      <c r="C53">
        <f t="shared" si="1"/>
        <v>2020</v>
      </c>
      <c r="D53">
        <f t="shared" si="2"/>
        <v>2019</v>
      </c>
      <c r="E53">
        <f t="shared" si="3"/>
        <v>2013</v>
      </c>
      <c r="F53">
        <f>'App.2-M_Regulatory_Costs'!B67</f>
        <v>0</v>
      </c>
      <c r="G53" s="9" t="s">
        <v>1117</v>
      </c>
      <c r="H53" t="e">
        <f ca="1">INDIRECT("'App.2-M_Regulatory_Costs'!C" &amp; MATCH(F53,'App.2-M_Regulatory_Costs'!$B:$B,0))</f>
        <v>#N/A</v>
      </c>
      <c r="I53" t="e">
        <f ca="1">INDIRECT("'App.2-M_Regulatory_Costs'!D" &amp; MATCH($F53,'App.2-M_Regulatory_Costs'!$B:$B,0))</f>
        <v>#N/A</v>
      </c>
      <c r="J53" t="e">
        <f ca="1">INDIRECT("'App.2-M_Regulatory_Costs'!E" &amp; MATCH($F53,'App.2-M_Regulatory_Costs'!$B:$B,0))</f>
        <v>#N/A</v>
      </c>
      <c r="K53" t="e">
        <f ca="1">INDIRECT("'App.2-M_Regulatory_Costs'!F" &amp; MATCH($F53,'App.2-M_Regulatory_Costs'!$B:$B,0))</f>
        <v>#N/A</v>
      </c>
      <c r="L53" t="e">
        <f ca="1">INDIRECT("'App.2-M_Regulatory_Costs'!G" &amp; MATCH($F53,'App.2-M_Regulatory_Costs'!$B:$B,0))</f>
        <v>#N/A</v>
      </c>
      <c r="M53" t="e">
        <f ca="1">INDIRECT("'App.2-M_Regulatory_Costs'!H" &amp; MATCH($F53,'App.2-M_Regulatory_Costs'!$B:$B,0))</f>
        <v>#N/A</v>
      </c>
      <c r="N53" t="e">
        <f ca="1">INDIRECT("'App.2-M_Regulatory_Costs'!I" &amp; MATCH($F53,'App.2-M_Regulatory_Costs'!$B:$B,0))</f>
        <v>#N/A</v>
      </c>
      <c r="O53" t="e">
        <f ca="1">INDIRECT("'App.2-M_Regulatory_Costs'!J" &amp; MATCH($F53,'App.2-M_Regulatory_Costs'!$B:$B,0))</f>
        <v>#N/A</v>
      </c>
      <c r="P53" t="e">
        <f ca="1">INDIRECT("'App.2-M_Regulatory_Costs'!K" &amp; MATCH($F53,'App.2-M_Regulatory_Costs'!$B:$B,0))</f>
        <v>#N/A</v>
      </c>
    </row>
    <row r="54" spans="1:16" x14ac:dyDescent="0.2">
      <c r="A54" t="str">
        <f>'LDC Info'!$E$14</f>
        <v>Greater Sudbury Hydro Inc.</v>
      </c>
      <c r="B54" t="str">
        <f t="shared" si="0"/>
        <v>EB-2019-0037</v>
      </c>
      <c r="C54">
        <f t="shared" si="1"/>
        <v>2020</v>
      </c>
      <c r="D54">
        <f t="shared" si="2"/>
        <v>2019</v>
      </c>
      <c r="E54">
        <f t="shared" si="3"/>
        <v>2013</v>
      </c>
      <c r="F54">
        <f>'App.2-M_Regulatory_Costs'!B68</f>
        <v>0</v>
      </c>
      <c r="G54" s="9" t="s">
        <v>1117</v>
      </c>
      <c r="H54" t="e">
        <f ca="1">INDIRECT("'App.2-M_Regulatory_Costs'!C" &amp; MATCH(F54,'App.2-M_Regulatory_Costs'!$B:$B,0))</f>
        <v>#N/A</v>
      </c>
      <c r="I54" t="e">
        <f ca="1">INDIRECT("'App.2-M_Regulatory_Costs'!D" &amp; MATCH($F54,'App.2-M_Regulatory_Costs'!$B:$B,0))</f>
        <v>#N/A</v>
      </c>
      <c r="J54" t="e">
        <f ca="1">INDIRECT("'App.2-M_Regulatory_Costs'!E" &amp; MATCH($F54,'App.2-M_Regulatory_Costs'!$B:$B,0))</f>
        <v>#N/A</v>
      </c>
      <c r="K54" t="e">
        <f ca="1">INDIRECT("'App.2-M_Regulatory_Costs'!F" &amp; MATCH($F54,'App.2-M_Regulatory_Costs'!$B:$B,0))</f>
        <v>#N/A</v>
      </c>
      <c r="L54" t="e">
        <f ca="1">INDIRECT("'App.2-M_Regulatory_Costs'!G" &amp; MATCH($F54,'App.2-M_Regulatory_Costs'!$B:$B,0))</f>
        <v>#N/A</v>
      </c>
      <c r="M54" t="e">
        <f ca="1">INDIRECT("'App.2-M_Regulatory_Costs'!H" &amp; MATCH($F54,'App.2-M_Regulatory_Costs'!$B:$B,0))</f>
        <v>#N/A</v>
      </c>
      <c r="N54" t="e">
        <f ca="1">INDIRECT("'App.2-M_Regulatory_Costs'!I" &amp; MATCH($F54,'App.2-M_Regulatory_Costs'!$B:$B,0))</f>
        <v>#N/A</v>
      </c>
      <c r="O54" t="e">
        <f ca="1">INDIRECT("'App.2-M_Regulatory_Costs'!J" &amp; MATCH($F54,'App.2-M_Regulatory_Costs'!$B:$B,0))</f>
        <v>#N/A</v>
      </c>
      <c r="P54" t="e">
        <f ca="1">INDIRECT("'App.2-M_Regulatory_Costs'!K" &amp; MATCH($F54,'App.2-M_Regulatory_Costs'!$B:$B,0))</f>
        <v>#N/A</v>
      </c>
    </row>
    <row r="55" spans="1:16" x14ac:dyDescent="0.2">
      <c r="A55" t="str">
        <f>'LDC Info'!$E$14</f>
        <v>Greater Sudbury Hydro Inc.</v>
      </c>
      <c r="B55" t="str">
        <f t="shared" si="0"/>
        <v>EB-2019-0037</v>
      </c>
      <c r="C55">
        <f t="shared" si="1"/>
        <v>2020</v>
      </c>
      <c r="D55">
        <f t="shared" si="2"/>
        <v>2019</v>
      </c>
      <c r="E55">
        <f t="shared" si="3"/>
        <v>2013</v>
      </c>
      <c r="F55">
        <f>'App.2-M_Regulatory_Costs'!B69</f>
        <v>0</v>
      </c>
      <c r="G55" s="9" t="s">
        <v>1117</v>
      </c>
      <c r="H55" t="e">
        <f ca="1">INDIRECT("'App.2-M_Regulatory_Costs'!C" &amp; MATCH(F55,'App.2-M_Regulatory_Costs'!$B:$B,0))</f>
        <v>#N/A</v>
      </c>
      <c r="I55" t="e">
        <f ca="1">INDIRECT("'App.2-M_Regulatory_Costs'!D" &amp; MATCH($F55,'App.2-M_Regulatory_Costs'!$B:$B,0))</f>
        <v>#N/A</v>
      </c>
      <c r="J55" t="e">
        <f ca="1">INDIRECT("'App.2-M_Regulatory_Costs'!E" &amp; MATCH($F55,'App.2-M_Regulatory_Costs'!$B:$B,0))</f>
        <v>#N/A</v>
      </c>
      <c r="K55" t="e">
        <f ca="1">INDIRECT("'App.2-M_Regulatory_Costs'!F" &amp; MATCH($F55,'App.2-M_Regulatory_Costs'!$B:$B,0))</f>
        <v>#N/A</v>
      </c>
      <c r="L55" t="e">
        <f ca="1">INDIRECT("'App.2-M_Regulatory_Costs'!G" &amp; MATCH($F55,'App.2-M_Regulatory_Costs'!$B:$B,0))</f>
        <v>#N/A</v>
      </c>
      <c r="M55" t="e">
        <f ca="1">INDIRECT("'App.2-M_Regulatory_Costs'!H" &amp; MATCH($F55,'App.2-M_Regulatory_Costs'!$B:$B,0))</f>
        <v>#N/A</v>
      </c>
      <c r="N55" t="e">
        <f ca="1">INDIRECT("'App.2-M_Regulatory_Costs'!I" &amp; MATCH($F55,'App.2-M_Regulatory_Costs'!$B:$B,0))</f>
        <v>#N/A</v>
      </c>
      <c r="O55" t="e">
        <f ca="1">INDIRECT("'App.2-M_Regulatory_Costs'!J" &amp; MATCH($F55,'App.2-M_Regulatory_Costs'!$B:$B,0))</f>
        <v>#N/A</v>
      </c>
      <c r="P55" t="e">
        <f ca="1">INDIRECT("'App.2-M_Regulatory_Costs'!K" &amp; MATCH($F55,'App.2-M_Regulatory_Costs'!$B:$B,0))</f>
        <v>#N/A</v>
      </c>
    </row>
    <row r="56" spans="1:16" x14ac:dyDescent="0.2">
      <c r="A56" t="str">
        <f>'LDC Info'!$E$14</f>
        <v>Greater Sudbury Hydro Inc.</v>
      </c>
      <c r="B56" t="str">
        <f t="shared" si="0"/>
        <v>EB-2019-0037</v>
      </c>
      <c r="C56">
        <f t="shared" si="1"/>
        <v>2020</v>
      </c>
      <c r="D56">
        <f t="shared" si="2"/>
        <v>2019</v>
      </c>
      <c r="E56">
        <f t="shared" si="3"/>
        <v>2013</v>
      </c>
      <c r="F56">
        <f>'App.2-M_Regulatory_Costs'!B70</f>
        <v>0</v>
      </c>
      <c r="G56" s="9" t="s">
        <v>1117</v>
      </c>
      <c r="H56" t="e">
        <f ca="1">INDIRECT("'App.2-M_Regulatory_Costs'!C" &amp; MATCH(F56,'App.2-M_Regulatory_Costs'!$B:$B,0))</f>
        <v>#N/A</v>
      </c>
      <c r="I56" t="e">
        <f ca="1">INDIRECT("'App.2-M_Regulatory_Costs'!D" &amp; MATCH($F56,'App.2-M_Regulatory_Costs'!$B:$B,0))</f>
        <v>#N/A</v>
      </c>
      <c r="J56" t="e">
        <f ca="1">INDIRECT("'App.2-M_Regulatory_Costs'!E" &amp; MATCH($F56,'App.2-M_Regulatory_Costs'!$B:$B,0))</f>
        <v>#N/A</v>
      </c>
      <c r="K56" t="e">
        <f ca="1">INDIRECT("'App.2-M_Regulatory_Costs'!F" &amp; MATCH($F56,'App.2-M_Regulatory_Costs'!$B:$B,0))</f>
        <v>#N/A</v>
      </c>
      <c r="L56" t="e">
        <f ca="1">INDIRECT("'App.2-M_Regulatory_Costs'!G" &amp; MATCH($F56,'App.2-M_Regulatory_Costs'!$B:$B,0))</f>
        <v>#N/A</v>
      </c>
      <c r="M56" t="e">
        <f ca="1">INDIRECT("'App.2-M_Regulatory_Costs'!H" &amp; MATCH($F56,'App.2-M_Regulatory_Costs'!$B:$B,0))</f>
        <v>#N/A</v>
      </c>
      <c r="N56" t="e">
        <f ca="1">INDIRECT("'App.2-M_Regulatory_Costs'!I" &amp; MATCH($F56,'App.2-M_Regulatory_Costs'!$B:$B,0))</f>
        <v>#N/A</v>
      </c>
      <c r="O56" t="e">
        <f ca="1">INDIRECT("'App.2-M_Regulatory_Costs'!J" &amp; MATCH($F56,'App.2-M_Regulatory_Costs'!$B:$B,0))</f>
        <v>#N/A</v>
      </c>
      <c r="P56" t="e">
        <f ca="1">INDIRECT("'App.2-M_Regulatory_Costs'!K" &amp; MATCH($F56,'App.2-M_Regulatory_Costs'!$B:$B,0))</f>
        <v>#N/A</v>
      </c>
    </row>
    <row r="57" spans="1:16" x14ac:dyDescent="0.2">
      <c r="A57" t="str">
        <f>'LDC Info'!$E$14</f>
        <v>Greater Sudbury Hydro Inc.</v>
      </c>
      <c r="B57" t="str">
        <f t="shared" si="0"/>
        <v>EB-2019-0037</v>
      </c>
      <c r="C57">
        <f t="shared" si="1"/>
        <v>2020</v>
      </c>
      <c r="D57">
        <f t="shared" si="2"/>
        <v>2019</v>
      </c>
      <c r="E57">
        <f t="shared" si="3"/>
        <v>2013</v>
      </c>
      <c r="F57">
        <f>'App.2-M_Regulatory_Costs'!B71</f>
        <v>0</v>
      </c>
      <c r="G57" s="9" t="s">
        <v>1117</v>
      </c>
      <c r="H57" t="e">
        <f ca="1">INDIRECT("'App.2-M_Regulatory_Costs'!C" &amp; MATCH(F57,'App.2-M_Regulatory_Costs'!$B:$B,0))</f>
        <v>#N/A</v>
      </c>
      <c r="I57" t="e">
        <f ca="1">INDIRECT("'App.2-M_Regulatory_Costs'!D" &amp; MATCH($F57,'App.2-M_Regulatory_Costs'!$B:$B,0))</f>
        <v>#N/A</v>
      </c>
      <c r="J57" t="e">
        <f ca="1">INDIRECT("'App.2-M_Regulatory_Costs'!E" &amp; MATCH($F57,'App.2-M_Regulatory_Costs'!$B:$B,0))</f>
        <v>#N/A</v>
      </c>
      <c r="K57" t="e">
        <f ca="1">INDIRECT("'App.2-M_Regulatory_Costs'!F" &amp; MATCH($F57,'App.2-M_Regulatory_Costs'!$B:$B,0))</f>
        <v>#N/A</v>
      </c>
      <c r="L57" t="e">
        <f ca="1">INDIRECT("'App.2-M_Regulatory_Costs'!G" &amp; MATCH($F57,'App.2-M_Regulatory_Costs'!$B:$B,0))</f>
        <v>#N/A</v>
      </c>
      <c r="M57" t="e">
        <f ca="1">INDIRECT("'App.2-M_Regulatory_Costs'!H" &amp; MATCH($F57,'App.2-M_Regulatory_Costs'!$B:$B,0))</f>
        <v>#N/A</v>
      </c>
      <c r="N57" t="e">
        <f ca="1">INDIRECT("'App.2-M_Regulatory_Costs'!I" &amp; MATCH($F57,'App.2-M_Regulatory_Costs'!$B:$B,0))</f>
        <v>#N/A</v>
      </c>
      <c r="O57" t="e">
        <f ca="1">INDIRECT("'App.2-M_Regulatory_Costs'!J" &amp; MATCH($F57,'App.2-M_Regulatory_Costs'!$B:$B,0))</f>
        <v>#N/A</v>
      </c>
      <c r="P57" t="e">
        <f ca="1">INDIRECT("'App.2-M_Regulatory_Costs'!K" &amp; MATCH($F57,'App.2-M_Regulatory_Costs'!$B:$B,0))</f>
        <v>#N/A</v>
      </c>
    </row>
    <row r="58" spans="1:16" x14ac:dyDescent="0.2">
      <c r="A58" t="str">
        <f>'LDC Info'!$E$14</f>
        <v>Greater Sudbury Hydro Inc.</v>
      </c>
      <c r="B58" t="str">
        <f t="shared" si="0"/>
        <v>EB-2019-0037</v>
      </c>
      <c r="C58">
        <f t="shared" si="1"/>
        <v>2020</v>
      </c>
      <c r="D58">
        <f t="shared" si="2"/>
        <v>2019</v>
      </c>
      <c r="E58">
        <f t="shared" si="3"/>
        <v>2013</v>
      </c>
      <c r="F58">
        <f>'App.2-M_Regulatory_Costs'!B72</f>
        <v>0</v>
      </c>
      <c r="G58" s="9" t="s">
        <v>1117</v>
      </c>
      <c r="H58" t="e">
        <f ca="1">INDIRECT("'App.2-M_Regulatory_Costs'!C" &amp; MATCH(F58,'App.2-M_Regulatory_Costs'!$B:$B,0))</f>
        <v>#N/A</v>
      </c>
      <c r="I58" t="e">
        <f ca="1">INDIRECT("'App.2-M_Regulatory_Costs'!D" &amp; MATCH($F58,'App.2-M_Regulatory_Costs'!$B:$B,0))</f>
        <v>#N/A</v>
      </c>
      <c r="J58" t="e">
        <f ca="1">INDIRECT("'App.2-M_Regulatory_Costs'!E" &amp; MATCH($F58,'App.2-M_Regulatory_Costs'!$B:$B,0))</f>
        <v>#N/A</v>
      </c>
      <c r="K58" t="e">
        <f ca="1">INDIRECT("'App.2-M_Regulatory_Costs'!F" &amp; MATCH($F58,'App.2-M_Regulatory_Costs'!$B:$B,0))</f>
        <v>#N/A</v>
      </c>
      <c r="L58" t="e">
        <f ca="1">INDIRECT("'App.2-M_Regulatory_Costs'!G" &amp; MATCH($F58,'App.2-M_Regulatory_Costs'!$B:$B,0))</f>
        <v>#N/A</v>
      </c>
      <c r="M58" t="e">
        <f ca="1">INDIRECT("'App.2-M_Regulatory_Costs'!H" &amp; MATCH($F58,'App.2-M_Regulatory_Costs'!$B:$B,0))</f>
        <v>#N/A</v>
      </c>
      <c r="N58" t="e">
        <f ca="1">INDIRECT("'App.2-M_Regulatory_Costs'!I" &amp; MATCH($F58,'App.2-M_Regulatory_Costs'!$B:$B,0))</f>
        <v>#N/A</v>
      </c>
      <c r="O58" t="e">
        <f ca="1">INDIRECT("'App.2-M_Regulatory_Costs'!J" &amp; MATCH($F58,'App.2-M_Regulatory_Costs'!$B:$B,0))</f>
        <v>#N/A</v>
      </c>
      <c r="P58" t="e">
        <f ca="1">INDIRECT("'App.2-M_Regulatory_Costs'!K" &amp; MATCH($F58,'App.2-M_Regulatory_Costs'!$B:$B,0))</f>
        <v>#N/A</v>
      </c>
    </row>
    <row r="59" spans="1:16" x14ac:dyDescent="0.2">
      <c r="A59" t="str">
        <f>'LDC Info'!$E$14</f>
        <v>Greater Sudbury Hydro Inc.</v>
      </c>
      <c r="B59" t="str">
        <f t="shared" si="0"/>
        <v>EB-2019-0037</v>
      </c>
      <c r="C59">
        <f t="shared" si="1"/>
        <v>2020</v>
      </c>
      <c r="D59">
        <f t="shared" si="2"/>
        <v>2019</v>
      </c>
      <c r="E59">
        <f t="shared" si="3"/>
        <v>2013</v>
      </c>
      <c r="F59">
        <f>'App.2-M_Regulatory_Costs'!B73</f>
        <v>0</v>
      </c>
      <c r="G59" s="9" t="s">
        <v>1117</v>
      </c>
      <c r="H59" t="e">
        <f ca="1">INDIRECT("'App.2-M_Regulatory_Costs'!C" &amp; MATCH(F59,'App.2-M_Regulatory_Costs'!$B:$B,0))</f>
        <v>#N/A</v>
      </c>
      <c r="I59" t="e">
        <f ca="1">INDIRECT("'App.2-M_Regulatory_Costs'!D" &amp; MATCH($F59,'App.2-M_Regulatory_Costs'!$B:$B,0))</f>
        <v>#N/A</v>
      </c>
      <c r="J59" t="e">
        <f ca="1">INDIRECT("'App.2-M_Regulatory_Costs'!E" &amp; MATCH($F59,'App.2-M_Regulatory_Costs'!$B:$B,0))</f>
        <v>#N/A</v>
      </c>
      <c r="K59" t="e">
        <f ca="1">INDIRECT("'App.2-M_Regulatory_Costs'!F" &amp; MATCH($F59,'App.2-M_Regulatory_Costs'!$B:$B,0))</f>
        <v>#N/A</v>
      </c>
      <c r="L59" t="e">
        <f ca="1">INDIRECT("'App.2-M_Regulatory_Costs'!G" &amp; MATCH($F59,'App.2-M_Regulatory_Costs'!$B:$B,0))</f>
        <v>#N/A</v>
      </c>
      <c r="M59" t="e">
        <f ca="1">INDIRECT("'App.2-M_Regulatory_Costs'!H" &amp; MATCH($F59,'App.2-M_Regulatory_Costs'!$B:$B,0))</f>
        <v>#N/A</v>
      </c>
      <c r="N59" t="e">
        <f ca="1">INDIRECT("'App.2-M_Regulatory_Costs'!I" &amp; MATCH($F59,'App.2-M_Regulatory_Costs'!$B:$B,0))</f>
        <v>#N/A</v>
      </c>
      <c r="O59" t="e">
        <f ca="1">INDIRECT("'App.2-M_Regulatory_Costs'!J" &amp; MATCH($F59,'App.2-M_Regulatory_Costs'!$B:$B,0))</f>
        <v>#N/A</v>
      </c>
      <c r="P59" t="e">
        <f ca="1">INDIRECT("'App.2-M_Regulatory_Costs'!K" &amp; MATCH($F59,'App.2-M_Regulatory_Costs'!$B:$B,0))</f>
        <v>#N/A</v>
      </c>
    </row>
    <row r="60" spans="1:16" x14ac:dyDescent="0.2">
      <c r="A60" t="str">
        <f>'LDC Info'!$E$14</f>
        <v>Greater Sudbury Hydro Inc.</v>
      </c>
      <c r="B60" t="str">
        <f t="shared" si="0"/>
        <v>EB-2019-0037</v>
      </c>
      <c r="C60">
        <f t="shared" si="1"/>
        <v>2020</v>
      </c>
      <c r="D60">
        <f t="shared" si="2"/>
        <v>2019</v>
      </c>
      <c r="E60">
        <f t="shared" si="3"/>
        <v>2013</v>
      </c>
      <c r="F60">
        <f>'App.2-M_Regulatory_Costs'!B74</f>
        <v>0</v>
      </c>
      <c r="G60" s="9" t="s">
        <v>1117</v>
      </c>
      <c r="H60" t="e">
        <f ca="1">INDIRECT("'App.2-M_Regulatory_Costs'!C" &amp; MATCH(F60,'App.2-M_Regulatory_Costs'!$B:$B,0))</f>
        <v>#N/A</v>
      </c>
      <c r="I60" t="e">
        <f ca="1">INDIRECT("'App.2-M_Regulatory_Costs'!D" &amp; MATCH($F60,'App.2-M_Regulatory_Costs'!$B:$B,0))</f>
        <v>#N/A</v>
      </c>
      <c r="J60" t="e">
        <f ca="1">INDIRECT("'App.2-M_Regulatory_Costs'!E" &amp; MATCH($F60,'App.2-M_Regulatory_Costs'!$B:$B,0))</f>
        <v>#N/A</v>
      </c>
      <c r="K60" t="e">
        <f ca="1">INDIRECT("'App.2-M_Regulatory_Costs'!F" &amp; MATCH($F60,'App.2-M_Regulatory_Costs'!$B:$B,0))</f>
        <v>#N/A</v>
      </c>
      <c r="L60" t="e">
        <f ca="1">INDIRECT("'App.2-M_Regulatory_Costs'!G" &amp; MATCH($F60,'App.2-M_Regulatory_Costs'!$B:$B,0))</f>
        <v>#N/A</v>
      </c>
      <c r="M60" t="e">
        <f ca="1">INDIRECT("'App.2-M_Regulatory_Costs'!H" &amp; MATCH($F60,'App.2-M_Regulatory_Costs'!$B:$B,0))</f>
        <v>#N/A</v>
      </c>
      <c r="N60" t="e">
        <f ca="1">INDIRECT("'App.2-M_Regulatory_Costs'!I" &amp; MATCH($F60,'App.2-M_Regulatory_Costs'!$B:$B,0))</f>
        <v>#N/A</v>
      </c>
      <c r="O60" t="e">
        <f ca="1">INDIRECT("'App.2-M_Regulatory_Costs'!J" &amp; MATCH($F60,'App.2-M_Regulatory_Costs'!$B:$B,0))</f>
        <v>#N/A</v>
      </c>
      <c r="P60" t="e">
        <f ca="1">INDIRECT("'App.2-M_Regulatory_Costs'!K" &amp; MATCH($F60,'App.2-M_Regulatory_Costs'!$B:$B,0))</f>
        <v>#N/A</v>
      </c>
    </row>
    <row r="61" spans="1:16" x14ac:dyDescent="0.2">
      <c r="A61" t="str">
        <f>'LDC Info'!$E$14</f>
        <v>Greater Sudbury Hydro Inc.</v>
      </c>
      <c r="B61" t="str">
        <f t="shared" si="0"/>
        <v>EB-2019-0037</v>
      </c>
      <c r="C61">
        <f t="shared" si="1"/>
        <v>2020</v>
      </c>
      <c r="D61">
        <f t="shared" si="2"/>
        <v>2019</v>
      </c>
      <c r="E61">
        <f t="shared" si="3"/>
        <v>2013</v>
      </c>
      <c r="F61">
        <f>'App.2-M_Regulatory_Costs'!B75</f>
        <v>0</v>
      </c>
      <c r="G61" s="9" t="s">
        <v>1117</v>
      </c>
      <c r="H61" t="e">
        <f ca="1">INDIRECT("'App.2-M_Regulatory_Costs'!C" &amp; MATCH(F61,'App.2-M_Regulatory_Costs'!$B:$B,0))</f>
        <v>#N/A</v>
      </c>
      <c r="I61" t="e">
        <f ca="1">INDIRECT("'App.2-M_Regulatory_Costs'!D" &amp; MATCH($F61,'App.2-M_Regulatory_Costs'!$B:$B,0))</f>
        <v>#N/A</v>
      </c>
      <c r="J61" t="e">
        <f ca="1">INDIRECT("'App.2-M_Regulatory_Costs'!E" &amp; MATCH($F61,'App.2-M_Regulatory_Costs'!$B:$B,0))</f>
        <v>#N/A</v>
      </c>
      <c r="K61" t="e">
        <f ca="1">INDIRECT("'App.2-M_Regulatory_Costs'!F" &amp; MATCH($F61,'App.2-M_Regulatory_Costs'!$B:$B,0))</f>
        <v>#N/A</v>
      </c>
      <c r="L61" t="e">
        <f ca="1">INDIRECT("'App.2-M_Regulatory_Costs'!G" &amp; MATCH($F61,'App.2-M_Regulatory_Costs'!$B:$B,0))</f>
        <v>#N/A</v>
      </c>
      <c r="M61" t="e">
        <f ca="1">INDIRECT("'App.2-M_Regulatory_Costs'!H" &amp; MATCH($F61,'App.2-M_Regulatory_Costs'!$B:$B,0))</f>
        <v>#N/A</v>
      </c>
      <c r="N61" t="e">
        <f ca="1">INDIRECT("'App.2-M_Regulatory_Costs'!I" &amp; MATCH($F61,'App.2-M_Regulatory_Costs'!$B:$B,0))</f>
        <v>#N/A</v>
      </c>
      <c r="O61" t="e">
        <f ca="1">INDIRECT("'App.2-M_Regulatory_Costs'!J" &amp; MATCH($F61,'App.2-M_Regulatory_Costs'!$B:$B,0))</f>
        <v>#N/A</v>
      </c>
      <c r="P61" t="e">
        <f ca="1">INDIRECT("'App.2-M_Regulatory_Costs'!K" &amp; MATCH($F61,'App.2-M_Regulatory_Costs'!$B:$B,0))</f>
        <v>#N/A</v>
      </c>
    </row>
    <row r="62" spans="1:16" x14ac:dyDescent="0.2">
      <c r="A62" t="str">
        <f>'LDC Info'!$E$14</f>
        <v>Greater Sudbury Hydro Inc.</v>
      </c>
      <c r="B62" t="str">
        <f t="shared" si="0"/>
        <v>EB-2019-0037</v>
      </c>
      <c r="C62">
        <f t="shared" si="1"/>
        <v>2020</v>
      </c>
      <c r="D62">
        <f t="shared" si="2"/>
        <v>2019</v>
      </c>
      <c r="E62">
        <f t="shared" si="3"/>
        <v>2013</v>
      </c>
      <c r="F62">
        <f>'App.2-M_Regulatory_Costs'!B76</f>
        <v>0</v>
      </c>
      <c r="G62" s="9" t="s">
        <v>1117</v>
      </c>
      <c r="H62" t="e">
        <f ca="1">INDIRECT("'App.2-M_Regulatory_Costs'!C" &amp; MATCH(F62,'App.2-M_Regulatory_Costs'!$B:$B,0))</f>
        <v>#N/A</v>
      </c>
      <c r="I62" t="e">
        <f ca="1">INDIRECT("'App.2-M_Regulatory_Costs'!D" &amp; MATCH($F62,'App.2-M_Regulatory_Costs'!$B:$B,0))</f>
        <v>#N/A</v>
      </c>
      <c r="J62" t="e">
        <f ca="1">INDIRECT("'App.2-M_Regulatory_Costs'!E" &amp; MATCH($F62,'App.2-M_Regulatory_Costs'!$B:$B,0))</f>
        <v>#N/A</v>
      </c>
      <c r="K62" t="e">
        <f ca="1">INDIRECT("'App.2-M_Regulatory_Costs'!F" &amp; MATCH($F62,'App.2-M_Regulatory_Costs'!$B:$B,0))</f>
        <v>#N/A</v>
      </c>
      <c r="L62" t="e">
        <f ca="1">INDIRECT("'App.2-M_Regulatory_Costs'!G" &amp; MATCH($F62,'App.2-M_Regulatory_Costs'!$B:$B,0))</f>
        <v>#N/A</v>
      </c>
      <c r="M62" t="e">
        <f ca="1">INDIRECT("'App.2-M_Regulatory_Costs'!H" &amp; MATCH($F62,'App.2-M_Regulatory_Costs'!$B:$B,0))</f>
        <v>#N/A</v>
      </c>
      <c r="N62" t="e">
        <f ca="1">INDIRECT("'App.2-M_Regulatory_Costs'!I" &amp; MATCH($F62,'App.2-M_Regulatory_Costs'!$B:$B,0))</f>
        <v>#N/A</v>
      </c>
      <c r="O62" t="e">
        <f ca="1">INDIRECT("'App.2-M_Regulatory_Costs'!J" &amp; MATCH($F62,'App.2-M_Regulatory_Costs'!$B:$B,0))</f>
        <v>#N/A</v>
      </c>
      <c r="P62" t="e">
        <f ca="1">INDIRECT("'App.2-M_Regulatory_Costs'!K" &amp; MATCH($F62,'App.2-M_Regulatory_Costs'!$B:$B,0))</f>
        <v>#N/A</v>
      </c>
    </row>
    <row r="63" spans="1:16" x14ac:dyDescent="0.2">
      <c r="A63" t="str">
        <f>'LDC Info'!$E$14</f>
        <v>Greater Sudbury Hydro Inc.</v>
      </c>
      <c r="B63" t="str">
        <f t="shared" si="0"/>
        <v>EB-2019-0037</v>
      </c>
      <c r="C63">
        <f t="shared" si="1"/>
        <v>2020</v>
      </c>
      <c r="D63">
        <f t="shared" si="2"/>
        <v>2019</v>
      </c>
      <c r="E63">
        <f t="shared" si="3"/>
        <v>2013</v>
      </c>
      <c r="F63" t="str">
        <f>'App.2-M_Regulatory_Costs'!B77</f>
        <v>Sub-total - Ongoing Costs 2</v>
      </c>
      <c r="G63" s="9" t="s">
        <v>1117</v>
      </c>
      <c r="H63">
        <f ca="1">INDIRECT("'App.2-M_Regulatory_Costs'!C" &amp; MATCH(F63,'App.2-M_Regulatory_Costs'!$B:$B,0))</f>
        <v>0</v>
      </c>
      <c r="I63">
        <f ca="1">INDIRECT("'App.2-M_Regulatory_Costs'!D" &amp; MATCH($F63,'App.2-M_Regulatory_Costs'!$B:$B,0))</f>
        <v>0</v>
      </c>
      <c r="J63">
        <f ca="1">INDIRECT("'App.2-M_Regulatory_Costs'!E" &amp; MATCH($F63,'App.2-M_Regulatory_Costs'!$B:$B,0))</f>
        <v>374339</v>
      </c>
      <c r="K63">
        <f ca="1">INDIRECT("'App.2-M_Regulatory_Costs'!F" &amp; MATCH($F63,'App.2-M_Regulatory_Costs'!$B:$B,0))</f>
        <v>350861.64</v>
      </c>
      <c r="L63">
        <f ca="1">INDIRECT("'App.2-M_Regulatory_Costs'!G" &amp; MATCH($F63,'App.2-M_Regulatory_Costs'!$B:$B,0))</f>
        <v>538919.77000000014</v>
      </c>
      <c r="M63">
        <f ca="1">INDIRECT("'App.2-M_Regulatory_Costs'!H" &amp; MATCH($F63,'App.2-M_Regulatory_Costs'!$B:$B,0))</f>
        <v>528670.46</v>
      </c>
      <c r="N63">
        <f ca="1">INDIRECT("'App.2-M_Regulatory_Costs'!I" &amp; MATCH($F63,'App.2-M_Regulatory_Costs'!$B:$B,0))</f>
        <v>-1.9018248300670376E-2</v>
      </c>
      <c r="O63">
        <f ca="1">INDIRECT("'App.2-M_Regulatory_Costs'!J" &amp; MATCH($F63,'App.2-M_Regulatory_Costs'!$B:$B,0))</f>
        <v>607576</v>
      </c>
      <c r="P63">
        <f ca="1">INDIRECT("'App.2-M_Regulatory_Costs'!K" &amp; MATCH($F63,'App.2-M_Regulatory_Costs'!$B:$B,0))</f>
        <v>0.14925278783308613</v>
      </c>
    </row>
    <row r="64" spans="1:16" x14ac:dyDescent="0.2">
      <c r="A64" t="str">
        <f>'LDC Info'!$E$14</f>
        <v>Greater Sudbury Hydro Inc.</v>
      </c>
      <c r="B64" t="str">
        <f t="shared" si="0"/>
        <v>EB-2019-0037</v>
      </c>
      <c r="C64">
        <f t="shared" si="1"/>
        <v>2020</v>
      </c>
      <c r="D64">
        <f t="shared" si="2"/>
        <v>2019</v>
      </c>
      <c r="E64">
        <f t="shared" si="3"/>
        <v>2013</v>
      </c>
      <c r="F64" t="str">
        <f>'App.2-M_Regulatory_Costs'!B78</f>
        <v>Sub-total - One-time Costs 3</v>
      </c>
      <c r="G64" s="9" t="s">
        <v>1117</v>
      </c>
      <c r="H64">
        <f ca="1">INDIRECT("'App.2-M_Regulatory_Costs'!C" &amp; MATCH(F64,'App.2-M_Regulatory_Costs'!$B:$B,0))</f>
        <v>0</v>
      </c>
      <c r="I64">
        <f ca="1">INDIRECT("'App.2-M_Regulatory_Costs'!D" &amp; MATCH($F64,'App.2-M_Regulatory_Costs'!$B:$B,0))</f>
        <v>0</v>
      </c>
      <c r="J64">
        <f ca="1">INDIRECT("'App.2-M_Regulatory_Costs'!E" &amp; MATCH($F64,'App.2-M_Regulatory_Costs'!$B:$B,0))</f>
        <v>388000</v>
      </c>
      <c r="K64">
        <f ca="1">INDIRECT("'App.2-M_Regulatory_Costs'!F" &amp; MATCH($F64,'App.2-M_Regulatory_Costs'!$B:$B,0))</f>
        <v>217218.71</v>
      </c>
      <c r="L64">
        <f ca="1">INDIRECT("'App.2-M_Regulatory_Costs'!G" &amp; MATCH($F64,'App.2-M_Regulatory_Costs'!$B:$B,0))</f>
        <v>0</v>
      </c>
      <c r="M64">
        <f ca="1">INDIRECT("'App.2-M_Regulatory_Costs'!H" &amp; MATCH($F64,'App.2-M_Regulatory_Costs'!$B:$B,0))</f>
        <v>0</v>
      </c>
      <c r="N64" t="str">
        <f ca="1">INDIRECT("'App.2-M_Regulatory_Costs'!I" &amp; MATCH($F64,'App.2-M_Regulatory_Costs'!$B:$B,0))</f>
        <v/>
      </c>
      <c r="O64">
        <f ca="1">INDIRECT("'App.2-M_Regulatory_Costs'!J" &amp; MATCH($F64,'App.2-M_Regulatory_Costs'!$B:$B,0))</f>
        <v>450000</v>
      </c>
      <c r="P64" t="str">
        <f ca="1">INDIRECT("'App.2-M_Regulatory_Costs'!K" &amp; MATCH($F64,'App.2-M_Regulatory_Costs'!$B:$B,0))</f>
        <v/>
      </c>
    </row>
    <row r="65" spans="1:16" x14ac:dyDescent="0.2">
      <c r="A65" t="str">
        <f>'LDC Info'!$E$14</f>
        <v>Greater Sudbury Hydro Inc.</v>
      </c>
      <c r="B65" t="str">
        <f t="shared" si="0"/>
        <v>EB-2019-0037</v>
      </c>
      <c r="C65">
        <f t="shared" si="1"/>
        <v>2020</v>
      </c>
      <c r="D65">
        <f t="shared" si="2"/>
        <v>2019</v>
      </c>
      <c r="E65">
        <f t="shared" si="3"/>
        <v>2013</v>
      </c>
      <c r="F65" t="str">
        <f>'App.2-M_Regulatory_Costs'!B79</f>
        <v>Total</v>
      </c>
      <c r="G65" s="9" t="s">
        <v>1117</v>
      </c>
      <c r="H65">
        <f ca="1">INDIRECT("'App.2-M_Regulatory_Costs'!C" &amp; MATCH(F65,'App.2-M_Regulatory_Costs'!$B:$B,0))</f>
        <v>0</v>
      </c>
      <c r="I65">
        <f ca="1">INDIRECT("'App.2-M_Regulatory_Costs'!D" &amp; MATCH($F65,'App.2-M_Regulatory_Costs'!$B:$B,0))</f>
        <v>0</v>
      </c>
      <c r="J65">
        <f ca="1">INDIRECT("'App.2-M_Regulatory_Costs'!E" &amp; MATCH($F65,'App.2-M_Regulatory_Costs'!$B:$B,0))</f>
        <v>762339</v>
      </c>
      <c r="K65">
        <f ca="1">INDIRECT("'App.2-M_Regulatory_Costs'!F" &amp; MATCH($F65,'App.2-M_Regulatory_Costs'!$B:$B,0))</f>
        <v>568080.35</v>
      </c>
      <c r="L65">
        <f ca="1">INDIRECT("'App.2-M_Regulatory_Costs'!G" &amp; MATCH($F65,'App.2-M_Regulatory_Costs'!$B:$B,0))</f>
        <v>538919.77000000014</v>
      </c>
      <c r="M65">
        <f ca="1">INDIRECT("'App.2-M_Regulatory_Costs'!H" &amp; MATCH($F65,'App.2-M_Regulatory_Costs'!$B:$B,0))</f>
        <v>528670.46</v>
      </c>
      <c r="N65">
        <f ca="1">INDIRECT("'App.2-M_Regulatory_Costs'!I" &amp; MATCH($F65,'App.2-M_Regulatory_Costs'!$B:$B,0))</f>
        <v>-1.9018248300670376E-2</v>
      </c>
      <c r="O65">
        <f ca="1">INDIRECT("'App.2-M_Regulatory_Costs'!J" &amp; MATCH($F65,'App.2-M_Regulatory_Costs'!$B:$B,0))</f>
        <v>697576</v>
      </c>
      <c r="P65">
        <f ca="1">INDIRECT("'App.2-M_Regulatory_Costs'!K" &amp; MATCH($F65,'App.2-M_Regulatory_Costs'!$B:$B,0))</f>
        <v>0.31949116279354828</v>
      </c>
    </row>
  </sheetData>
  <sheetProtection algorithmName="SHA-512" hashValue="ifH6qq4dbBVcmfVK5P7YQDQqpWLSsmytGDDMzxZU63Um2DHb1MaMosrq72GiqE+jp9cilwhvbq5fXxOVCIFK/w==" saltValue="IETUfpPrec5KKNZHh4IlHQ==" spinCount="100000" sheet="1" objects="1" scenarios="1"/>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tabColor theme="7" tint="0.39997558519241921"/>
  </sheetPr>
  <dimension ref="A1:F2"/>
  <sheetViews>
    <sheetView workbookViewId="0"/>
  </sheetViews>
  <sheetFormatPr defaultRowHeight="12.75" x14ac:dyDescent="0.2"/>
  <cols>
    <col min="1" max="1" width="10.28515625" bestFit="1" customWidth="1"/>
    <col min="2" max="2" width="8.7109375" bestFit="1" customWidth="1"/>
    <col min="3" max="3" width="10.7109375" bestFit="1" customWidth="1"/>
    <col min="4" max="4" width="17" bestFit="1" customWidth="1"/>
    <col min="5" max="5" width="18.7109375" bestFit="1" customWidth="1"/>
    <col min="6" max="6" width="15.85546875" bestFit="1" customWidth="1"/>
  </cols>
  <sheetData>
    <row r="1" spans="1:6" x14ac:dyDescent="0.2">
      <c r="A1" t="s">
        <v>1082</v>
      </c>
      <c r="B1" t="s">
        <v>277</v>
      </c>
      <c r="C1" t="s">
        <v>276</v>
      </c>
      <c r="D1" t="s">
        <v>275</v>
      </c>
      <c r="E1" s="9" t="s">
        <v>1121</v>
      </c>
      <c r="F1" s="9" t="s">
        <v>1122</v>
      </c>
    </row>
    <row r="2" spans="1:6" x14ac:dyDescent="0.2">
      <c r="A2" t="str">
        <f>EBNUMBER</f>
        <v>EB-2019-0037</v>
      </c>
      <c r="B2">
        <f>TestYear</f>
        <v>2020</v>
      </c>
      <c r="C2">
        <f>BridgeYear</f>
        <v>2019</v>
      </c>
      <c r="D2">
        <f>RebaseYear</f>
        <v>2013</v>
      </c>
      <c r="E2">
        <f>'App.2-M_Regulatory_Costs'!C82</f>
        <v>450000</v>
      </c>
      <c r="F2">
        <f>'App.2-M_Regulatory_Costs'!C83</f>
        <v>90000</v>
      </c>
    </row>
  </sheetData>
  <sheetProtection algorithmName="SHA-512" hashValue="WxN83vAlQop+oQcRvJXIoE+jN2HMFr3eiyGwYjR7MkdGNAs9a/R7baR2mNRWWc/EifFN+u0Z0hkYKinqLBKlPg==" saltValue="0xVTf++qnK+eQaoTbxGsDg==" spinCount="100000" sheet="1" objects="1" scenarios="1"/>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4">
    <tabColor theme="7" tint="0.39997558519241921"/>
    <pageSetUpPr fitToPage="1"/>
  </sheetPr>
  <dimension ref="B1:M343"/>
  <sheetViews>
    <sheetView showGridLines="0" view="pageBreakPreview" zoomScale="80" zoomScaleNormal="80" zoomScaleSheetLayoutView="80" workbookViewId="0"/>
  </sheetViews>
  <sheetFormatPr defaultColWidth="9.28515625" defaultRowHeight="12.75" x14ac:dyDescent="0.2"/>
  <cols>
    <col min="1" max="1" width="2.7109375" style="27" customWidth="1"/>
    <col min="2" max="2" width="12.7109375" style="27" customWidth="1"/>
    <col min="3" max="3" width="14.7109375" style="27" customWidth="1"/>
    <col min="4" max="4" width="18" style="27" customWidth="1"/>
    <col min="5" max="5" width="43.85546875" style="27" customWidth="1"/>
    <col min="6" max="6" width="12.5703125" style="27" customWidth="1"/>
    <col min="7" max="7" width="13.7109375" style="27" customWidth="1"/>
    <col min="8" max="8" width="11.7109375" style="27" customWidth="1"/>
    <col min="9" max="9" width="11.28515625" style="27" bestFit="1" customWidth="1"/>
    <col min="10" max="10" width="13.7109375" style="27" bestFit="1" customWidth="1"/>
    <col min="11" max="11" width="12.7109375" style="27" customWidth="1"/>
    <col min="12" max="12" width="13.140625" style="27" customWidth="1"/>
    <col min="13" max="13" width="9.28515625" style="27" bestFit="1" customWidth="1"/>
    <col min="14" max="14" width="11.7109375" style="27" customWidth="1"/>
    <col min="15" max="16384" width="9.28515625" style="27"/>
  </cols>
  <sheetData>
    <row r="1" spans="2:10" x14ac:dyDescent="0.2">
      <c r="H1" s="208" t="s">
        <v>264</v>
      </c>
      <c r="I1" s="875" t="str">
        <f>EBNUMBER</f>
        <v>EB-2019-0037</v>
      </c>
    </row>
    <row r="2" spans="2:10" x14ac:dyDescent="0.2">
      <c r="H2" s="208" t="s">
        <v>265</v>
      </c>
      <c r="I2" s="41"/>
    </row>
    <row r="3" spans="2:10" x14ac:dyDescent="0.2">
      <c r="H3" s="208" t="s">
        <v>266</v>
      </c>
      <c r="I3" s="41"/>
    </row>
    <row r="4" spans="2:10" x14ac:dyDescent="0.2">
      <c r="H4" s="208" t="s">
        <v>267</v>
      </c>
      <c r="I4" s="41"/>
    </row>
    <row r="5" spans="2:10" x14ac:dyDescent="0.2">
      <c r="H5" s="208" t="s">
        <v>268</v>
      </c>
      <c r="I5" s="42"/>
    </row>
    <row r="6" spans="2:10" x14ac:dyDescent="0.2">
      <c r="H6" s="208"/>
      <c r="I6" s="40"/>
    </row>
    <row r="7" spans="2:10" x14ac:dyDescent="0.2">
      <c r="H7" s="208" t="s">
        <v>269</v>
      </c>
      <c r="I7" s="1448"/>
    </row>
    <row r="9" spans="2:10" ht="18" x14ac:dyDescent="0.25">
      <c r="B9" s="1906" t="s">
        <v>28</v>
      </c>
      <c r="C9" s="1906"/>
      <c r="D9" s="1906"/>
      <c r="E9" s="1906"/>
      <c r="F9" s="1906"/>
      <c r="G9" s="1906"/>
      <c r="H9" s="1906"/>
      <c r="I9" s="43"/>
    </row>
    <row r="10" spans="2:10" ht="21" x14ac:dyDescent="0.25">
      <c r="B10" s="1906" t="s">
        <v>876</v>
      </c>
      <c r="C10" s="1906"/>
      <c r="D10" s="1906"/>
      <c r="E10" s="1906"/>
      <c r="F10" s="1906"/>
      <c r="G10" s="1906"/>
      <c r="H10" s="1906"/>
      <c r="I10" s="43"/>
    </row>
    <row r="12" spans="2:10" x14ac:dyDescent="0.2">
      <c r="C12" s="189" t="s">
        <v>21</v>
      </c>
      <c r="D12" s="1825" t="s">
        <v>1563</v>
      </c>
    </row>
    <row r="13" spans="2:10" x14ac:dyDescent="0.2">
      <c r="D13" s="189"/>
      <c r="E13" s="255"/>
      <c r="F13" s="255"/>
    </row>
    <row r="14" spans="2:10" ht="15.75" x14ac:dyDescent="0.25">
      <c r="B14" s="2274" t="s">
        <v>211</v>
      </c>
      <c r="C14" s="2274"/>
      <c r="D14" s="2274"/>
      <c r="E14" s="2274"/>
      <c r="F14" s="2274"/>
      <c r="G14" s="2274"/>
      <c r="H14" s="2274"/>
    </row>
    <row r="15" spans="2:10" ht="13.5" thickBot="1" x14ac:dyDescent="0.25"/>
    <row r="16" spans="2:10" ht="13.5" customHeight="1" x14ac:dyDescent="0.2">
      <c r="B16" s="2259" t="s">
        <v>153</v>
      </c>
      <c r="C16" s="2260"/>
      <c r="D16" s="2261" t="s">
        <v>156</v>
      </c>
      <c r="E16" s="2261" t="s">
        <v>513</v>
      </c>
      <c r="F16" s="2261" t="s">
        <v>1762</v>
      </c>
      <c r="G16" s="2264" t="s">
        <v>157</v>
      </c>
      <c r="H16" s="2266" t="s">
        <v>1759</v>
      </c>
      <c r="I16" s="2268"/>
      <c r="J16" s="62"/>
    </row>
    <row r="17" spans="2:9" ht="28.15" customHeight="1" x14ac:dyDescent="0.2">
      <c r="B17" s="2269" t="s">
        <v>154</v>
      </c>
      <c r="C17" s="2271" t="s">
        <v>155</v>
      </c>
      <c r="D17" s="2262"/>
      <c r="E17" s="2262"/>
      <c r="F17" s="2262"/>
      <c r="G17" s="2265"/>
      <c r="H17" s="2267"/>
      <c r="I17" s="2268"/>
    </row>
    <row r="18" spans="2:9" x14ac:dyDescent="0.2">
      <c r="B18" s="2270"/>
      <c r="C18" s="2272"/>
      <c r="D18" s="2263"/>
      <c r="E18" s="2263"/>
      <c r="F18" s="2273"/>
      <c r="G18" s="256" t="s">
        <v>148</v>
      </c>
      <c r="H18" s="256" t="s">
        <v>148</v>
      </c>
      <c r="I18" s="257"/>
    </row>
    <row r="19" spans="2:9" ht="38.25" x14ac:dyDescent="0.2">
      <c r="B19" s="1822" t="s">
        <v>1457</v>
      </c>
      <c r="C19" s="1822" t="s">
        <v>1458</v>
      </c>
      <c r="D19" s="1585" t="s">
        <v>1773</v>
      </c>
      <c r="E19" s="1649" t="s">
        <v>1745</v>
      </c>
      <c r="F19" s="1819">
        <f t="shared" ref="F19:F30" si="0">G19/H19</f>
        <v>0.83427335850008089</v>
      </c>
      <c r="G19" s="1650">
        <v>748947.53533456009</v>
      </c>
      <c r="H19" s="1650">
        <v>897724.38218700164</v>
      </c>
      <c r="I19" s="258"/>
    </row>
    <row r="20" spans="2:9" ht="25.5" x14ac:dyDescent="0.2">
      <c r="B20" s="1822" t="s">
        <v>1457</v>
      </c>
      <c r="C20" s="1822" t="s">
        <v>1458</v>
      </c>
      <c r="D20" s="1585" t="s">
        <v>1774</v>
      </c>
      <c r="E20" s="1649" t="s">
        <v>1775</v>
      </c>
      <c r="F20" s="1819">
        <f t="shared" si="0"/>
        <v>1</v>
      </c>
      <c r="G20" s="1650">
        <v>144339.3845379983</v>
      </c>
      <c r="H20" s="1650">
        <v>144339.3845379983</v>
      </c>
      <c r="I20" s="258"/>
    </row>
    <row r="21" spans="2:9" ht="51" x14ac:dyDescent="0.2">
      <c r="B21" s="1822" t="s">
        <v>1457</v>
      </c>
      <c r="C21" s="1822" t="s">
        <v>1458</v>
      </c>
      <c r="D21" s="1649" t="s">
        <v>1768</v>
      </c>
      <c r="E21" s="1649" t="s">
        <v>1769</v>
      </c>
      <c r="F21" s="1819">
        <f t="shared" si="0"/>
        <v>0.8586962665379716</v>
      </c>
      <c r="G21" s="1650">
        <v>288060.40682477527</v>
      </c>
      <c r="H21" s="1650">
        <v>335462.51224097668</v>
      </c>
      <c r="I21" s="258"/>
    </row>
    <row r="22" spans="2:9" ht="25.5" x14ac:dyDescent="0.2">
      <c r="B22" s="1822" t="s">
        <v>1457</v>
      </c>
      <c r="C22" s="1822" t="s">
        <v>1458</v>
      </c>
      <c r="D22" s="1649" t="s">
        <v>1767</v>
      </c>
      <c r="E22" s="1649" t="s">
        <v>1771</v>
      </c>
      <c r="F22" s="1819">
        <f t="shared" si="0"/>
        <v>0.86520155685526301</v>
      </c>
      <c r="G22" s="1650">
        <v>244313.57477251292</v>
      </c>
      <c r="H22" s="1650">
        <v>282377.64118284336</v>
      </c>
      <c r="I22" s="258"/>
    </row>
    <row r="23" spans="2:9" ht="38.25" x14ac:dyDescent="0.2">
      <c r="B23" s="1822" t="s">
        <v>1457</v>
      </c>
      <c r="C23" s="1822" t="s">
        <v>1458</v>
      </c>
      <c r="D23" s="1649" t="s">
        <v>1765</v>
      </c>
      <c r="E23" s="1649" t="s">
        <v>1770</v>
      </c>
      <c r="F23" s="1819">
        <f t="shared" si="0"/>
        <v>1</v>
      </c>
      <c r="G23" s="1650">
        <v>155841.97220478253</v>
      </c>
      <c r="H23" s="1650">
        <v>155841.97220478253</v>
      </c>
      <c r="I23" s="258"/>
    </row>
    <row r="24" spans="2:9" ht="25.5" x14ac:dyDescent="0.2">
      <c r="B24" s="1822" t="s">
        <v>1457</v>
      </c>
      <c r="C24" s="1822" t="s">
        <v>1458</v>
      </c>
      <c r="D24" s="1649" t="s">
        <v>1766</v>
      </c>
      <c r="E24" s="1649" t="s">
        <v>1174</v>
      </c>
      <c r="F24" s="1819">
        <f t="shared" si="0"/>
        <v>0.79035856770046875</v>
      </c>
      <c r="G24" s="1650">
        <v>214766.63903790797</v>
      </c>
      <c r="H24" s="1650">
        <v>271733.17</v>
      </c>
      <c r="I24" s="258"/>
    </row>
    <row r="25" spans="2:9" ht="102" customHeight="1" x14ac:dyDescent="0.2">
      <c r="B25" s="1822" t="s">
        <v>1457</v>
      </c>
      <c r="C25" s="1822" t="s">
        <v>1458</v>
      </c>
      <c r="D25" s="1649" t="s">
        <v>1743</v>
      </c>
      <c r="E25" s="1649" t="s">
        <v>1747</v>
      </c>
      <c r="F25" s="1819">
        <f t="shared" si="0"/>
        <v>0.32824500201315437</v>
      </c>
      <c r="G25" s="1650">
        <v>316896</v>
      </c>
      <c r="H25" s="1650">
        <v>965425.21000000008</v>
      </c>
      <c r="I25" s="258"/>
    </row>
    <row r="26" spans="2:9" ht="81" customHeight="1" x14ac:dyDescent="0.2">
      <c r="B26" s="1822" t="s">
        <v>1457</v>
      </c>
      <c r="C26" s="1822" t="s">
        <v>1458</v>
      </c>
      <c r="D26" s="1649" t="s">
        <v>1772</v>
      </c>
      <c r="E26" s="1649" t="s">
        <v>1751</v>
      </c>
      <c r="F26" s="1819">
        <f t="shared" si="0"/>
        <v>0.77328580468087194</v>
      </c>
      <c r="G26" s="1650">
        <v>773455.63727277715</v>
      </c>
      <c r="H26" s="1650">
        <v>1000219.6246082331</v>
      </c>
      <c r="I26" s="258"/>
    </row>
    <row r="27" spans="2:9" ht="63.75" x14ac:dyDescent="0.2">
      <c r="B27" s="1822" t="s">
        <v>1457</v>
      </c>
      <c r="C27" s="1822" t="s">
        <v>1458</v>
      </c>
      <c r="D27" s="1649" t="s">
        <v>1744</v>
      </c>
      <c r="E27" s="1649" t="s">
        <v>1748</v>
      </c>
      <c r="F27" s="1819">
        <f t="shared" si="0"/>
        <v>0.60547557164059296</v>
      </c>
      <c r="G27" s="1650">
        <v>1571800.6535248382</v>
      </c>
      <c r="H27" s="1650">
        <v>2595976.992541411</v>
      </c>
      <c r="I27" s="258"/>
    </row>
    <row r="28" spans="2:9" ht="42.6" customHeight="1" x14ac:dyDescent="0.2">
      <c r="B28" s="1822" t="s">
        <v>1457</v>
      </c>
      <c r="C28" s="1822" t="s">
        <v>1458</v>
      </c>
      <c r="D28" s="1585" t="s">
        <v>1746</v>
      </c>
      <c r="E28" s="1649" t="s">
        <v>1749</v>
      </c>
      <c r="F28" s="1819">
        <f t="shared" si="0"/>
        <v>0.5</v>
      </c>
      <c r="G28" s="1650">
        <v>29400</v>
      </c>
      <c r="H28" s="1650">
        <v>58800</v>
      </c>
      <c r="I28" s="258"/>
    </row>
    <row r="29" spans="2:9" ht="25.5" x14ac:dyDescent="0.2">
      <c r="B29" s="1822" t="s">
        <v>1457</v>
      </c>
      <c r="C29" s="1822" t="s">
        <v>1458</v>
      </c>
      <c r="D29" s="1585" t="s">
        <v>1508</v>
      </c>
      <c r="E29" s="1649" t="s">
        <v>1595</v>
      </c>
      <c r="F29" s="1819">
        <f t="shared" si="0"/>
        <v>0.5</v>
      </c>
      <c r="G29" s="1650">
        <v>44200</v>
      </c>
      <c r="H29" s="1650">
        <v>88400</v>
      </c>
      <c r="I29" s="258"/>
    </row>
    <row r="30" spans="2:9" ht="25.5" x14ac:dyDescent="0.2">
      <c r="B30" s="1692" t="s">
        <v>1457</v>
      </c>
      <c r="C30" s="1692" t="s">
        <v>1458</v>
      </c>
      <c r="D30" s="1585" t="s">
        <v>1757</v>
      </c>
      <c r="E30" s="1585" t="s">
        <v>1758</v>
      </c>
      <c r="F30" s="1819">
        <f t="shared" si="0"/>
        <v>0.82705193720095105</v>
      </c>
      <c r="G30" s="1650">
        <v>568175</v>
      </c>
      <c r="H30" s="1650">
        <v>686988.29474109435</v>
      </c>
      <c r="I30" s="258"/>
    </row>
    <row r="31" spans="2:9" ht="26.45" customHeight="1" x14ac:dyDescent="0.2">
      <c r="B31" s="1692" t="s">
        <v>1458</v>
      </c>
      <c r="C31" s="1692" t="s">
        <v>1457</v>
      </c>
      <c r="D31" s="1592" t="s">
        <v>1459</v>
      </c>
      <c r="E31" s="1585" t="s">
        <v>1564</v>
      </c>
      <c r="F31" s="1819">
        <f>G31/(G31+H31)</f>
        <v>0.11842176355170553</v>
      </c>
      <c r="G31" s="1650">
        <v>160000</v>
      </c>
      <c r="H31" s="1650">
        <v>1191103</v>
      </c>
      <c r="I31" s="258"/>
    </row>
    <row r="32" spans="2:9" ht="26.45" customHeight="1" x14ac:dyDescent="0.2">
      <c r="B32" s="1692" t="s">
        <v>1458</v>
      </c>
      <c r="C32" s="1692" t="s">
        <v>1457</v>
      </c>
      <c r="D32" s="1692" t="s">
        <v>1565</v>
      </c>
      <c r="E32" s="1692" t="s">
        <v>1566</v>
      </c>
      <c r="F32" s="1819">
        <v>1</v>
      </c>
      <c r="G32" s="1650">
        <v>680000</v>
      </c>
      <c r="H32" s="1650">
        <v>680000</v>
      </c>
      <c r="I32" s="258"/>
    </row>
    <row r="33" spans="2:9" ht="26.45" customHeight="1" x14ac:dyDescent="0.2">
      <c r="B33" s="1692" t="s">
        <v>1458</v>
      </c>
      <c r="C33" s="1692" t="s">
        <v>1457</v>
      </c>
      <c r="D33" s="1585" t="s">
        <v>1567</v>
      </c>
      <c r="E33" s="1821" t="s">
        <v>1760</v>
      </c>
      <c r="F33" s="1819">
        <f>G33/H33</f>
        <v>2.604387608483246</v>
      </c>
      <c r="G33" s="1650">
        <v>90627.48</v>
      </c>
      <c r="H33" s="1650">
        <v>34798</v>
      </c>
      <c r="I33" s="258"/>
    </row>
    <row r="34" spans="2:9" ht="27" customHeight="1" thickBot="1" x14ac:dyDescent="0.25">
      <c r="B34" s="1692" t="s">
        <v>1458</v>
      </c>
      <c r="C34" s="1692" t="s">
        <v>1457</v>
      </c>
      <c r="D34" s="1585" t="s">
        <v>1567</v>
      </c>
      <c r="E34" s="1648" t="s">
        <v>1761</v>
      </c>
      <c r="F34" s="1819">
        <f>G34/(G34+H34)</f>
        <v>0.31195680733836989</v>
      </c>
      <c r="G34" s="1650">
        <v>307503</v>
      </c>
      <c r="H34" s="1650">
        <v>678220</v>
      </c>
    </row>
    <row r="36" spans="2:9" ht="15.75" x14ac:dyDescent="0.25">
      <c r="B36" s="2274" t="s">
        <v>210</v>
      </c>
      <c r="C36" s="2274"/>
      <c r="D36" s="2274"/>
      <c r="E36" s="2274"/>
      <c r="F36" s="2274"/>
      <c r="G36" s="2274"/>
      <c r="H36" s="2274"/>
    </row>
    <row r="37" spans="2:9" ht="13.5" customHeight="1" thickBot="1" x14ac:dyDescent="0.25"/>
    <row r="38" spans="2:9" ht="17.25" customHeight="1" x14ac:dyDescent="0.2">
      <c r="B38" s="2259" t="s">
        <v>153</v>
      </c>
      <c r="C38" s="2260"/>
      <c r="D38" s="2275" t="s">
        <v>156</v>
      </c>
      <c r="E38" s="2275" t="s">
        <v>513</v>
      </c>
      <c r="F38" s="1815"/>
      <c r="G38" s="2282" t="s">
        <v>157</v>
      </c>
      <c r="H38" s="2284" t="s">
        <v>212</v>
      </c>
    </row>
    <row r="39" spans="2:9" x14ac:dyDescent="0.2">
      <c r="B39" s="2278" t="s">
        <v>154</v>
      </c>
      <c r="C39" s="2280" t="s">
        <v>155</v>
      </c>
      <c r="D39" s="2276"/>
      <c r="E39" s="2276"/>
      <c r="F39" s="1816"/>
      <c r="G39" s="2283"/>
      <c r="H39" s="2285"/>
    </row>
    <row r="40" spans="2:9" x14ac:dyDescent="0.2">
      <c r="B40" s="2279"/>
      <c r="C40" s="2281"/>
      <c r="D40" s="2277"/>
      <c r="E40" s="2277"/>
      <c r="F40" s="1817"/>
      <c r="G40" s="256" t="s">
        <v>149</v>
      </c>
      <c r="H40" s="259" t="s">
        <v>148</v>
      </c>
    </row>
    <row r="41" spans="2:9" x14ac:dyDescent="0.2">
      <c r="B41" s="260"/>
      <c r="C41" s="234"/>
      <c r="D41" s="215"/>
      <c r="E41" s="215"/>
      <c r="F41" s="215"/>
      <c r="G41" s="215"/>
      <c r="H41" s="1519"/>
    </row>
    <row r="42" spans="2:9" x14ac:dyDescent="0.2">
      <c r="B42" s="234"/>
      <c r="C42" s="215"/>
      <c r="D42" s="215"/>
      <c r="E42" s="215"/>
      <c r="F42" s="215"/>
      <c r="G42" s="215"/>
      <c r="H42" s="1519"/>
    </row>
    <row r="43" spans="2:9" x14ac:dyDescent="0.2">
      <c r="B43" s="1693"/>
      <c r="C43" s="1693"/>
      <c r="D43" s="1693"/>
      <c r="E43" s="1693"/>
      <c r="F43" s="1693"/>
      <c r="G43" s="1693"/>
      <c r="H43" s="1694"/>
    </row>
    <row r="44" spans="2:9" x14ac:dyDescent="0.2">
      <c r="C44" s="189" t="s">
        <v>21</v>
      </c>
      <c r="D44" s="1691" t="s">
        <v>1568</v>
      </c>
    </row>
    <row r="45" spans="2:9" x14ac:dyDescent="0.2">
      <c r="D45" s="189"/>
      <c r="E45" s="255"/>
      <c r="F45" s="255"/>
    </row>
    <row r="46" spans="2:9" ht="15.75" x14ac:dyDescent="0.25">
      <c r="B46" s="2274" t="s">
        <v>211</v>
      </c>
      <c r="C46" s="2274"/>
      <c r="D46" s="2274"/>
      <c r="E46" s="2274"/>
      <c r="F46" s="2274"/>
      <c r="G46" s="2274"/>
      <c r="H46" s="2274"/>
    </row>
    <row r="47" spans="2:9" ht="13.5" thickBot="1" x14ac:dyDescent="0.25"/>
    <row r="48" spans="2:9" ht="13.5" customHeight="1" x14ac:dyDescent="0.2">
      <c r="B48" s="2259" t="s">
        <v>153</v>
      </c>
      <c r="C48" s="2260"/>
      <c r="D48" s="2261" t="s">
        <v>156</v>
      </c>
      <c r="E48" s="2261" t="s">
        <v>513</v>
      </c>
      <c r="F48" s="1812"/>
      <c r="G48" s="2264" t="s">
        <v>157</v>
      </c>
      <c r="H48" s="2266" t="s">
        <v>1759</v>
      </c>
      <c r="I48" s="2268"/>
    </row>
    <row r="49" spans="2:9" ht="28.15" customHeight="1" x14ac:dyDescent="0.2">
      <c r="B49" s="2269" t="s">
        <v>154</v>
      </c>
      <c r="C49" s="2271" t="s">
        <v>155</v>
      </c>
      <c r="D49" s="2262"/>
      <c r="E49" s="2262"/>
      <c r="F49" s="1813" t="s">
        <v>1750</v>
      </c>
      <c r="G49" s="2265"/>
      <c r="H49" s="2267"/>
      <c r="I49" s="2268"/>
    </row>
    <row r="50" spans="2:9" x14ac:dyDescent="0.2">
      <c r="B50" s="2270"/>
      <c r="C50" s="2272"/>
      <c r="D50" s="2263"/>
      <c r="E50" s="2263"/>
      <c r="F50" s="1814"/>
      <c r="G50" s="256" t="s">
        <v>148</v>
      </c>
      <c r="H50" s="256" t="s">
        <v>148</v>
      </c>
      <c r="I50" s="257"/>
    </row>
    <row r="51" spans="2:9" ht="38.25" x14ac:dyDescent="0.2">
      <c r="B51" s="1822" t="s">
        <v>1457</v>
      </c>
      <c r="C51" s="1822" t="s">
        <v>1458</v>
      </c>
      <c r="D51" s="1585" t="s">
        <v>1773</v>
      </c>
      <c r="E51" s="1649" t="s">
        <v>1745</v>
      </c>
      <c r="F51" s="1819">
        <f t="shared" ref="F51:F62" si="1">G51/H51</f>
        <v>0.83256030197537179</v>
      </c>
      <c r="G51" s="1650">
        <v>590980.74999999988</v>
      </c>
      <c r="H51" s="1650">
        <v>709835.37000000011</v>
      </c>
      <c r="I51" s="258"/>
    </row>
    <row r="52" spans="2:9" ht="25.5" x14ac:dyDescent="0.2">
      <c r="B52" s="1822" t="s">
        <v>1457</v>
      </c>
      <c r="C52" s="1822" t="s">
        <v>1458</v>
      </c>
      <c r="D52" s="1585" t="s">
        <v>1774</v>
      </c>
      <c r="E52" s="1649" t="s">
        <v>1775</v>
      </c>
      <c r="F52" s="1819">
        <f t="shared" si="1"/>
        <v>1</v>
      </c>
      <c r="G52" s="1650">
        <v>152403.25</v>
      </c>
      <c r="H52" s="1650">
        <v>152403.25</v>
      </c>
      <c r="I52" s="258"/>
    </row>
    <row r="53" spans="2:9" ht="51" x14ac:dyDescent="0.2">
      <c r="B53" s="1822" t="s">
        <v>1457</v>
      </c>
      <c r="C53" s="1822" t="s">
        <v>1458</v>
      </c>
      <c r="D53" s="1649" t="s">
        <v>1768</v>
      </c>
      <c r="E53" s="1649" t="s">
        <v>1769</v>
      </c>
      <c r="F53" s="1819">
        <f t="shared" si="1"/>
        <v>0.84000009773234485</v>
      </c>
      <c r="G53" s="1650">
        <v>206277.69</v>
      </c>
      <c r="H53" s="1650">
        <v>245568.65000000002</v>
      </c>
      <c r="I53" s="258"/>
    </row>
    <row r="54" spans="2:9" ht="25.5" x14ac:dyDescent="0.2">
      <c r="B54" s="1822" t="s">
        <v>1457</v>
      </c>
      <c r="C54" s="1822" t="s">
        <v>1458</v>
      </c>
      <c r="D54" s="1649" t="s">
        <v>1767</v>
      </c>
      <c r="E54" s="1649" t="s">
        <v>1771</v>
      </c>
      <c r="F54" s="1819">
        <f t="shared" si="1"/>
        <v>0.85207495058550553</v>
      </c>
      <c r="G54" s="1650">
        <v>241761.39</v>
      </c>
      <c r="H54" s="1650">
        <v>283732.54000000004</v>
      </c>
      <c r="I54" s="258"/>
    </row>
    <row r="55" spans="2:9" ht="38.25" x14ac:dyDescent="0.2">
      <c r="B55" s="1822" t="s">
        <v>1457</v>
      </c>
      <c r="C55" s="1822" t="s">
        <v>1458</v>
      </c>
      <c r="D55" s="1649" t="s">
        <v>1765</v>
      </c>
      <c r="E55" s="1649" t="s">
        <v>1770</v>
      </c>
      <c r="F55" s="1819">
        <f t="shared" si="1"/>
        <v>1.0000000000000002</v>
      </c>
      <c r="G55" s="1650">
        <v>128829.67000000001</v>
      </c>
      <c r="H55" s="1650">
        <v>128829.67</v>
      </c>
      <c r="I55" s="258"/>
    </row>
    <row r="56" spans="2:9" ht="25.5" x14ac:dyDescent="0.2">
      <c r="B56" s="1822" t="s">
        <v>1457</v>
      </c>
      <c r="C56" s="1822" t="s">
        <v>1458</v>
      </c>
      <c r="D56" s="1649" t="s">
        <v>1766</v>
      </c>
      <c r="E56" s="1649" t="s">
        <v>1174</v>
      </c>
      <c r="F56" s="1819">
        <f t="shared" si="1"/>
        <v>0.79035856770046875</v>
      </c>
      <c r="G56" s="1650">
        <v>214766.63903790797</v>
      </c>
      <c r="H56" s="1650">
        <v>271733.17</v>
      </c>
      <c r="I56" s="258"/>
    </row>
    <row r="57" spans="2:9" ht="89.25" x14ac:dyDescent="0.2">
      <c r="B57" s="1822" t="s">
        <v>1457</v>
      </c>
      <c r="C57" s="1822" t="s">
        <v>1458</v>
      </c>
      <c r="D57" s="1649" t="s">
        <v>1743</v>
      </c>
      <c r="E57" s="1649" t="s">
        <v>1747</v>
      </c>
      <c r="F57" s="1819">
        <f t="shared" si="1"/>
        <v>0.45509845079929456</v>
      </c>
      <c r="G57" s="1650">
        <v>435302.41000000003</v>
      </c>
      <c r="H57" s="1650">
        <v>956501.63</v>
      </c>
      <c r="I57" s="258"/>
    </row>
    <row r="58" spans="2:9" ht="89.25" x14ac:dyDescent="0.2">
      <c r="B58" s="1822" t="s">
        <v>1457</v>
      </c>
      <c r="C58" s="1822" t="s">
        <v>1458</v>
      </c>
      <c r="D58" s="1649" t="s">
        <v>1772</v>
      </c>
      <c r="E58" s="1649" t="s">
        <v>1751</v>
      </c>
      <c r="F58" s="1819">
        <f t="shared" si="1"/>
        <v>0.75079531473260674</v>
      </c>
      <c r="G58" s="1650">
        <v>630090.44000000006</v>
      </c>
      <c r="H58" s="1650">
        <v>839230.64999999991</v>
      </c>
      <c r="I58" s="258"/>
    </row>
    <row r="59" spans="2:9" ht="63.75" x14ac:dyDescent="0.2">
      <c r="B59" s="1822" t="s">
        <v>1457</v>
      </c>
      <c r="C59" s="1822" t="s">
        <v>1458</v>
      </c>
      <c r="D59" s="1649" t="s">
        <v>1744</v>
      </c>
      <c r="E59" s="1649" t="s">
        <v>1748</v>
      </c>
      <c r="F59" s="1819">
        <f t="shared" si="1"/>
        <v>0.62677066950083327</v>
      </c>
      <c r="G59" s="1650">
        <v>1517288.48</v>
      </c>
      <c r="H59" s="1650">
        <v>2420803.2600000002</v>
      </c>
      <c r="I59" s="258"/>
    </row>
    <row r="60" spans="2:9" ht="38.25" x14ac:dyDescent="0.2">
      <c r="B60" s="1822" t="s">
        <v>1457</v>
      </c>
      <c r="C60" s="1822" t="s">
        <v>1458</v>
      </c>
      <c r="D60" s="1649" t="s">
        <v>1746</v>
      </c>
      <c r="E60" s="1649" t="s">
        <v>1749</v>
      </c>
      <c r="F60" s="1819">
        <f t="shared" si="1"/>
        <v>0.59276784869300936</v>
      </c>
      <c r="G60" s="1650">
        <v>9958.98</v>
      </c>
      <c r="H60" s="1650">
        <v>16800.810000000001</v>
      </c>
      <c r="I60" s="258"/>
    </row>
    <row r="61" spans="2:9" ht="25.5" x14ac:dyDescent="0.2">
      <c r="B61" s="1822" t="s">
        <v>1457</v>
      </c>
      <c r="C61" s="1822" t="s">
        <v>1458</v>
      </c>
      <c r="D61" s="1649" t="s">
        <v>1508</v>
      </c>
      <c r="E61" s="1649" t="s">
        <v>1595</v>
      </c>
      <c r="F61" s="1819">
        <f t="shared" si="1"/>
        <v>0.49999917432003183</v>
      </c>
      <c r="G61" s="1650">
        <v>36333.629999999997</v>
      </c>
      <c r="H61" s="1650">
        <v>72667.38</v>
      </c>
      <c r="I61" s="258"/>
    </row>
    <row r="62" spans="2:9" ht="25.5" x14ac:dyDescent="0.2">
      <c r="B62" s="1692" t="s">
        <v>1457</v>
      </c>
      <c r="C62" s="1692" t="s">
        <v>1458</v>
      </c>
      <c r="D62" s="1585" t="s">
        <v>1757</v>
      </c>
      <c r="E62" s="1585" t="s">
        <v>1758</v>
      </c>
      <c r="F62" s="1819">
        <f t="shared" si="1"/>
        <v>0.93117715932633638</v>
      </c>
      <c r="G62" s="1650">
        <v>334690.56669250753</v>
      </c>
      <c r="H62" s="1650">
        <v>359427.37999999989</v>
      </c>
      <c r="I62" s="258"/>
    </row>
    <row r="63" spans="2:9" ht="38.25" x14ac:dyDescent="0.2">
      <c r="B63" s="1692" t="s">
        <v>1458</v>
      </c>
      <c r="C63" s="1692" t="s">
        <v>1457</v>
      </c>
      <c r="D63" s="1592" t="s">
        <v>1459</v>
      </c>
      <c r="E63" s="1585" t="s">
        <v>1564</v>
      </c>
      <c r="F63" s="1819">
        <f>(H63-G63)/H63</f>
        <v>0.92568374094680095</v>
      </c>
      <c r="G63" s="1650">
        <v>97386.999999999942</v>
      </c>
      <c r="H63" s="1518">
        <v>1310440.0200000089</v>
      </c>
      <c r="I63" s="258"/>
    </row>
    <row r="64" spans="2:9" ht="38.25" x14ac:dyDescent="0.2">
      <c r="B64" s="1692" t="s">
        <v>1458</v>
      </c>
      <c r="C64" s="1692" t="s">
        <v>1457</v>
      </c>
      <c r="D64" s="1692" t="s">
        <v>1565</v>
      </c>
      <c r="E64" s="1692" t="s">
        <v>1566</v>
      </c>
      <c r="F64" s="1819">
        <v>1</v>
      </c>
      <c r="G64" s="1518">
        <v>473037.66</v>
      </c>
      <c r="H64" s="1518">
        <v>473037.66</v>
      </c>
      <c r="I64" s="258"/>
    </row>
    <row r="65" spans="2:9" ht="38.25" x14ac:dyDescent="0.2">
      <c r="B65" s="1692" t="s">
        <v>1458</v>
      </c>
      <c r="C65" s="1692" t="s">
        <v>1457</v>
      </c>
      <c r="D65" s="1585" t="s">
        <v>1567</v>
      </c>
      <c r="E65" s="1821" t="s">
        <v>1760</v>
      </c>
      <c r="F65" s="1819">
        <f>G65/H65</f>
        <v>2.7584160399623889</v>
      </c>
      <c r="G65" s="1518">
        <v>90627.48</v>
      </c>
      <c r="H65" s="1518">
        <v>32854.898857547138</v>
      </c>
      <c r="I65" s="258"/>
    </row>
    <row r="66" spans="2:9" ht="39" thickBot="1" x14ac:dyDescent="0.25">
      <c r="B66" s="1692" t="s">
        <v>1458</v>
      </c>
      <c r="C66" s="1692" t="s">
        <v>1457</v>
      </c>
      <c r="D66" s="1585" t="s">
        <v>1567</v>
      </c>
      <c r="E66" s="1648" t="s">
        <v>1761</v>
      </c>
      <c r="F66" s="1819">
        <f>(H66-G66)/H66</f>
        <v>0.819785676255813</v>
      </c>
      <c r="G66" s="1518">
        <v>119904</v>
      </c>
      <c r="H66" s="1518">
        <v>665341.12000000011</v>
      </c>
    </row>
    <row r="68" spans="2:9" ht="15.75" x14ac:dyDescent="0.25">
      <c r="B68" s="2274" t="s">
        <v>210</v>
      </c>
      <c r="C68" s="2274"/>
      <c r="D68" s="2274"/>
      <c r="E68" s="2274"/>
      <c r="F68" s="2274"/>
      <c r="G68" s="2274"/>
      <c r="H68" s="2274"/>
    </row>
    <row r="69" spans="2:9" ht="13.5" customHeight="1" thickBot="1" x14ac:dyDescent="0.25"/>
    <row r="70" spans="2:9" ht="17.25" customHeight="1" x14ac:dyDescent="0.2">
      <c r="B70" s="2259" t="s">
        <v>153</v>
      </c>
      <c r="C70" s="2260"/>
      <c r="D70" s="2275" t="s">
        <v>156</v>
      </c>
      <c r="E70" s="2275" t="s">
        <v>513</v>
      </c>
      <c r="F70" s="1815"/>
      <c r="G70" s="2264" t="s">
        <v>157</v>
      </c>
      <c r="H70" s="2266" t="s">
        <v>1759</v>
      </c>
    </row>
    <row r="71" spans="2:9" x14ac:dyDescent="0.2">
      <c r="B71" s="2278" t="s">
        <v>154</v>
      </c>
      <c r="C71" s="2280" t="s">
        <v>155</v>
      </c>
      <c r="D71" s="2276"/>
      <c r="E71" s="2276"/>
      <c r="F71" s="1816"/>
      <c r="G71" s="2265"/>
      <c r="H71" s="2267"/>
    </row>
    <row r="72" spans="2:9" x14ac:dyDescent="0.2">
      <c r="B72" s="2279"/>
      <c r="C72" s="2281"/>
      <c r="D72" s="2277"/>
      <c r="E72" s="2277"/>
      <c r="F72" s="1817"/>
      <c r="G72" s="256" t="s">
        <v>149</v>
      </c>
      <c r="H72" s="259" t="s">
        <v>148</v>
      </c>
    </row>
    <row r="73" spans="2:9" x14ac:dyDescent="0.2">
      <c r="B73" s="260"/>
      <c r="C73" s="234"/>
      <c r="D73" s="215"/>
      <c r="E73" s="215"/>
      <c r="F73" s="215"/>
      <c r="G73" s="215"/>
      <c r="H73" s="1519"/>
    </row>
    <row r="74" spans="2:9" x14ac:dyDescent="0.2">
      <c r="B74" s="234"/>
      <c r="C74" s="215"/>
      <c r="D74" s="215"/>
      <c r="E74" s="215"/>
      <c r="F74" s="215"/>
      <c r="G74" s="215"/>
      <c r="H74" s="1519"/>
    </row>
    <row r="77" spans="2:9" x14ac:dyDescent="0.2">
      <c r="C77" s="189" t="s">
        <v>21</v>
      </c>
      <c r="D77" s="1691" t="s">
        <v>1569</v>
      </c>
    </row>
    <row r="78" spans="2:9" x14ac:dyDescent="0.2">
      <c r="D78" s="189"/>
      <c r="E78" s="255"/>
      <c r="F78" s="255"/>
    </row>
    <row r="79" spans="2:9" ht="15.75" x14ac:dyDescent="0.25">
      <c r="B79" s="2274" t="s">
        <v>211</v>
      </c>
      <c r="C79" s="2274"/>
      <c r="D79" s="2274"/>
      <c r="E79" s="2274"/>
      <c r="F79" s="2274"/>
      <c r="G79" s="2274"/>
      <c r="H79" s="2274"/>
    </row>
    <row r="80" spans="2:9" ht="13.5" customHeight="1" thickBot="1" x14ac:dyDescent="0.25">
      <c r="I80" s="2268"/>
    </row>
    <row r="81" spans="2:9" ht="13.5" customHeight="1" x14ac:dyDescent="0.2">
      <c r="B81" s="2259" t="s">
        <v>153</v>
      </c>
      <c r="C81" s="2260"/>
      <c r="D81" s="2261" t="s">
        <v>156</v>
      </c>
      <c r="E81" s="2261" t="s">
        <v>513</v>
      </c>
      <c r="F81" s="1812"/>
      <c r="G81" s="2264" t="s">
        <v>157</v>
      </c>
      <c r="H81" s="2266" t="s">
        <v>1759</v>
      </c>
      <c r="I81" s="2268"/>
    </row>
    <row r="82" spans="2:9" ht="28.15" customHeight="1" x14ac:dyDescent="0.2">
      <c r="B82" s="2269" t="s">
        <v>154</v>
      </c>
      <c r="C82" s="2271" t="s">
        <v>155</v>
      </c>
      <c r="D82" s="2262"/>
      <c r="E82" s="2262"/>
      <c r="F82" s="1813" t="s">
        <v>1750</v>
      </c>
      <c r="G82" s="2265"/>
      <c r="H82" s="2267"/>
      <c r="I82" s="2268"/>
    </row>
    <row r="83" spans="2:9" x14ac:dyDescent="0.2">
      <c r="B83" s="2270"/>
      <c r="C83" s="2272"/>
      <c r="D83" s="2263"/>
      <c r="E83" s="2263"/>
      <c r="F83" s="1814"/>
      <c r="G83" s="256" t="s">
        <v>148</v>
      </c>
      <c r="H83" s="256" t="s">
        <v>148</v>
      </c>
      <c r="I83" s="2268"/>
    </row>
    <row r="84" spans="2:9" ht="38.25" x14ac:dyDescent="0.2">
      <c r="B84" s="1822" t="s">
        <v>1457</v>
      </c>
      <c r="C84" s="1822" t="s">
        <v>1458</v>
      </c>
      <c r="D84" s="1585" t="s">
        <v>1773</v>
      </c>
      <c r="E84" s="1649" t="s">
        <v>1745</v>
      </c>
      <c r="F84" s="1819">
        <f t="shared" ref="F84:F95" si="2">G84/H84</f>
        <v>0.86620284162833872</v>
      </c>
      <c r="G84" s="1650">
        <v>663490.25000000012</v>
      </c>
      <c r="H84" s="1650">
        <v>765975.61</v>
      </c>
      <c r="I84" s="2268"/>
    </row>
    <row r="85" spans="2:9" ht="25.5" x14ac:dyDescent="0.2">
      <c r="B85" s="1822" t="s">
        <v>1457</v>
      </c>
      <c r="C85" s="1822" t="s">
        <v>1458</v>
      </c>
      <c r="D85" s="1585" t="s">
        <v>1774</v>
      </c>
      <c r="E85" s="1649" t="s">
        <v>1775</v>
      </c>
      <c r="F85" s="1819">
        <f t="shared" si="2"/>
        <v>1</v>
      </c>
      <c r="G85" s="1650">
        <v>128923.2</v>
      </c>
      <c r="H85" s="1650">
        <v>128923.2</v>
      </c>
      <c r="I85" s="2268"/>
    </row>
    <row r="86" spans="2:9" ht="51" x14ac:dyDescent="0.2">
      <c r="B86" s="1822" t="s">
        <v>1457</v>
      </c>
      <c r="C86" s="1822" t="s">
        <v>1458</v>
      </c>
      <c r="D86" s="1649" t="s">
        <v>1768</v>
      </c>
      <c r="E86" s="1649" t="s">
        <v>1769</v>
      </c>
      <c r="F86" s="1819">
        <f t="shared" si="2"/>
        <v>0.8399999828542597</v>
      </c>
      <c r="G86" s="1650">
        <v>195967.03999999998</v>
      </c>
      <c r="H86" s="1650">
        <v>233294.10000000003</v>
      </c>
      <c r="I86" s="2268"/>
    </row>
    <row r="87" spans="2:9" ht="25.5" x14ac:dyDescent="0.2">
      <c r="B87" s="1822" t="s">
        <v>1457</v>
      </c>
      <c r="C87" s="1822" t="s">
        <v>1458</v>
      </c>
      <c r="D87" s="1649" t="s">
        <v>1767</v>
      </c>
      <c r="E87" s="1649" t="s">
        <v>1771</v>
      </c>
      <c r="F87" s="1819">
        <f t="shared" si="2"/>
        <v>0.97900002638647832</v>
      </c>
      <c r="G87" s="1650">
        <v>302013.03000000003</v>
      </c>
      <c r="H87" s="1650">
        <v>308491.33999999997</v>
      </c>
      <c r="I87" s="2268"/>
    </row>
    <row r="88" spans="2:9" ht="38.25" x14ac:dyDescent="0.2">
      <c r="B88" s="1822" t="s">
        <v>1457</v>
      </c>
      <c r="C88" s="1822" t="s">
        <v>1458</v>
      </c>
      <c r="D88" s="1649" t="s">
        <v>1765</v>
      </c>
      <c r="E88" s="1649" t="s">
        <v>1770</v>
      </c>
      <c r="F88" s="1819">
        <f t="shared" si="2"/>
        <v>1</v>
      </c>
      <c r="G88" s="1650">
        <v>140821.77000000002</v>
      </c>
      <c r="H88" s="1650">
        <v>140821.77000000002</v>
      </c>
      <c r="I88" s="2268"/>
    </row>
    <row r="89" spans="2:9" ht="25.5" x14ac:dyDescent="0.2">
      <c r="B89" s="1822" t="s">
        <v>1457</v>
      </c>
      <c r="C89" s="1822" t="s">
        <v>1458</v>
      </c>
      <c r="D89" s="1649" t="s">
        <v>1766</v>
      </c>
      <c r="E89" s="1649" t="s">
        <v>1174</v>
      </c>
      <c r="F89" s="1819">
        <f t="shared" si="2"/>
        <v>0.75837983315542912</v>
      </c>
      <c r="G89" s="1650">
        <v>224082.57241945635</v>
      </c>
      <c r="H89" s="1650">
        <v>295475.38400000002</v>
      </c>
      <c r="I89" s="2268"/>
    </row>
    <row r="90" spans="2:9" ht="89.25" x14ac:dyDescent="0.2">
      <c r="B90" s="1822" t="s">
        <v>1457</v>
      </c>
      <c r="C90" s="1822" t="s">
        <v>1458</v>
      </c>
      <c r="D90" s="1649" t="s">
        <v>1743</v>
      </c>
      <c r="E90" s="1649" t="s">
        <v>1747</v>
      </c>
      <c r="F90" s="1819">
        <f t="shared" si="2"/>
        <v>0.46010873029213478</v>
      </c>
      <c r="G90" s="1650">
        <v>438484.6</v>
      </c>
      <c r="H90" s="1650">
        <v>953002.13</v>
      </c>
      <c r="I90" s="2268"/>
    </row>
    <row r="91" spans="2:9" ht="89.25" x14ac:dyDescent="0.2">
      <c r="B91" s="1822" t="s">
        <v>1457</v>
      </c>
      <c r="C91" s="1822" t="s">
        <v>1458</v>
      </c>
      <c r="D91" s="1649" t="s">
        <v>1772</v>
      </c>
      <c r="E91" s="1649" t="s">
        <v>1751</v>
      </c>
      <c r="F91" s="1819">
        <f t="shared" si="2"/>
        <v>0.79435784641083429</v>
      </c>
      <c r="G91" s="1650">
        <v>659492.51</v>
      </c>
      <c r="H91" s="1650">
        <v>830220.93</v>
      </c>
      <c r="I91" s="2268"/>
    </row>
    <row r="92" spans="2:9" ht="63.75" x14ac:dyDescent="0.2">
      <c r="B92" s="1822" t="s">
        <v>1457</v>
      </c>
      <c r="C92" s="1822" t="s">
        <v>1458</v>
      </c>
      <c r="D92" s="1649" t="s">
        <v>1744</v>
      </c>
      <c r="E92" s="1649" t="s">
        <v>1748</v>
      </c>
      <c r="F92" s="1819">
        <f t="shared" si="2"/>
        <v>0.77652063166663776</v>
      </c>
      <c r="G92" s="1650">
        <v>1688936.1400000001</v>
      </c>
      <c r="H92" s="1650">
        <v>2175004.8499999992</v>
      </c>
      <c r="I92" s="2268"/>
    </row>
    <row r="93" spans="2:9" ht="38.25" x14ac:dyDescent="0.2">
      <c r="B93" s="1822" t="s">
        <v>1457</v>
      </c>
      <c r="C93" s="1822" t="s">
        <v>1458</v>
      </c>
      <c r="D93" s="1585" t="s">
        <v>1746</v>
      </c>
      <c r="E93" s="1649" t="s">
        <v>1749</v>
      </c>
      <c r="F93" s="1819">
        <f t="shared" si="2"/>
        <v>0.91166584714695831</v>
      </c>
      <c r="G93" s="1650">
        <v>28663.85</v>
      </c>
      <c r="H93" s="1650">
        <v>31441.179999999997</v>
      </c>
      <c r="I93" s="2268"/>
    </row>
    <row r="94" spans="2:9" ht="25.5" x14ac:dyDescent="0.2">
      <c r="B94" s="1822" t="s">
        <v>1457</v>
      </c>
      <c r="C94" s="1822" t="s">
        <v>1458</v>
      </c>
      <c r="D94" s="1585" t="s">
        <v>1508</v>
      </c>
      <c r="E94" s="1649" t="s">
        <v>1595</v>
      </c>
      <c r="F94" s="1819">
        <f t="shared" si="2"/>
        <v>0.49999992329746057</v>
      </c>
      <c r="G94" s="1650">
        <v>32593.439999999995</v>
      </c>
      <c r="H94" s="1650">
        <v>65186.889999999992</v>
      </c>
      <c r="I94" s="2268"/>
    </row>
    <row r="95" spans="2:9" ht="25.5" x14ac:dyDescent="0.2">
      <c r="B95" s="1692" t="s">
        <v>1457</v>
      </c>
      <c r="C95" s="1692" t="s">
        <v>1458</v>
      </c>
      <c r="D95" s="1585" t="s">
        <v>1757</v>
      </c>
      <c r="E95" s="1585" t="s">
        <v>1758</v>
      </c>
      <c r="F95" s="1819">
        <f t="shared" si="2"/>
        <v>0.90109950851675924</v>
      </c>
      <c r="G95" s="1518">
        <v>313416.25896157481</v>
      </c>
      <c r="H95" s="1518">
        <v>347815.37000000005</v>
      </c>
      <c r="I95" s="2268"/>
    </row>
    <row r="96" spans="2:9" ht="38.25" x14ac:dyDescent="0.2">
      <c r="B96" s="1692" t="s">
        <v>1458</v>
      </c>
      <c r="C96" s="1692" t="s">
        <v>1457</v>
      </c>
      <c r="D96" s="1592" t="s">
        <v>1459</v>
      </c>
      <c r="E96" s="1585" t="s">
        <v>1564</v>
      </c>
      <c r="F96" s="1819">
        <f>(H96-G96)/H96</f>
        <v>0.94885626592622274</v>
      </c>
      <c r="G96" s="1518">
        <v>49274.649999999958</v>
      </c>
      <c r="H96" s="1518">
        <v>963454.2900000005</v>
      </c>
      <c r="I96" s="2268"/>
    </row>
    <row r="97" spans="2:9" ht="38.25" x14ac:dyDescent="0.2">
      <c r="B97" s="1692" t="s">
        <v>1458</v>
      </c>
      <c r="C97" s="1692" t="s">
        <v>1457</v>
      </c>
      <c r="D97" s="1692" t="s">
        <v>1565</v>
      </c>
      <c r="E97" s="1692" t="s">
        <v>1566</v>
      </c>
      <c r="F97" s="1819">
        <v>1</v>
      </c>
      <c r="G97" s="1518">
        <v>332351.94</v>
      </c>
      <c r="H97" s="1518">
        <v>332351.94</v>
      </c>
      <c r="I97" s="2268"/>
    </row>
    <row r="98" spans="2:9" ht="38.25" x14ac:dyDescent="0.2">
      <c r="B98" s="1692" t="s">
        <v>1458</v>
      </c>
      <c r="C98" s="1692" t="s">
        <v>1457</v>
      </c>
      <c r="D98" s="1585" t="s">
        <v>1567</v>
      </c>
      <c r="E98" s="1821" t="s">
        <v>1760</v>
      </c>
      <c r="F98" s="1819">
        <f>G98/H98</f>
        <v>2.8037342818507467</v>
      </c>
      <c r="G98" s="1518">
        <v>90627.48</v>
      </c>
      <c r="H98" s="1518">
        <v>32323.847729313617</v>
      </c>
      <c r="I98" s="2268"/>
    </row>
    <row r="99" spans="2:9" ht="39" thickBot="1" x14ac:dyDescent="0.25">
      <c r="B99" s="1692" t="s">
        <v>1458</v>
      </c>
      <c r="C99" s="1692" t="s">
        <v>1457</v>
      </c>
      <c r="D99" s="1585" t="s">
        <v>1567</v>
      </c>
      <c r="E99" s="1648" t="s">
        <v>1761</v>
      </c>
      <c r="F99" s="1819">
        <f>(H99-G99)/H99</f>
        <v>0.82867100043258324</v>
      </c>
      <c r="G99" s="1518">
        <v>117966.88649504914</v>
      </c>
      <c r="H99" s="1518">
        <v>688540.10000000009</v>
      </c>
      <c r="I99" s="2268"/>
    </row>
    <row r="101" spans="2:9" ht="15.75" x14ac:dyDescent="0.25">
      <c r="B101" s="2274" t="s">
        <v>210</v>
      </c>
      <c r="C101" s="2274"/>
      <c r="D101" s="2274"/>
      <c r="E101" s="2274"/>
      <c r="F101" s="2274"/>
      <c r="G101" s="2274"/>
      <c r="H101" s="2274"/>
    </row>
    <row r="102" spans="2:9" ht="13.5" customHeight="1" thickBot="1" x14ac:dyDescent="0.25"/>
    <row r="103" spans="2:9" ht="17.25" customHeight="1" x14ac:dyDescent="0.2">
      <c r="B103" s="2259" t="s">
        <v>153</v>
      </c>
      <c r="C103" s="2260"/>
      <c r="D103" s="2275" t="s">
        <v>156</v>
      </c>
      <c r="E103" s="2275" t="s">
        <v>513</v>
      </c>
      <c r="F103" s="1815"/>
      <c r="G103" s="2264" t="s">
        <v>157</v>
      </c>
      <c r="H103" s="2266" t="s">
        <v>1759</v>
      </c>
    </row>
    <row r="104" spans="2:9" x14ac:dyDescent="0.2">
      <c r="B104" s="2278" t="s">
        <v>154</v>
      </c>
      <c r="C104" s="2280" t="s">
        <v>155</v>
      </c>
      <c r="D104" s="2276"/>
      <c r="E104" s="2276"/>
      <c r="F104" s="1816"/>
      <c r="G104" s="2265"/>
      <c r="H104" s="2267"/>
    </row>
    <row r="105" spans="2:9" x14ac:dyDescent="0.2">
      <c r="B105" s="2279"/>
      <c r="C105" s="2281"/>
      <c r="D105" s="2277"/>
      <c r="E105" s="2277"/>
      <c r="F105" s="1817"/>
      <c r="G105" s="256" t="s">
        <v>149</v>
      </c>
      <c r="H105" s="259" t="s">
        <v>148</v>
      </c>
    </row>
    <row r="106" spans="2:9" x14ac:dyDescent="0.2">
      <c r="B106" s="260"/>
      <c r="C106" s="234"/>
      <c r="D106" s="215"/>
      <c r="E106" s="215"/>
      <c r="F106" s="215"/>
      <c r="G106" s="215"/>
      <c r="H106" s="1519"/>
    </row>
    <row r="107" spans="2:9" x14ac:dyDescent="0.2">
      <c r="B107" s="234"/>
      <c r="C107" s="215"/>
      <c r="D107" s="215"/>
      <c r="E107" s="215"/>
      <c r="F107" s="215"/>
      <c r="G107" s="215"/>
      <c r="H107" s="1519"/>
    </row>
    <row r="108" spans="2:9" x14ac:dyDescent="0.2">
      <c r="B108" s="1590"/>
      <c r="C108" s="1590"/>
      <c r="D108" s="1590"/>
      <c r="E108" s="1590"/>
      <c r="F108" s="1590"/>
      <c r="G108" s="1590"/>
      <c r="H108" s="1591"/>
    </row>
    <row r="111" spans="2:9" x14ac:dyDescent="0.2">
      <c r="C111" s="189" t="s">
        <v>21</v>
      </c>
      <c r="D111" s="1691" t="s">
        <v>1570</v>
      </c>
    </row>
    <row r="112" spans="2:9" x14ac:dyDescent="0.2">
      <c r="D112" s="189"/>
      <c r="E112" s="255"/>
      <c r="F112" s="255"/>
    </row>
    <row r="113" spans="2:9" ht="15.75" x14ac:dyDescent="0.25">
      <c r="B113" s="2274" t="s">
        <v>211</v>
      </c>
      <c r="C113" s="2274"/>
      <c r="D113" s="2274"/>
      <c r="E113" s="2274"/>
      <c r="F113" s="2274"/>
      <c r="G113" s="2274"/>
      <c r="H113" s="2274"/>
    </row>
    <row r="114" spans="2:9" ht="13.5" customHeight="1" thickBot="1" x14ac:dyDescent="0.25">
      <c r="I114" s="2268"/>
    </row>
    <row r="115" spans="2:9" ht="13.5" customHeight="1" x14ac:dyDescent="0.2">
      <c r="B115" s="2259" t="s">
        <v>153</v>
      </c>
      <c r="C115" s="2260"/>
      <c r="D115" s="2261" t="s">
        <v>156</v>
      </c>
      <c r="E115" s="2261" t="s">
        <v>513</v>
      </c>
      <c r="F115" s="1812"/>
      <c r="G115" s="2264" t="s">
        <v>157</v>
      </c>
      <c r="H115" s="2266" t="s">
        <v>1759</v>
      </c>
      <c r="I115" s="2268"/>
    </row>
    <row r="116" spans="2:9" ht="28.15" customHeight="1" x14ac:dyDescent="0.2">
      <c r="B116" s="2269" t="s">
        <v>154</v>
      </c>
      <c r="C116" s="2271" t="s">
        <v>155</v>
      </c>
      <c r="D116" s="2262"/>
      <c r="E116" s="2262"/>
      <c r="F116" s="1813" t="s">
        <v>1750</v>
      </c>
      <c r="G116" s="2265"/>
      <c r="H116" s="2267"/>
      <c r="I116" s="2268"/>
    </row>
    <row r="117" spans="2:9" x14ac:dyDescent="0.2">
      <c r="B117" s="2270"/>
      <c r="C117" s="2272"/>
      <c r="D117" s="2263"/>
      <c r="E117" s="2263"/>
      <c r="F117" s="1814"/>
      <c r="G117" s="256" t="s">
        <v>148</v>
      </c>
      <c r="H117" s="256" t="s">
        <v>148</v>
      </c>
      <c r="I117" s="2268"/>
    </row>
    <row r="118" spans="2:9" ht="38.25" x14ac:dyDescent="0.2">
      <c r="B118" s="1822" t="s">
        <v>1457</v>
      </c>
      <c r="C118" s="1822" t="s">
        <v>1458</v>
      </c>
      <c r="D118" s="1585" t="s">
        <v>1773</v>
      </c>
      <c r="E118" s="1649" t="s">
        <v>1745</v>
      </c>
      <c r="F118" s="1819">
        <f t="shared" ref="F118:F129" si="3">G118/H118</f>
        <v>0.82503909222839877</v>
      </c>
      <c r="G118" s="1650">
        <v>848144.18000000017</v>
      </c>
      <c r="H118" s="1650">
        <v>1028004.8399999999</v>
      </c>
      <c r="I118" s="2268"/>
    </row>
    <row r="119" spans="2:9" ht="25.5" x14ac:dyDescent="0.2">
      <c r="B119" s="1822" t="s">
        <v>1457</v>
      </c>
      <c r="C119" s="1822" t="s">
        <v>1458</v>
      </c>
      <c r="D119" s="1585" t="s">
        <v>1774</v>
      </c>
      <c r="E119" s="1649" t="s">
        <v>1775</v>
      </c>
      <c r="F119" s="1819">
        <f t="shared" si="3"/>
        <v>1</v>
      </c>
      <c r="G119" s="1650">
        <v>149384.15</v>
      </c>
      <c r="H119" s="1650">
        <v>149384.15</v>
      </c>
      <c r="I119" s="2268"/>
    </row>
    <row r="120" spans="2:9" ht="51" x14ac:dyDescent="0.2">
      <c r="B120" s="1822" t="s">
        <v>1457</v>
      </c>
      <c r="C120" s="1822" t="s">
        <v>1458</v>
      </c>
      <c r="D120" s="1649" t="s">
        <v>1768</v>
      </c>
      <c r="E120" s="1649" t="s">
        <v>1769</v>
      </c>
      <c r="F120" s="1819">
        <f t="shared" si="3"/>
        <v>0.8399999987567256</v>
      </c>
      <c r="G120" s="1650">
        <v>270254.08999999997</v>
      </c>
      <c r="H120" s="1650">
        <v>321731.05999999994</v>
      </c>
      <c r="I120" s="2268"/>
    </row>
    <row r="121" spans="2:9" ht="25.5" x14ac:dyDescent="0.2">
      <c r="B121" s="1822" t="s">
        <v>1457</v>
      </c>
      <c r="C121" s="1822" t="s">
        <v>1458</v>
      </c>
      <c r="D121" s="1649" t="s">
        <v>1767</v>
      </c>
      <c r="E121" s="1649" t="s">
        <v>1771</v>
      </c>
      <c r="F121" s="1819">
        <f t="shared" si="3"/>
        <v>0.98953607273708588</v>
      </c>
      <c r="G121" s="1650">
        <v>238347.08000000002</v>
      </c>
      <c r="H121" s="1650">
        <v>240867.49999999997</v>
      </c>
      <c r="I121" s="2268"/>
    </row>
    <row r="122" spans="2:9" ht="38.25" x14ac:dyDescent="0.2">
      <c r="B122" s="1822" t="s">
        <v>1457</v>
      </c>
      <c r="C122" s="1822" t="s">
        <v>1458</v>
      </c>
      <c r="D122" s="1649" t="s">
        <v>1765</v>
      </c>
      <c r="E122" s="1649" t="s">
        <v>1770</v>
      </c>
      <c r="F122" s="1819">
        <f t="shared" si="3"/>
        <v>1.0000000000000002</v>
      </c>
      <c r="G122" s="1650">
        <v>131659.01</v>
      </c>
      <c r="H122" s="1650">
        <v>131659.00999999998</v>
      </c>
      <c r="I122" s="2268"/>
    </row>
    <row r="123" spans="2:9" ht="25.5" x14ac:dyDescent="0.2">
      <c r="B123" s="1822" t="s">
        <v>1457</v>
      </c>
      <c r="C123" s="1822" t="s">
        <v>1458</v>
      </c>
      <c r="D123" s="1649" t="s">
        <v>1766</v>
      </c>
      <c r="E123" s="1649" t="s">
        <v>1174</v>
      </c>
      <c r="F123" s="1819">
        <f t="shared" si="3"/>
        <v>0.90533969983933882</v>
      </c>
      <c r="G123" s="1650">
        <v>234618.43918427872</v>
      </c>
      <c r="H123" s="1650">
        <v>259149.62</v>
      </c>
      <c r="I123" s="2268"/>
    </row>
    <row r="124" spans="2:9" ht="89.25" x14ac:dyDescent="0.2">
      <c r="B124" s="1822" t="s">
        <v>1457</v>
      </c>
      <c r="C124" s="1822" t="s">
        <v>1458</v>
      </c>
      <c r="D124" s="1649" t="s">
        <v>1743</v>
      </c>
      <c r="E124" s="1649" t="s">
        <v>1747</v>
      </c>
      <c r="F124" s="1819">
        <f t="shared" si="3"/>
        <v>0.47403616181529246</v>
      </c>
      <c r="G124" s="1650">
        <v>484698.87999999989</v>
      </c>
      <c r="H124" s="1650">
        <v>1022493.47</v>
      </c>
      <c r="I124" s="2268"/>
    </row>
    <row r="125" spans="2:9" ht="89.25" x14ac:dyDescent="0.2">
      <c r="B125" s="1822" t="s">
        <v>1457</v>
      </c>
      <c r="C125" s="1822" t="s">
        <v>1458</v>
      </c>
      <c r="D125" s="1649" t="s">
        <v>1772</v>
      </c>
      <c r="E125" s="1649" t="s">
        <v>1751</v>
      </c>
      <c r="F125" s="1819">
        <f t="shared" si="3"/>
        <v>0.76481257549368575</v>
      </c>
      <c r="G125" s="1650">
        <v>745077.12999999989</v>
      </c>
      <c r="H125" s="1650">
        <v>974195.71000000008</v>
      </c>
      <c r="I125" s="2268"/>
    </row>
    <row r="126" spans="2:9" ht="63.75" x14ac:dyDescent="0.2">
      <c r="B126" s="1822" t="s">
        <v>1457</v>
      </c>
      <c r="C126" s="1822" t="s">
        <v>1458</v>
      </c>
      <c r="D126" s="1649" t="s">
        <v>1744</v>
      </c>
      <c r="E126" s="1649" t="s">
        <v>1748</v>
      </c>
      <c r="F126" s="1819">
        <f t="shared" si="3"/>
        <v>0.78850806371731263</v>
      </c>
      <c r="G126" s="1650">
        <v>1894586.1099999999</v>
      </c>
      <c r="H126" s="1650">
        <v>2402747.9199999995</v>
      </c>
      <c r="I126" s="2268"/>
    </row>
    <row r="127" spans="2:9" ht="38.25" x14ac:dyDescent="0.2">
      <c r="B127" s="1822" t="s">
        <v>1457</v>
      </c>
      <c r="C127" s="1822" t="s">
        <v>1458</v>
      </c>
      <c r="D127" s="1585" t="s">
        <v>1746</v>
      </c>
      <c r="E127" s="1649" t="s">
        <v>1749</v>
      </c>
      <c r="F127" s="1819">
        <f t="shared" si="3"/>
        <v>0</v>
      </c>
      <c r="G127" s="1650">
        <v>0</v>
      </c>
      <c r="H127" s="1650">
        <v>8681.93</v>
      </c>
      <c r="I127" s="2268"/>
    </row>
    <row r="128" spans="2:9" ht="25.5" x14ac:dyDescent="0.2">
      <c r="B128" s="1822" t="s">
        <v>1457</v>
      </c>
      <c r="C128" s="1822" t="s">
        <v>1458</v>
      </c>
      <c r="D128" s="1585" t="s">
        <v>1508</v>
      </c>
      <c r="E128" s="1649" t="s">
        <v>1595</v>
      </c>
      <c r="F128" s="1819">
        <f t="shared" si="3"/>
        <v>0.49740719495671659</v>
      </c>
      <c r="G128" s="1650">
        <v>29768.979999999996</v>
      </c>
      <c r="H128" s="1650">
        <v>59848.309999999969</v>
      </c>
      <c r="I128" s="2268"/>
    </row>
    <row r="129" spans="2:9" ht="25.5" x14ac:dyDescent="0.2">
      <c r="B129" s="1692" t="s">
        <v>1457</v>
      </c>
      <c r="C129" s="1692" t="s">
        <v>1458</v>
      </c>
      <c r="D129" s="1585" t="s">
        <v>1757</v>
      </c>
      <c r="E129" s="1585" t="s">
        <v>1758</v>
      </c>
      <c r="F129" s="1819">
        <f t="shared" si="3"/>
        <v>1</v>
      </c>
      <c r="G129" s="1518">
        <v>381609.5413502201</v>
      </c>
      <c r="H129" s="1518">
        <v>381609.5413502201</v>
      </c>
      <c r="I129" s="2268"/>
    </row>
    <row r="130" spans="2:9" ht="38.25" x14ac:dyDescent="0.2">
      <c r="B130" s="1692" t="s">
        <v>1458</v>
      </c>
      <c r="C130" s="1692" t="s">
        <v>1457</v>
      </c>
      <c r="D130" s="1592" t="s">
        <v>1459</v>
      </c>
      <c r="E130" s="1585" t="s">
        <v>1564</v>
      </c>
      <c r="F130" s="1819">
        <f>(H130-G130)/H130</f>
        <v>0.94086106785208923</v>
      </c>
      <c r="G130" s="1518">
        <v>65875.839999999749</v>
      </c>
      <c r="H130" s="1518">
        <v>1113916.6300000052</v>
      </c>
      <c r="I130" s="2268"/>
    </row>
    <row r="131" spans="2:9" ht="38.25" x14ac:dyDescent="0.2">
      <c r="B131" s="1692" t="s">
        <v>1458</v>
      </c>
      <c r="C131" s="1692" t="s">
        <v>1457</v>
      </c>
      <c r="D131" s="1692" t="s">
        <v>1565</v>
      </c>
      <c r="E131" s="1692" t="s">
        <v>1566</v>
      </c>
      <c r="F131" s="1819">
        <v>1</v>
      </c>
      <c r="G131" s="1518">
        <v>414681.74999999994</v>
      </c>
      <c r="H131" s="1518">
        <v>414681.74999999994</v>
      </c>
      <c r="I131" s="2268"/>
    </row>
    <row r="132" spans="2:9" ht="38.25" x14ac:dyDescent="0.2">
      <c r="B132" s="1692" t="s">
        <v>1458</v>
      </c>
      <c r="C132" s="1692" t="s">
        <v>1457</v>
      </c>
      <c r="D132" s="1585" t="s">
        <v>1567</v>
      </c>
      <c r="E132" s="1821" t="s">
        <v>1760</v>
      </c>
      <c r="F132" s="1819">
        <f>G132/H132</f>
        <v>0.87344258719748791</v>
      </c>
      <c r="G132" s="1518">
        <v>90627.48</v>
      </c>
      <c r="H132" s="1518">
        <v>103758.94343643775</v>
      </c>
      <c r="I132" s="2268"/>
    </row>
    <row r="133" spans="2:9" ht="39" thickBot="1" x14ac:dyDescent="0.25">
      <c r="B133" s="1692" t="s">
        <v>1458</v>
      </c>
      <c r="C133" s="1692" t="s">
        <v>1457</v>
      </c>
      <c r="D133" s="1585" t="s">
        <v>1567</v>
      </c>
      <c r="E133" s="1648" t="s">
        <v>1761</v>
      </c>
      <c r="F133" s="1819">
        <f>(H133-G133)/H133</f>
        <v>0.48372096379295881</v>
      </c>
      <c r="G133" s="1518">
        <v>354639.1068538801</v>
      </c>
      <c r="H133" s="1518">
        <v>686913.63</v>
      </c>
      <c r="I133" s="2268"/>
    </row>
    <row r="135" spans="2:9" ht="15.75" x14ac:dyDescent="0.25">
      <c r="B135" s="2274" t="s">
        <v>210</v>
      </c>
      <c r="C135" s="2274"/>
      <c r="D135" s="2274"/>
      <c r="E135" s="2274"/>
      <c r="F135" s="2274"/>
      <c r="G135" s="2274"/>
      <c r="H135" s="2274"/>
    </row>
    <row r="136" spans="2:9" ht="13.5" customHeight="1" thickBot="1" x14ac:dyDescent="0.25"/>
    <row r="137" spans="2:9" ht="17.25" customHeight="1" x14ac:dyDescent="0.2">
      <c r="B137" s="2259" t="s">
        <v>153</v>
      </c>
      <c r="C137" s="2260"/>
      <c r="D137" s="2275" t="s">
        <v>156</v>
      </c>
      <c r="E137" s="2275" t="s">
        <v>513</v>
      </c>
      <c r="F137" s="1815"/>
      <c r="G137" s="2264" t="s">
        <v>157</v>
      </c>
      <c r="H137" s="2266" t="s">
        <v>1759</v>
      </c>
    </row>
    <row r="138" spans="2:9" x14ac:dyDescent="0.2">
      <c r="B138" s="2278" t="s">
        <v>154</v>
      </c>
      <c r="C138" s="2280" t="s">
        <v>155</v>
      </c>
      <c r="D138" s="2276"/>
      <c r="E138" s="2276"/>
      <c r="F138" s="1816"/>
      <c r="G138" s="2265"/>
      <c r="H138" s="2267"/>
    </row>
    <row r="139" spans="2:9" ht="27.6" customHeight="1" x14ac:dyDescent="0.2">
      <c r="B139" s="2279"/>
      <c r="C139" s="2281"/>
      <c r="D139" s="2277"/>
      <c r="E139" s="2277"/>
      <c r="F139" s="1817"/>
      <c r="G139" s="256" t="s">
        <v>149</v>
      </c>
      <c r="H139" s="259" t="s">
        <v>148</v>
      </c>
    </row>
    <row r="140" spans="2:9" x14ac:dyDescent="0.2">
      <c r="B140" s="260"/>
      <c r="C140" s="234"/>
      <c r="D140" s="215"/>
      <c r="E140" s="215"/>
      <c r="F140" s="215"/>
      <c r="G140" s="215"/>
      <c r="H140" s="1519"/>
    </row>
    <row r="141" spans="2:9" x14ac:dyDescent="0.2">
      <c r="B141" s="234"/>
      <c r="C141" s="215"/>
      <c r="D141" s="215"/>
      <c r="E141" s="215"/>
      <c r="F141" s="215"/>
      <c r="G141" s="215"/>
      <c r="H141" s="1519"/>
    </row>
    <row r="145" spans="2:9" x14ac:dyDescent="0.2">
      <c r="C145" s="189" t="s">
        <v>21</v>
      </c>
      <c r="D145" s="1691" t="s">
        <v>1571</v>
      </c>
    </row>
    <row r="146" spans="2:9" x14ac:dyDescent="0.2">
      <c r="D146" s="189"/>
      <c r="E146" s="255"/>
      <c r="F146" s="255"/>
    </row>
    <row r="147" spans="2:9" ht="16.5" thickBot="1" x14ac:dyDescent="0.3">
      <c r="B147" s="2274" t="s">
        <v>211</v>
      </c>
      <c r="C147" s="2274"/>
      <c r="D147" s="2274"/>
      <c r="E147" s="2274"/>
      <c r="F147" s="2274"/>
      <c r="G147" s="2274"/>
      <c r="H147" s="2274"/>
    </row>
    <row r="148" spans="2:9" ht="13.5" customHeight="1" x14ac:dyDescent="0.2">
      <c r="B148" s="2259" t="s">
        <v>153</v>
      </c>
      <c r="C148" s="2260"/>
      <c r="D148" s="2261" t="s">
        <v>156</v>
      </c>
      <c r="E148" s="2261" t="s">
        <v>513</v>
      </c>
      <c r="F148" s="1812"/>
      <c r="G148" s="2264" t="s">
        <v>157</v>
      </c>
      <c r="H148" s="2266" t="s">
        <v>1759</v>
      </c>
      <c r="I148" s="1818"/>
    </row>
    <row r="149" spans="2:9" ht="28.15" customHeight="1" x14ac:dyDescent="0.2">
      <c r="B149" s="2269" t="s">
        <v>154</v>
      </c>
      <c r="C149" s="2271" t="s">
        <v>155</v>
      </c>
      <c r="D149" s="2262"/>
      <c r="E149" s="2262"/>
      <c r="F149" s="1813" t="s">
        <v>1750</v>
      </c>
      <c r="G149" s="2265"/>
      <c r="H149" s="2267"/>
      <c r="I149" s="1818"/>
    </row>
    <row r="150" spans="2:9" x14ac:dyDescent="0.2">
      <c r="B150" s="2270"/>
      <c r="C150" s="2272"/>
      <c r="D150" s="2263"/>
      <c r="E150" s="2263"/>
      <c r="F150" s="1814"/>
      <c r="G150" s="256" t="s">
        <v>148</v>
      </c>
      <c r="H150" s="256" t="s">
        <v>148</v>
      </c>
      <c r="I150" s="257"/>
    </row>
    <row r="151" spans="2:9" ht="38.25" x14ac:dyDescent="0.2">
      <c r="B151" s="1822" t="s">
        <v>1457</v>
      </c>
      <c r="C151" s="1822" t="s">
        <v>1458</v>
      </c>
      <c r="D151" s="1585" t="s">
        <v>1773</v>
      </c>
      <c r="E151" s="1649" t="s">
        <v>1745</v>
      </c>
      <c r="F151" s="1819">
        <f t="shared" ref="F151:F162" si="4">G151/H151</f>
        <v>0.78166247766585117</v>
      </c>
      <c r="G151" s="1650">
        <v>1016646.18</v>
      </c>
      <c r="H151" s="1650">
        <v>1300620.4200000002</v>
      </c>
      <c r="I151" s="258"/>
    </row>
    <row r="152" spans="2:9" ht="25.5" x14ac:dyDescent="0.2">
      <c r="B152" s="1822" t="s">
        <v>1457</v>
      </c>
      <c r="C152" s="1822" t="s">
        <v>1458</v>
      </c>
      <c r="D152" s="1585" t="s">
        <v>1774</v>
      </c>
      <c r="E152" s="1649" t="s">
        <v>1775</v>
      </c>
      <c r="F152" s="1819">
        <f t="shared" si="4"/>
        <v>0.99999999999999967</v>
      </c>
      <c r="G152" s="1650">
        <v>200011.27999999997</v>
      </c>
      <c r="H152" s="1650">
        <v>200011.28000000003</v>
      </c>
      <c r="I152" s="258"/>
    </row>
    <row r="153" spans="2:9" ht="51" x14ac:dyDescent="0.2">
      <c r="B153" s="1822" t="s">
        <v>1457</v>
      </c>
      <c r="C153" s="1822" t="s">
        <v>1458</v>
      </c>
      <c r="D153" s="1649" t="s">
        <v>1768</v>
      </c>
      <c r="E153" s="1649" t="s">
        <v>1769</v>
      </c>
      <c r="F153" s="1819">
        <f t="shared" si="4"/>
        <v>0.85870012371729176</v>
      </c>
      <c r="G153" s="1650">
        <v>334749.07000000007</v>
      </c>
      <c r="H153" s="1650">
        <v>389832.32999999996</v>
      </c>
      <c r="I153" s="258"/>
    </row>
    <row r="154" spans="2:9" ht="25.5" x14ac:dyDescent="0.2">
      <c r="B154" s="1822" t="s">
        <v>1457</v>
      </c>
      <c r="C154" s="1822" t="s">
        <v>1458</v>
      </c>
      <c r="D154" s="1649" t="s">
        <v>1767</v>
      </c>
      <c r="E154" s="1649" t="s">
        <v>1771</v>
      </c>
      <c r="F154" s="1819">
        <f t="shared" si="4"/>
        <v>0.96999997924169945</v>
      </c>
      <c r="G154" s="1650">
        <v>233641.47</v>
      </c>
      <c r="H154" s="1650">
        <v>240867.49999999997</v>
      </c>
      <c r="I154" s="258"/>
    </row>
    <row r="155" spans="2:9" ht="38.25" x14ac:dyDescent="0.2">
      <c r="B155" s="1822" t="s">
        <v>1457</v>
      </c>
      <c r="C155" s="1822" t="s">
        <v>1458</v>
      </c>
      <c r="D155" s="1649" t="s">
        <v>1765</v>
      </c>
      <c r="E155" s="1649" t="s">
        <v>1770</v>
      </c>
      <c r="F155" s="1819">
        <f t="shared" si="4"/>
        <v>1</v>
      </c>
      <c r="G155" s="1650">
        <v>150826.28</v>
      </c>
      <c r="H155" s="1650">
        <v>150826.28</v>
      </c>
      <c r="I155" s="258"/>
    </row>
    <row r="156" spans="2:9" ht="25.5" x14ac:dyDescent="0.2">
      <c r="B156" s="1822" t="s">
        <v>1457</v>
      </c>
      <c r="C156" s="1822" t="s">
        <v>1458</v>
      </c>
      <c r="D156" s="1649" t="s">
        <v>1766</v>
      </c>
      <c r="E156" s="1649" t="s">
        <v>1174</v>
      </c>
      <c r="F156" s="1819">
        <f t="shared" si="4"/>
        <v>0.79048725332675596</v>
      </c>
      <c r="G156" s="1650">
        <v>225366.58</v>
      </c>
      <c r="H156" s="1650">
        <v>285098.31</v>
      </c>
      <c r="I156" s="258"/>
    </row>
    <row r="157" spans="2:9" ht="89.25" x14ac:dyDescent="0.2">
      <c r="B157" s="1822" t="s">
        <v>1457</v>
      </c>
      <c r="C157" s="1822" t="s">
        <v>1458</v>
      </c>
      <c r="D157" s="1649" t="s">
        <v>1743</v>
      </c>
      <c r="E157" s="1649" t="s">
        <v>1747</v>
      </c>
      <c r="F157" s="1819">
        <f t="shared" si="4"/>
        <v>0.4684026932929316</v>
      </c>
      <c r="G157" s="1650">
        <v>464251.5400000001</v>
      </c>
      <c r="H157" s="1650">
        <v>991137.64000000013</v>
      </c>
      <c r="I157" s="258"/>
    </row>
    <row r="158" spans="2:9" ht="89.25" x14ac:dyDescent="0.2">
      <c r="B158" s="1822" t="s">
        <v>1457</v>
      </c>
      <c r="C158" s="1822" t="s">
        <v>1458</v>
      </c>
      <c r="D158" s="1649" t="s">
        <v>1772</v>
      </c>
      <c r="E158" s="1649" t="s">
        <v>1751</v>
      </c>
      <c r="F158" s="1819">
        <f t="shared" si="4"/>
        <v>0.77874027772489973</v>
      </c>
      <c r="G158" s="1650">
        <v>682969.41999999993</v>
      </c>
      <c r="H158" s="1650">
        <v>877018.22999999986</v>
      </c>
      <c r="I158" s="258"/>
    </row>
    <row r="159" spans="2:9" ht="63.75" x14ac:dyDescent="0.2">
      <c r="B159" s="1822" t="s">
        <v>1457</v>
      </c>
      <c r="C159" s="1822" t="s">
        <v>1458</v>
      </c>
      <c r="D159" s="1649" t="s">
        <v>1744</v>
      </c>
      <c r="E159" s="1649" t="s">
        <v>1748</v>
      </c>
      <c r="F159" s="1819">
        <f t="shared" si="4"/>
        <v>0.81519960182615003</v>
      </c>
      <c r="G159" s="1650">
        <v>1928911.04</v>
      </c>
      <c r="H159" s="1650">
        <v>2366182.5099999998</v>
      </c>
      <c r="I159" s="258"/>
    </row>
    <row r="160" spans="2:9" ht="38.25" x14ac:dyDescent="0.2">
      <c r="B160" s="1822" t="s">
        <v>1457</v>
      </c>
      <c r="C160" s="1822" t="s">
        <v>1458</v>
      </c>
      <c r="D160" s="1649" t="s">
        <v>1746</v>
      </c>
      <c r="E160" s="1649" t="s">
        <v>1749</v>
      </c>
      <c r="F160" s="1819">
        <f t="shared" si="4"/>
        <v>0.71772921361641551</v>
      </c>
      <c r="G160" s="1650">
        <v>16943.290000000019</v>
      </c>
      <c r="H160" s="1650">
        <v>23606.800000000028</v>
      </c>
      <c r="I160" s="258"/>
    </row>
    <row r="161" spans="2:9" ht="25.5" x14ac:dyDescent="0.2">
      <c r="B161" s="1822" t="s">
        <v>1457</v>
      </c>
      <c r="C161" s="1822" t="s">
        <v>1458</v>
      </c>
      <c r="D161" s="1649" t="s">
        <v>1508</v>
      </c>
      <c r="E161" s="1649" t="s">
        <v>1595</v>
      </c>
      <c r="F161" s="1819">
        <f t="shared" si="4"/>
        <v>0.49999956543467405</v>
      </c>
      <c r="G161" s="1650">
        <v>28764.35</v>
      </c>
      <c r="H161" s="1650">
        <v>57528.749999999985</v>
      </c>
    </row>
    <row r="162" spans="2:9" ht="25.5" x14ac:dyDescent="0.2">
      <c r="B162" s="1692" t="s">
        <v>1457</v>
      </c>
      <c r="C162" s="1692" t="s">
        <v>1458</v>
      </c>
      <c r="D162" s="1649" t="s">
        <v>1757</v>
      </c>
      <c r="E162" s="1585" t="s">
        <v>1758</v>
      </c>
      <c r="F162" s="1819">
        <f t="shared" si="4"/>
        <v>0.90960589550891568</v>
      </c>
      <c r="G162" s="1518">
        <v>433463.92999999993</v>
      </c>
      <c r="H162" s="1518">
        <v>476540.36999999988</v>
      </c>
    </row>
    <row r="163" spans="2:9" ht="38.25" x14ac:dyDescent="0.2">
      <c r="B163" s="1692" t="s">
        <v>1458</v>
      </c>
      <c r="C163" s="1692" t="s">
        <v>1457</v>
      </c>
      <c r="D163" s="1823" t="s">
        <v>1459</v>
      </c>
      <c r="E163" s="1585" t="s">
        <v>1564</v>
      </c>
      <c r="F163" s="1819">
        <f>(H163-G163)/H163</f>
        <v>0.93414055443934385</v>
      </c>
      <c r="G163" s="1518">
        <v>78487.960000000065</v>
      </c>
      <c r="H163" s="1518">
        <v>1191749.479999996</v>
      </c>
    </row>
    <row r="164" spans="2:9" ht="38.25" x14ac:dyDescent="0.2">
      <c r="B164" s="1692" t="s">
        <v>1458</v>
      </c>
      <c r="C164" s="1692" t="s">
        <v>1457</v>
      </c>
      <c r="D164" s="1822" t="s">
        <v>1565</v>
      </c>
      <c r="E164" s="1692" t="s">
        <v>1566</v>
      </c>
      <c r="F164" s="1819">
        <v>1</v>
      </c>
      <c r="G164" s="1518">
        <v>484458.73999999993</v>
      </c>
      <c r="H164" s="1518">
        <v>484458.73999999993</v>
      </c>
    </row>
    <row r="165" spans="2:9" ht="38.25" x14ac:dyDescent="0.2">
      <c r="B165" s="1692" t="s">
        <v>1458</v>
      </c>
      <c r="C165" s="1692" t="s">
        <v>1457</v>
      </c>
      <c r="D165" s="1649" t="s">
        <v>1567</v>
      </c>
      <c r="E165" s="1821" t="s">
        <v>1760</v>
      </c>
      <c r="F165" s="1819">
        <f>G165/H165</f>
        <v>2.7801863033789838</v>
      </c>
      <c r="G165" s="1518">
        <v>61233.9</v>
      </c>
      <c r="H165" s="1518">
        <v>22025.106707984829</v>
      </c>
    </row>
    <row r="166" spans="2:9" ht="39" thickBot="1" x14ac:dyDescent="0.25">
      <c r="B166" s="1692" t="s">
        <v>1458</v>
      </c>
      <c r="C166" s="1692" t="s">
        <v>1457</v>
      </c>
      <c r="D166" s="1649" t="s">
        <v>1567</v>
      </c>
      <c r="E166" s="1648" t="s">
        <v>1761</v>
      </c>
      <c r="F166" s="1819">
        <f>(H166-G166)/H166</f>
        <v>0.770946742920124</v>
      </c>
      <c r="G166" s="1518">
        <v>189398.98</v>
      </c>
      <c r="H166" s="1518">
        <v>826877.48</v>
      </c>
    </row>
    <row r="169" spans="2:9" x14ac:dyDescent="0.2">
      <c r="C169" s="189" t="s">
        <v>21</v>
      </c>
      <c r="D169" s="1691" t="s">
        <v>1572</v>
      </c>
    </row>
    <row r="170" spans="2:9" x14ac:dyDescent="0.2">
      <c r="D170" s="189"/>
      <c r="E170" s="255"/>
      <c r="F170" s="255"/>
    </row>
    <row r="171" spans="2:9" ht="16.5" thickBot="1" x14ac:dyDescent="0.3">
      <c r="B171" s="2274" t="s">
        <v>211</v>
      </c>
      <c r="C171" s="2274"/>
      <c r="D171" s="2274"/>
      <c r="E171" s="2274"/>
      <c r="F171" s="2274"/>
      <c r="G171" s="2274"/>
      <c r="H171" s="2274"/>
    </row>
    <row r="172" spans="2:9" ht="13.5" customHeight="1" x14ac:dyDescent="0.2">
      <c r="B172" s="2259" t="s">
        <v>153</v>
      </c>
      <c r="C172" s="2260"/>
      <c r="D172" s="2261" t="s">
        <v>156</v>
      </c>
      <c r="E172" s="2261" t="s">
        <v>513</v>
      </c>
      <c r="F172" s="1812"/>
      <c r="G172" s="2264" t="s">
        <v>157</v>
      </c>
      <c r="H172" s="2266" t="s">
        <v>1759</v>
      </c>
      <c r="I172" s="1818"/>
    </row>
    <row r="173" spans="2:9" ht="28.15" customHeight="1" x14ac:dyDescent="0.2">
      <c r="B173" s="2269" t="s">
        <v>154</v>
      </c>
      <c r="C173" s="2271" t="s">
        <v>155</v>
      </c>
      <c r="D173" s="2262"/>
      <c r="E173" s="2262"/>
      <c r="F173" s="1813" t="s">
        <v>1750</v>
      </c>
      <c r="G173" s="2265"/>
      <c r="H173" s="2267"/>
      <c r="I173" s="1818"/>
    </row>
    <row r="174" spans="2:9" x14ac:dyDescent="0.2">
      <c r="B174" s="2270"/>
      <c r="C174" s="2272"/>
      <c r="D174" s="2263"/>
      <c r="E174" s="2263"/>
      <c r="F174" s="1814"/>
      <c r="G174" s="256" t="s">
        <v>148</v>
      </c>
      <c r="H174" s="256" t="s">
        <v>148</v>
      </c>
      <c r="I174" s="257"/>
    </row>
    <row r="175" spans="2:9" ht="38.25" x14ac:dyDescent="0.2">
      <c r="B175" s="1822" t="s">
        <v>1457</v>
      </c>
      <c r="C175" s="1822" t="s">
        <v>1458</v>
      </c>
      <c r="D175" s="1585" t="s">
        <v>1773</v>
      </c>
      <c r="E175" s="1649" t="s">
        <v>1745</v>
      </c>
      <c r="F175" s="1819">
        <f t="shared" ref="F175:F186" si="5">G175/H175</f>
        <v>0.83339843492906862</v>
      </c>
      <c r="G175" s="1650">
        <v>1087082.51</v>
      </c>
      <c r="H175" s="1650">
        <v>1304397.1099999999</v>
      </c>
      <c r="I175" s="258"/>
    </row>
    <row r="176" spans="2:9" ht="25.5" x14ac:dyDescent="0.2">
      <c r="B176" s="1822" t="s">
        <v>1457</v>
      </c>
      <c r="C176" s="1822" t="s">
        <v>1458</v>
      </c>
      <c r="D176" s="1585" t="s">
        <v>1774</v>
      </c>
      <c r="E176" s="1649" t="s">
        <v>1775</v>
      </c>
      <c r="F176" s="1819">
        <f t="shared" si="5"/>
        <v>1.0000000000000004</v>
      </c>
      <c r="G176" s="1650">
        <v>257177.25000000006</v>
      </c>
      <c r="H176" s="1650">
        <v>257177.24999999997</v>
      </c>
      <c r="I176" s="258"/>
    </row>
    <row r="177" spans="2:9" ht="51" x14ac:dyDescent="0.2">
      <c r="B177" s="1822" t="s">
        <v>1457</v>
      </c>
      <c r="C177" s="1822" t="s">
        <v>1458</v>
      </c>
      <c r="D177" s="1649" t="s">
        <v>1768</v>
      </c>
      <c r="E177" s="1649" t="s">
        <v>1769</v>
      </c>
      <c r="F177" s="1819">
        <f t="shared" si="5"/>
        <v>0.8900000067715057</v>
      </c>
      <c r="G177" s="1650">
        <v>354869.32000000007</v>
      </c>
      <c r="H177" s="1650">
        <v>398729.57000000059</v>
      </c>
      <c r="I177" s="258"/>
    </row>
    <row r="178" spans="2:9" ht="25.5" x14ac:dyDescent="0.2">
      <c r="B178" s="1822" t="s">
        <v>1457</v>
      </c>
      <c r="C178" s="1822" t="s">
        <v>1458</v>
      </c>
      <c r="D178" s="1649" t="s">
        <v>1767</v>
      </c>
      <c r="E178" s="1649" t="s">
        <v>1771</v>
      </c>
      <c r="F178" s="1819">
        <f t="shared" si="5"/>
        <v>0.98300008190833821</v>
      </c>
      <c r="G178" s="1650">
        <v>262106.66999999995</v>
      </c>
      <c r="H178" s="1650">
        <v>266639.51999999996</v>
      </c>
      <c r="I178" s="258"/>
    </row>
    <row r="179" spans="2:9" ht="38.25" x14ac:dyDescent="0.2">
      <c r="B179" s="1822" t="s">
        <v>1457</v>
      </c>
      <c r="C179" s="1822" t="s">
        <v>1458</v>
      </c>
      <c r="D179" s="1649" t="s">
        <v>1765</v>
      </c>
      <c r="E179" s="1649" t="s">
        <v>1770</v>
      </c>
      <c r="F179" s="1819">
        <f t="shared" si="5"/>
        <v>1.0000000000000007</v>
      </c>
      <c r="G179" s="1650">
        <v>127692.36000000002</v>
      </c>
      <c r="H179" s="1650">
        <v>127692.35999999993</v>
      </c>
      <c r="I179" s="258"/>
    </row>
    <row r="180" spans="2:9" ht="25.5" x14ac:dyDescent="0.2">
      <c r="B180" s="1822" t="s">
        <v>1457</v>
      </c>
      <c r="C180" s="1822" t="s">
        <v>1458</v>
      </c>
      <c r="D180" s="1649" t="s">
        <v>1766</v>
      </c>
      <c r="E180" s="1649" t="s">
        <v>1174</v>
      </c>
      <c r="F180" s="1819">
        <f t="shared" si="5"/>
        <v>0.80586839185459991</v>
      </c>
      <c r="G180" s="1650">
        <v>225217.10708605062</v>
      </c>
      <c r="H180" s="1650">
        <v>279471.32480000006</v>
      </c>
      <c r="I180" s="258"/>
    </row>
    <row r="181" spans="2:9" ht="89.25" x14ac:dyDescent="0.2">
      <c r="B181" s="1822" t="s">
        <v>1457</v>
      </c>
      <c r="C181" s="1822" t="s">
        <v>1458</v>
      </c>
      <c r="D181" s="1649" t="s">
        <v>1743</v>
      </c>
      <c r="E181" s="1649" t="s">
        <v>1747</v>
      </c>
      <c r="F181" s="1819">
        <f t="shared" si="5"/>
        <v>0.4835870070253192</v>
      </c>
      <c r="G181" s="1650">
        <v>498269.5500000001</v>
      </c>
      <c r="H181" s="1650">
        <v>1030361.74</v>
      </c>
      <c r="I181" s="258"/>
    </row>
    <row r="182" spans="2:9" ht="89.25" x14ac:dyDescent="0.2">
      <c r="B182" s="1822" t="s">
        <v>1457</v>
      </c>
      <c r="C182" s="1822" t="s">
        <v>1458</v>
      </c>
      <c r="D182" s="1649" t="s">
        <v>1772</v>
      </c>
      <c r="E182" s="1649" t="s">
        <v>1751</v>
      </c>
      <c r="F182" s="1819">
        <f t="shared" si="5"/>
        <v>0.53740475145109423</v>
      </c>
      <c r="G182" s="1650">
        <v>373786.92000000004</v>
      </c>
      <c r="H182" s="1650">
        <v>695540.77999999968</v>
      </c>
      <c r="I182" s="258"/>
    </row>
    <row r="183" spans="2:9" ht="63.75" x14ac:dyDescent="0.2">
      <c r="B183" s="1822" t="s">
        <v>1457</v>
      </c>
      <c r="C183" s="1822" t="s">
        <v>1458</v>
      </c>
      <c r="D183" s="1649" t="s">
        <v>1744</v>
      </c>
      <c r="E183" s="1649" t="s">
        <v>1748</v>
      </c>
      <c r="F183" s="1819">
        <f t="shared" si="5"/>
        <v>0.75078069924135937</v>
      </c>
      <c r="G183" s="1650">
        <v>2073049.1800000004</v>
      </c>
      <c r="H183" s="1650">
        <v>2761191.3600000003</v>
      </c>
      <c r="I183" s="258"/>
    </row>
    <row r="184" spans="2:9" ht="38.25" x14ac:dyDescent="0.2">
      <c r="B184" s="1822" t="s">
        <v>1457</v>
      </c>
      <c r="C184" s="1822" t="s">
        <v>1458</v>
      </c>
      <c r="D184" s="1585" t="s">
        <v>1746</v>
      </c>
      <c r="E184" s="1649" t="s">
        <v>1749</v>
      </c>
      <c r="F184" s="1819">
        <f t="shared" si="5"/>
        <v>0.86196656020367557</v>
      </c>
      <c r="G184" s="1650">
        <v>50033.030000000006</v>
      </c>
      <c r="H184" s="1650">
        <v>58045.210000000014</v>
      </c>
      <c r="I184" s="258"/>
    </row>
    <row r="185" spans="2:9" ht="25.5" x14ac:dyDescent="0.2">
      <c r="B185" s="1822" t="s">
        <v>1457</v>
      </c>
      <c r="C185" s="1822" t="s">
        <v>1458</v>
      </c>
      <c r="D185" s="1585" t="s">
        <v>1508</v>
      </c>
      <c r="E185" s="1649" t="s">
        <v>1595</v>
      </c>
      <c r="F185" s="1819">
        <f t="shared" si="5"/>
        <v>0.5553676041393425</v>
      </c>
      <c r="G185" s="1650">
        <v>35251.320000000007</v>
      </c>
      <c r="H185" s="1650">
        <v>63473.85</v>
      </c>
    </row>
    <row r="186" spans="2:9" ht="25.5" x14ac:dyDescent="0.2">
      <c r="B186" s="1692" t="s">
        <v>1457</v>
      </c>
      <c r="C186" s="1692" t="s">
        <v>1458</v>
      </c>
      <c r="D186" s="1585" t="s">
        <v>1757</v>
      </c>
      <c r="E186" s="1585" t="s">
        <v>1758</v>
      </c>
      <c r="F186" s="1819">
        <f t="shared" si="5"/>
        <v>0.91799407241731423</v>
      </c>
      <c r="G186" s="1518">
        <v>476299.48347518547</v>
      </c>
      <c r="H186" s="1518">
        <v>518848.10347518534</v>
      </c>
    </row>
    <row r="187" spans="2:9" ht="38.25" x14ac:dyDescent="0.2">
      <c r="B187" s="1692" t="s">
        <v>1458</v>
      </c>
      <c r="C187" s="1692" t="s">
        <v>1457</v>
      </c>
      <c r="D187" s="1592" t="s">
        <v>1459</v>
      </c>
      <c r="E187" s="1585" t="s">
        <v>1564</v>
      </c>
      <c r="F187" s="1819">
        <f>(H187-G187)/H187</f>
        <v>0.91867472696125041</v>
      </c>
      <c r="G187" s="1518">
        <v>91751.600000000384</v>
      </c>
      <c r="H187" s="1518">
        <v>1128205.2499999956</v>
      </c>
    </row>
    <row r="188" spans="2:9" ht="38.25" x14ac:dyDescent="0.2">
      <c r="B188" s="1692" t="s">
        <v>1458</v>
      </c>
      <c r="C188" s="1692" t="s">
        <v>1457</v>
      </c>
      <c r="D188" s="1692" t="s">
        <v>1565</v>
      </c>
      <c r="E188" s="1692" t="s">
        <v>1566</v>
      </c>
      <c r="F188" s="1819">
        <v>1</v>
      </c>
      <c r="G188" s="1518">
        <v>503245.75</v>
      </c>
      <c r="H188" s="1518">
        <v>503245.75</v>
      </c>
    </row>
    <row r="189" spans="2:9" ht="38.25" x14ac:dyDescent="0.2">
      <c r="B189" s="1692" t="s">
        <v>1458</v>
      </c>
      <c r="C189" s="1692" t="s">
        <v>1457</v>
      </c>
      <c r="D189" s="1585" t="s">
        <v>1567</v>
      </c>
      <c r="E189" s="1821" t="s">
        <v>1760</v>
      </c>
      <c r="F189" s="1819">
        <f>G189/H189</f>
        <v>3.2665115890395544</v>
      </c>
      <c r="G189" s="1518">
        <v>59806.92</v>
      </c>
      <c r="H189" s="1518">
        <v>18309.11</v>
      </c>
    </row>
    <row r="190" spans="2:9" ht="13.5" customHeight="1" thickBot="1" x14ac:dyDescent="0.25">
      <c r="B190" s="1692" t="s">
        <v>1458</v>
      </c>
      <c r="C190" s="1692" t="s">
        <v>1457</v>
      </c>
      <c r="D190" s="1585" t="s">
        <v>1567</v>
      </c>
      <c r="E190" s="1648" t="s">
        <v>1761</v>
      </c>
      <c r="F190" s="1819">
        <f>(H190-G190)/H190</f>
        <v>0.843646641029561</v>
      </c>
      <c r="G190" s="1518">
        <v>109605.67</v>
      </c>
      <c r="H190" s="1518">
        <v>701012.57000000007</v>
      </c>
      <c r="I190" s="1818"/>
    </row>
    <row r="192" spans="2:9" ht="15.75" x14ac:dyDescent="0.25">
      <c r="B192" s="2274" t="s">
        <v>210</v>
      </c>
      <c r="C192" s="2274"/>
      <c r="D192" s="2274"/>
      <c r="E192" s="2274"/>
      <c r="F192" s="2274"/>
      <c r="G192" s="2274"/>
      <c r="H192" s="2274"/>
    </row>
    <row r="193" spans="2:9" ht="13.5" customHeight="1" thickBot="1" x14ac:dyDescent="0.25"/>
    <row r="194" spans="2:9" ht="17.25" customHeight="1" x14ac:dyDescent="0.2">
      <c r="B194" s="2259" t="s">
        <v>153</v>
      </c>
      <c r="C194" s="2260"/>
      <c r="D194" s="2275" t="s">
        <v>156</v>
      </c>
      <c r="E194" s="2275" t="s">
        <v>513</v>
      </c>
      <c r="F194" s="1815"/>
      <c r="G194" s="2264" t="s">
        <v>157</v>
      </c>
      <c r="H194" s="2266" t="s">
        <v>1759</v>
      </c>
    </row>
    <row r="195" spans="2:9" x14ac:dyDescent="0.2">
      <c r="B195" s="2278" t="s">
        <v>154</v>
      </c>
      <c r="C195" s="2280" t="s">
        <v>155</v>
      </c>
      <c r="D195" s="2276"/>
      <c r="E195" s="2276"/>
      <c r="F195" s="1816"/>
      <c r="G195" s="2265"/>
      <c r="H195" s="2267"/>
    </row>
    <row r="196" spans="2:9" x14ac:dyDescent="0.2">
      <c r="B196" s="2279"/>
      <c r="C196" s="2281"/>
      <c r="D196" s="2277"/>
      <c r="E196" s="2277"/>
      <c r="F196" s="1817"/>
      <c r="G196" s="256" t="s">
        <v>149</v>
      </c>
      <c r="H196" s="259" t="s">
        <v>148</v>
      </c>
    </row>
    <row r="197" spans="2:9" x14ac:dyDescent="0.2">
      <c r="B197" s="260"/>
      <c r="C197" s="234"/>
      <c r="D197" s="215"/>
      <c r="E197" s="215"/>
      <c r="F197" s="215"/>
      <c r="G197" s="215"/>
      <c r="H197" s="1519"/>
    </row>
    <row r="198" spans="2:9" x14ac:dyDescent="0.2">
      <c r="B198" s="234"/>
      <c r="C198" s="215"/>
      <c r="D198" s="215"/>
      <c r="E198" s="215"/>
      <c r="F198" s="215"/>
      <c r="G198" s="215"/>
      <c r="H198" s="1519"/>
    </row>
    <row r="202" spans="2:9" x14ac:dyDescent="0.2">
      <c r="C202" s="189" t="s">
        <v>21</v>
      </c>
      <c r="D202" s="1691" t="s">
        <v>1573</v>
      </c>
    </row>
    <row r="203" spans="2:9" x14ac:dyDescent="0.2">
      <c r="D203" s="189"/>
      <c r="E203" s="255"/>
      <c r="F203" s="255"/>
    </row>
    <row r="204" spans="2:9" ht="16.5" thickBot="1" x14ac:dyDescent="0.3">
      <c r="B204" s="2274" t="s">
        <v>211</v>
      </c>
      <c r="C204" s="2274"/>
      <c r="D204" s="2274"/>
      <c r="E204" s="2274"/>
      <c r="F204" s="2274"/>
      <c r="G204" s="2274"/>
      <c r="H204" s="2274"/>
    </row>
    <row r="205" spans="2:9" ht="13.5" customHeight="1" x14ac:dyDescent="0.2">
      <c r="B205" s="2259" t="s">
        <v>153</v>
      </c>
      <c r="C205" s="2260"/>
      <c r="D205" s="2261" t="s">
        <v>156</v>
      </c>
      <c r="E205" s="2261" t="s">
        <v>513</v>
      </c>
      <c r="F205" s="1812"/>
      <c r="G205" s="2264" t="s">
        <v>157</v>
      </c>
      <c r="H205" s="2266" t="s">
        <v>1759</v>
      </c>
      <c r="I205" s="1818"/>
    </row>
    <row r="206" spans="2:9" ht="28.15" customHeight="1" x14ac:dyDescent="0.2">
      <c r="B206" s="2269" t="s">
        <v>154</v>
      </c>
      <c r="C206" s="2271" t="s">
        <v>155</v>
      </c>
      <c r="D206" s="2262"/>
      <c r="E206" s="2262"/>
      <c r="F206" s="1813" t="s">
        <v>1750</v>
      </c>
      <c r="G206" s="2265"/>
      <c r="H206" s="2267"/>
      <c r="I206" s="1818"/>
    </row>
    <row r="207" spans="2:9" x14ac:dyDescent="0.2">
      <c r="B207" s="2270"/>
      <c r="C207" s="2272"/>
      <c r="D207" s="2263"/>
      <c r="E207" s="2263"/>
      <c r="F207" s="1814"/>
      <c r="G207" s="256" t="s">
        <v>148</v>
      </c>
      <c r="H207" s="256" t="s">
        <v>148</v>
      </c>
      <c r="I207" s="257"/>
    </row>
    <row r="208" spans="2:9" ht="38.25" x14ac:dyDescent="0.2">
      <c r="B208" s="1822" t="s">
        <v>1457</v>
      </c>
      <c r="C208" s="1822" t="s">
        <v>1458</v>
      </c>
      <c r="D208" s="1585" t="s">
        <v>1773</v>
      </c>
      <c r="E208" s="1649" t="s">
        <v>1745</v>
      </c>
      <c r="F208" s="1819">
        <f t="shared" ref="F208:F219" si="6">G208/H208</f>
        <v>0.83113374116373906</v>
      </c>
      <c r="G208" s="1650">
        <v>1080876.98</v>
      </c>
      <c r="H208" s="1650">
        <v>1300485.02</v>
      </c>
      <c r="I208" s="258"/>
    </row>
    <row r="209" spans="2:9" ht="25.5" x14ac:dyDescent="0.2">
      <c r="B209" s="1822" t="s">
        <v>1457</v>
      </c>
      <c r="C209" s="1822" t="s">
        <v>1458</v>
      </c>
      <c r="D209" s="1585" t="s">
        <v>1774</v>
      </c>
      <c r="E209" s="1649" t="s">
        <v>1775</v>
      </c>
      <c r="F209" s="1819">
        <f t="shared" si="6"/>
        <v>1</v>
      </c>
      <c r="G209" s="1650">
        <v>253456.02999999997</v>
      </c>
      <c r="H209" s="1650">
        <v>253456.02999999997</v>
      </c>
      <c r="I209" s="258"/>
    </row>
    <row r="210" spans="2:9" ht="51" x14ac:dyDescent="0.2">
      <c r="B210" s="1822" t="s">
        <v>1457</v>
      </c>
      <c r="C210" s="1822" t="s">
        <v>1458</v>
      </c>
      <c r="D210" s="1649" t="s">
        <v>1768</v>
      </c>
      <c r="E210" s="1649" t="s">
        <v>1769</v>
      </c>
      <c r="F210" s="1819">
        <f t="shared" si="6"/>
        <v>0.89000012036820575</v>
      </c>
      <c r="G210" s="1650">
        <v>334947.30000000005</v>
      </c>
      <c r="H210" s="1650">
        <v>376345.23</v>
      </c>
      <c r="I210" s="258"/>
    </row>
    <row r="211" spans="2:9" ht="25.5" x14ac:dyDescent="0.2">
      <c r="B211" s="1822" t="s">
        <v>1457</v>
      </c>
      <c r="C211" s="1822" t="s">
        <v>1458</v>
      </c>
      <c r="D211" s="1649" t="s">
        <v>1767</v>
      </c>
      <c r="E211" s="1649" t="s">
        <v>1771</v>
      </c>
      <c r="F211" s="1819">
        <f t="shared" si="6"/>
        <v>0.983133132742391</v>
      </c>
      <c r="G211" s="1650">
        <v>336231.03</v>
      </c>
      <c r="H211" s="1650">
        <v>341999.49</v>
      </c>
      <c r="I211" s="258"/>
    </row>
    <row r="212" spans="2:9" ht="38.25" x14ac:dyDescent="0.2">
      <c r="B212" s="1822" t="s">
        <v>1457</v>
      </c>
      <c r="C212" s="1822" t="s">
        <v>1458</v>
      </c>
      <c r="D212" s="1649" t="s">
        <v>1765</v>
      </c>
      <c r="E212" s="1649" t="s">
        <v>1770</v>
      </c>
      <c r="F212" s="1819">
        <f t="shared" si="6"/>
        <v>1</v>
      </c>
      <c r="G212" s="1650">
        <v>126386.63999999998</v>
      </c>
      <c r="H212" s="1650">
        <v>126386.63999999998</v>
      </c>
      <c r="I212" s="258"/>
    </row>
    <row r="213" spans="2:9" ht="25.5" x14ac:dyDescent="0.2">
      <c r="B213" s="1822" t="s">
        <v>1457</v>
      </c>
      <c r="C213" s="1822" t="s">
        <v>1458</v>
      </c>
      <c r="D213" s="1649" t="s">
        <v>1766</v>
      </c>
      <c r="E213" s="1649" t="s">
        <v>1174</v>
      </c>
      <c r="F213" s="1819">
        <f t="shared" si="6"/>
        <v>0.80546621775661742</v>
      </c>
      <c r="G213" s="1650">
        <v>208254.59</v>
      </c>
      <c r="H213" s="1650">
        <v>258551.61322597761</v>
      </c>
      <c r="I213" s="258"/>
    </row>
    <row r="214" spans="2:9" ht="89.25" x14ac:dyDescent="0.2">
      <c r="B214" s="1822" t="s">
        <v>1457</v>
      </c>
      <c r="C214" s="1822" t="s">
        <v>1458</v>
      </c>
      <c r="D214" s="1649" t="s">
        <v>1743</v>
      </c>
      <c r="E214" s="1649" t="s">
        <v>1747</v>
      </c>
      <c r="F214" s="1819">
        <f t="shared" si="6"/>
        <v>0.47949951587419209</v>
      </c>
      <c r="G214" s="1650">
        <v>546046.65</v>
      </c>
      <c r="H214" s="1650">
        <v>1138784.57</v>
      </c>
      <c r="I214" s="258"/>
    </row>
    <row r="215" spans="2:9" ht="89.25" x14ac:dyDescent="0.2">
      <c r="B215" s="1822" t="s">
        <v>1457</v>
      </c>
      <c r="C215" s="1822" t="s">
        <v>1458</v>
      </c>
      <c r="D215" s="1649" t="s">
        <v>1772</v>
      </c>
      <c r="E215" s="1649" t="s">
        <v>1751</v>
      </c>
      <c r="F215" s="1819">
        <f t="shared" si="6"/>
        <v>0.53776171284709584</v>
      </c>
      <c r="G215" s="1650">
        <v>336707.94</v>
      </c>
      <c r="H215" s="1650">
        <v>626128.51</v>
      </c>
      <c r="I215" s="258"/>
    </row>
    <row r="216" spans="2:9" ht="63.75" x14ac:dyDescent="0.2">
      <c r="B216" s="1822" t="s">
        <v>1457</v>
      </c>
      <c r="C216" s="1822" t="s">
        <v>1458</v>
      </c>
      <c r="D216" s="1649" t="s">
        <v>1744</v>
      </c>
      <c r="E216" s="1649" t="s">
        <v>1748</v>
      </c>
      <c r="F216" s="1819">
        <f t="shared" si="6"/>
        <v>0.74746492308295787</v>
      </c>
      <c r="G216" s="1650">
        <v>2130734.4900000002</v>
      </c>
      <c r="H216" s="1650">
        <v>2850614.6900000004</v>
      </c>
      <c r="I216" s="258"/>
    </row>
    <row r="217" spans="2:9" ht="38.25" x14ac:dyDescent="0.2">
      <c r="B217" s="1822" t="s">
        <v>1457</v>
      </c>
      <c r="C217" s="1822" t="s">
        <v>1458</v>
      </c>
      <c r="D217" s="1585" t="s">
        <v>1746</v>
      </c>
      <c r="E217" s="1649" t="s">
        <v>1749</v>
      </c>
      <c r="F217" s="1819">
        <f t="shared" si="6"/>
        <v>0.9429844797344612</v>
      </c>
      <c r="G217" s="1650">
        <v>88109.82</v>
      </c>
      <c r="H217" s="1650">
        <v>93437.19</v>
      </c>
      <c r="I217" s="258"/>
    </row>
    <row r="218" spans="2:9" ht="25.5" x14ac:dyDescent="0.2">
      <c r="B218" s="1822" t="s">
        <v>1457</v>
      </c>
      <c r="C218" s="1822" t="s">
        <v>1458</v>
      </c>
      <c r="D218" s="1585" t="s">
        <v>1508</v>
      </c>
      <c r="E218" s="1649" t="s">
        <v>1595</v>
      </c>
      <c r="F218" s="1819">
        <f t="shared" si="6"/>
        <v>0.55555554326634793</v>
      </c>
      <c r="G218" s="1650">
        <v>50229.759999999995</v>
      </c>
      <c r="H218" s="1650">
        <v>90413.570000000036</v>
      </c>
    </row>
    <row r="219" spans="2:9" ht="25.5" x14ac:dyDescent="0.2">
      <c r="B219" s="1692" t="s">
        <v>1457</v>
      </c>
      <c r="C219" s="1692" t="s">
        <v>1458</v>
      </c>
      <c r="D219" s="1585" t="s">
        <v>1757</v>
      </c>
      <c r="E219" s="1585" t="s">
        <v>1758</v>
      </c>
      <c r="F219" s="1819">
        <f t="shared" si="6"/>
        <v>0.92596737798005968</v>
      </c>
      <c r="G219" s="1518">
        <v>474928.27</v>
      </c>
      <c r="H219" s="1518">
        <v>512899.56999999995</v>
      </c>
    </row>
    <row r="220" spans="2:9" ht="38.25" x14ac:dyDescent="0.2">
      <c r="B220" s="1692" t="s">
        <v>1458</v>
      </c>
      <c r="C220" s="1692" t="s">
        <v>1457</v>
      </c>
      <c r="D220" s="1592" t="s">
        <v>1459</v>
      </c>
      <c r="E220" s="1585" t="s">
        <v>1564</v>
      </c>
      <c r="F220" s="1819">
        <f>(H220-G220)/H220</f>
        <v>0.91634679876127556</v>
      </c>
      <c r="G220" s="1518">
        <v>101083.0299999991</v>
      </c>
      <c r="H220" s="1518">
        <v>1208358.1800000041</v>
      </c>
    </row>
    <row r="221" spans="2:9" ht="38.25" x14ac:dyDescent="0.2">
      <c r="B221" s="1692" t="s">
        <v>1458</v>
      </c>
      <c r="C221" s="1692" t="s">
        <v>1457</v>
      </c>
      <c r="D221" s="1692" t="s">
        <v>1565</v>
      </c>
      <c r="E221" s="1692" t="s">
        <v>1566</v>
      </c>
      <c r="F221" s="1819">
        <v>1</v>
      </c>
      <c r="G221" s="1518">
        <v>483836.8</v>
      </c>
      <c r="H221" s="1518">
        <v>483836.8</v>
      </c>
    </row>
    <row r="222" spans="2:9" ht="38.25" x14ac:dyDescent="0.2">
      <c r="B222" s="1692" t="s">
        <v>1458</v>
      </c>
      <c r="C222" s="1692" t="s">
        <v>1457</v>
      </c>
      <c r="D222" s="1585" t="s">
        <v>1567</v>
      </c>
      <c r="E222" s="1821" t="s">
        <v>1760</v>
      </c>
      <c r="F222" s="1819">
        <f>G222/H222</f>
        <v>2.7741817574588095</v>
      </c>
      <c r="G222" s="1518">
        <v>59806.92</v>
      </c>
      <c r="H222" s="1518">
        <v>21558.400000000001</v>
      </c>
    </row>
    <row r="223" spans="2:9" ht="13.15" customHeight="1" thickBot="1" x14ac:dyDescent="0.25">
      <c r="B223" s="1692" t="s">
        <v>1458</v>
      </c>
      <c r="C223" s="1692" t="s">
        <v>1457</v>
      </c>
      <c r="D223" s="1585" t="s">
        <v>1567</v>
      </c>
      <c r="E223" s="1648" t="s">
        <v>1761</v>
      </c>
      <c r="F223" s="1819">
        <f>(H223-G223)/H223</f>
        <v>0.82420314421050189</v>
      </c>
      <c r="G223" s="1518">
        <v>144562.77000000002</v>
      </c>
      <c r="H223" s="1518">
        <v>822328.53</v>
      </c>
      <c r="I223" s="1818"/>
    </row>
    <row r="225" spans="2:9" ht="15.75" x14ac:dyDescent="0.25">
      <c r="B225" s="2274" t="s">
        <v>210</v>
      </c>
      <c r="C225" s="2274"/>
      <c r="D225" s="2274"/>
      <c r="E225" s="2274"/>
      <c r="F225" s="2274"/>
      <c r="G225" s="2274"/>
      <c r="H225" s="2274"/>
    </row>
    <row r="226" spans="2:9" ht="13.5" customHeight="1" thickBot="1" x14ac:dyDescent="0.25"/>
    <row r="227" spans="2:9" ht="17.25" customHeight="1" x14ac:dyDescent="0.2">
      <c r="B227" s="2259" t="s">
        <v>153</v>
      </c>
      <c r="C227" s="2260"/>
      <c r="D227" s="2275" t="s">
        <v>156</v>
      </c>
      <c r="E227" s="2275" t="s">
        <v>513</v>
      </c>
      <c r="F227" s="1815"/>
      <c r="G227" s="2264" t="s">
        <v>157</v>
      </c>
      <c r="H227" s="2266" t="s">
        <v>1759</v>
      </c>
    </row>
    <row r="228" spans="2:9" x14ac:dyDescent="0.2">
      <c r="B228" s="2278" t="s">
        <v>154</v>
      </c>
      <c r="C228" s="2280" t="s">
        <v>155</v>
      </c>
      <c r="D228" s="2276"/>
      <c r="E228" s="2276"/>
      <c r="F228" s="1816"/>
      <c r="G228" s="2265"/>
      <c r="H228" s="2267"/>
    </row>
    <row r="229" spans="2:9" x14ac:dyDescent="0.2">
      <c r="B229" s="2279"/>
      <c r="C229" s="2281"/>
      <c r="D229" s="2277"/>
      <c r="E229" s="2277"/>
      <c r="F229" s="1817"/>
      <c r="G229" s="256" t="s">
        <v>149</v>
      </c>
      <c r="H229" s="259" t="s">
        <v>148</v>
      </c>
    </row>
    <row r="230" spans="2:9" x14ac:dyDescent="0.2">
      <c r="B230" s="260"/>
      <c r="C230" s="234"/>
      <c r="D230" s="215"/>
      <c r="E230" s="215"/>
      <c r="F230" s="215"/>
      <c r="G230" s="215"/>
      <c r="H230" s="1519"/>
    </row>
    <row r="231" spans="2:9" x14ac:dyDescent="0.2">
      <c r="B231" s="234"/>
      <c r="C231" s="215"/>
      <c r="D231" s="215"/>
      <c r="E231" s="215"/>
      <c r="F231" s="215"/>
      <c r="G231" s="215"/>
      <c r="H231" s="1519"/>
    </row>
    <row r="235" spans="2:9" x14ac:dyDescent="0.2">
      <c r="C235" s="189" t="s">
        <v>21</v>
      </c>
      <c r="D235" s="1691" t="s">
        <v>1574</v>
      </c>
    </row>
    <row r="236" spans="2:9" x14ac:dyDescent="0.2">
      <c r="D236" s="189"/>
      <c r="E236" s="255"/>
      <c r="F236" s="255"/>
    </row>
    <row r="237" spans="2:9" ht="15.75" x14ac:dyDescent="0.25">
      <c r="B237" s="2274" t="s">
        <v>211</v>
      </c>
      <c r="C237" s="2274"/>
      <c r="D237" s="2274"/>
      <c r="E237" s="2274"/>
      <c r="F237" s="2274"/>
      <c r="G237" s="2274"/>
      <c r="H237" s="2274"/>
    </row>
    <row r="238" spans="2:9" ht="13.5" customHeight="1" thickBot="1" x14ac:dyDescent="0.25">
      <c r="I238" s="2268"/>
    </row>
    <row r="239" spans="2:9" ht="13.5" customHeight="1" x14ac:dyDescent="0.2">
      <c r="B239" s="2259" t="s">
        <v>153</v>
      </c>
      <c r="C239" s="2260"/>
      <c r="D239" s="2261" t="s">
        <v>156</v>
      </c>
      <c r="E239" s="2261" t="s">
        <v>513</v>
      </c>
      <c r="F239" s="1812"/>
      <c r="G239" s="2264" t="s">
        <v>157</v>
      </c>
      <c r="H239" s="2266" t="s">
        <v>1759</v>
      </c>
      <c r="I239" s="2268"/>
    </row>
    <row r="240" spans="2:9" ht="28.15" customHeight="1" x14ac:dyDescent="0.2">
      <c r="B240" s="2269" t="s">
        <v>154</v>
      </c>
      <c r="C240" s="2271" t="s">
        <v>155</v>
      </c>
      <c r="D240" s="2262"/>
      <c r="E240" s="2262"/>
      <c r="F240" s="1813" t="s">
        <v>1750</v>
      </c>
      <c r="G240" s="2265"/>
      <c r="H240" s="2267"/>
      <c r="I240" s="2268"/>
    </row>
    <row r="241" spans="2:9" x14ac:dyDescent="0.2">
      <c r="B241" s="2270"/>
      <c r="C241" s="2272"/>
      <c r="D241" s="2263"/>
      <c r="E241" s="2263"/>
      <c r="F241" s="1814"/>
      <c r="G241" s="256" t="s">
        <v>148</v>
      </c>
      <c r="H241" s="256" t="s">
        <v>148</v>
      </c>
      <c r="I241" s="2268"/>
    </row>
    <row r="242" spans="2:9" ht="38.25" x14ac:dyDescent="0.2">
      <c r="B242" s="1822" t="s">
        <v>1457</v>
      </c>
      <c r="C242" s="1822" t="s">
        <v>1458</v>
      </c>
      <c r="D242" s="1585" t="s">
        <v>1773</v>
      </c>
      <c r="E242" s="1649" t="s">
        <v>1745</v>
      </c>
      <c r="F242" s="1819">
        <f t="shared" ref="F242:F253" si="7">G242/H242</f>
        <v>0.7538692302729687</v>
      </c>
      <c r="G242" s="1650">
        <v>1184660.6099999999</v>
      </c>
      <c r="H242" s="1650">
        <v>1571440.46</v>
      </c>
      <c r="I242" s="2268"/>
    </row>
    <row r="243" spans="2:9" ht="25.5" x14ac:dyDescent="0.2">
      <c r="B243" s="1822" t="s">
        <v>1457</v>
      </c>
      <c r="C243" s="1822" t="s">
        <v>1458</v>
      </c>
      <c r="D243" s="1585" t="s">
        <v>1774</v>
      </c>
      <c r="E243" s="1649" t="s">
        <v>1775</v>
      </c>
      <c r="F243" s="1819">
        <f t="shared" si="7"/>
        <v>0.99999999999999978</v>
      </c>
      <c r="G243" s="1650">
        <v>284117.46999999997</v>
      </c>
      <c r="H243" s="1650">
        <v>284117.47000000003</v>
      </c>
      <c r="I243" s="2268"/>
    </row>
    <row r="244" spans="2:9" ht="51" x14ac:dyDescent="0.2">
      <c r="B244" s="1822" t="s">
        <v>1457</v>
      </c>
      <c r="C244" s="1822" t="s">
        <v>1458</v>
      </c>
      <c r="D244" s="1649" t="s">
        <v>1768</v>
      </c>
      <c r="E244" s="1649" t="s">
        <v>1769</v>
      </c>
      <c r="F244" s="1819">
        <f t="shared" si="7"/>
        <v>0.76651622072310344</v>
      </c>
      <c r="G244" s="1650">
        <v>363747.94999999995</v>
      </c>
      <c r="H244" s="1650">
        <v>474546.97000000003</v>
      </c>
      <c r="I244" s="2268"/>
    </row>
    <row r="245" spans="2:9" ht="25.5" x14ac:dyDescent="0.2">
      <c r="B245" s="1822" t="s">
        <v>1457</v>
      </c>
      <c r="C245" s="1822" t="s">
        <v>1458</v>
      </c>
      <c r="D245" s="1649" t="s">
        <v>1767</v>
      </c>
      <c r="E245" s="1649" t="s">
        <v>1771</v>
      </c>
      <c r="F245" s="1819">
        <f t="shared" si="7"/>
        <v>0.98299997257859051</v>
      </c>
      <c r="G245" s="1650">
        <v>268142.3</v>
      </c>
      <c r="H245" s="1650">
        <v>272779.56</v>
      </c>
      <c r="I245" s="2268"/>
    </row>
    <row r="246" spans="2:9" ht="38.25" x14ac:dyDescent="0.2">
      <c r="B246" s="1822" t="s">
        <v>1457</v>
      </c>
      <c r="C246" s="1822" t="s">
        <v>1458</v>
      </c>
      <c r="D246" s="1649" t="s">
        <v>1765</v>
      </c>
      <c r="E246" s="1649" t="s">
        <v>1770</v>
      </c>
      <c r="F246" s="1819">
        <f t="shared" si="7"/>
        <v>1</v>
      </c>
      <c r="G246" s="1650">
        <v>127126.27</v>
      </c>
      <c r="H246" s="1650">
        <v>127126.27</v>
      </c>
      <c r="I246" s="2268"/>
    </row>
    <row r="247" spans="2:9" ht="25.5" x14ac:dyDescent="0.2">
      <c r="B247" s="1822" t="s">
        <v>1457</v>
      </c>
      <c r="C247" s="1822" t="s">
        <v>1458</v>
      </c>
      <c r="D247" s="1649" t="s">
        <v>1766</v>
      </c>
      <c r="E247" s="1649" t="s">
        <v>1174</v>
      </c>
      <c r="F247" s="1819">
        <f t="shared" si="7"/>
        <v>0.78961299118922357</v>
      </c>
      <c r="G247" s="1650">
        <v>212120.11</v>
      </c>
      <c r="H247" s="1650">
        <v>268638.06999999995</v>
      </c>
      <c r="I247" s="2268"/>
    </row>
    <row r="248" spans="2:9" ht="89.25" x14ac:dyDescent="0.2">
      <c r="B248" s="1822" t="s">
        <v>1457</v>
      </c>
      <c r="C248" s="1822" t="s">
        <v>1458</v>
      </c>
      <c r="D248" s="1649" t="s">
        <v>1743</v>
      </c>
      <c r="E248" s="1649" t="s">
        <v>1747</v>
      </c>
      <c r="F248" s="1819">
        <f t="shared" si="7"/>
        <v>0.41198070847511775</v>
      </c>
      <c r="G248" s="1650">
        <v>500740.16000000003</v>
      </c>
      <c r="H248" s="1650">
        <v>1215445.6500000001</v>
      </c>
      <c r="I248" s="2268"/>
    </row>
    <row r="249" spans="2:9" ht="89.25" x14ac:dyDescent="0.2">
      <c r="B249" s="1822" t="s">
        <v>1457</v>
      </c>
      <c r="C249" s="1822" t="s">
        <v>1458</v>
      </c>
      <c r="D249" s="1649" t="s">
        <v>1772</v>
      </c>
      <c r="E249" s="1649" t="s">
        <v>1751</v>
      </c>
      <c r="F249" s="1819">
        <f t="shared" si="7"/>
        <v>0.53830276301090729</v>
      </c>
      <c r="G249" s="1650">
        <v>342260.04000000004</v>
      </c>
      <c r="H249" s="1650">
        <v>635813.27</v>
      </c>
      <c r="I249" s="2268"/>
    </row>
    <row r="250" spans="2:9" ht="63.75" x14ac:dyDescent="0.2">
      <c r="B250" s="1822" t="s">
        <v>1457</v>
      </c>
      <c r="C250" s="1822" t="s">
        <v>1458</v>
      </c>
      <c r="D250" s="1649" t="s">
        <v>1744</v>
      </c>
      <c r="E250" s="1649" t="s">
        <v>1748</v>
      </c>
      <c r="F250" s="1819">
        <f t="shared" si="7"/>
        <v>0.74989504946706298</v>
      </c>
      <c r="G250" s="1650">
        <v>2152087.8300000005</v>
      </c>
      <c r="H250" s="1650">
        <v>2869852.0299999993</v>
      </c>
      <c r="I250" s="2268"/>
    </row>
    <row r="251" spans="2:9" ht="38.25" x14ac:dyDescent="0.2">
      <c r="B251" s="1822" t="s">
        <v>1457</v>
      </c>
      <c r="C251" s="1822" t="s">
        <v>1458</v>
      </c>
      <c r="D251" s="1585" t="s">
        <v>1746</v>
      </c>
      <c r="E251" s="1649" t="s">
        <v>1749</v>
      </c>
      <c r="F251" s="1819">
        <f t="shared" si="7"/>
        <v>0.95780893837066405</v>
      </c>
      <c r="G251" s="1650">
        <v>174124.33000000002</v>
      </c>
      <c r="H251" s="1650">
        <v>181794.43000000002</v>
      </c>
      <c r="I251" s="2268"/>
    </row>
    <row r="252" spans="2:9" ht="25.5" x14ac:dyDescent="0.2">
      <c r="B252" s="1822" t="s">
        <v>1457</v>
      </c>
      <c r="C252" s="1822" t="s">
        <v>1458</v>
      </c>
      <c r="D252" s="1585" t="s">
        <v>1508</v>
      </c>
      <c r="E252" s="1649" t="s">
        <v>1595</v>
      </c>
      <c r="F252" s="1819">
        <f t="shared" si="7"/>
        <v>0.55555553659685075</v>
      </c>
      <c r="G252" s="1650">
        <v>97678.180000000022</v>
      </c>
      <c r="H252" s="1650">
        <v>175820.73</v>
      </c>
      <c r="I252" s="2268"/>
    </row>
    <row r="253" spans="2:9" ht="25.5" x14ac:dyDescent="0.2">
      <c r="B253" s="1692" t="s">
        <v>1457</v>
      </c>
      <c r="C253" s="1692" t="s">
        <v>1458</v>
      </c>
      <c r="D253" s="1585" t="s">
        <v>1757</v>
      </c>
      <c r="E253" s="1585" t="s">
        <v>1758</v>
      </c>
      <c r="F253" s="1819">
        <f t="shared" si="7"/>
        <v>0.92171691775584041</v>
      </c>
      <c r="G253" s="1518">
        <v>493513.3500863146</v>
      </c>
      <c r="H253" s="1518">
        <v>535428.33008631459</v>
      </c>
      <c r="I253" s="2268"/>
    </row>
    <row r="254" spans="2:9" ht="38.25" x14ac:dyDescent="0.2">
      <c r="B254" s="1692" t="s">
        <v>1458</v>
      </c>
      <c r="C254" s="1692" t="s">
        <v>1457</v>
      </c>
      <c r="D254" s="1592" t="s">
        <v>1459</v>
      </c>
      <c r="E254" s="1585" t="s">
        <v>1564</v>
      </c>
      <c r="F254" s="1819">
        <f>(H254-G254)/H254</f>
        <v>0.89970668984837343</v>
      </c>
      <c r="G254" s="1518">
        <v>138398.61000000045</v>
      </c>
      <c r="H254" s="1518">
        <v>1379938.5999999894</v>
      </c>
      <c r="I254" s="2268"/>
    </row>
    <row r="255" spans="2:9" ht="38.25" x14ac:dyDescent="0.2">
      <c r="B255" s="1692" t="s">
        <v>1458</v>
      </c>
      <c r="C255" s="1692" t="s">
        <v>1457</v>
      </c>
      <c r="D255" s="1692" t="s">
        <v>1565</v>
      </c>
      <c r="E255" s="1692" t="s">
        <v>1566</v>
      </c>
      <c r="F255" s="1819">
        <v>1</v>
      </c>
      <c r="G255" s="1518">
        <v>449755.08999999991</v>
      </c>
      <c r="H255" s="1518">
        <v>449755.08999999991</v>
      </c>
      <c r="I255" s="2268"/>
    </row>
    <row r="256" spans="2:9" ht="38.25" x14ac:dyDescent="0.2">
      <c r="B256" s="1692" t="s">
        <v>1458</v>
      </c>
      <c r="C256" s="1692" t="s">
        <v>1457</v>
      </c>
      <c r="D256" s="1585" t="s">
        <v>1567</v>
      </c>
      <c r="E256" s="1821" t="s">
        <v>1760</v>
      </c>
      <c r="F256" s="1819">
        <f>G256/H256</f>
        <v>3.0929898368368067</v>
      </c>
      <c r="G256" s="1518">
        <v>61234.92</v>
      </c>
      <c r="H256" s="1518">
        <v>19797.97</v>
      </c>
    </row>
    <row r="257" spans="2:9" ht="39" thickBot="1" x14ac:dyDescent="0.25">
      <c r="B257" s="1692" t="s">
        <v>1458</v>
      </c>
      <c r="C257" s="1692" t="s">
        <v>1457</v>
      </c>
      <c r="D257" s="1585" t="s">
        <v>1567</v>
      </c>
      <c r="E257" s="1648" t="s">
        <v>1761</v>
      </c>
      <c r="F257" s="1819">
        <f>(H257-G257)/H257</f>
        <v>0.82412449242227992</v>
      </c>
      <c r="G257" s="1518">
        <v>135793.65000000002</v>
      </c>
      <c r="H257" s="1518">
        <v>772100.97</v>
      </c>
    </row>
    <row r="258" spans="2:9" ht="15.75" x14ac:dyDescent="0.25">
      <c r="B258" s="2274" t="s">
        <v>210</v>
      </c>
      <c r="C258" s="2274"/>
      <c r="D258" s="2274"/>
      <c r="E258" s="2274"/>
      <c r="F258" s="2274"/>
      <c r="G258" s="2274"/>
      <c r="H258" s="2274"/>
    </row>
    <row r="259" spans="2:9" ht="13.5" customHeight="1" thickBot="1" x14ac:dyDescent="0.25"/>
    <row r="260" spans="2:9" ht="17.25" customHeight="1" x14ac:dyDescent="0.2">
      <c r="B260" s="2259" t="s">
        <v>153</v>
      </c>
      <c r="C260" s="2260"/>
      <c r="D260" s="2275" t="s">
        <v>156</v>
      </c>
      <c r="E260" s="2275" t="s">
        <v>513</v>
      </c>
      <c r="F260" s="1815"/>
      <c r="G260" s="2264" t="s">
        <v>157</v>
      </c>
      <c r="H260" s="2266" t="s">
        <v>1759</v>
      </c>
    </row>
    <row r="261" spans="2:9" ht="25.15" customHeight="1" x14ac:dyDescent="0.2">
      <c r="B261" s="2278" t="s">
        <v>154</v>
      </c>
      <c r="C261" s="2280" t="s">
        <v>155</v>
      </c>
      <c r="D261" s="2276"/>
      <c r="E261" s="2276"/>
      <c r="F261" s="1816"/>
      <c r="G261" s="2265"/>
      <c r="H261" s="2267"/>
    </row>
    <row r="262" spans="2:9" x14ac:dyDescent="0.2">
      <c r="B262" s="2279"/>
      <c r="C262" s="2281"/>
      <c r="D262" s="2277"/>
      <c r="E262" s="2277"/>
      <c r="F262" s="1817"/>
      <c r="G262" s="256" t="s">
        <v>149</v>
      </c>
      <c r="H262" s="259" t="s">
        <v>148</v>
      </c>
    </row>
    <row r="263" spans="2:9" x14ac:dyDescent="0.2">
      <c r="B263" s="260"/>
      <c r="C263" s="234"/>
      <c r="D263" s="215"/>
      <c r="E263" s="215"/>
      <c r="F263" s="215"/>
      <c r="G263" s="215"/>
      <c r="H263" s="1519"/>
    </row>
    <row r="264" spans="2:9" x14ac:dyDescent="0.2">
      <c r="B264" s="234"/>
      <c r="C264" s="215"/>
      <c r="D264" s="215"/>
      <c r="E264" s="215"/>
      <c r="F264" s="215"/>
      <c r="G264" s="215"/>
      <c r="H264" s="1519"/>
    </row>
    <row r="268" spans="2:9" x14ac:dyDescent="0.2">
      <c r="C268" s="189" t="s">
        <v>21</v>
      </c>
      <c r="D268" s="1691" t="s">
        <v>1575</v>
      </c>
    </row>
    <row r="269" spans="2:9" x14ac:dyDescent="0.2">
      <c r="D269" s="189"/>
      <c r="E269" s="255"/>
      <c r="F269" s="255"/>
    </row>
    <row r="270" spans="2:9" ht="15.75" x14ac:dyDescent="0.25">
      <c r="B270" s="2274" t="s">
        <v>211</v>
      </c>
      <c r="C270" s="2274"/>
      <c r="D270" s="2274"/>
      <c r="E270" s="2274"/>
      <c r="F270" s="2274"/>
      <c r="G270" s="2274"/>
      <c r="H270" s="2274"/>
    </row>
    <row r="271" spans="2:9" ht="13.15" customHeight="1" thickBot="1" x14ac:dyDescent="0.25">
      <c r="I271" s="2268"/>
    </row>
    <row r="272" spans="2:9" ht="13.5" customHeight="1" x14ac:dyDescent="0.2">
      <c r="B272" s="2259" t="s">
        <v>153</v>
      </c>
      <c r="C272" s="2260"/>
      <c r="D272" s="2261" t="s">
        <v>156</v>
      </c>
      <c r="E272" s="2261" t="s">
        <v>513</v>
      </c>
      <c r="F272" s="1812"/>
      <c r="G272" s="2264" t="s">
        <v>157</v>
      </c>
      <c r="H272" s="2266" t="s">
        <v>1759</v>
      </c>
      <c r="I272" s="2268"/>
    </row>
    <row r="273" spans="2:9" ht="28.15" customHeight="1" x14ac:dyDescent="0.2">
      <c r="B273" s="2269" t="s">
        <v>154</v>
      </c>
      <c r="C273" s="2271" t="s">
        <v>155</v>
      </c>
      <c r="D273" s="2262"/>
      <c r="E273" s="2262"/>
      <c r="F273" s="1813" t="s">
        <v>1750</v>
      </c>
      <c r="G273" s="2265"/>
      <c r="H273" s="2267"/>
      <c r="I273" s="2268"/>
    </row>
    <row r="274" spans="2:9" x14ac:dyDescent="0.2">
      <c r="B274" s="2270"/>
      <c r="C274" s="2272"/>
      <c r="D274" s="2263"/>
      <c r="E274" s="2263"/>
      <c r="F274" s="1814"/>
      <c r="G274" s="256" t="s">
        <v>148</v>
      </c>
      <c r="H274" s="256" t="s">
        <v>148</v>
      </c>
      <c r="I274" s="2268"/>
    </row>
    <row r="275" spans="2:9" ht="38.25" x14ac:dyDescent="0.2">
      <c r="B275" s="1822" t="s">
        <v>1457</v>
      </c>
      <c r="C275" s="1822" t="s">
        <v>1458</v>
      </c>
      <c r="D275" s="1585" t="s">
        <v>1773</v>
      </c>
      <c r="E275" s="1649" t="s">
        <v>1745</v>
      </c>
      <c r="F275" s="1819">
        <f t="shared" ref="F275:F286" si="8">G275/H275</f>
        <v>0.74040324900200793</v>
      </c>
      <c r="G275" s="1650">
        <v>1341156.82</v>
      </c>
      <c r="H275" s="1650">
        <v>1811387</v>
      </c>
      <c r="I275" s="2268"/>
    </row>
    <row r="276" spans="2:9" ht="25.5" x14ac:dyDescent="0.2">
      <c r="B276" s="1822" t="s">
        <v>1457</v>
      </c>
      <c r="C276" s="1822" t="s">
        <v>1458</v>
      </c>
      <c r="D276" s="1585" t="s">
        <v>1774</v>
      </c>
      <c r="E276" s="1649" t="s">
        <v>1775</v>
      </c>
      <c r="F276" s="1819">
        <f t="shared" si="8"/>
        <v>1</v>
      </c>
      <c r="G276" s="1650">
        <v>285986</v>
      </c>
      <c r="H276" s="1650">
        <v>285986</v>
      </c>
      <c r="I276" s="2268"/>
    </row>
    <row r="277" spans="2:9" ht="51" x14ac:dyDescent="0.2">
      <c r="B277" s="1822" t="s">
        <v>1457</v>
      </c>
      <c r="C277" s="1822" t="s">
        <v>1458</v>
      </c>
      <c r="D277" s="1649" t="s">
        <v>1768</v>
      </c>
      <c r="E277" s="1649" t="s">
        <v>1769</v>
      </c>
      <c r="F277" s="1819">
        <f t="shared" si="8"/>
        <v>0.74000066690008171</v>
      </c>
      <c r="G277" s="1650">
        <v>355076</v>
      </c>
      <c r="H277" s="1650">
        <v>479832</v>
      </c>
      <c r="I277" s="2268"/>
    </row>
    <row r="278" spans="2:9" ht="25.5" x14ac:dyDescent="0.2">
      <c r="B278" s="1822" t="s">
        <v>1457</v>
      </c>
      <c r="C278" s="1822" t="s">
        <v>1458</v>
      </c>
      <c r="D278" s="1649" t="s">
        <v>1767</v>
      </c>
      <c r="E278" s="1649" t="s">
        <v>1771</v>
      </c>
      <c r="F278" s="1819">
        <f t="shared" si="8"/>
        <v>0.98300109053508578</v>
      </c>
      <c r="G278" s="1650">
        <v>380388</v>
      </c>
      <c r="H278" s="1650">
        <v>386966</v>
      </c>
      <c r="I278" s="2268"/>
    </row>
    <row r="279" spans="2:9" ht="38.25" x14ac:dyDescent="0.2">
      <c r="B279" s="1822" t="s">
        <v>1457</v>
      </c>
      <c r="C279" s="1822" t="s">
        <v>1458</v>
      </c>
      <c r="D279" s="1649" t="s">
        <v>1765</v>
      </c>
      <c r="E279" s="1649" t="s">
        <v>1770</v>
      </c>
      <c r="F279" s="1819">
        <f t="shared" si="8"/>
        <v>0.74</v>
      </c>
      <c r="G279" s="1650">
        <v>86945.56</v>
      </c>
      <c r="H279" s="1650">
        <v>117494</v>
      </c>
      <c r="I279" s="2268"/>
    </row>
    <row r="280" spans="2:9" ht="25.5" x14ac:dyDescent="0.2">
      <c r="B280" s="1822" t="s">
        <v>1457</v>
      </c>
      <c r="C280" s="1822" t="s">
        <v>1458</v>
      </c>
      <c r="D280" s="1649" t="s">
        <v>1766</v>
      </c>
      <c r="E280" s="1649" t="s">
        <v>1174</v>
      </c>
      <c r="F280" s="1819">
        <f t="shared" si="8"/>
        <v>0.80108045168778041</v>
      </c>
      <c r="G280" s="1650">
        <v>211901</v>
      </c>
      <c r="H280" s="1650">
        <v>264519</v>
      </c>
      <c r="I280" s="2268"/>
    </row>
    <row r="281" spans="2:9" ht="89.25" x14ac:dyDescent="0.2">
      <c r="B281" s="1822" t="s">
        <v>1457</v>
      </c>
      <c r="C281" s="1822" t="s">
        <v>1458</v>
      </c>
      <c r="D281" s="1649" t="s">
        <v>1743</v>
      </c>
      <c r="E281" s="1649" t="s">
        <v>1747</v>
      </c>
      <c r="F281" s="1819">
        <f t="shared" si="8"/>
        <v>0.51498276296567347</v>
      </c>
      <c r="G281" s="1650">
        <v>721563</v>
      </c>
      <c r="H281" s="1650">
        <v>1401140.1</v>
      </c>
      <c r="I281" s="2268"/>
    </row>
    <row r="282" spans="2:9" ht="89.25" x14ac:dyDescent="0.2">
      <c r="B282" s="1822" t="s">
        <v>1457</v>
      </c>
      <c r="C282" s="1822" t="s">
        <v>1458</v>
      </c>
      <c r="D282" s="1649" t="s">
        <v>1772</v>
      </c>
      <c r="E282" s="1649" t="s">
        <v>1751</v>
      </c>
      <c r="F282" s="1819">
        <f t="shared" si="8"/>
        <v>0.53771869334549383</v>
      </c>
      <c r="G282" s="1650">
        <v>386766</v>
      </c>
      <c r="H282" s="1650">
        <v>719272</v>
      </c>
      <c r="I282" s="2268"/>
    </row>
    <row r="283" spans="2:9" ht="63.75" x14ac:dyDescent="0.2">
      <c r="B283" s="1822" t="s">
        <v>1457</v>
      </c>
      <c r="C283" s="1822" t="s">
        <v>1458</v>
      </c>
      <c r="D283" s="1649" t="s">
        <v>1744</v>
      </c>
      <c r="E283" s="1649" t="s">
        <v>1748</v>
      </c>
      <c r="F283" s="1819">
        <f t="shared" si="8"/>
        <v>0.71811551519379935</v>
      </c>
      <c r="G283" s="1650">
        <v>2260293</v>
      </c>
      <c r="H283" s="1650">
        <v>3147534</v>
      </c>
      <c r="I283" s="2268"/>
    </row>
    <row r="284" spans="2:9" ht="38.25" x14ac:dyDescent="0.2">
      <c r="B284" s="1822" t="s">
        <v>1457</v>
      </c>
      <c r="C284" s="1822" t="s">
        <v>1458</v>
      </c>
      <c r="D284" s="1585" t="s">
        <v>1746</v>
      </c>
      <c r="E284" s="1649" t="s">
        <v>1749</v>
      </c>
      <c r="F284" s="1819">
        <f t="shared" si="8"/>
        <v>0.81267429628426802</v>
      </c>
      <c r="G284" s="1650">
        <v>115108</v>
      </c>
      <c r="H284" s="1650">
        <v>141641</v>
      </c>
      <c r="I284" s="2268"/>
    </row>
    <row r="285" spans="2:9" ht="25.5" x14ac:dyDescent="0.2">
      <c r="B285" s="1822" t="s">
        <v>1457</v>
      </c>
      <c r="C285" s="1822" t="s">
        <v>1458</v>
      </c>
      <c r="D285" s="1585" t="s">
        <v>1508</v>
      </c>
      <c r="E285" s="1649" t="s">
        <v>1595</v>
      </c>
      <c r="F285" s="1819">
        <f t="shared" si="8"/>
        <v>0.5</v>
      </c>
      <c r="G285" s="1650">
        <v>109675</v>
      </c>
      <c r="H285" s="1650">
        <v>219350</v>
      </c>
      <c r="I285" s="2268"/>
    </row>
    <row r="286" spans="2:9" ht="25.5" x14ac:dyDescent="0.2">
      <c r="B286" s="1692" t="s">
        <v>1457</v>
      </c>
      <c r="C286" s="1692" t="s">
        <v>1458</v>
      </c>
      <c r="D286" s="1585" t="s">
        <v>1757</v>
      </c>
      <c r="E286" s="1585" t="s">
        <v>1758</v>
      </c>
      <c r="F286" s="1819">
        <f t="shared" si="8"/>
        <v>0.90911419114604874</v>
      </c>
      <c r="G286" s="1518">
        <v>527358.96</v>
      </c>
      <c r="H286" s="1518">
        <v>580080</v>
      </c>
      <c r="I286" s="2268"/>
    </row>
    <row r="287" spans="2:9" ht="38.25" x14ac:dyDescent="0.2">
      <c r="B287" s="1692" t="s">
        <v>1458</v>
      </c>
      <c r="C287" s="1692" t="s">
        <v>1457</v>
      </c>
      <c r="D287" s="1592" t="s">
        <v>1459</v>
      </c>
      <c r="E287" s="1585" t="s">
        <v>1564</v>
      </c>
      <c r="F287" s="1819">
        <f>(H287-G287)/H287</f>
        <v>0.92227904685014128</v>
      </c>
      <c r="G287" s="1518">
        <v>104738</v>
      </c>
      <c r="H287" s="1518">
        <v>1347616</v>
      </c>
      <c r="I287" s="2268"/>
    </row>
    <row r="288" spans="2:9" ht="38.25" x14ac:dyDescent="0.2">
      <c r="B288" s="1692" t="s">
        <v>1458</v>
      </c>
      <c r="C288" s="1692" t="s">
        <v>1457</v>
      </c>
      <c r="D288" s="1692" t="s">
        <v>1565</v>
      </c>
      <c r="E288" s="1692" t="s">
        <v>1566</v>
      </c>
      <c r="F288" s="1819">
        <v>1</v>
      </c>
      <c r="G288" s="1518">
        <v>441246</v>
      </c>
      <c r="H288" s="1518">
        <v>441246</v>
      </c>
      <c r="I288" s="2268"/>
    </row>
    <row r="289" spans="2:13" ht="38.25" x14ac:dyDescent="0.2">
      <c r="B289" s="1692" t="s">
        <v>1458</v>
      </c>
      <c r="C289" s="1692" t="s">
        <v>1457</v>
      </c>
      <c r="D289" s="1585" t="s">
        <v>1567</v>
      </c>
      <c r="E289" s="1821" t="s">
        <v>1760</v>
      </c>
      <c r="F289" s="1819">
        <f>G289/H289</f>
        <v>3.0929898368368067</v>
      </c>
      <c r="G289" s="1518">
        <v>61234.92</v>
      </c>
      <c r="H289" s="1518">
        <v>19797.97</v>
      </c>
    </row>
    <row r="290" spans="2:13" ht="39" thickBot="1" x14ac:dyDescent="0.25">
      <c r="B290" s="1692" t="s">
        <v>1458</v>
      </c>
      <c r="C290" s="1692" t="s">
        <v>1457</v>
      </c>
      <c r="D290" s="1585" t="s">
        <v>1567</v>
      </c>
      <c r="E290" s="1648" t="s">
        <v>1761</v>
      </c>
      <c r="F290" s="1819">
        <f>(H290-G290)/H290</f>
        <v>0.82418333382511066</v>
      </c>
      <c r="G290" s="1518">
        <v>132772.8783286206</v>
      </c>
      <c r="H290" s="1518">
        <v>755178</v>
      </c>
    </row>
    <row r="291" spans="2:13" ht="15.75" x14ac:dyDescent="0.25">
      <c r="B291" s="2274" t="s">
        <v>210</v>
      </c>
      <c r="C291" s="2274"/>
      <c r="D291" s="2274"/>
      <c r="E291" s="2274"/>
      <c r="F291" s="2274"/>
      <c r="G291" s="2274"/>
      <c r="H291" s="2274"/>
    </row>
    <row r="292" spans="2:13" ht="13.5" customHeight="1" thickBot="1" x14ac:dyDescent="0.25"/>
    <row r="293" spans="2:13" ht="17.25" customHeight="1" x14ac:dyDescent="0.2">
      <c r="B293" s="2259" t="s">
        <v>153</v>
      </c>
      <c r="C293" s="2260"/>
      <c r="D293" s="2275" t="s">
        <v>156</v>
      </c>
      <c r="E293" s="2275" t="s">
        <v>513</v>
      </c>
      <c r="F293" s="1815"/>
      <c r="G293" s="2264" t="s">
        <v>157</v>
      </c>
      <c r="H293" s="2266" t="s">
        <v>1759</v>
      </c>
    </row>
    <row r="294" spans="2:13" x14ac:dyDescent="0.2">
      <c r="B294" s="2278" t="s">
        <v>154</v>
      </c>
      <c r="C294" s="2280" t="s">
        <v>155</v>
      </c>
      <c r="D294" s="2276"/>
      <c r="E294" s="2276"/>
      <c r="F294" s="1816"/>
      <c r="G294" s="2265"/>
      <c r="H294" s="2267"/>
    </row>
    <row r="295" spans="2:13" x14ac:dyDescent="0.2">
      <c r="B295" s="2279"/>
      <c r="C295" s="2281"/>
      <c r="D295" s="2277"/>
      <c r="E295" s="2277"/>
      <c r="F295" s="1817"/>
      <c r="G295" s="256" t="s">
        <v>149</v>
      </c>
      <c r="H295" s="259" t="s">
        <v>148</v>
      </c>
    </row>
    <row r="296" spans="2:13" x14ac:dyDescent="0.2">
      <c r="B296" s="260"/>
      <c r="C296" s="234"/>
      <c r="D296" s="215"/>
      <c r="E296" s="215"/>
      <c r="F296" s="215"/>
      <c r="G296" s="215"/>
      <c r="H296" s="1519"/>
    </row>
    <row r="297" spans="2:13" x14ac:dyDescent="0.2">
      <c r="B297" s="234"/>
      <c r="C297" s="215"/>
      <c r="D297" s="215"/>
      <c r="E297" s="215"/>
      <c r="F297" s="215"/>
      <c r="G297" s="215"/>
      <c r="H297" s="1519"/>
    </row>
    <row r="299" spans="2:13" x14ac:dyDescent="0.2">
      <c r="C299" s="189" t="s">
        <v>21</v>
      </c>
      <c r="D299" s="1691" t="s">
        <v>837</v>
      </c>
    </row>
    <row r="300" spans="2:13" x14ac:dyDescent="0.2">
      <c r="D300" s="189"/>
      <c r="E300" s="255"/>
      <c r="F300" s="255"/>
    </row>
    <row r="301" spans="2:13" ht="15.75" x14ac:dyDescent="0.25">
      <c r="B301" s="2274" t="s">
        <v>211</v>
      </c>
      <c r="C301" s="2274"/>
      <c r="D301" s="2274"/>
      <c r="E301" s="2274"/>
      <c r="F301" s="2274"/>
      <c r="G301" s="2274"/>
      <c r="H301" s="2274"/>
    </row>
    <row r="302" spans="2:13" ht="15" customHeight="1" thickBot="1" x14ac:dyDescent="0.25">
      <c r="I302" s="1689"/>
    </row>
    <row r="303" spans="2:13" ht="25.15" customHeight="1" x14ac:dyDescent="0.2">
      <c r="B303" s="2259" t="s">
        <v>153</v>
      </c>
      <c r="C303" s="2260"/>
      <c r="D303" s="2261" t="s">
        <v>156</v>
      </c>
      <c r="E303" s="2261" t="s">
        <v>513</v>
      </c>
      <c r="F303" s="2282" t="s">
        <v>1576</v>
      </c>
      <c r="G303" s="2290" t="s">
        <v>1577</v>
      </c>
      <c r="H303" s="2288" t="s">
        <v>1578</v>
      </c>
      <c r="I303" s="2289"/>
      <c r="J303" s="2282" t="s">
        <v>1573</v>
      </c>
      <c r="K303" s="2290" t="s">
        <v>1577</v>
      </c>
      <c r="L303" s="2288" t="s">
        <v>1578</v>
      </c>
      <c r="M303" s="2289"/>
    </row>
    <row r="304" spans="2:13" x14ac:dyDescent="0.2">
      <c r="B304" s="2269" t="s">
        <v>154</v>
      </c>
      <c r="C304" s="2271" t="s">
        <v>155</v>
      </c>
      <c r="D304" s="2262"/>
      <c r="E304" s="2262"/>
      <c r="F304" s="2283"/>
      <c r="G304" s="2291"/>
      <c r="H304" s="2286" t="s">
        <v>1579</v>
      </c>
      <c r="I304" s="2287"/>
      <c r="J304" s="2283"/>
      <c r="K304" s="2291"/>
      <c r="L304" s="2286" t="s">
        <v>1580</v>
      </c>
      <c r="M304" s="2287"/>
    </row>
    <row r="305" spans="2:13" x14ac:dyDescent="0.2">
      <c r="B305" s="2270"/>
      <c r="C305" s="2272"/>
      <c r="D305" s="2263"/>
      <c r="E305" s="2263"/>
      <c r="F305" s="256" t="s">
        <v>148</v>
      </c>
      <c r="G305" s="256"/>
      <c r="H305" s="256" t="s">
        <v>149</v>
      </c>
      <c r="I305" s="256" t="s">
        <v>148</v>
      </c>
      <c r="J305" s="256" t="s">
        <v>148</v>
      </c>
      <c r="K305" s="256" t="s">
        <v>148</v>
      </c>
      <c r="L305" s="256" t="s">
        <v>149</v>
      </c>
      <c r="M305" s="256" t="s">
        <v>148</v>
      </c>
    </row>
    <row r="306" spans="2:13" ht="38.25" x14ac:dyDescent="0.2">
      <c r="B306" s="1822" t="s">
        <v>1457</v>
      </c>
      <c r="C306" s="1822" t="s">
        <v>1458</v>
      </c>
      <c r="D306" s="1585" t="s">
        <v>1773</v>
      </c>
      <c r="E306" s="1649" t="s">
        <v>1745</v>
      </c>
      <c r="F306" s="1809">
        <f>G19</f>
        <v>748947.53533456009</v>
      </c>
      <c r="G306" s="1809">
        <f t="shared" ref="G306:G321" si="9">G275</f>
        <v>1341156.82</v>
      </c>
      <c r="H306" s="1695">
        <f t="shared" ref="H306:H321" si="10">(G306-F306)/F306</f>
        <v>0.7907219888251531</v>
      </c>
      <c r="I306" s="1809">
        <f>G306-F306</f>
        <v>592209.28466543998</v>
      </c>
      <c r="J306" s="1696">
        <f t="shared" ref="J306:J321" si="11">G208</f>
        <v>1080876.98</v>
      </c>
      <c r="K306" s="1809">
        <f>G306</f>
        <v>1341156.82</v>
      </c>
      <c r="L306" s="1695">
        <f>(K306-J306)/J306</f>
        <v>0.24080431428930987</v>
      </c>
      <c r="M306" s="1809">
        <f>K306-J306</f>
        <v>260279.84000000008</v>
      </c>
    </row>
    <row r="307" spans="2:13" ht="25.5" x14ac:dyDescent="0.2">
      <c r="B307" s="1822" t="s">
        <v>1457</v>
      </c>
      <c r="C307" s="1822" t="s">
        <v>1458</v>
      </c>
      <c r="D307" s="1585" t="s">
        <v>1774</v>
      </c>
      <c r="E307" s="1649" t="s">
        <v>1775</v>
      </c>
      <c r="F307" s="1809">
        <f t="shared" ref="F307:F311" si="12">G20</f>
        <v>144339.3845379983</v>
      </c>
      <c r="G307" s="1809">
        <f t="shared" si="9"/>
        <v>285986</v>
      </c>
      <c r="H307" s="1695">
        <f t="shared" ref="H307" si="13">(G307-F307)/F307</f>
        <v>0.9813441834699822</v>
      </c>
      <c r="I307" s="1809">
        <f>G307-F307</f>
        <v>141646.6154620017</v>
      </c>
      <c r="J307" s="1696">
        <f t="shared" si="11"/>
        <v>253456.02999999997</v>
      </c>
      <c r="K307" s="1809">
        <f t="shared" ref="K307:K321" si="14">G307</f>
        <v>285986</v>
      </c>
      <c r="L307" s="1695">
        <f>(K307-J307)/J307</f>
        <v>0.12834561481926485</v>
      </c>
      <c r="M307" s="1809">
        <f>K307-J307</f>
        <v>32529.97000000003</v>
      </c>
    </row>
    <row r="308" spans="2:13" ht="51" x14ac:dyDescent="0.2">
      <c r="B308" s="1822" t="s">
        <v>1457</v>
      </c>
      <c r="C308" s="1822" t="s">
        <v>1458</v>
      </c>
      <c r="D308" s="1649" t="s">
        <v>1768</v>
      </c>
      <c r="E308" s="1649" t="s">
        <v>1769</v>
      </c>
      <c r="F308" s="1809">
        <f t="shared" si="12"/>
        <v>288060.40682477527</v>
      </c>
      <c r="G308" s="1809">
        <f t="shared" si="9"/>
        <v>355076</v>
      </c>
      <c r="H308" s="1695">
        <f t="shared" si="10"/>
        <v>0.23264423567932316</v>
      </c>
      <c r="I308" s="1809">
        <f t="shared" ref="I308:I316" si="15">G308-F308</f>
        <v>67015.593175224727</v>
      </c>
      <c r="J308" s="1696">
        <f t="shared" si="11"/>
        <v>334947.30000000005</v>
      </c>
      <c r="K308" s="1809">
        <f t="shared" si="14"/>
        <v>355076</v>
      </c>
      <c r="L308" s="1695">
        <f t="shared" ref="L308:L316" si="16">(K308-J308)/J308</f>
        <v>6.00951254122662E-2</v>
      </c>
      <c r="M308" s="1809">
        <f t="shared" ref="M308:M316" si="17">K308-J308</f>
        <v>20128.699999999953</v>
      </c>
    </row>
    <row r="309" spans="2:13" ht="25.5" x14ac:dyDescent="0.2">
      <c r="B309" s="1822" t="s">
        <v>1457</v>
      </c>
      <c r="C309" s="1822" t="s">
        <v>1458</v>
      </c>
      <c r="D309" s="1649" t="s">
        <v>1767</v>
      </c>
      <c r="E309" s="1649" t="s">
        <v>1771</v>
      </c>
      <c r="F309" s="1809">
        <f t="shared" si="12"/>
        <v>244313.57477251292</v>
      </c>
      <c r="G309" s="1809">
        <f t="shared" si="9"/>
        <v>380388</v>
      </c>
      <c r="H309" s="1695">
        <f t="shared" ref="H309:H311" si="18">(G309-F309)/F309</f>
        <v>0.55696628954895244</v>
      </c>
      <c r="I309" s="1809">
        <f t="shared" ref="I309:I311" si="19">G309-F309</f>
        <v>136074.42522748708</v>
      </c>
      <c r="J309" s="1696">
        <f t="shared" si="11"/>
        <v>336231.03</v>
      </c>
      <c r="K309" s="1809">
        <f t="shared" si="14"/>
        <v>380388</v>
      </c>
      <c r="L309" s="1695">
        <f t="shared" ref="L309:L311" si="20">(K309-J309)/J309</f>
        <v>0.13132925298417569</v>
      </c>
      <c r="M309" s="1809">
        <f t="shared" ref="M309:M311" si="21">K309-J309</f>
        <v>44156.969999999972</v>
      </c>
    </row>
    <row r="310" spans="2:13" ht="38.25" x14ac:dyDescent="0.2">
      <c r="B310" s="1822" t="s">
        <v>1457</v>
      </c>
      <c r="C310" s="1822" t="s">
        <v>1458</v>
      </c>
      <c r="D310" s="1649" t="s">
        <v>1765</v>
      </c>
      <c r="E310" s="1649" t="s">
        <v>1770</v>
      </c>
      <c r="F310" s="1809">
        <f t="shared" si="12"/>
        <v>155841.97220478253</v>
      </c>
      <c r="G310" s="1809">
        <f t="shared" si="9"/>
        <v>86945.56</v>
      </c>
      <c r="H310" s="1695">
        <f t="shared" si="18"/>
        <v>-0.44209150609471187</v>
      </c>
      <c r="I310" s="1809">
        <f t="shared" si="19"/>
        <v>-68896.412204782537</v>
      </c>
      <c r="J310" s="1696">
        <f t="shared" si="11"/>
        <v>126386.63999999998</v>
      </c>
      <c r="K310" s="1809">
        <f t="shared" si="14"/>
        <v>86945.56</v>
      </c>
      <c r="L310" s="1695">
        <f t="shared" si="20"/>
        <v>-0.31206684503995036</v>
      </c>
      <c r="M310" s="1809">
        <f t="shared" si="21"/>
        <v>-39441.079999999987</v>
      </c>
    </row>
    <row r="311" spans="2:13" ht="25.5" x14ac:dyDescent="0.2">
      <c r="B311" s="1822" t="s">
        <v>1457</v>
      </c>
      <c r="C311" s="1822" t="s">
        <v>1458</v>
      </c>
      <c r="D311" s="1649" t="s">
        <v>1766</v>
      </c>
      <c r="E311" s="1649" t="s">
        <v>1174</v>
      </c>
      <c r="F311" s="1809">
        <f t="shared" si="12"/>
        <v>214766.63903790797</v>
      </c>
      <c r="G311" s="1809">
        <f t="shared" si="9"/>
        <v>211901</v>
      </c>
      <c r="H311" s="1695">
        <f t="shared" si="18"/>
        <v>-1.3343036193820402E-2</v>
      </c>
      <c r="I311" s="1809">
        <f t="shared" si="19"/>
        <v>-2865.6390379079676</v>
      </c>
      <c r="J311" s="1696">
        <f t="shared" si="11"/>
        <v>208254.59</v>
      </c>
      <c r="K311" s="1809">
        <f t="shared" si="14"/>
        <v>211901</v>
      </c>
      <c r="L311" s="1695">
        <f t="shared" si="20"/>
        <v>1.7509385987602981E-2</v>
      </c>
      <c r="M311" s="1809">
        <f t="shared" si="21"/>
        <v>3646.4100000000035</v>
      </c>
    </row>
    <row r="312" spans="2:13" ht="89.25" x14ac:dyDescent="0.2">
      <c r="B312" s="1822" t="s">
        <v>1457</v>
      </c>
      <c r="C312" s="1822" t="s">
        <v>1458</v>
      </c>
      <c r="D312" s="1649" t="s">
        <v>1743</v>
      </c>
      <c r="E312" s="1649" t="s">
        <v>1747</v>
      </c>
      <c r="F312" s="1809">
        <f t="shared" ref="F312:F321" si="22">G25</f>
        <v>316896</v>
      </c>
      <c r="G312" s="1809">
        <f t="shared" si="9"/>
        <v>721563</v>
      </c>
      <c r="H312" s="1695">
        <f t="shared" si="10"/>
        <v>1.2769709936382914</v>
      </c>
      <c r="I312" s="1809">
        <f t="shared" si="15"/>
        <v>404667</v>
      </c>
      <c r="J312" s="1696">
        <f t="shared" si="11"/>
        <v>546046.65</v>
      </c>
      <c r="K312" s="1809">
        <f t="shared" si="14"/>
        <v>721563</v>
      </c>
      <c r="L312" s="1695">
        <f t="shared" si="16"/>
        <v>0.32143105355558899</v>
      </c>
      <c r="M312" s="1809">
        <f t="shared" si="17"/>
        <v>175516.34999999998</v>
      </c>
    </row>
    <row r="313" spans="2:13" ht="89.25" x14ac:dyDescent="0.2">
      <c r="B313" s="1822" t="s">
        <v>1457</v>
      </c>
      <c r="C313" s="1822" t="s">
        <v>1458</v>
      </c>
      <c r="D313" s="1649" t="s">
        <v>1772</v>
      </c>
      <c r="E313" s="1649" t="s">
        <v>1751</v>
      </c>
      <c r="F313" s="1809">
        <f t="shared" si="22"/>
        <v>773455.63727277715</v>
      </c>
      <c r="G313" s="1809">
        <f t="shared" si="9"/>
        <v>386766</v>
      </c>
      <c r="H313" s="1695">
        <f t="shared" si="10"/>
        <v>-0.49995063535415418</v>
      </c>
      <c r="I313" s="1809">
        <f t="shared" si="15"/>
        <v>-386689.63727277715</v>
      </c>
      <c r="J313" s="1696">
        <f t="shared" si="11"/>
        <v>336707.94</v>
      </c>
      <c r="K313" s="1809">
        <f t="shared" si="14"/>
        <v>386766</v>
      </c>
      <c r="L313" s="1695">
        <f t="shared" si="16"/>
        <v>0.14866908098454701</v>
      </c>
      <c r="M313" s="1809">
        <f t="shared" si="17"/>
        <v>50058.06</v>
      </c>
    </row>
    <row r="314" spans="2:13" ht="63.75" x14ac:dyDescent="0.2">
      <c r="B314" s="1822" t="s">
        <v>1457</v>
      </c>
      <c r="C314" s="1822" t="s">
        <v>1458</v>
      </c>
      <c r="D314" s="1649" t="s">
        <v>1744</v>
      </c>
      <c r="E314" s="1649" t="s">
        <v>1748</v>
      </c>
      <c r="F314" s="1809">
        <f t="shared" si="22"/>
        <v>1571800.6535248382</v>
      </c>
      <c r="G314" s="1809">
        <f t="shared" si="9"/>
        <v>2260293</v>
      </c>
      <c r="H314" s="1695">
        <f t="shared" si="10"/>
        <v>0.43802777720647007</v>
      </c>
      <c r="I314" s="1809">
        <f t="shared" si="15"/>
        <v>688492.34647516184</v>
      </c>
      <c r="J314" s="1696">
        <f t="shared" si="11"/>
        <v>2130734.4900000002</v>
      </c>
      <c r="K314" s="1809">
        <f t="shared" si="14"/>
        <v>2260293</v>
      </c>
      <c r="L314" s="1695">
        <f t="shared" si="16"/>
        <v>6.0804624230773943E-2</v>
      </c>
      <c r="M314" s="1809">
        <f t="shared" si="17"/>
        <v>129558.50999999978</v>
      </c>
    </row>
    <row r="315" spans="2:13" ht="38.25" x14ac:dyDescent="0.2">
      <c r="B315" s="1822" t="s">
        <v>1457</v>
      </c>
      <c r="C315" s="1822" t="s">
        <v>1458</v>
      </c>
      <c r="D315" s="1649" t="s">
        <v>1746</v>
      </c>
      <c r="E315" s="1649" t="s">
        <v>1749</v>
      </c>
      <c r="F315" s="1809">
        <f t="shared" si="22"/>
        <v>29400</v>
      </c>
      <c r="G315" s="1809">
        <f t="shared" si="9"/>
        <v>115108</v>
      </c>
      <c r="H315" s="1695">
        <f t="shared" si="10"/>
        <v>2.9152380952380952</v>
      </c>
      <c r="I315" s="1809">
        <f t="shared" si="15"/>
        <v>85708</v>
      </c>
      <c r="J315" s="1696">
        <f t="shared" si="11"/>
        <v>88109.82</v>
      </c>
      <c r="K315" s="1809">
        <f t="shared" si="14"/>
        <v>115108</v>
      </c>
      <c r="L315" s="1695">
        <f t="shared" si="16"/>
        <v>0.30641510787333343</v>
      </c>
      <c r="M315" s="1809">
        <f t="shared" si="17"/>
        <v>26998.179999999993</v>
      </c>
    </row>
    <row r="316" spans="2:13" ht="25.5" x14ac:dyDescent="0.2">
      <c r="B316" s="1822" t="s">
        <v>1457</v>
      </c>
      <c r="C316" s="1822" t="s">
        <v>1458</v>
      </c>
      <c r="D316" s="1649" t="s">
        <v>1508</v>
      </c>
      <c r="E316" s="1649" t="s">
        <v>1595</v>
      </c>
      <c r="F316" s="1809">
        <f t="shared" si="22"/>
        <v>44200</v>
      </c>
      <c r="G316" s="1809">
        <f t="shared" si="9"/>
        <v>109675</v>
      </c>
      <c r="H316" s="1695">
        <f t="shared" si="10"/>
        <v>1.4813348416289593</v>
      </c>
      <c r="I316" s="1809">
        <f t="shared" si="15"/>
        <v>65475</v>
      </c>
      <c r="J316" s="1696">
        <f t="shared" si="11"/>
        <v>50229.759999999995</v>
      </c>
      <c r="K316" s="1809">
        <f t="shared" si="14"/>
        <v>109675</v>
      </c>
      <c r="L316" s="1695">
        <f t="shared" si="16"/>
        <v>1.1834665345802968</v>
      </c>
      <c r="M316" s="1809">
        <f t="shared" si="17"/>
        <v>59445.240000000005</v>
      </c>
    </row>
    <row r="317" spans="2:13" ht="25.5" x14ac:dyDescent="0.2">
      <c r="B317" s="1822" t="s">
        <v>1457</v>
      </c>
      <c r="C317" s="1822" t="s">
        <v>1458</v>
      </c>
      <c r="D317" s="1649" t="s">
        <v>1757</v>
      </c>
      <c r="E317" s="1585" t="s">
        <v>1758</v>
      </c>
      <c r="F317" s="1809">
        <f t="shared" si="22"/>
        <v>568175</v>
      </c>
      <c r="G317" s="1809">
        <f t="shared" si="9"/>
        <v>527358.96</v>
      </c>
      <c r="H317" s="1695">
        <f t="shared" si="10"/>
        <v>-7.1837092445109413E-2</v>
      </c>
      <c r="I317" s="1809">
        <f>G317-F317</f>
        <v>-40816.040000000037</v>
      </c>
      <c r="J317" s="1696">
        <f t="shared" si="11"/>
        <v>474928.27</v>
      </c>
      <c r="K317" s="1809">
        <f t="shared" si="14"/>
        <v>527358.96</v>
      </c>
      <c r="L317" s="1695">
        <f>(K317-J317)/J317</f>
        <v>0.11039707111981341</v>
      </c>
      <c r="M317" s="1809">
        <f>K317-J317</f>
        <v>52430.689999999944</v>
      </c>
    </row>
    <row r="318" spans="2:13" ht="38.25" x14ac:dyDescent="0.2">
      <c r="B318" s="1822" t="s">
        <v>1458</v>
      </c>
      <c r="C318" s="1822" t="s">
        <v>1457</v>
      </c>
      <c r="D318" s="1823" t="s">
        <v>1459</v>
      </c>
      <c r="E318" s="1585" t="s">
        <v>1564</v>
      </c>
      <c r="F318" s="1809">
        <f t="shared" si="22"/>
        <v>160000</v>
      </c>
      <c r="G318" s="1809">
        <f t="shared" si="9"/>
        <v>104738</v>
      </c>
      <c r="H318" s="1695">
        <f t="shared" si="10"/>
        <v>-0.34538750000000001</v>
      </c>
      <c r="I318" s="1809">
        <f>G318-F318</f>
        <v>-55262</v>
      </c>
      <c r="J318" s="1696">
        <f t="shared" si="11"/>
        <v>101083.0299999991</v>
      </c>
      <c r="K318" s="1809">
        <f t="shared" si="14"/>
        <v>104738</v>
      </c>
      <c r="L318" s="1695">
        <f>(K318-J318)/J318</f>
        <v>3.6158096962476648E-2</v>
      </c>
      <c r="M318" s="1809">
        <f>K318-J318</f>
        <v>3654.9700000009034</v>
      </c>
    </row>
    <row r="319" spans="2:13" ht="38.25" x14ac:dyDescent="0.2">
      <c r="B319" s="1822" t="s">
        <v>1458</v>
      </c>
      <c r="C319" s="1822" t="s">
        <v>1457</v>
      </c>
      <c r="D319" s="1822" t="s">
        <v>1565</v>
      </c>
      <c r="E319" s="1692" t="s">
        <v>1566</v>
      </c>
      <c r="F319" s="1809">
        <f t="shared" si="22"/>
        <v>680000</v>
      </c>
      <c r="G319" s="1809">
        <f t="shared" si="9"/>
        <v>441246</v>
      </c>
      <c r="H319" s="1695">
        <f t="shared" si="10"/>
        <v>-0.35110882352941175</v>
      </c>
      <c r="I319" s="1809">
        <f>G319-F319</f>
        <v>-238754</v>
      </c>
      <c r="J319" s="1696">
        <f t="shared" si="11"/>
        <v>483836.8</v>
      </c>
      <c r="K319" s="1809">
        <f t="shared" si="14"/>
        <v>441246</v>
      </c>
      <c r="L319" s="1695">
        <f>(K319-J319)/J319</f>
        <v>-8.8027202560863479E-2</v>
      </c>
      <c r="M319" s="1809">
        <f>K319-J319</f>
        <v>-42590.799999999988</v>
      </c>
    </row>
    <row r="320" spans="2:13" ht="38.25" x14ac:dyDescent="0.2">
      <c r="B320" s="1822" t="s">
        <v>1458</v>
      </c>
      <c r="C320" s="1822" t="s">
        <v>1457</v>
      </c>
      <c r="D320" s="1649" t="s">
        <v>1567</v>
      </c>
      <c r="E320" s="1821" t="s">
        <v>1760</v>
      </c>
      <c r="F320" s="1809">
        <f t="shared" si="22"/>
        <v>90627.48</v>
      </c>
      <c r="G320" s="1809">
        <f t="shared" si="9"/>
        <v>61234.92</v>
      </c>
      <c r="H320" s="1695">
        <f t="shared" si="10"/>
        <v>-0.32432282128996637</v>
      </c>
      <c r="I320" s="1809">
        <f>G320-F320</f>
        <v>-29392.559999999998</v>
      </c>
      <c r="J320" s="1696">
        <f t="shared" si="11"/>
        <v>59806.92</v>
      </c>
      <c r="K320" s="1809">
        <f t="shared" si="14"/>
        <v>61234.92</v>
      </c>
      <c r="L320" s="1695">
        <f>(K320-J320)/J320</f>
        <v>2.3876835657144692E-2</v>
      </c>
      <c r="M320" s="1809">
        <f>K320-J320</f>
        <v>1428</v>
      </c>
    </row>
    <row r="321" spans="2:13" ht="39" thickBot="1" x14ac:dyDescent="0.25">
      <c r="B321" s="1822" t="s">
        <v>1458</v>
      </c>
      <c r="C321" s="1822" t="s">
        <v>1457</v>
      </c>
      <c r="D321" s="1649" t="s">
        <v>1567</v>
      </c>
      <c r="E321" s="1648" t="s">
        <v>1761</v>
      </c>
      <c r="F321" s="1809">
        <f t="shared" si="22"/>
        <v>307503</v>
      </c>
      <c r="G321" s="1809">
        <f t="shared" si="9"/>
        <v>132772.8783286206</v>
      </c>
      <c r="H321" s="1695">
        <f t="shared" si="10"/>
        <v>-0.56822249432161442</v>
      </c>
      <c r="I321" s="1809">
        <f>G321-F321</f>
        <v>-174730.1216713794</v>
      </c>
      <c r="J321" s="1696">
        <f t="shared" si="11"/>
        <v>144562.77000000002</v>
      </c>
      <c r="K321" s="1809">
        <f t="shared" si="14"/>
        <v>132772.8783286206</v>
      </c>
      <c r="L321" s="1695">
        <f>(K321-J321)/J321</f>
        <v>-8.1555518556952214E-2</v>
      </c>
      <c r="M321" s="1809">
        <f>K321-J321</f>
        <v>-11789.891671379417</v>
      </c>
    </row>
    <row r="323" spans="2:13" ht="15.75" x14ac:dyDescent="0.25">
      <c r="B323" s="2274" t="s">
        <v>210</v>
      </c>
      <c r="C323" s="2274"/>
      <c r="D323" s="2274"/>
      <c r="E323" s="2274"/>
      <c r="F323" s="2274"/>
      <c r="G323" s="2274"/>
      <c r="H323" s="2274"/>
    </row>
    <row r="324" spans="2:13" ht="13.5" customHeight="1" thickBot="1" x14ac:dyDescent="0.25">
      <c r="L324" s="1826"/>
    </row>
    <row r="325" spans="2:13" ht="17.25" customHeight="1" x14ac:dyDescent="0.2">
      <c r="B325" s="2259" t="s">
        <v>153</v>
      </c>
      <c r="C325" s="2260"/>
      <c r="D325" s="2275" t="s">
        <v>156</v>
      </c>
      <c r="E325" s="2275" t="s">
        <v>513</v>
      </c>
      <c r="F325" s="1815"/>
      <c r="G325" s="2282" t="s">
        <v>209</v>
      </c>
      <c r="H325" s="2284" t="s">
        <v>212</v>
      </c>
    </row>
    <row r="326" spans="2:13" x14ac:dyDescent="0.2">
      <c r="B326" s="2278" t="s">
        <v>154</v>
      </c>
      <c r="C326" s="2280" t="s">
        <v>155</v>
      </c>
      <c r="D326" s="2276"/>
      <c r="E326" s="2276"/>
      <c r="F326" s="1816"/>
      <c r="G326" s="2283"/>
      <c r="H326" s="2285"/>
    </row>
    <row r="327" spans="2:13" x14ac:dyDescent="0.2">
      <c r="B327" s="2279"/>
      <c r="C327" s="2281"/>
      <c r="D327" s="2277"/>
      <c r="E327" s="2277"/>
      <c r="F327" s="1817"/>
      <c r="G327" s="256" t="s">
        <v>149</v>
      </c>
      <c r="H327" s="259" t="s">
        <v>148</v>
      </c>
    </row>
    <row r="328" spans="2:13" x14ac:dyDescent="0.2">
      <c r="B328" s="260"/>
      <c r="C328" s="234"/>
      <c r="D328" s="215"/>
      <c r="E328" s="215"/>
      <c r="F328" s="215"/>
      <c r="G328" s="215"/>
      <c r="H328" s="1519"/>
    </row>
    <row r="329" spans="2:13" x14ac:dyDescent="0.2">
      <c r="B329" s="234"/>
      <c r="C329" s="215"/>
      <c r="D329" s="215"/>
      <c r="E329" s="215"/>
      <c r="F329" s="215"/>
      <c r="G329" s="215"/>
      <c r="H329" s="1519"/>
    </row>
    <row r="330" spans="2:13" ht="17.45" customHeight="1" x14ac:dyDescent="0.2">
      <c r="I330" s="262"/>
    </row>
    <row r="331" spans="2:13" ht="13.15" customHeight="1" x14ac:dyDescent="0.2">
      <c r="B331" s="605" t="s">
        <v>85</v>
      </c>
      <c r="C331" s="262"/>
      <c r="D331" s="262"/>
      <c r="E331" s="262"/>
      <c r="F331" s="262"/>
      <c r="G331" s="262"/>
      <c r="H331" s="262"/>
      <c r="I331" s="1690"/>
    </row>
    <row r="332" spans="2:13" x14ac:dyDescent="0.2">
      <c r="B332" s="261">
        <v>1</v>
      </c>
      <c r="C332" s="2293" t="s">
        <v>530</v>
      </c>
      <c r="D332" s="2293"/>
      <c r="E332" s="2293"/>
      <c r="F332" s="2293"/>
      <c r="G332" s="2293"/>
      <c r="H332" s="2293"/>
      <c r="I332" s="1690"/>
    </row>
    <row r="333" spans="2:13" x14ac:dyDescent="0.2">
      <c r="B333" s="1690"/>
      <c r="C333" s="2293"/>
      <c r="D333" s="2293"/>
      <c r="E333" s="2293"/>
      <c r="F333" s="2293"/>
      <c r="G333" s="2293"/>
      <c r="H333" s="2293"/>
    </row>
    <row r="334" spans="2:13" ht="13.15" customHeight="1" x14ac:dyDescent="0.2"/>
    <row r="335" spans="2:13" ht="27" customHeight="1" x14ac:dyDescent="0.2">
      <c r="B335" s="263" t="s">
        <v>527</v>
      </c>
    </row>
    <row r="336" spans="2:13" x14ac:dyDescent="0.2">
      <c r="B336" s="2292" t="s">
        <v>514</v>
      </c>
      <c r="C336" s="2292"/>
      <c r="D336" s="2292"/>
      <c r="E336" s="2292"/>
      <c r="F336" s="2292"/>
      <c r="G336" s="2292"/>
      <c r="H336" s="2292"/>
    </row>
    <row r="337" spans="2:8" ht="15" x14ac:dyDescent="0.2">
      <c r="B337" s="264"/>
    </row>
    <row r="338" spans="2:8" ht="51.75" customHeight="1" x14ac:dyDescent="0.2">
      <c r="B338" s="263" t="s">
        <v>528</v>
      </c>
    </row>
    <row r="339" spans="2:8" x14ac:dyDescent="0.2">
      <c r="B339" s="2292" t="s">
        <v>515</v>
      </c>
      <c r="C339" s="2292"/>
      <c r="D339" s="2292"/>
      <c r="E339" s="2292"/>
      <c r="F339" s="2292"/>
      <c r="G339" s="2292"/>
      <c r="H339" s="2292"/>
    </row>
    <row r="340" spans="2:8" ht="15" x14ac:dyDescent="0.2">
      <c r="B340" s="264"/>
    </row>
    <row r="341" spans="2:8" ht="38.25" customHeight="1" x14ac:dyDescent="0.2">
      <c r="B341" s="263" t="s">
        <v>529</v>
      </c>
    </row>
    <row r="342" spans="2:8" x14ac:dyDescent="0.2">
      <c r="B342" s="2292" t="s">
        <v>516</v>
      </c>
      <c r="C342" s="2292"/>
      <c r="D342" s="2292"/>
      <c r="E342" s="2292"/>
      <c r="F342" s="2292"/>
      <c r="G342" s="2292"/>
      <c r="H342" s="2292"/>
    </row>
    <row r="343" spans="2:8" ht="15" x14ac:dyDescent="0.2">
      <c r="B343" s="63"/>
    </row>
  </sheetData>
  <mergeCells count="171">
    <mergeCell ref="B336:H336"/>
    <mergeCell ref="B339:H339"/>
    <mergeCell ref="B342:H342"/>
    <mergeCell ref="B323:H323"/>
    <mergeCell ref="B325:C325"/>
    <mergeCell ref="D325:D327"/>
    <mergeCell ref="E325:E327"/>
    <mergeCell ref="G325:G326"/>
    <mergeCell ref="H325:H326"/>
    <mergeCell ref="B326:B327"/>
    <mergeCell ref="C326:C327"/>
    <mergeCell ref="C332:H333"/>
    <mergeCell ref="B304:B305"/>
    <mergeCell ref="C304:C305"/>
    <mergeCell ref="H304:I304"/>
    <mergeCell ref="L304:M304"/>
    <mergeCell ref="H303:I303"/>
    <mergeCell ref="J303:J304"/>
    <mergeCell ref="K303:K304"/>
    <mergeCell ref="L303:M303"/>
    <mergeCell ref="B293:C293"/>
    <mergeCell ref="D293:D295"/>
    <mergeCell ref="E293:E295"/>
    <mergeCell ref="G293:G294"/>
    <mergeCell ref="H293:H294"/>
    <mergeCell ref="B294:B295"/>
    <mergeCell ref="C294:C295"/>
    <mergeCell ref="B301:H301"/>
    <mergeCell ref="B303:C303"/>
    <mergeCell ref="D303:D305"/>
    <mergeCell ref="E303:E305"/>
    <mergeCell ref="F303:F304"/>
    <mergeCell ref="G303:G304"/>
    <mergeCell ref="B270:H270"/>
    <mergeCell ref="I271:I288"/>
    <mergeCell ref="B272:C272"/>
    <mergeCell ref="D272:D274"/>
    <mergeCell ref="E272:E274"/>
    <mergeCell ref="G272:G273"/>
    <mergeCell ref="H272:H273"/>
    <mergeCell ref="B273:B274"/>
    <mergeCell ref="C273:C274"/>
    <mergeCell ref="E260:E262"/>
    <mergeCell ref="G260:G261"/>
    <mergeCell ref="H260:H261"/>
    <mergeCell ref="B261:B262"/>
    <mergeCell ref="C261:C262"/>
    <mergeCell ref="B239:C239"/>
    <mergeCell ref="D239:D241"/>
    <mergeCell ref="E239:E241"/>
    <mergeCell ref="G239:G240"/>
    <mergeCell ref="H239:H240"/>
    <mergeCell ref="B240:B241"/>
    <mergeCell ref="C240:C241"/>
    <mergeCell ref="B227:C227"/>
    <mergeCell ref="D227:D229"/>
    <mergeCell ref="E227:E229"/>
    <mergeCell ref="G227:G228"/>
    <mergeCell ref="H227:H228"/>
    <mergeCell ref="B228:B229"/>
    <mergeCell ref="C228:C229"/>
    <mergeCell ref="B237:H237"/>
    <mergeCell ref="I238:I255"/>
    <mergeCell ref="B192:H192"/>
    <mergeCell ref="B205:C205"/>
    <mergeCell ref="D205:D207"/>
    <mergeCell ref="E205:E207"/>
    <mergeCell ref="G205:G206"/>
    <mergeCell ref="H205:H206"/>
    <mergeCell ref="B206:B207"/>
    <mergeCell ref="C206:C207"/>
    <mergeCell ref="B225:H225"/>
    <mergeCell ref="B148:C148"/>
    <mergeCell ref="D148:D150"/>
    <mergeCell ref="E148:E150"/>
    <mergeCell ref="G148:G149"/>
    <mergeCell ref="H148:H149"/>
    <mergeCell ref="B149:B150"/>
    <mergeCell ref="C149:C150"/>
    <mergeCell ref="B171:H171"/>
    <mergeCell ref="B172:C172"/>
    <mergeCell ref="D172:D174"/>
    <mergeCell ref="E172:E174"/>
    <mergeCell ref="G172:G173"/>
    <mergeCell ref="H172:H173"/>
    <mergeCell ref="B173:B174"/>
    <mergeCell ref="C173:C174"/>
    <mergeCell ref="I114:I133"/>
    <mergeCell ref="B137:C137"/>
    <mergeCell ref="D137:D139"/>
    <mergeCell ref="E137:E139"/>
    <mergeCell ref="G137:G138"/>
    <mergeCell ref="H137:H138"/>
    <mergeCell ref="B138:B139"/>
    <mergeCell ref="C138:C139"/>
    <mergeCell ref="B115:C115"/>
    <mergeCell ref="D115:D117"/>
    <mergeCell ref="E115:E117"/>
    <mergeCell ref="G115:G116"/>
    <mergeCell ref="H115:H116"/>
    <mergeCell ref="B116:B117"/>
    <mergeCell ref="C116:C117"/>
    <mergeCell ref="I48:I49"/>
    <mergeCell ref="B49:B50"/>
    <mergeCell ref="C49:C50"/>
    <mergeCell ref="B79:H79"/>
    <mergeCell ref="I80:I99"/>
    <mergeCell ref="B81:C81"/>
    <mergeCell ref="D81:D83"/>
    <mergeCell ref="E81:E83"/>
    <mergeCell ref="G81:G82"/>
    <mergeCell ref="H81:H82"/>
    <mergeCell ref="B82:B83"/>
    <mergeCell ref="C82:C83"/>
    <mergeCell ref="C39:C40"/>
    <mergeCell ref="G103:G104"/>
    <mergeCell ref="H103:H104"/>
    <mergeCell ref="B104:B105"/>
    <mergeCell ref="C104:C105"/>
    <mergeCell ref="B258:H258"/>
    <mergeCell ref="B260:C260"/>
    <mergeCell ref="D260:D262"/>
    <mergeCell ref="B194:C194"/>
    <mergeCell ref="D194:D196"/>
    <mergeCell ref="E194:E196"/>
    <mergeCell ref="G194:G195"/>
    <mergeCell ref="H194:H195"/>
    <mergeCell ref="B195:B196"/>
    <mergeCell ref="C195:C196"/>
    <mergeCell ref="B204:H204"/>
    <mergeCell ref="B113:H113"/>
    <mergeCell ref="B147:H147"/>
    <mergeCell ref="B46:H46"/>
    <mergeCell ref="B48:C48"/>
    <mergeCell ref="D48:D50"/>
    <mergeCell ref="E48:E50"/>
    <mergeCell ref="G48:G49"/>
    <mergeCell ref="H48:H49"/>
    <mergeCell ref="B291:H291"/>
    <mergeCell ref="B14:H14"/>
    <mergeCell ref="B9:H9"/>
    <mergeCell ref="B10:H10"/>
    <mergeCell ref="B68:H68"/>
    <mergeCell ref="B70:C70"/>
    <mergeCell ref="D70:D72"/>
    <mergeCell ref="E70:E72"/>
    <mergeCell ref="G70:G71"/>
    <mergeCell ref="H70:H71"/>
    <mergeCell ref="B71:B72"/>
    <mergeCell ref="C71:C72"/>
    <mergeCell ref="B135:H135"/>
    <mergeCell ref="B101:H101"/>
    <mergeCell ref="B103:C103"/>
    <mergeCell ref="D103:D105"/>
    <mergeCell ref="E103:E105"/>
    <mergeCell ref="B36:H36"/>
    <mergeCell ref="B38:C38"/>
    <mergeCell ref="D38:D40"/>
    <mergeCell ref="E38:E40"/>
    <mergeCell ref="G38:G39"/>
    <mergeCell ref="H38:H39"/>
    <mergeCell ref="B39:B40"/>
    <mergeCell ref="B16:C16"/>
    <mergeCell ref="D16:D18"/>
    <mergeCell ref="E16:E18"/>
    <mergeCell ref="G16:G17"/>
    <mergeCell ref="H16:H17"/>
    <mergeCell ref="I16:I17"/>
    <mergeCell ref="B17:B18"/>
    <mergeCell ref="C17:C18"/>
    <mergeCell ref="F16:F18"/>
  </mergeCells>
  <phoneticPr fontId="13" type="noConversion"/>
  <dataValidations disablePrompts="1" count="1">
    <dataValidation allowBlank="1" showInputMessage="1" showErrorMessage="1" promptTitle="Date Format" prompt="E.g:  &quot;August 1, 2011&quot;" sqref="I7" xr:uid="{00000000-0002-0000-2900-000000000000}"/>
  </dataValidations>
  <pageMargins left="0.74803149606299213" right="0.74803149606299213" top="0.98425196850393704" bottom="0.98425196850393704" header="0.51181102362204722" footer="0.51181102362204722"/>
  <pageSetup scale="45" fitToHeight="0" orientation="portrait" r:id="rId1"/>
  <headerFooter alignWithMargins="0"/>
  <rowBreaks count="8" manualBreakCount="8">
    <brk id="43" max="9" man="1"/>
    <brk id="75" max="9" man="1"/>
    <brk id="109" max="9" man="1"/>
    <brk id="143" max="9" man="1"/>
    <brk id="168" max="9" man="1"/>
    <brk id="200" max="9" man="1"/>
    <brk id="233" max="9" man="1"/>
    <brk id="266"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tabColor theme="5" tint="0.39997558519241921"/>
    <pageSetUpPr autoPageBreaks="0" fitToPage="1"/>
  </sheetPr>
  <dimension ref="A1:P72"/>
  <sheetViews>
    <sheetView showGridLines="0" zoomScaleNormal="100" workbookViewId="0">
      <selection activeCell="I31" sqref="I31"/>
    </sheetView>
  </sheetViews>
  <sheetFormatPr defaultRowHeight="12.75" x14ac:dyDescent="0.2"/>
  <cols>
    <col min="1" max="1" width="6.42578125" style="34" customWidth="1"/>
    <col min="2" max="2" width="5.5703125" style="34" customWidth="1"/>
    <col min="3" max="3" width="16.5703125" style="34" customWidth="1"/>
    <col min="4" max="4" width="3" style="34" customWidth="1"/>
    <col min="5" max="5" width="11.28515625" style="34" customWidth="1"/>
    <col min="6" max="6" width="1.42578125" style="34" customWidth="1"/>
    <col min="7" max="7" width="3.42578125" style="34" customWidth="1"/>
    <col min="8" max="8" width="1.42578125" style="34" customWidth="1"/>
    <col min="9" max="9" width="13.7109375" style="34" customWidth="1"/>
    <col min="10" max="10" width="3.28515625" style="34" customWidth="1"/>
    <col min="11" max="11" width="12.7109375" style="34" customWidth="1"/>
    <col min="12" max="12" width="1.42578125" style="34" customWidth="1"/>
    <col min="13" max="13" width="3.5703125" style="34" customWidth="1"/>
    <col min="14" max="14" width="1.7109375" style="34" customWidth="1"/>
    <col min="15" max="15" width="14" style="34" customWidth="1"/>
    <col min="16" max="16" width="2.28515625" style="34" customWidth="1"/>
    <col min="17" max="255" width="9.28515625" style="34"/>
    <col min="256" max="256" width="2.7109375" style="34" customWidth="1"/>
    <col min="257" max="257" width="6.42578125" style="34" customWidth="1"/>
    <col min="258" max="258" width="3.7109375" style="34" customWidth="1"/>
    <col min="259" max="259" width="16.5703125" style="34" customWidth="1"/>
    <col min="260" max="260" width="3" style="34" customWidth="1"/>
    <col min="261" max="261" width="11.28515625" style="34" customWidth="1"/>
    <col min="262" max="262" width="1.42578125" style="34" customWidth="1"/>
    <col min="263" max="263" width="3.42578125" style="34" customWidth="1"/>
    <col min="264" max="264" width="1.42578125" style="34" customWidth="1"/>
    <col min="265" max="265" width="12.5703125" style="34" customWidth="1"/>
    <col min="266" max="266" width="3.28515625" style="34" customWidth="1"/>
    <col min="267" max="267" width="12.7109375" style="34" customWidth="1"/>
    <col min="268" max="268" width="1.42578125" style="34" customWidth="1"/>
    <col min="269" max="269" width="3.5703125" style="34" customWidth="1"/>
    <col min="270" max="270" width="1.7109375" style="34" customWidth="1"/>
    <col min="271" max="271" width="14" style="34" customWidth="1"/>
    <col min="272" max="272" width="2.28515625" style="34" customWidth="1"/>
    <col min="273" max="511" width="9.28515625" style="34"/>
    <col min="512" max="512" width="2.7109375" style="34" customWidth="1"/>
    <col min="513" max="513" width="6.42578125" style="34" customWidth="1"/>
    <col min="514" max="514" width="3.7109375" style="34" customWidth="1"/>
    <col min="515" max="515" width="16.5703125" style="34" customWidth="1"/>
    <col min="516" max="516" width="3" style="34" customWidth="1"/>
    <col min="517" max="517" width="11.28515625" style="34" customWidth="1"/>
    <col min="518" max="518" width="1.42578125" style="34" customWidth="1"/>
    <col min="519" max="519" width="3.42578125" style="34" customWidth="1"/>
    <col min="520" max="520" width="1.42578125" style="34" customWidth="1"/>
    <col min="521" max="521" width="12.5703125" style="34" customWidth="1"/>
    <col min="522" max="522" width="3.28515625" style="34" customWidth="1"/>
    <col min="523" max="523" width="12.7109375" style="34" customWidth="1"/>
    <col min="524" max="524" width="1.42578125" style="34" customWidth="1"/>
    <col min="525" max="525" width="3.5703125" style="34" customWidth="1"/>
    <col min="526" max="526" width="1.7109375" style="34" customWidth="1"/>
    <col min="527" max="527" width="14" style="34" customWidth="1"/>
    <col min="528" max="528" width="2.28515625" style="34" customWidth="1"/>
    <col min="529" max="767" width="9.28515625" style="34"/>
    <col min="768" max="768" width="2.7109375" style="34" customWidth="1"/>
    <col min="769" max="769" width="6.42578125" style="34" customWidth="1"/>
    <col min="770" max="770" width="3.7109375" style="34" customWidth="1"/>
    <col min="771" max="771" width="16.5703125" style="34" customWidth="1"/>
    <col min="772" max="772" width="3" style="34" customWidth="1"/>
    <col min="773" max="773" width="11.28515625" style="34" customWidth="1"/>
    <col min="774" max="774" width="1.42578125" style="34" customWidth="1"/>
    <col min="775" max="775" width="3.42578125" style="34" customWidth="1"/>
    <col min="776" max="776" width="1.42578125" style="34" customWidth="1"/>
    <col min="777" max="777" width="12.5703125" style="34" customWidth="1"/>
    <col min="778" max="778" width="3.28515625" style="34" customWidth="1"/>
    <col min="779" max="779" width="12.7109375" style="34" customWidth="1"/>
    <col min="780" max="780" width="1.42578125" style="34" customWidth="1"/>
    <col min="781" max="781" width="3.5703125" style="34" customWidth="1"/>
    <col min="782" max="782" width="1.7109375" style="34" customWidth="1"/>
    <col min="783" max="783" width="14" style="34" customWidth="1"/>
    <col min="784" max="784" width="2.28515625" style="34" customWidth="1"/>
    <col min="785" max="1023" width="9.28515625" style="34"/>
    <col min="1024" max="1024" width="2.7109375" style="34" customWidth="1"/>
    <col min="1025" max="1025" width="6.42578125" style="34" customWidth="1"/>
    <col min="1026" max="1026" width="3.7109375" style="34" customWidth="1"/>
    <col min="1027" max="1027" width="16.5703125" style="34" customWidth="1"/>
    <col min="1028" max="1028" width="3" style="34" customWidth="1"/>
    <col min="1029" max="1029" width="11.28515625" style="34" customWidth="1"/>
    <col min="1030" max="1030" width="1.42578125" style="34" customWidth="1"/>
    <col min="1031" max="1031" width="3.42578125" style="34" customWidth="1"/>
    <col min="1032" max="1032" width="1.42578125" style="34" customWidth="1"/>
    <col min="1033" max="1033" width="12.5703125" style="34" customWidth="1"/>
    <col min="1034" max="1034" width="3.28515625" style="34" customWidth="1"/>
    <col min="1035" max="1035" width="12.7109375" style="34" customWidth="1"/>
    <col min="1036" max="1036" width="1.42578125" style="34" customWidth="1"/>
    <col min="1037" max="1037" width="3.5703125" style="34" customWidth="1"/>
    <col min="1038" max="1038" width="1.7109375" style="34" customWidth="1"/>
    <col min="1039" max="1039" width="14" style="34" customWidth="1"/>
    <col min="1040" max="1040" width="2.28515625" style="34" customWidth="1"/>
    <col min="1041" max="1279" width="9.28515625" style="34"/>
    <col min="1280" max="1280" width="2.7109375" style="34" customWidth="1"/>
    <col min="1281" max="1281" width="6.42578125" style="34" customWidth="1"/>
    <col min="1282" max="1282" width="3.7109375" style="34" customWidth="1"/>
    <col min="1283" max="1283" width="16.5703125" style="34" customWidth="1"/>
    <col min="1284" max="1284" width="3" style="34" customWidth="1"/>
    <col min="1285" max="1285" width="11.28515625" style="34" customWidth="1"/>
    <col min="1286" max="1286" width="1.42578125" style="34" customWidth="1"/>
    <col min="1287" max="1287" width="3.42578125" style="34" customWidth="1"/>
    <col min="1288" max="1288" width="1.42578125" style="34" customWidth="1"/>
    <col min="1289" max="1289" width="12.5703125" style="34" customWidth="1"/>
    <col min="1290" max="1290" width="3.28515625" style="34" customWidth="1"/>
    <col min="1291" max="1291" width="12.7109375" style="34" customWidth="1"/>
    <col min="1292" max="1292" width="1.42578125" style="34" customWidth="1"/>
    <col min="1293" max="1293" width="3.5703125" style="34" customWidth="1"/>
    <col min="1294" max="1294" width="1.7109375" style="34" customWidth="1"/>
    <col min="1295" max="1295" width="14" style="34" customWidth="1"/>
    <col min="1296" max="1296" width="2.28515625" style="34" customWidth="1"/>
    <col min="1297" max="1535" width="9.28515625" style="34"/>
    <col min="1536" max="1536" width="2.7109375" style="34" customWidth="1"/>
    <col min="1537" max="1537" width="6.42578125" style="34" customWidth="1"/>
    <col min="1538" max="1538" width="3.7109375" style="34" customWidth="1"/>
    <col min="1539" max="1539" width="16.5703125" style="34" customWidth="1"/>
    <col min="1540" max="1540" width="3" style="34" customWidth="1"/>
    <col min="1541" max="1541" width="11.28515625" style="34" customWidth="1"/>
    <col min="1542" max="1542" width="1.42578125" style="34" customWidth="1"/>
    <col min="1543" max="1543" width="3.42578125" style="34" customWidth="1"/>
    <col min="1544" max="1544" width="1.42578125" style="34" customWidth="1"/>
    <col min="1545" max="1545" width="12.5703125" style="34" customWidth="1"/>
    <col min="1546" max="1546" width="3.28515625" style="34" customWidth="1"/>
    <col min="1547" max="1547" width="12.7109375" style="34" customWidth="1"/>
    <col min="1548" max="1548" width="1.42578125" style="34" customWidth="1"/>
    <col min="1549" max="1549" width="3.5703125" style="34" customWidth="1"/>
    <col min="1550" max="1550" width="1.7109375" style="34" customWidth="1"/>
    <col min="1551" max="1551" width="14" style="34" customWidth="1"/>
    <col min="1552" max="1552" width="2.28515625" style="34" customWidth="1"/>
    <col min="1553" max="1791" width="9.28515625" style="34"/>
    <col min="1792" max="1792" width="2.7109375" style="34" customWidth="1"/>
    <col min="1793" max="1793" width="6.42578125" style="34" customWidth="1"/>
    <col min="1794" max="1794" width="3.7109375" style="34" customWidth="1"/>
    <col min="1795" max="1795" width="16.5703125" style="34" customWidth="1"/>
    <col min="1796" max="1796" width="3" style="34" customWidth="1"/>
    <col min="1797" max="1797" width="11.28515625" style="34" customWidth="1"/>
    <col min="1798" max="1798" width="1.42578125" style="34" customWidth="1"/>
    <col min="1799" max="1799" width="3.42578125" style="34" customWidth="1"/>
    <col min="1800" max="1800" width="1.42578125" style="34" customWidth="1"/>
    <col min="1801" max="1801" width="12.5703125" style="34" customWidth="1"/>
    <col min="1802" max="1802" width="3.28515625" style="34" customWidth="1"/>
    <col min="1803" max="1803" width="12.7109375" style="34" customWidth="1"/>
    <col min="1804" max="1804" width="1.42578125" style="34" customWidth="1"/>
    <col min="1805" max="1805" width="3.5703125" style="34" customWidth="1"/>
    <col min="1806" max="1806" width="1.7109375" style="34" customWidth="1"/>
    <col min="1807" max="1807" width="14" style="34" customWidth="1"/>
    <col min="1808" max="1808" width="2.28515625" style="34" customWidth="1"/>
    <col min="1809" max="2047" width="9.28515625" style="34"/>
    <col min="2048" max="2048" width="2.7109375" style="34" customWidth="1"/>
    <col min="2049" max="2049" width="6.42578125" style="34" customWidth="1"/>
    <col min="2050" max="2050" width="3.7109375" style="34" customWidth="1"/>
    <col min="2051" max="2051" width="16.5703125" style="34" customWidth="1"/>
    <col min="2052" max="2052" width="3" style="34" customWidth="1"/>
    <col min="2053" max="2053" width="11.28515625" style="34" customWidth="1"/>
    <col min="2054" max="2054" width="1.42578125" style="34" customWidth="1"/>
    <col min="2055" max="2055" width="3.42578125" style="34" customWidth="1"/>
    <col min="2056" max="2056" width="1.42578125" style="34" customWidth="1"/>
    <col min="2057" max="2057" width="12.5703125" style="34" customWidth="1"/>
    <col min="2058" max="2058" width="3.28515625" style="34" customWidth="1"/>
    <col min="2059" max="2059" width="12.7109375" style="34" customWidth="1"/>
    <col min="2060" max="2060" width="1.42578125" style="34" customWidth="1"/>
    <col min="2061" max="2061" width="3.5703125" style="34" customWidth="1"/>
    <col min="2062" max="2062" width="1.7109375" style="34" customWidth="1"/>
    <col min="2063" max="2063" width="14" style="34" customWidth="1"/>
    <col min="2064" max="2064" width="2.28515625" style="34" customWidth="1"/>
    <col min="2065" max="2303" width="9.28515625" style="34"/>
    <col min="2304" max="2304" width="2.7109375" style="34" customWidth="1"/>
    <col min="2305" max="2305" width="6.42578125" style="34" customWidth="1"/>
    <col min="2306" max="2306" width="3.7109375" style="34" customWidth="1"/>
    <col min="2307" max="2307" width="16.5703125" style="34" customWidth="1"/>
    <col min="2308" max="2308" width="3" style="34" customWidth="1"/>
    <col min="2309" max="2309" width="11.28515625" style="34" customWidth="1"/>
    <col min="2310" max="2310" width="1.42578125" style="34" customWidth="1"/>
    <col min="2311" max="2311" width="3.42578125" style="34" customWidth="1"/>
    <col min="2312" max="2312" width="1.42578125" style="34" customWidth="1"/>
    <col min="2313" max="2313" width="12.5703125" style="34" customWidth="1"/>
    <col min="2314" max="2314" width="3.28515625" style="34" customWidth="1"/>
    <col min="2315" max="2315" width="12.7109375" style="34" customWidth="1"/>
    <col min="2316" max="2316" width="1.42578125" style="34" customWidth="1"/>
    <col min="2317" max="2317" width="3.5703125" style="34" customWidth="1"/>
    <col min="2318" max="2318" width="1.7109375" style="34" customWidth="1"/>
    <col min="2319" max="2319" width="14" style="34" customWidth="1"/>
    <col min="2320" max="2320" width="2.28515625" style="34" customWidth="1"/>
    <col min="2321" max="2559" width="9.28515625" style="34"/>
    <col min="2560" max="2560" width="2.7109375" style="34" customWidth="1"/>
    <col min="2561" max="2561" width="6.42578125" style="34" customWidth="1"/>
    <col min="2562" max="2562" width="3.7109375" style="34" customWidth="1"/>
    <col min="2563" max="2563" width="16.5703125" style="34" customWidth="1"/>
    <col min="2564" max="2564" width="3" style="34" customWidth="1"/>
    <col min="2565" max="2565" width="11.28515625" style="34" customWidth="1"/>
    <col min="2566" max="2566" width="1.42578125" style="34" customWidth="1"/>
    <col min="2567" max="2567" width="3.42578125" style="34" customWidth="1"/>
    <col min="2568" max="2568" width="1.42578125" style="34" customWidth="1"/>
    <col min="2569" max="2569" width="12.5703125" style="34" customWidth="1"/>
    <col min="2570" max="2570" width="3.28515625" style="34" customWidth="1"/>
    <col min="2571" max="2571" width="12.7109375" style="34" customWidth="1"/>
    <col min="2572" max="2572" width="1.42578125" style="34" customWidth="1"/>
    <col min="2573" max="2573" width="3.5703125" style="34" customWidth="1"/>
    <col min="2574" max="2574" width="1.7109375" style="34" customWidth="1"/>
    <col min="2575" max="2575" width="14" style="34" customWidth="1"/>
    <col min="2576" max="2576" width="2.28515625" style="34" customWidth="1"/>
    <col min="2577" max="2815" width="9.28515625" style="34"/>
    <col min="2816" max="2816" width="2.7109375" style="34" customWidth="1"/>
    <col min="2817" max="2817" width="6.42578125" style="34" customWidth="1"/>
    <col min="2818" max="2818" width="3.7109375" style="34" customWidth="1"/>
    <col min="2819" max="2819" width="16.5703125" style="34" customWidth="1"/>
    <col min="2820" max="2820" width="3" style="34" customWidth="1"/>
    <col min="2821" max="2821" width="11.28515625" style="34" customWidth="1"/>
    <col min="2822" max="2822" width="1.42578125" style="34" customWidth="1"/>
    <col min="2823" max="2823" width="3.42578125" style="34" customWidth="1"/>
    <col min="2824" max="2824" width="1.42578125" style="34" customWidth="1"/>
    <col min="2825" max="2825" width="12.5703125" style="34" customWidth="1"/>
    <col min="2826" max="2826" width="3.28515625" style="34" customWidth="1"/>
    <col min="2827" max="2827" width="12.7109375" style="34" customWidth="1"/>
    <col min="2828" max="2828" width="1.42578125" style="34" customWidth="1"/>
    <col min="2829" max="2829" width="3.5703125" style="34" customWidth="1"/>
    <col min="2830" max="2830" width="1.7109375" style="34" customWidth="1"/>
    <col min="2831" max="2831" width="14" style="34" customWidth="1"/>
    <col min="2832" max="2832" width="2.28515625" style="34" customWidth="1"/>
    <col min="2833" max="3071" width="9.28515625" style="34"/>
    <col min="3072" max="3072" width="2.7109375" style="34" customWidth="1"/>
    <col min="3073" max="3073" width="6.42578125" style="34" customWidth="1"/>
    <col min="3074" max="3074" width="3.7109375" style="34" customWidth="1"/>
    <col min="3075" max="3075" width="16.5703125" style="34" customWidth="1"/>
    <col min="3076" max="3076" width="3" style="34" customWidth="1"/>
    <col min="3077" max="3077" width="11.28515625" style="34" customWidth="1"/>
    <col min="3078" max="3078" width="1.42578125" style="34" customWidth="1"/>
    <col min="3079" max="3079" width="3.42578125" style="34" customWidth="1"/>
    <col min="3080" max="3080" width="1.42578125" style="34" customWidth="1"/>
    <col min="3081" max="3081" width="12.5703125" style="34" customWidth="1"/>
    <col min="3082" max="3082" width="3.28515625" style="34" customWidth="1"/>
    <col min="3083" max="3083" width="12.7109375" style="34" customWidth="1"/>
    <col min="3084" max="3084" width="1.42578125" style="34" customWidth="1"/>
    <col min="3085" max="3085" width="3.5703125" style="34" customWidth="1"/>
    <col min="3086" max="3086" width="1.7109375" style="34" customWidth="1"/>
    <col min="3087" max="3087" width="14" style="34" customWidth="1"/>
    <col min="3088" max="3088" width="2.28515625" style="34" customWidth="1"/>
    <col min="3089" max="3327" width="9.28515625" style="34"/>
    <col min="3328" max="3328" width="2.7109375" style="34" customWidth="1"/>
    <col min="3329" max="3329" width="6.42578125" style="34" customWidth="1"/>
    <col min="3330" max="3330" width="3.7109375" style="34" customWidth="1"/>
    <col min="3331" max="3331" width="16.5703125" style="34" customWidth="1"/>
    <col min="3332" max="3332" width="3" style="34" customWidth="1"/>
    <col min="3333" max="3333" width="11.28515625" style="34" customWidth="1"/>
    <col min="3334" max="3334" width="1.42578125" style="34" customWidth="1"/>
    <col min="3335" max="3335" width="3.42578125" style="34" customWidth="1"/>
    <col min="3336" max="3336" width="1.42578125" style="34" customWidth="1"/>
    <col min="3337" max="3337" width="12.5703125" style="34" customWidth="1"/>
    <col min="3338" max="3338" width="3.28515625" style="34" customWidth="1"/>
    <col min="3339" max="3339" width="12.7109375" style="34" customWidth="1"/>
    <col min="3340" max="3340" width="1.42578125" style="34" customWidth="1"/>
    <col min="3341" max="3341" width="3.5703125" style="34" customWidth="1"/>
    <col min="3342" max="3342" width="1.7109375" style="34" customWidth="1"/>
    <col min="3343" max="3343" width="14" style="34" customWidth="1"/>
    <col min="3344" max="3344" width="2.28515625" style="34" customWidth="1"/>
    <col min="3345" max="3583" width="9.28515625" style="34"/>
    <col min="3584" max="3584" width="2.7109375" style="34" customWidth="1"/>
    <col min="3585" max="3585" width="6.42578125" style="34" customWidth="1"/>
    <col min="3586" max="3586" width="3.7109375" style="34" customWidth="1"/>
    <col min="3587" max="3587" width="16.5703125" style="34" customWidth="1"/>
    <col min="3588" max="3588" width="3" style="34" customWidth="1"/>
    <col min="3589" max="3589" width="11.28515625" style="34" customWidth="1"/>
    <col min="3590" max="3590" width="1.42578125" style="34" customWidth="1"/>
    <col min="3591" max="3591" width="3.42578125" style="34" customWidth="1"/>
    <col min="3592" max="3592" width="1.42578125" style="34" customWidth="1"/>
    <col min="3593" max="3593" width="12.5703125" style="34" customWidth="1"/>
    <col min="3594" max="3594" width="3.28515625" style="34" customWidth="1"/>
    <col min="3595" max="3595" width="12.7109375" style="34" customWidth="1"/>
    <col min="3596" max="3596" width="1.42578125" style="34" customWidth="1"/>
    <col min="3597" max="3597" width="3.5703125" style="34" customWidth="1"/>
    <col min="3598" max="3598" width="1.7109375" style="34" customWidth="1"/>
    <col min="3599" max="3599" width="14" style="34" customWidth="1"/>
    <col min="3600" max="3600" width="2.28515625" style="34" customWidth="1"/>
    <col min="3601" max="3839" width="9.28515625" style="34"/>
    <col min="3840" max="3840" width="2.7109375" style="34" customWidth="1"/>
    <col min="3841" max="3841" width="6.42578125" style="34" customWidth="1"/>
    <col min="3842" max="3842" width="3.7109375" style="34" customWidth="1"/>
    <col min="3843" max="3843" width="16.5703125" style="34" customWidth="1"/>
    <col min="3844" max="3844" width="3" style="34" customWidth="1"/>
    <col min="3845" max="3845" width="11.28515625" style="34" customWidth="1"/>
    <col min="3846" max="3846" width="1.42578125" style="34" customWidth="1"/>
    <col min="3847" max="3847" width="3.42578125" style="34" customWidth="1"/>
    <col min="3848" max="3848" width="1.42578125" style="34" customWidth="1"/>
    <col min="3849" max="3849" width="12.5703125" style="34" customWidth="1"/>
    <col min="3850" max="3850" width="3.28515625" style="34" customWidth="1"/>
    <col min="3851" max="3851" width="12.7109375" style="34" customWidth="1"/>
    <col min="3852" max="3852" width="1.42578125" style="34" customWidth="1"/>
    <col min="3853" max="3853" width="3.5703125" style="34" customWidth="1"/>
    <col min="3854" max="3854" width="1.7109375" style="34" customWidth="1"/>
    <col min="3855" max="3855" width="14" style="34" customWidth="1"/>
    <col min="3856" max="3856" width="2.28515625" style="34" customWidth="1"/>
    <col min="3857" max="4095" width="9.28515625" style="34"/>
    <col min="4096" max="4096" width="2.7109375" style="34" customWidth="1"/>
    <col min="4097" max="4097" width="6.42578125" style="34" customWidth="1"/>
    <col min="4098" max="4098" width="3.7109375" style="34" customWidth="1"/>
    <col min="4099" max="4099" width="16.5703125" style="34" customWidth="1"/>
    <col min="4100" max="4100" width="3" style="34" customWidth="1"/>
    <col min="4101" max="4101" width="11.28515625" style="34" customWidth="1"/>
    <col min="4102" max="4102" width="1.42578125" style="34" customWidth="1"/>
    <col min="4103" max="4103" width="3.42578125" style="34" customWidth="1"/>
    <col min="4104" max="4104" width="1.42578125" style="34" customWidth="1"/>
    <col min="4105" max="4105" width="12.5703125" style="34" customWidth="1"/>
    <col min="4106" max="4106" width="3.28515625" style="34" customWidth="1"/>
    <col min="4107" max="4107" width="12.7109375" style="34" customWidth="1"/>
    <col min="4108" max="4108" width="1.42578125" style="34" customWidth="1"/>
    <col min="4109" max="4109" width="3.5703125" style="34" customWidth="1"/>
    <col min="4110" max="4110" width="1.7109375" style="34" customWidth="1"/>
    <col min="4111" max="4111" width="14" style="34" customWidth="1"/>
    <col min="4112" max="4112" width="2.28515625" style="34" customWidth="1"/>
    <col min="4113" max="4351" width="9.28515625" style="34"/>
    <col min="4352" max="4352" width="2.7109375" style="34" customWidth="1"/>
    <col min="4353" max="4353" width="6.42578125" style="34" customWidth="1"/>
    <col min="4354" max="4354" width="3.7109375" style="34" customWidth="1"/>
    <col min="4355" max="4355" width="16.5703125" style="34" customWidth="1"/>
    <col min="4356" max="4356" width="3" style="34" customWidth="1"/>
    <col min="4357" max="4357" width="11.28515625" style="34" customWidth="1"/>
    <col min="4358" max="4358" width="1.42578125" style="34" customWidth="1"/>
    <col min="4359" max="4359" width="3.42578125" style="34" customWidth="1"/>
    <col min="4360" max="4360" width="1.42578125" style="34" customWidth="1"/>
    <col min="4361" max="4361" width="12.5703125" style="34" customWidth="1"/>
    <col min="4362" max="4362" width="3.28515625" style="34" customWidth="1"/>
    <col min="4363" max="4363" width="12.7109375" style="34" customWidth="1"/>
    <col min="4364" max="4364" width="1.42578125" style="34" customWidth="1"/>
    <col min="4365" max="4365" width="3.5703125" style="34" customWidth="1"/>
    <col min="4366" max="4366" width="1.7109375" style="34" customWidth="1"/>
    <col min="4367" max="4367" width="14" style="34" customWidth="1"/>
    <col min="4368" max="4368" width="2.28515625" style="34" customWidth="1"/>
    <col min="4369" max="4607" width="9.28515625" style="34"/>
    <col min="4608" max="4608" width="2.7109375" style="34" customWidth="1"/>
    <col min="4609" max="4609" width="6.42578125" style="34" customWidth="1"/>
    <col min="4610" max="4610" width="3.7109375" style="34" customWidth="1"/>
    <col min="4611" max="4611" width="16.5703125" style="34" customWidth="1"/>
    <col min="4612" max="4612" width="3" style="34" customWidth="1"/>
    <col min="4613" max="4613" width="11.28515625" style="34" customWidth="1"/>
    <col min="4614" max="4614" width="1.42578125" style="34" customWidth="1"/>
    <col min="4615" max="4615" width="3.42578125" style="34" customWidth="1"/>
    <col min="4616" max="4616" width="1.42578125" style="34" customWidth="1"/>
    <col min="4617" max="4617" width="12.5703125" style="34" customWidth="1"/>
    <col min="4618" max="4618" width="3.28515625" style="34" customWidth="1"/>
    <col min="4619" max="4619" width="12.7109375" style="34" customWidth="1"/>
    <col min="4620" max="4620" width="1.42578125" style="34" customWidth="1"/>
    <col min="4621" max="4621" width="3.5703125" style="34" customWidth="1"/>
    <col min="4622" max="4622" width="1.7109375" style="34" customWidth="1"/>
    <col min="4623" max="4623" width="14" style="34" customWidth="1"/>
    <col min="4624" max="4624" width="2.28515625" style="34" customWidth="1"/>
    <col min="4625" max="4863" width="9.28515625" style="34"/>
    <col min="4864" max="4864" width="2.7109375" style="34" customWidth="1"/>
    <col min="4865" max="4865" width="6.42578125" style="34" customWidth="1"/>
    <col min="4866" max="4866" width="3.7109375" style="34" customWidth="1"/>
    <col min="4867" max="4867" width="16.5703125" style="34" customWidth="1"/>
    <col min="4868" max="4868" width="3" style="34" customWidth="1"/>
    <col min="4869" max="4869" width="11.28515625" style="34" customWidth="1"/>
    <col min="4870" max="4870" width="1.42578125" style="34" customWidth="1"/>
    <col min="4871" max="4871" width="3.42578125" style="34" customWidth="1"/>
    <col min="4872" max="4872" width="1.42578125" style="34" customWidth="1"/>
    <col min="4873" max="4873" width="12.5703125" style="34" customWidth="1"/>
    <col min="4874" max="4874" width="3.28515625" style="34" customWidth="1"/>
    <col min="4875" max="4875" width="12.7109375" style="34" customWidth="1"/>
    <col min="4876" max="4876" width="1.42578125" style="34" customWidth="1"/>
    <col min="4877" max="4877" width="3.5703125" style="34" customWidth="1"/>
    <col min="4878" max="4878" width="1.7109375" style="34" customWidth="1"/>
    <col min="4879" max="4879" width="14" style="34" customWidth="1"/>
    <col min="4880" max="4880" width="2.28515625" style="34" customWidth="1"/>
    <col min="4881" max="5119" width="9.28515625" style="34"/>
    <col min="5120" max="5120" width="2.7109375" style="34" customWidth="1"/>
    <col min="5121" max="5121" width="6.42578125" style="34" customWidth="1"/>
    <col min="5122" max="5122" width="3.7109375" style="34" customWidth="1"/>
    <col min="5123" max="5123" width="16.5703125" style="34" customWidth="1"/>
    <col min="5124" max="5124" width="3" style="34" customWidth="1"/>
    <col min="5125" max="5125" width="11.28515625" style="34" customWidth="1"/>
    <col min="5126" max="5126" width="1.42578125" style="34" customWidth="1"/>
    <col min="5127" max="5127" width="3.42578125" style="34" customWidth="1"/>
    <col min="5128" max="5128" width="1.42578125" style="34" customWidth="1"/>
    <col min="5129" max="5129" width="12.5703125" style="34" customWidth="1"/>
    <col min="5130" max="5130" width="3.28515625" style="34" customWidth="1"/>
    <col min="5131" max="5131" width="12.7109375" style="34" customWidth="1"/>
    <col min="5132" max="5132" width="1.42578125" style="34" customWidth="1"/>
    <col min="5133" max="5133" width="3.5703125" style="34" customWidth="1"/>
    <col min="5134" max="5134" width="1.7109375" style="34" customWidth="1"/>
    <col min="5135" max="5135" width="14" style="34" customWidth="1"/>
    <col min="5136" max="5136" width="2.28515625" style="34" customWidth="1"/>
    <col min="5137" max="5375" width="9.28515625" style="34"/>
    <col min="5376" max="5376" width="2.7109375" style="34" customWidth="1"/>
    <col min="5377" max="5377" width="6.42578125" style="34" customWidth="1"/>
    <col min="5378" max="5378" width="3.7109375" style="34" customWidth="1"/>
    <col min="5379" max="5379" width="16.5703125" style="34" customWidth="1"/>
    <col min="5380" max="5380" width="3" style="34" customWidth="1"/>
    <col min="5381" max="5381" width="11.28515625" style="34" customWidth="1"/>
    <col min="5382" max="5382" width="1.42578125" style="34" customWidth="1"/>
    <col min="5383" max="5383" width="3.42578125" style="34" customWidth="1"/>
    <col min="5384" max="5384" width="1.42578125" style="34" customWidth="1"/>
    <col min="5385" max="5385" width="12.5703125" style="34" customWidth="1"/>
    <col min="5386" max="5386" width="3.28515625" style="34" customWidth="1"/>
    <col min="5387" max="5387" width="12.7109375" style="34" customWidth="1"/>
    <col min="5388" max="5388" width="1.42578125" style="34" customWidth="1"/>
    <col min="5389" max="5389" width="3.5703125" style="34" customWidth="1"/>
    <col min="5390" max="5390" width="1.7109375" style="34" customWidth="1"/>
    <col min="5391" max="5391" width="14" style="34" customWidth="1"/>
    <col min="5392" max="5392" width="2.28515625" style="34" customWidth="1"/>
    <col min="5393" max="5631" width="9.28515625" style="34"/>
    <col min="5632" max="5632" width="2.7109375" style="34" customWidth="1"/>
    <col min="5633" max="5633" width="6.42578125" style="34" customWidth="1"/>
    <col min="5634" max="5634" width="3.7109375" style="34" customWidth="1"/>
    <col min="5635" max="5635" width="16.5703125" style="34" customWidth="1"/>
    <col min="5636" max="5636" width="3" style="34" customWidth="1"/>
    <col min="5637" max="5637" width="11.28515625" style="34" customWidth="1"/>
    <col min="5638" max="5638" width="1.42578125" style="34" customWidth="1"/>
    <col min="5639" max="5639" width="3.42578125" style="34" customWidth="1"/>
    <col min="5640" max="5640" width="1.42578125" style="34" customWidth="1"/>
    <col min="5641" max="5641" width="12.5703125" style="34" customWidth="1"/>
    <col min="5642" max="5642" width="3.28515625" style="34" customWidth="1"/>
    <col min="5643" max="5643" width="12.7109375" style="34" customWidth="1"/>
    <col min="5644" max="5644" width="1.42578125" style="34" customWidth="1"/>
    <col min="5645" max="5645" width="3.5703125" style="34" customWidth="1"/>
    <col min="5646" max="5646" width="1.7109375" style="34" customWidth="1"/>
    <col min="5647" max="5647" width="14" style="34" customWidth="1"/>
    <col min="5648" max="5648" width="2.28515625" style="34" customWidth="1"/>
    <col min="5649" max="5887" width="9.28515625" style="34"/>
    <col min="5888" max="5888" width="2.7109375" style="34" customWidth="1"/>
    <col min="5889" max="5889" width="6.42578125" style="34" customWidth="1"/>
    <col min="5890" max="5890" width="3.7109375" style="34" customWidth="1"/>
    <col min="5891" max="5891" width="16.5703125" style="34" customWidth="1"/>
    <col min="5892" max="5892" width="3" style="34" customWidth="1"/>
    <col min="5893" max="5893" width="11.28515625" style="34" customWidth="1"/>
    <col min="5894" max="5894" width="1.42578125" style="34" customWidth="1"/>
    <col min="5895" max="5895" width="3.42578125" style="34" customWidth="1"/>
    <col min="5896" max="5896" width="1.42578125" style="34" customWidth="1"/>
    <col min="5897" max="5897" width="12.5703125" style="34" customWidth="1"/>
    <col min="5898" max="5898" width="3.28515625" style="34" customWidth="1"/>
    <col min="5899" max="5899" width="12.7109375" style="34" customWidth="1"/>
    <col min="5900" max="5900" width="1.42578125" style="34" customWidth="1"/>
    <col min="5901" max="5901" width="3.5703125" style="34" customWidth="1"/>
    <col min="5902" max="5902" width="1.7109375" style="34" customWidth="1"/>
    <col min="5903" max="5903" width="14" style="34" customWidth="1"/>
    <col min="5904" max="5904" width="2.28515625" style="34" customWidth="1"/>
    <col min="5905" max="6143" width="9.28515625" style="34"/>
    <col min="6144" max="6144" width="2.7109375" style="34" customWidth="1"/>
    <col min="6145" max="6145" width="6.42578125" style="34" customWidth="1"/>
    <col min="6146" max="6146" width="3.7109375" style="34" customWidth="1"/>
    <col min="6147" max="6147" width="16.5703125" style="34" customWidth="1"/>
    <col min="6148" max="6148" width="3" style="34" customWidth="1"/>
    <col min="6149" max="6149" width="11.28515625" style="34" customWidth="1"/>
    <col min="6150" max="6150" width="1.42578125" style="34" customWidth="1"/>
    <col min="6151" max="6151" width="3.42578125" style="34" customWidth="1"/>
    <col min="6152" max="6152" width="1.42578125" style="34" customWidth="1"/>
    <col min="6153" max="6153" width="12.5703125" style="34" customWidth="1"/>
    <col min="6154" max="6154" width="3.28515625" style="34" customWidth="1"/>
    <col min="6155" max="6155" width="12.7109375" style="34" customWidth="1"/>
    <col min="6156" max="6156" width="1.42578125" style="34" customWidth="1"/>
    <col min="6157" max="6157" width="3.5703125" style="34" customWidth="1"/>
    <col min="6158" max="6158" width="1.7109375" style="34" customWidth="1"/>
    <col min="6159" max="6159" width="14" style="34" customWidth="1"/>
    <col min="6160" max="6160" width="2.28515625" style="34" customWidth="1"/>
    <col min="6161" max="6399" width="9.28515625" style="34"/>
    <col min="6400" max="6400" width="2.7109375" style="34" customWidth="1"/>
    <col min="6401" max="6401" width="6.42578125" style="34" customWidth="1"/>
    <col min="6402" max="6402" width="3.7109375" style="34" customWidth="1"/>
    <col min="6403" max="6403" width="16.5703125" style="34" customWidth="1"/>
    <col min="6404" max="6404" width="3" style="34" customWidth="1"/>
    <col min="6405" max="6405" width="11.28515625" style="34" customWidth="1"/>
    <col min="6406" max="6406" width="1.42578125" style="34" customWidth="1"/>
    <col min="6407" max="6407" width="3.42578125" style="34" customWidth="1"/>
    <col min="6408" max="6408" width="1.42578125" style="34" customWidth="1"/>
    <col min="6409" max="6409" width="12.5703125" style="34" customWidth="1"/>
    <col min="6410" max="6410" width="3.28515625" style="34" customWidth="1"/>
    <col min="6411" max="6411" width="12.7109375" style="34" customWidth="1"/>
    <col min="6412" max="6412" width="1.42578125" style="34" customWidth="1"/>
    <col min="6413" max="6413" width="3.5703125" style="34" customWidth="1"/>
    <col min="6414" max="6414" width="1.7109375" style="34" customWidth="1"/>
    <col min="6415" max="6415" width="14" style="34" customWidth="1"/>
    <col min="6416" max="6416" width="2.28515625" style="34" customWidth="1"/>
    <col min="6417" max="6655" width="9.28515625" style="34"/>
    <col min="6656" max="6656" width="2.7109375" style="34" customWidth="1"/>
    <col min="6657" max="6657" width="6.42578125" style="34" customWidth="1"/>
    <col min="6658" max="6658" width="3.7109375" style="34" customWidth="1"/>
    <col min="6659" max="6659" width="16.5703125" style="34" customWidth="1"/>
    <col min="6660" max="6660" width="3" style="34" customWidth="1"/>
    <col min="6661" max="6661" width="11.28515625" style="34" customWidth="1"/>
    <col min="6662" max="6662" width="1.42578125" style="34" customWidth="1"/>
    <col min="6663" max="6663" width="3.42578125" style="34" customWidth="1"/>
    <col min="6664" max="6664" width="1.42578125" style="34" customWidth="1"/>
    <col min="6665" max="6665" width="12.5703125" style="34" customWidth="1"/>
    <col min="6666" max="6666" width="3.28515625" style="34" customWidth="1"/>
    <col min="6667" max="6667" width="12.7109375" style="34" customWidth="1"/>
    <col min="6668" max="6668" width="1.42578125" style="34" customWidth="1"/>
    <col min="6669" max="6669" width="3.5703125" style="34" customWidth="1"/>
    <col min="6670" max="6670" width="1.7109375" style="34" customWidth="1"/>
    <col min="6671" max="6671" width="14" style="34" customWidth="1"/>
    <col min="6672" max="6672" width="2.28515625" style="34" customWidth="1"/>
    <col min="6673" max="6911" width="9.28515625" style="34"/>
    <col min="6912" max="6912" width="2.7109375" style="34" customWidth="1"/>
    <col min="6913" max="6913" width="6.42578125" style="34" customWidth="1"/>
    <col min="6914" max="6914" width="3.7109375" style="34" customWidth="1"/>
    <col min="6915" max="6915" width="16.5703125" style="34" customWidth="1"/>
    <col min="6916" max="6916" width="3" style="34" customWidth="1"/>
    <col min="6917" max="6917" width="11.28515625" style="34" customWidth="1"/>
    <col min="6918" max="6918" width="1.42578125" style="34" customWidth="1"/>
    <col min="6919" max="6919" width="3.42578125" style="34" customWidth="1"/>
    <col min="6920" max="6920" width="1.42578125" style="34" customWidth="1"/>
    <col min="6921" max="6921" width="12.5703125" style="34" customWidth="1"/>
    <col min="6922" max="6922" width="3.28515625" style="34" customWidth="1"/>
    <col min="6923" max="6923" width="12.7109375" style="34" customWidth="1"/>
    <col min="6924" max="6924" width="1.42578125" style="34" customWidth="1"/>
    <col min="6925" max="6925" width="3.5703125" style="34" customWidth="1"/>
    <col min="6926" max="6926" width="1.7109375" style="34" customWidth="1"/>
    <col min="6927" max="6927" width="14" style="34" customWidth="1"/>
    <col min="6928" max="6928" width="2.28515625" style="34" customWidth="1"/>
    <col min="6929" max="7167" width="9.28515625" style="34"/>
    <col min="7168" max="7168" width="2.7109375" style="34" customWidth="1"/>
    <col min="7169" max="7169" width="6.42578125" style="34" customWidth="1"/>
    <col min="7170" max="7170" width="3.7109375" style="34" customWidth="1"/>
    <col min="7171" max="7171" width="16.5703125" style="34" customWidth="1"/>
    <col min="7172" max="7172" width="3" style="34" customWidth="1"/>
    <col min="7173" max="7173" width="11.28515625" style="34" customWidth="1"/>
    <col min="7174" max="7174" width="1.42578125" style="34" customWidth="1"/>
    <col min="7175" max="7175" width="3.42578125" style="34" customWidth="1"/>
    <col min="7176" max="7176" width="1.42578125" style="34" customWidth="1"/>
    <col min="7177" max="7177" width="12.5703125" style="34" customWidth="1"/>
    <col min="7178" max="7178" width="3.28515625" style="34" customWidth="1"/>
    <col min="7179" max="7179" width="12.7109375" style="34" customWidth="1"/>
    <col min="7180" max="7180" width="1.42578125" style="34" customWidth="1"/>
    <col min="7181" max="7181" width="3.5703125" style="34" customWidth="1"/>
    <col min="7182" max="7182" width="1.7109375" style="34" customWidth="1"/>
    <col min="7183" max="7183" width="14" style="34" customWidth="1"/>
    <col min="7184" max="7184" width="2.28515625" style="34" customWidth="1"/>
    <col min="7185" max="7423" width="9.28515625" style="34"/>
    <col min="7424" max="7424" width="2.7109375" style="34" customWidth="1"/>
    <col min="7425" max="7425" width="6.42578125" style="34" customWidth="1"/>
    <col min="7426" max="7426" width="3.7109375" style="34" customWidth="1"/>
    <col min="7427" max="7427" width="16.5703125" style="34" customWidth="1"/>
    <col min="7428" max="7428" width="3" style="34" customWidth="1"/>
    <col min="7429" max="7429" width="11.28515625" style="34" customWidth="1"/>
    <col min="7430" max="7430" width="1.42578125" style="34" customWidth="1"/>
    <col min="7431" max="7431" width="3.42578125" style="34" customWidth="1"/>
    <col min="7432" max="7432" width="1.42578125" style="34" customWidth="1"/>
    <col min="7433" max="7433" width="12.5703125" style="34" customWidth="1"/>
    <col min="7434" max="7434" width="3.28515625" style="34" customWidth="1"/>
    <col min="7435" max="7435" width="12.7109375" style="34" customWidth="1"/>
    <col min="7436" max="7436" width="1.42578125" style="34" customWidth="1"/>
    <col min="7437" max="7437" width="3.5703125" style="34" customWidth="1"/>
    <col min="7438" max="7438" width="1.7109375" style="34" customWidth="1"/>
    <col min="7439" max="7439" width="14" style="34" customWidth="1"/>
    <col min="7440" max="7440" width="2.28515625" style="34" customWidth="1"/>
    <col min="7441" max="7679" width="9.28515625" style="34"/>
    <col min="7680" max="7680" width="2.7109375" style="34" customWidth="1"/>
    <col min="7681" max="7681" width="6.42578125" style="34" customWidth="1"/>
    <col min="7682" max="7682" width="3.7109375" style="34" customWidth="1"/>
    <col min="7683" max="7683" width="16.5703125" style="34" customWidth="1"/>
    <col min="7684" max="7684" width="3" style="34" customWidth="1"/>
    <col min="7685" max="7685" width="11.28515625" style="34" customWidth="1"/>
    <col min="7686" max="7686" width="1.42578125" style="34" customWidth="1"/>
    <col min="7687" max="7687" width="3.42578125" style="34" customWidth="1"/>
    <col min="7688" max="7688" width="1.42578125" style="34" customWidth="1"/>
    <col min="7689" max="7689" width="12.5703125" style="34" customWidth="1"/>
    <col min="7690" max="7690" width="3.28515625" style="34" customWidth="1"/>
    <col min="7691" max="7691" width="12.7109375" style="34" customWidth="1"/>
    <col min="7692" max="7692" width="1.42578125" style="34" customWidth="1"/>
    <col min="7693" max="7693" width="3.5703125" style="34" customWidth="1"/>
    <col min="7694" max="7694" width="1.7109375" style="34" customWidth="1"/>
    <col min="7695" max="7695" width="14" style="34" customWidth="1"/>
    <col min="7696" max="7696" width="2.28515625" style="34" customWidth="1"/>
    <col min="7697" max="7935" width="9.28515625" style="34"/>
    <col min="7936" max="7936" width="2.7109375" style="34" customWidth="1"/>
    <col min="7937" max="7937" width="6.42578125" style="34" customWidth="1"/>
    <col min="7938" max="7938" width="3.7109375" style="34" customWidth="1"/>
    <col min="7939" max="7939" width="16.5703125" style="34" customWidth="1"/>
    <col min="7940" max="7940" width="3" style="34" customWidth="1"/>
    <col min="7941" max="7941" width="11.28515625" style="34" customWidth="1"/>
    <col min="7942" max="7942" width="1.42578125" style="34" customWidth="1"/>
    <col min="7943" max="7943" width="3.42578125" style="34" customWidth="1"/>
    <col min="7944" max="7944" width="1.42578125" style="34" customWidth="1"/>
    <col min="7945" max="7945" width="12.5703125" style="34" customWidth="1"/>
    <col min="7946" max="7946" width="3.28515625" style="34" customWidth="1"/>
    <col min="7947" max="7947" width="12.7109375" style="34" customWidth="1"/>
    <col min="7948" max="7948" width="1.42578125" style="34" customWidth="1"/>
    <col min="7949" max="7949" width="3.5703125" style="34" customWidth="1"/>
    <col min="7950" max="7950" width="1.7109375" style="34" customWidth="1"/>
    <col min="7951" max="7951" width="14" style="34" customWidth="1"/>
    <col min="7952" max="7952" width="2.28515625" style="34" customWidth="1"/>
    <col min="7953" max="8191" width="9.28515625" style="34"/>
    <col min="8192" max="8192" width="2.7109375" style="34" customWidth="1"/>
    <col min="8193" max="8193" width="6.42578125" style="34" customWidth="1"/>
    <col min="8194" max="8194" width="3.7109375" style="34" customWidth="1"/>
    <col min="8195" max="8195" width="16.5703125" style="34" customWidth="1"/>
    <col min="8196" max="8196" width="3" style="34" customWidth="1"/>
    <col min="8197" max="8197" width="11.28515625" style="34" customWidth="1"/>
    <col min="8198" max="8198" width="1.42578125" style="34" customWidth="1"/>
    <col min="8199" max="8199" width="3.42578125" style="34" customWidth="1"/>
    <col min="8200" max="8200" width="1.42578125" style="34" customWidth="1"/>
    <col min="8201" max="8201" width="12.5703125" style="34" customWidth="1"/>
    <col min="8202" max="8202" width="3.28515625" style="34" customWidth="1"/>
    <col min="8203" max="8203" width="12.7109375" style="34" customWidth="1"/>
    <col min="8204" max="8204" width="1.42578125" style="34" customWidth="1"/>
    <col min="8205" max="8205" width="3.5703125" style="34" customWidth="1"/>
    <col min="8206" max="8206" width="1.7109375" style="34" customWidth="1"/>
    <col min="8207" max="8207" width="14" style="34" customWidth="1"/>
    <col min="8208" max="8208" width="2.28515625" style="34" customWidth="1"/>
    <col min="8209" max="8447" width="9.28515625" style="34"/>
    <col min="8448" max="8448" width="2.7109375" style="34" customWidth="1"/>
    <col min="8449" max="8449" width="6.42578125" style="34" customWidth="1"/>
    <col min="8450" max="8450" width="3.7109375" style="34" customWidth="1"/>
    <col min="8451" max="8451" width="16.5703125" style="34" customWidth="1"/>
    <col min="8452" max="8452" width="3" style="34" customWidth="1"/>
    <col min="8453" max="8453" width="11.28515625" style="34" customWidth="1"/>
    <col min="8454" max="8454" width="1.42578125" style="34" customWidth="1"/>
    <col min="8455" max="8455" width="3.42578125" style="34" customWidth="1"/>
    <col min="8456" max="8456" width="1.42578125" style="34" customWidth="1"/>
    <col min="8457" max="8457" width="12.5703125" style="34" customWidth="1"/>
    <col min="8458" max="8458" width="3.28515625" style="34" customWidth="1"/>
    <col min="8459" max="8459" width="12.7109375" style="34" customWidth="1"/>
    <col min="8460" max="8460" width="1.42578125" style="34" customWidth="1"/>
    <col min="8461" max="8461" width="3.5703125" style="34" customWidth="1"/>
    <col min="8462" max="8462" width="1.7109375" style="34" customWidth="1"/>
    <col min="8463" max="8463" width="14" style="34" customWidth="1"/>
    <col min="8464" max="8464" width="2.28515625" style="34" customWidth="1"/>
    <col min="8465" max="8703" width="9.28515625" style="34"/>
    <col min="8704" max="8704" width="2.7109375" style="34" customWidth="1"/>
    <col min="8705" max="8705" width="6.42578125" style="34" customWidth="1"/>
    <col min="8706" max="8706" width="3.7109375" style="34" customWidth="1"/>
    <col min="8707" max="8707" width="16.5703125" style="34" customWidth="1"/>
    <col min="8708" max="8708" width="3" style="34" customWidth="1"/>
    <col min="8709" max="8709" width="11.28515625" style="34" customWidth="1"/>
    <col min="8710" max="8710" width="1.42578125" style="34" customWidth="1"/>
    <col min="8711" max="8711" width="3.42578125" style="34" customWidth="1"/>
    <col min="8712" max="8712" width="1.42578125" style="34" customWidth="1"/>
    <col min="8713" max="8713" width="12.5703125" style="34" customWidth="1"/>
    <col min="8714" max="8714" width="3.28515625" style="34" customWidth="1"/>
    <col min="8715" max="8715" width="12.7109375" style="34" customWidth="1"/>
    <col min="8716" max="8716" width="1.42578125" style="34" customWidth="1"/>
    <col min="8717" max="8717" width="3.5703125" style="34" customWidth="1"/>
    <col min="8718" max="8718" width="1.7109375" style="34" customWidth="1"/>
    <col min="8719" max="8719" width="14" style="34" customWidth="1"/>
    <col min="8720" max="8720" width="2.28515625" style="34" customWidth="1"/>
    <col min="8721" max="8959" width="9.28515625" style="34"/>
    <col min="8960" max="8960" width="2.7109375" style="34" customWidth="1"/>
    <col min="8961" max="8961" width="6.42578125" style="34" customWidth="1"/>
    <col min="8962" max="8962" width="3.7109375" style="34" customWidth="1"/>
    <col min="8963" max="8963" width="16.5703125" style="34" customWidth="1"/>
    <col min="8964" max="8964" width="3" style="34" customWidth="1"/>
    <col min="8965" max="8965" width="11.28515625" style="34" customWidth="1"/>
    <col min="8966" max="8966" width="1.42578125" style="34" customWidth="1"/>
    <col min="8967" max="8967" width="3.42578125" style="34" customWidth="1"/>
    <col min="8968" max="8968" width="1.42578125" style="34" customWidth="1"/>
    <col min="8969" max="8969" width="12.5703125" style="34" customWidth="1"/>
    <col min="8970" max="8970" width="3.28515625" style="34" customWidth="1"/>
    <col min="8971" max="8971" width="12.7109375" style="34" customWidth="1"/>
    <col min="8972" max="8972" width="1.42578125" style="34" customWidth="1"/>
    <col min="8973" max="8973" width="3.5703125" style="34" customWidth="1"/>
    <col min="8974" max="8974" width="1.7109375" style="34" customWidth="1"/>
    <col min="8975" max="8975" width="14" style="34" customWidth="1"/>
    <col min="8976" max="8976" width="2.28515625" style="34" customWidth="1"/>
    <col min="8977" max="9215" width="9.28515625" style="34"/>
    <col min="9216" max="9216" width="2.7109375" style="34" customWidth="1"/>
    <col min="9217" max="9217" width="6.42578125" style="34" customWidth="1"/>
    <col min="9218" max="9218" width="3.7109375" style="34" customWidth="1"/>
    <col min="9219" max="9219" width="16.5703125" style="34" customWidth="1"/>
    <col min="9220" max="9220" width="3" style="34" customWidth="1"/>
    <col min="9221" max="9221" width="11.28515625" style="34" customWidth="1"/>
    <col min="9222" max="9222" width="1.42578125" style="34" customWidth="1"/>
    <col min="9223" max="9223" width="3.42578125" style="34" customWidth="1"/>
    <col min="9224" max="9224" width="1.42578125" style="34" customWidth="1"/>
    <col min="9225" max="9225" width="12.5703125" style="34" customWidth="1"/>
    <col min="9226" max="9226" width="3.28515625" style="34" customWidth="1"/>
    <col min="9227" max="9227" width="12.7109375" style="34" customWidth="1"/>
    <col min="9228" max="9228" width="1.42578125" style="34" customWidth="1"/>
    <col min="9229" max="9229" width="3.5703125" style="34" customWidth="1"/>
    <col min="9230" max="9230" width="1.7109375" style="34" customWidth="1"/>
    <col min="9231" max="9231" width="14" style="34" customWidth="1"/>
    <col min="9232" max="9232" width="2.28515625" style="34" customWidth="1"/>
    <col min="9233" max="9471" width="9.28515625" style="34"/>
    <col min="9472" max="9472" width="2.7109375" style="34" customWidth="1"/>
    <col min="9473" max="9473" width="6.42578125" style="34" customWidth="1"/>
    <col min="9474" max="9474" width="3.7109375" style="34" customWidth="1"/>
    <col min="9475" max="9475" width="16.5703125" style="34" customWidth="1"/>
    <col min="9476" max="9476" width="3" style="34" customWidth="1"/>
    <col min="9477" max="9477" width="11.28515625" style="34" customWidth="1"/>
    <col min="9478" max="9478" width="1.42578125" style="34" customWidth="1"/>
    <col min="9479" max="9479" width="3.42578125" style="34" customWidth="1"/>
    <col min="9480" max="9480" width="1.42578125" style="34" customWidth="1"/>
    <col min="9481" max="9481" width="12.5703125" style="34" customWidth="1"/>
    <col min="9482" max="9482" width="3.28515625" style="34" customWidth="1"/>
    <col min="9483" max="9483" width="12.7109375" style="34" customWidth="1"/>
    <col min="9484" max="9484" width="1.42578125" style="34" customWidth="1"/>
    <col min="9485" max="9485" width="3.5703125" style="34" customWidth="1"/>
    <col min="9486" max="9486" width="1.7109375" style="34" customWidth="1"/>
    <col min="9487" max="9487" width="14" style="34" customWidth="1"/>
    <col min="9488" max="9488" width="2.28515625" style="34" customWidth="1"/>
    <col min="9489" max="9727" width="9.28515625" style="34"/>
    <col min="9728" max="9728" width="2.7109375" style="34" customWidth="1"/>
    <col min="9729" max="9729" width="6.42578125" style="34" customWidth="1"/>
    <col min="9730" max="9730" width="3.7109375" style="34" customWidth="1"/>
    <col min="9731" max="9731" width="16.5703125" style="34" customWidth="1"/>
    <col min="9732" max="9732" width="3" style="34" customWidth="1"/>
    <col min="9733" max="9733" width="11.28515625" style="34" customWidth="1"/>
    <col min="9734" max="9734" width="1.42578125" style="34" customWidth="1"/>
    <col min="9735" max="9735" width="3.42578125" style="34" customWidth="1"/>
    <col min="9736" max="9736" width="1.42578125" style="34" customWidth="1"/>
    <col min="9737" max="9737" width="12.5703125" style="34" customWidth="1"/>
    <col min="9738" max="9738" width="3.28515625" style="34" customWidth="1"/>
    <col min="9739" max="9739" width="12.7109375" style="34" customWidth="1"/>
    <col min="9740" max="9740" width="1.42578125" style="34" customWidth="1"/>
    <col min="9741" max="9741" width="3.5703125" style="34" customWidth="1"/>
    <col min="9742" max="9742" width="1.7109375" style="34" customWidth="1"/>
    <col min="9743" max="9743" width="14" style="34" customWidth="1"/>
    <col min="9744" max="9744" width="2.28515625" style="34" customWidth="1"/>
    <col min="9745" max="9983" width="9.28515625" style="34"/>
    <col min="9984" max="9984" width="2.7109375" style="34" customWidth="1"/>
    <col min="9985" max="9985" width="6.42578125" style="34" customWidth="1"/>
    <col min="9986" max="9986" width="3.7109375" style="34" customWidth="1"/>
    <col min="9987" max="9987" width="16.5703125" style="34" customWidth="1"/>
    <col min="9988" max="9988" width="3" style="34" customWidth="1"/>
    <col min="9989" max="9989" width="11.28515625" style="34" customWidth="1"/>
    <col min="9990" max="9990" width="1.42578125" style="34" customWidth="1"/>
    <col min="9991" max="9991" width="3.42578125" style="34" customWidth="1"/>
    <col min="9992" max="9992" width="1.42578125" style="34" customWidth="1"/>
    <col min="9993" max="9993" width="12.5703125" style="34" customWidth="1"/>
    <col min="9994" max="9994" width="3.28515625" style="34" customWidth="1"/>
    <col min="9995" max="9995" width="12.7109375" style="34" customWidth="1"/>
    <col min="9996" max="9996" width="1.42578125" style="34" customWidth="1"/>
    <col min="9997" max="9997" width="3.5703125" style="34" customWidth="1"/>
    <col min="9998" max="9998" width="1.7109375" style="34" customWidth="1"/>
    <col min="9999" max="9999" width="14" style="34" customWidth="1"/>
    <col min="10000" max="10000" width="2.28515625" style="34" customWidth="1"/>
    <col min="10001" max="10239" width="9.28515625" style="34"/>
    <col min="10240" max="10240" width="2.7109375" style="34" customWidth="1"/>
    <col min="10241" max="10241" width="6.42578125" style="34" customWidth="1"/>
    <col min="10242" max="10242" width="3.7109375" style="34" customWidth="1"/>
    <col min="10243" max="10243" width="16.5703125" style="34" customWidth="1"/>
    <col min="10244" max="10244" width="3" style="34" customWidth="1"/>
    <col min="10245" max="10245" width="11.28515625" style="34" customWidth="1"/>
    <col min="10246" max="10246" width="1.42578125" style="34" customWidth="1"/>
    <col min="10247" max="10247" width="3.42578125" style="34" customWidth="1"/>
    <col min="10248" max="10248" width="1.42578125" style="34" customWidth="1"/>
    <col min="10249" max="10249" width="12.5703125" style="34" customWidth="1"/>
    <col min="10250" max="10250" width="3.28515625" style="34" customWidth="1"/>
    <col min="10251" max="10251" width="12.7109375" style="34" customWidth="1"/>
    <col min="10252" max="10252" width="1.42578125" style="34" customWidth="1"/>
    <col min="10253" max="10253" width="3.5703125" style="34" customWidth="1"/>
    <col min="10254" max="10254" width="1.7109375" style="34" customWidth="1"/>
    <col min="10255" max="10255" width="14" style="34" customWidth="1"/>
    <col min="10256" max="10256" width="2.28515625" style="34" customWidth="1"/>
    <col min="10257" max="10495" width="9.28515625" style="34"/>
    <col min="10496" max="10496" width="2.7109375" style="34" customWidth="1"/>
    <col min="10497" max="10497" width="6.42578125" style="34" customWidth="1"/>
    <col min="10498" max="10498" width="3.7109375" style="34" customWidth="1"/>
    <col min="10499" max="10499" width="16.5703125" style="34" customWidth="1"/>
    <col min="10500" max="10500" width="3" style="34" customWidth="1"/>
    <col min="10501" max="10501" width="11.28515625" style="34" customWidth="1"/>
    <col min="10502" max="10502" width="1.42578125" style="34" customWidth="1"/>
    <col min="10503" max="10503" width="3.42578125" style="34" customWidth="1"/>
    <col min="10504" max="10504" width="1.42578125" style="34" customWidth="1"/>
    <col min="10505" max="10505" width="12.5703125" style="34" customWidth="1"/>
    <col min="10506" max="10506" width="3.28515625" style="34" customWidth="1"/>
    <col min="10507" max="10507" width="12.7109375" style="34" customWidth="1"/>
    <col min="10508" max="10508" width="1.42578125" style="34" customWidth="1"/>
    <col min="10509" max="10509" width="3.5703125" style="34" customWidth="1"/>
    <col min="10510" max="10510" width="1.7109375" style="34" customWidth="1"/>
    <col min="10511" max="10511" width="14" style="34" customWidth="1"/>
    <col min="10512" max="10512" width="2.28515625" style="34" customWidth="1"/>
    <col min="10513" max="10751" width="9.28515625" style="34"/>
    <col min="10752" max="10752" width="2.7109375" style="34" customWidth="1"/>
    <col min="10753" max="10753" width="6.42578125" style="34" customWidth="1"/>
    <col min="10754" max="10754" width="3.7109375" style="34" customWidth="1"/>
    <col min="10755" max="10755" width="16.5703125" style="34" customWidth="1"/>
    <col min="10756" max="10756" width="3" style="34" customWidth="1"/>
    <col min="10757" max="10757" width="11.28515625" style="34" customWidth="1"/>
    <col min="10758" max="10758" width="1.42578125" style="34" customWidth="1"/>
    <col min="10759" max="10759" width="3.42578125" style="34" customWidth="1"/>
    <col min="10760" max="10760" width="1.42578125" style="34" customWidth="1"/>
    <col min="10761" max="10761" width="12.5703125" style="34" customWidth="1"/>
    <col min="10762" max="10762" width="3.28515625" style="34" customWidth="1"/>
    <col min="10763" max="10763" width="12.7109375" style="34" customWidth="1"/>
    <col min="10764" max="10764" width="1.42578125" style="34" customWidth="1"/>
    <col min="10765" max="10765" width="3.5703125" style="34" customWidth="1"/>
    <col min="10766" max="10766" width="1.7109375" style="34" customWidth="1"/>
    <col min="10767" max="10767" width="14" style="34" customWidth="1"/>
    <col min="10768" max="10768" width="2.28515625" style="34" customWidth="1"/>
    <col min="10769" max="11007" width="9.28515625" style="34"/>
    <col min="11008" max="11008" width="2.7109375" style="34" customWidth="1"/>
    <col min="11009" max="11009" width="6.42578125" style="34" customWidth="1"/>
    <col min="11010" max="11010" width="3.7109375" style="34" customWidth="1"/>
    <col min="11011" max="11011" width="16.5703125" style="34" customWidth="1"/>
    <col min="11012" max="11012" width="3" style="34" customWidth="1"/>
    <col min="11013" max="11013" width="11.28515625" style="34" customWidth="1"/>
    <col min="11014" max="11014" width="1.42578125" style="34" customWidth="1"/>
    <col min="11015" max="11015" width="3.42578125" style="34" customWidth="1"/>
    <col min="11016" max="11016" width="1.42578125" style="34" customWidth="1"/>
    <col min="11017" max="11017" width="12.5703125" style="34" customWidth="1"/>
    <col min="11018" max="11018" width="3.28515625" style="34" customWidth="1"/>
    <col min="11019" max="11019" width="12.7109375" style="34" customWidth="1"/>
    <col min="11020" max="11020" width="1.42578125" style="34" customWidth="1"/>
    <col min="11021" max="11021" width="3.5703125" style="34" customWidth="1"/>
    <col min="11022" max="11022" width="1.7109375" style="34" customWidth="1"/>
    <col min="11023" max="11023" width="14" style="34" customWidth="1"/>
    <col min="11024" max="11024" width="2.28515625" style="34" customWidth="1"/>
    <col min="11025" max="11263" width="9.28515625" style="34"/>
    <col min="11264" max="11264" width="2.7109375" style="34" customWidth="1"/>
    <col min="11265" max="11265" width="6.42578125" style="34" customWidth="1"/>
    <col min="11266" max="11266" width="3.7109375" style="34" customWidth="1"/>
    <col min="11267" max="11267" width="16.5703125" style="34" customWidth="1"/>
    <col min="11268" max="11268" width="3" style="34" customWidth="1"/>
    <col min="11269" max="11269" width="11.28515625" style="34" customWidth="1"/>
    <col min="11270" max="11270" width="1.42578125" style="34" customWidth="1"/>
    <col min="11271" max="11271" width="3.42578125" style="34" customWidth="1"/>
    <col min="11272" max="11272" width="1.42578125" style="34" customWidth="1"/>
    <col min="11273" max="11273" width="12.5703125" style="34" customWidth="1"/>
    <col min="11274" max="11274" width="3.28515625" style="34" customWidth="1"/>
    <col min="11275" max="11275" width="12.7109375" style="34" customWidth="1"/>
    <col min="11276" max="11276" width="1.42578125" style="34" customWidth="1"/>
    <col min="11277" max="11277" width="3.5703125" style="34" customWidth="1"/>
    <col min="11278" max="11278" width="1.7109375" style="34" customWidth="1"/>
    <col min="11279" max="11279" width="14" style="34" customWidth="1"/>
    <col min="11280" max="11280" width="2.28515625" style="34" customWidth="1"/>
    <col min="11281" max="11519" width="9.28515625" style="34"/>
    <col min="11520" max="11520" width="2.7109375" style="34" customWidth="1"/>
    <col min="11521" max="11521" width="6.42578125" style="34" customWidth="1"/>
    <col min="11522" max="11522" width="3.7109375" style="34" customWidth="1"/>
    <col min="11523" max="11523" width="16.5703125" style="34" customWidth="1"/>
    <col min="11524" max="11524" width="3" style="34" customWidth="1"/>
    <col min="11525" max="11525" width="11.28515625" style="34" customWidth="1"/>
    <col min="11526" max="11526" width="1.42578125" style="34" customWidth="1"/>
    <col min="11527" max="11527" width="3.42578125" style="34" customWidth="1"/>
    <col min="11528" max="11528" width="1.42578125" style="34" customWidth="1"/>
    <col min="11529" max="11529" width="12.5703125" style="34" customWidth="1"/>
    <col min="11530" max="11530" width="3.28515625" style="34" customWidth="1"/>
    <col min="11531" max="11531" width="12.7109375" style="34" customWidth="1"/>
    <col min="11532" max="11532" width="1.42578125" style="34" customWidth="1"/>
    <col min="11533" max="11533" width="3.5703125" style="34" customWidth="1"/>
    <col min="11534" max="11534" width="1.7109375" style="34" customWidth="1"/>
    <col min="11535" max="11535" width="14" style="34" customWidth="1"/>
    <col min="11536" max="11536" width="2.28515625" style="34" customWidth="1"/>
    <col min="11537" max="11775" width="9.28515625" style="34"/>
    <col min="11776" max="11776" width="2.7109375" style="34" customWidth="1"/>
    <col min="11777" max="11777" width="6.42578125" style="34" customWidth="1"/>
    <col min="11778" max="11778" width="3.7109375" style="34" customWidth="1"/>
    <col min="11779" max="11779" width="16.5703125" style="34" customWidth="1"/>
    <col min="11780" max="11780" width="3" style="34" customWidth="1"/>
    <col min="11781" max="11781" width="11.28515625" style="34" customWidth="1"/>
    <col min="11782" max="11782" width="1.42578125" style="34" customWidth="1"/>
    <col min="11783" max="11783" width="3.42578125" style="34" customWidth="1"/>
    <col min="11784" max="11784" width="1.42578125" style="34" customWidth="1"/>
    <col min="11785" max="11785" width="12.5703125" style="34" customWidth="1"/>
    <col min="11786" max="11786" width="3.28515625" style="34" customWidth="1"/>
    <col min="11787" max="11787" width="12.7109375" style="34" customWidth="1"/>
    <col min="11788" max="11788" width="1.42578125" style="34" customWidth="1"/>
    <col min="11789" max="11789" width="3.5703125" style="34" customWidth="1"/>
    <col min="11790" max="11790" width="1.7109375" style="34" customWidth="1"/>
    <col min="11791" max="11791" width="14" style="34" customWidth="1"/>
    <col min="11792" max="11792" width="2.28515625" style="34" customWidth="1"/>
    <col min="11793" max="12031" width="9.28515625" style="34"/>
    <col min="12032" max="12032" width="2.7109375" style="34" customWidth="1"/>
    <col min="12033" max="12033" width="6.42578125" style="34" customWidth="1"/>
    <col min="12034" max="12034" width="3.7109375" style="34" customWidth="1"/>
    <col min="12035" max="12035" width="16.5703125" style="34" customWidth="1"/>
    <col min="12036" max="12036" width="3" style="34" customWidth="1"/>
    <col min="12037" max="12037" width="11.28515625" style="34" customWidth="1"/>
    <col min="12038" max="12038" width="1.42578125" style="34" customWidth="1"/>
    <col min="12039" max="12039" width="3.42578125" style="34" customWidth="1"/>
    <col min="12040" max="12040" width="1.42578125" style="34" customWidth="1"/>
    <col min="12041" max="12041" width="12.5703125" style="34" customWidth="1"/>
    <col min="12042" max="12042" width="3.28515625" style="34" customWidth="1"/>
    <col min="12043" max="12043" width="12.7109375" style="34" customWidth="1"/>
    <col min="12044" max="12044" width="1.42578125" style="34" customWidth="1"/>
    <col min="12045" max="12045" width="3.5703125" style="34" customWidth="1"/>
    <col min="12046" max="12046" width="1.7109375" style="34" customWidth="1"/>
    <col min="12047" max="12047" width="14" style="34" customWidth="1"/>
    <col min="12048" max="12048" width="2.28515625" style="34" customWidth="1"/>
    <col min="12049" max="12287" width="9.28515625" style="34"/>
    <col min="12288" max="12288" width="2.7109375" style="34" customWidth="1"/>
    <col min="12289" max="12289" width="6.42578125" style="34" customWidth="1"/>
    <col min="12290" max="12290" width="3.7109375" style="34" customWidth="1"/>
    <col min="12291" max="12291" width="16.5703125" style="34" customWidth="1"/>
    <col min="12292" max="12292" width="3" style="34" customWidth="1"/>
    <col min="12293" max="12293" width="11.28515625" style="34" customWidth="1"/>
    <col min="12294" max="12294" width="1.42578125" style="34" customWidth="1"/>
    <col min="12295" max="12295" width="3.42578125" style="34" customWidth="1"/>
    <col min="12296" max="12296" width="1.42578125" style="34" customWidth="1"/>
    <col min="12297" max="12297" width="12.5703125" style="34" customWidth="1"/>
    <col min="12298" max="12298" width="3.28515625" style="34" customWidth="1"/>
    <col min="12299" max="12299" width="12.7109375" style="34" customWidth="1"/>
    <col min="12300" max="12300" width="1.42578125" style="34" customWidth="1"/>
    <col min="12301" max="12301" width="3.5703125" style="34" customWidth="1"/>
    <col min="12302" max="12302" width="1.7109375" style="34" customWidth="1"/>
    <col min="12303" max="12303" width="14" style="34" customWidth="1"/>
    <col min="12304" max="12304" width="2.28515625" style="34" customWidth="1"/>
    <col min="12305" max="12543" width="9.28515625" style="34"/>
    <col min="12544" max="12544" width="2.7109375" style="34" customWidth="1"/>
    <col min="12545" max="12545" width="6.42578125" style="34" customWidth="1"/>
    <col min="12546" max="12546" width="3.7109375" style="34" customWidth="1"/>
    <col min="12547" max="12547" width="16.5703125" style="34" customWidth="1"/>
    <col min="12548" max="12548" width="3" style="34" customWidth="1"/>
    <col min="12549" max="12549" width="11.28515625" style="34" customWidth="1"/>
    <col min="12550" max="12550" width="1.42578125" style="34" customWidth="1"/>
    <col min="12551" max="12551" width="3.42578125" style="34" customWidth="1"/>
    <col min="12552" max="12552" width="1.42578125" style="34" customWidth="1"/>
    <col min="12553" max="12553" width="12.5703125" style="34" customWidth="1"/>
    <col min="12554" max="12554" width="3.28515625" style="34" customWidth="1"/>
    <col min="12555" max="12555" width="12.7109375" style="34" customWidth="1"/>
    <col min="12556" max="12556" width="1.42578125" style="34" customWidth="1"/>
    <col min="12557" max="12557" width="3.5703125" style="34" customWidth="1"/>
    <col min="12558" max="12558" width="1.7109375" style="34" customWidth="1"/>
    <col min="12559" max="12559" width="14" style="34" customWidth="1"/>
    <col min="12560" max="12560" width="2.28515625" style="34" customWidth="1"/>
    <col min="12561" max="12799" width="9.28515625" style="34"/>
    <col min="12800" max="12800" width="2.7109375" style="34" customWidth="1"/>
    <col min="12801" max="12801" width="6.42578125" style="34" customWidth="1"/>
    <col min="12802" max="12802" width="3.7109375" style="34" customWidth="1"/>
    <col min="12803" max="12803" width="16.5703125" style="34" customWidth="1"/>
    <col min="12804" max="12804" width="3" style="34" customWidth="1"/>
    <col min="12805" max="12805" width="11.28515625" style="34" customWidth="1"/>
    <col min="12806" max="12806" width="1.42578125" style="34" customWidth="1"/>
    <col min="12807" max="12807" width="3.42578125" style="34" customWidth="1"/>
    <col min="12808" max="12808" width="1.42578125" style="34" customWidth="1"/>
    <col min="12809" max="12809" width="12.5703125" style="34" customWidth="1"/>
    <col min="12810" max="12810" width="3.28515625" style="34" customWidth="1"/>
    <col min="12811" max="12811" width="12.7109375" style="34" customWidth="1"/>
    <col min="12812" max="12812" width="1.42578125" style="34" customWidth="1"/>
    <col min="12813" max="12813" width="3.5703125" style="34" customWidth="1"/>
    <col min="12814" max="12814" width="1.7109375" style="34" customWidth="1"/>
    <col min="12815" max="12815" width="14" style="34" customWidth="1"/>
    <col min="12816" max="12816" width="2.28515625" style="34" customWidth="1"/>
    <col min="12817" max="13055" width="9.28515625" style="34"/>
    <col min="13056" max="13056" width="2.7109375" style="34" customWidth="1"/>
    <col min="13057" max="13057" width="6.42578125" style="34" customWidth="1"/>
    <col min="13058" max="13058" width="3.7109375" style="34" customWidth="1"/>
    <col min="13059" max="13059" width="16.5703125" style="34" customWidth="1"/>
    <col min="13060" max="13060" width="3" style="34" customWidth="1"/>
    <col min="13061" max="13061" width="11.28515625" style="34" customWidth="1"/>
    <col min="13062" max="13062" width="1.42578125" style="34" customWidth="1"/>
    <col min="13063" max="13063" width="3.42578125" style="34" customWidth="1"/>
    <col min="13064" max="13064" width="1.42578125" style="34" customWidth="1"/>
    <col min="13065" max="13065" width="12.5703125" style="34" customWidth="1"/>
    <col min="13066" max="13066" width="3.28515625" style="34" customWidth="1"/>
    <col min="13067" max="13067" width="12.7109375" style="34" customWidth="1"/>
    <col min="13068" max="13068" width="1.42578125" style="34" customWidth="1"/>
    <col min="13069" max="13069" width="3.5703125" style="34" customWidth="1"/>
    <col min="13070" max="13070" width="1.7109375" style="34" customWidth="1"/>
    <col min="13071" max="13071" width="14" style="34" customWidth="1"/>
    <col min="13072" max="13072" width="2.28515625" style="34" customWidth="1"/>
    <col min="13073" max="13311" width="9.28515625" style="34"/>
    <col min="13312" max="13312" width="2.7109375" style="34" customWidth="1"/>
    <col min="13313" max="13313" width="6.42578125" style="34" customWidth="1"/>
    <col min="13314" max="13314" width="3.7109375" style="34" customWidth="1"/>
    <col min="13315" max="13315" width="16.5703125" style="34" customWidth="1"/>
    <col min="13316" max="13316" width="3" style="34" customWidth="1"/>
    <col min="13317" max="13317" width="11.28515625" style="34" customWidth="1"/>
    <col min="13318" max="13318" width="1.42578125" style="34" customWidth="1"/>
    <col min="13319" max="13319" width="3.42578125" style="34" customWidth="1"/>
    <col min="13320" max="13320" width="1.42578125" style="34" customWidth="1"/>
    <col min="13321" max="13321" width="12.5703125" style="34" customWidth="1"/>
    <col min="13322" max="13322" width="3.28515625" style="34" customWidth="1"/>
    <col min="13323" max="13323" width="12.7109375" style="34" customWidth="1"/>
    <col min="13324" max="13324" width="1.42578125" style="34" customWidth="1"/>
    <col min="13325" max="13325" width="3.5703125" style="34" customWidth="1"/>
    <col min="13326" max="13326" width="1.7109375" style="34" customWidth="1"/>
    <col min="13327" max="13327" width="14" style="34" customWidth="1"/>
    <col min="13328" max="13328" width="2.28515625" style="34" customWidth="1"/>
    <col min="13329" max="13567" width="9.28515625" style="34"/>
    <col min="13568" max="13568" width="2.7109375" style="34" customWidth="1"/>
    <col min="13569" max="13569" width="6.42578125" style="34" customWidth="1"/>
    <col min="13570" max="13570" width="3.7109375" style="34" customWidth="1"/>
    <col min="13571" max="13571" width="16.5703125" style="34" customWidth="1"/>
    <col min="13572" max="13572" width="3" style="34" customWidth="1"/>
    <col min="13573" max="13573" width="11.28515625" style="34" customWidth="1"/>
    <col min="13574" max="13574" width="1.42578125" style="34" customWidth="1"/>
    <col min="13575" max="13575" width="3.42578125" style="34" customWidth="1"/>
    <col min="13576" max="13576" width="1.42578125" style="34" customWidth="1"/>
    <col min="13577" max="13577" width="12.5703125" style="34" customWidth="1"/>
    <col min="13578" max="13578" width="3.28515625" style="34" customWidth="1"/>
    <col min="13579" max="13579" width="12.7109375" style="34" customWidth="1"/>
    <col min="13580" max="13580" width="1.42578125" style="34" customWidth="1"/>
    <col min="13581" max="13581" width="3.5703125" style="34" customWidth="1"/>
    <col min="13582" max="13582" width="1.7109375" style="34" customWidth="1"/>
    <col min="13583" max="13583" width="14" style="34" customWidth="1"/>
    <col min="13584" max="13584" width="2.28515625" style="34" customWidth="1"/>
    <col min="13585" max="13823" width="9.28515625" style="34"/>
    <col min="13824" max="13824" width="2.7109375" style="34" customWidth="1"/>
    <col min="13825" max="13825" width="6.42578125" style="34" customWidth="1"/>
    <col min="13826" max="13826" width="3.7109375" style="34" customWidth="1"/>
    <col min="13827" max="13827" width="16.5703125" style="34" customWidth="1"/>
    <col min="13828" max="13828" width="3" style="34" customWidth="1"/>
    <col min="13829" max="13829" width="11.28515625" style="34" customWidth="1"/>
    <col min="13830" max="13830" width="1.42578125" style="34" customWidth="1"/>
    <col min="13831" max="13831" width="3.42578125" style="34" customWidth="1"/>
    <col min="13832" max="13832" width="1.42578125" style="34" customWidth="1"/>
    <col min="13833" max="13833" width="12.5703125" style="34" customWidth="1"/>
    <col min="13834" max="13834" width="3.28515625" style="34" customWidth="1"/>
    <col min="13835" max="13835" width="12.7109375" style="34" customWidth="1"/>
    <col min="13836" max="13836" width="1.42578125" style="34" customWidth="1"/>
    <col min="13837" max="13837" width="3.5703125" style="34" customWidth="1"/>
    <col min="13838" max="13838" width="1.7109375" style="34" customWidth="1"/>
    <col min="13839" max="13839" width="14" style="34" customWidth="1"/>
    <col min="13840" max="13840" width="2.28515625" style="34" customWidth="1"/>
    <col min="13841" max="14079" width="9.28515625" style="34"/>
    <col min="14080" max="14080" width="2.7109375" style="34" customWidth="1"/>
    <col min="14081" max="14081" width="6.42578125" style="34" customWidth="1"/>
    <col min="14082" max="14082" width="3.7109375" style="34" customWidth="1"/>
    <col min="14083" max="14083" width="16.5703125" style="34" customWidth="1"/>
    <col min="14084" max="14084" width="3" style="34" customWidth="1"/>
    <col min="14085" max="14085" width="11.28515625" style="34" customWidth="1"/>
    <col min="14086" max="14086" width="1.42578125" style="34" customWidth="1"/>
    <col min="14087" max="14087" width="3.42578125" style="34" customWidth="1"/>
    <col min="14088" max="14088" width="1.42578125" style="34" customWidth="1"/>
    <col min="14089" max="14089" width="12.5703125" style="34" customWidth="1"/>
    <col min="14090" max="14090" width="3.28515625" style="34" customWidth="1"/>
    <col min="14091" max="14091" width="12.7109375" style="34" customWidth="1"/>
    <col min="14092" max="14092" width="1.42578125" style="34" customWidth="1"/>
    <col min="14093" max="14093" width="3.5703125" style="34" customWidth="1"/>
    <col min="14094" max="14094" width="1.7109375" style="34" customWidth="1"/>
    <col min="14095" max="14095" width="14" style="34" customWidth="1"/>
    <col min="14096" max="14096" width="2.28515625" style="34" customWidth="1"/>
    <col min="14097" max="14335" width="9.28515625" style="34"/>
    <col min="14336" max="14336" width="2.7109375" style="34" customWidth="1"/>
    <col min="14337" max="14337" width="6.42578125" style="34" customWidth="1"/>
    <col min="14338" max="14338" width="3.7109375" style="34" customWidth="1"/>
    <col min="14339" max="14339" width="16.5703125" style="34" customWidth="1"/>
    <col min="14340" max="14340" width="3" style="34" customWidth="1"/>
    <col min="14341" max="14341" width="11.28515625" style="34" customWidth="1"/>
    <col min="14342" max="14342" width="1.42578125" style="34" customWidth="1"/>
    <col min="14343" max="14343" width="3.42578125" style="34" customWidth="1"/>
    <col min="14344" max="14344" width="1.42578125" style="34" customWidth="1"/>
    <col min="14345" max="14345" width="12.5703125" style="34" customWidth="1"/>
    <col min="14346" max="14346" width="3.28515625" style="34" customWidth="1"/>
    <col min="14347" max="14347" width="12.7109375" style="34" customWidth="1"/>
    <col min="14348" max="14348" width="1.42578125" style="34" customWidth="1"/>
    <col min="14349" max="14349" width="3.5703125" style="34" customWidth="1"/>
    <col min="14350" max="14350" width="1.7109375" style="34" customWidth="1"/>
    <col min="14351" max="14351" width="14" style="34" customWidth="1"/>
    <col min="14352" max="14352" width="2.28515625" style="34" customWidth="1"/>
    <col min="14353" max="14591" width="9.28515625" style="34"/>
    <col min="14592" max="14592" width="2.7109375" style="34" customWidth="1"/>
    <col min="14593" max="14593" width="6.42578125" style="34" customWidth="1"/>
    <col min="14594" max="14594" width="3.7109375" style="34" customWidth="1"/>
    <col min="14595" max="14595" width="16.5703125" style="34" customWidth="1"/>
    <col min="14596" max="14596" width="3" style="34" customWidth="1"/>
    <col min="14597" max="14597" width="11.28515625" style="34" customWidth="1"/>
    <col min="14598" max="14598" width="1.42578125" style="34" customWidth="1"/>
    <col min="14599" max="14599" width="3.42578125" style="34" customWidth="1"/>
    <col min="14600" max="14600" width="1.42578125" style="34" customWidth="1"/>
    <col min="14601" max="14601" width="12.5703125" style="34" customWidth="1"/>
    <col min="14602" max="14602" width="3.28515625" style="34" customWidth="1"/>
    <col min="14603" max="14603" width="12.7109375" style="34" customWidth="1"/>
    <col min="14604" max="14604" width="1.42578125" style="34" customWidth="1"/>
    <col min="14605" max="14605" width="3.5703125" style="34" customWidth="1"/>
    <col min="14606" max="14606" width="1.7109375" style="34" customWidth="1"/>
    <col min="14607" max="14607" width="14" style="34" customWidth="1"/>
    <col min="14608" max="14608" width="2.28515625" style="34" customWidth="1"/>
    <col min="14609" max="14847" width="9.28515625" style="34"/>
    <col min="14848" max="14848" width="2.7109375" style="34" customWidth="1"/>
    <col min="14849" max="14849" width="6.42578125" style="34" customWidth="1"/>
    <col min="14850" max="14850" width="3.7109375" style="34" customWidth="1"/>
    <col min="14851" max="14851" width="16.5703125" style="34" customWidth="1"/>
    <col min="14852" max="14852" width="3" style="34" customWidth="1"/>
    <col min="14853" max="14853" width="11.28515625" style="34" customWidth="1"/>
    <col min="14854" max="14854" width="1.42578125" style="34" customWidth="1"/>
    <col min="14855" max="14855" width="3.42578125" style="34" customWidth="1"/>
    <col min="14856" max="14856" width="1.42578125" style="34" customWidth="1"/>
    <col min="14857" max="14857" width="12.5703125" style="34" customWidth="1"/>
    <col min="14858" max="14858" width="3.28515625" style="34" customWidth="1"/>
    <col min="14859" max="14859" width="12.7109375" style="34" customWidth="1"/>
    <col min="14860" max="14860" width="1.42578125" style="34" customWidth="1"/>
    <col min="14861" max="14861" width="3.5703125" style="34" customWidth="1"/>
    <col min="14862" max="14862" width="1.7109375" style="34" customWidth="1"/>
    <col min="14863" max="14863" width="14" style="34" customWidth="1"/>
    <col min="14864" max="14864" width="2.28515625" style="34" customWidth="1"/>
    <col min="14865" max="15103" width="9.28515625" style="34"/>
    <col min="15104" max="15104" width="2.7109375" style="34" customWidth="1"/>
    <col min="15105" max="15105" width="6.42578125" style="34" customWidth="1"/>
    <col min="15106" max="15106" width="3.7109375" style="34" customWidth="1"/>
    <col min="15107" max="15107" width="16.5703125" style="34" customWidth="1"/>
    <col min="15108" max="15108" width="3" style="34" customWidth="1"/>
    <col min="15109" max="15109" width="11.28515625" style="34" customWidth="1"/>
    <col min="15110" max="15110" width="1.42578125" style="34" customWidth="1"/>
    <col min="15111" max="15111" width="3.42578125" style="34" customWidth="1"/>
    <col min="15112" max="15112" width="1.42578125" style="34" customWidth="1"/>
    <col min="15113" max="15113" width="12.5703125" style="34" customWidth="1"/>
    <col min="15114" max="15114" width="3.28515625" style="34" customWidth="1"/>
    <col min="15115" max="15115" width="12.7109375" style="34" customWidth="1"/>
    <col min="15116" max="15116" width="1.42578125" style="34" customWidth="1"/>
    <col min="15117" max="15117" width="3.5703125" style="34" customWidth="1"/>
    <col min="15118" max="15118" width="1.7109375" style="34" customWidth="1"/>
    <col min="15119" max="15119" width="14" style="34" customWidth="1"/>
    <col min="15120" max="15120" width="2.28515625" style="34" customWidth="1"/>
    <col min="15121" max="15359" width="9.28515625" style="34"/>
    <col min="15360" max="15360" width="2.7109375" style="34" customWidth="1"/>
    <col min="15361" max="15361" width="6.42578125" style="34" customWidth="1"/>
    <col min="15362" max="15362" width="3.7109375" style="34" customWidth="1"/>
    <col min="15363" max="15363" width="16.5703125" style="34" customWidth="1"/>
    <col min="15364" max="15364" width="3" style="34" customWidth="1"/>
    <col min="15365" max="15365" width="11.28515625" style="34" customWidth="1"/>
    <col min="15366" max="15366" width="1.42578125" style="34" customWidth="1"/>
    <col min="15367" max="15367" width="3.42578125" style="34" customWidth="1"/>
    <col min="15368" max="15368" width="1.42578125" style="34" customWidth="1"/>
    <col min="15369" max="15369" width="12.5703125" style="34" customWidth="1"/>
    <col min="15370" max="15370" width="3.28515625" style="34" customWidth="1"/>
    <col min="15371" max="15371" width="12.7109375" style="34" customWidth="1"/>
    <col min="15372" max="15372" width="1.42578125" style="34" customWidth="1"/>
    <col min="15373" max="15373" width="3.5703125" style="34" customWidth="1"/>
    <col min="15374" max="15374" width="1.7109375" style="34" customWidth="1"/>
    <col min="15375" max="15375" width="14" style="34" customWidth="1"/>
    <col min="15376" max="15376" width="2.28515625" style="34" customWidth="1"/>
    <col min="15377" max="15615" width="9.28515625" style="34"/>
    <col min="15616" max="15616" width="2.7109375" style="34" customWidth="1"/>
    <col min="15617" max="15617" width="6.42578125" style="34" customWidth="1"/>
    <col min="15618" max="15618" width="3.7109375" style="34" customWidth="1"/>
    <col min="15619" max="15619" width="16.5703125" style="34" customWidth="1"/>
    <col min="15620" max="15620" width="3" style="34" customWidth="1"/>
    <col min="15621" max="15621" width="11.28515625" style="34" customWidth="1"/>
    <col min="15622" max="15622" width="1.42578125" style="34" customWidth="1"/>
    <col min="15623" max="15623" width="3.42578125" style="34" customWidth="1"/>
    <col min="15624" max="15624" width="1.42578125" style="34" customWidth="1"/>
    <col min="15625" max="15625" width="12.5703125" style="34" customWidth="1"/>
    <col min="15626" max="15626" width="3.28515625" style="34" customWidth="1"/>
    <col min="15627" max="15627" width="12.7109375" style="34" customWidth="1"/>
    <col min="15628" max="15628" width="1.42578125" style="34" customWidth="1"/>
    <col min="15629" max="15629" width="3.5703125" style="34" customWidth="1"/>
    <col min="15630" max="15630" width="1.7109375" style="34" customWidth="1"/>
    <col min="15631" max="15631" width="14" style="34" customWidth="1"/>
    <col min="15632" max="15632" width="2.28515625" style="34" customWidth="1"/>
    <col min="15633" max="15871" width="9.28515625" style="34"/>
    <col min="15872" max="15872" width="2.7109375" style="34" customWidth="1"/>
    <col min="15873" max="15873" width="6.42578125" style="34" customWidth="1"/>
    <col min="15874" max="15874" width="3.7109375" style="34" customWidth="1"/>
    <col min="15875" max="15875" width="16.5703125" style="34" customWidth="1"/>
    <col min="15876" max="15876" width="3" style="34" customWidth="1"/>
    <col min="15877" max="15877" width="11.28515625" style="34" customWidth="1"/>
    <col min="15878" max="15878" width="1.42578125" style="34" customWidth="1"/>
    <col min="15879" max="15879" width="3.42578125" style="34" customWidth="1"/>
    <col min="15880" max="15880" width="1.42578125" style="34" customWidth="1"/>
    <col min="15881" max="15881" width="12.5703125" style="34" customWidth="1"/>
    <col min="15882" max="15882" width="3.28515625" style="34" customWidth="1"/>
    <col min="15883" max="15883" width="12.7109375" style="34" customWidth="1"/>
    <col min="15884" max="15884" width="1.42578125" style="34" customWidth="1"/>
    <col min="15885" max="15885" width="3.5703125" style="34" customWidth="1"/>
    <col min="15886" max="15886" width="1.7109375" style="34" customWidth="1"/>
    <col min="15887" max="15887" width="14" style="34" customWidth="1"/>
    <col min="15888" max="15888" width="2.28515625" style="34" customWidth="1"/>
    <col min="15889" max="16127" width="9.28515625" style="34"/>
    <col min="16128" max="16128" width="2.7109375" style="34" customWidth="1"/>
    <col min="16129" max="16129" width="6.42578125" style="34" customWidth="1"/>
    <col min="16130" max="16130" width="3.7109375" style="34" customWidth="1"/>
    <col min="16131" max="16131" width="16.5703125" style="34" customWidth="1"/>
    <col min="16132" max="16132" width="3" style="34" customWidth="1"/>
    <col min="16133" max="16133" width="11.28515625" style="34" customWidth="1"/>
    <col min="16134" max="16134" width="1.42578125" style="34" customWidth="1"/>
    <col min="16135" max="16135" width="3.42578125" style="34" customWidth="1"/>
    <col min="16136" max="16136" width="1.42578125" style="34" customWidth="1"/>
    <col min="16137" max="16137" width="12.5703125" style="34" customWidth="1"/>
    <col min="16138" max="16138" width="3.28515625" style="34" customWidth="1"/>
    <col min="16139" max="16139" width="12.7109375" style="34" customWidth="1"/>
    <col min="16140" max="16140" width="1.42578125" style="34" customWidth="1"/>
    <col min="16141" max="16141" width="3.5703125" style="34" customWidth="1"/>
    <col min="16142" max="16142" width="1.7109375" style="34" customWidth="1"/>
    <col min="16143" max="16143" width="14" style="34" customWidth="1"/>
    <col min="16144" max="16144" width="2.28515625" style="34" customWidth="1"/>
    <col min="16145" max="16384" width="9.28515625" style="34"/>
  </cols>
  <sheetData>
    <row r="1" spans="1:15" x14ac:dyDescent="0.2">
      <c r="K1" s="208" t="s">
        <v>264</v>
      </c>
      <c r="O1" s="40" t="str">
        <f>EBNUMBER</f>
        <v>EB-2019-0037</v>
      </c>
    </row>
    <row r="2" spans="1:15" x14ac:dyDescent="0.2">
      <c r="K2" s="208" t="s">
        <v>265</v>
      </c>
      <c r="O2" s="41">
        <v>5</v>
      </c>
    </row>
    <row r="3" spans="1:15" x14ac:dyDescent="0.2">
      <c r="K3" s="208" t="s">
        <v>266</v>
      </c>
      <c r="O3" s="41">
        <v>1</v>
      </c>
    </row>
    <row r="4" spans="1:15" x14ac:dyDescent="0.2">
      <c r="K4" s="208" t="s">
        <v>267</v>
      </c>
      <c r="O4" s="41">
        <v>1</v>
      </c>
    </row>
    <row r="5" spans="1:15" x14ac:dyDescent="0.2">
      <c r="K5" s="208" t="s">
        <v>268</v>
      </c>
      <c r="O5" s="42">
        <v>1</v>
      </c>
    </row>
    <row r="6" spans="1:15" x14ac:dyDescent="0.2">
      <c r="K6" s="208"/>
      <c r="O6" s="40"/>
    </row>
    <row r="7" spans="1:15" x14ac:dyDescent="0.2">
      <c r="K7" s="208" t="s">
        <v>269</v>
      </c>
      <c r="O7" s="1686"/>
    </row>
    <row r="10" spans="1:15" ht="18" x14ac:dyDescent="0.25">
      <c r="C10" s="2015" t="s">
        <v>390</v>
      </c>
      <c r="D10" s="2015"/>
      <c r="E10" s="2015"/>
      <c r="F10" s="2015"/>
      <c r="G10" s="2015"/>
      <c r="H10" s="2015"/>
      <c r="I10" s="2015"/>
      <c r="J10" s="2015"/>
      <c r="K10" s="2015"/>
      <c r="L10" s="2015"/>
      <c r="M10" s="2015"/>
      <c r="N10" s="2015"/>
      <c r="O10" s="2015"/>
    </row>
    <row r="11" spans="1:15" ht="18" x14ac:dyDescent="0.2">
      <c r="C11" s="2295" t="s">
        <v>375</v>
      </c>
      <c r="D11" s="2295"/>
      <c r="E11" s="2295"/>
      <c r="F11" s="2295"/>
      <c r="G11" s="2295"/>
      <c r="H11" s="2295"/>
      <c r="I11" s="2295"/>
      <c r="J11" s="2295"/>
      <c r="K11" s="2295"/>
      <c r="L11" s="2295"/>
      <c r="M11" s="2295"/>
      <c r="N11" s="2295"/>
      <c r="O11" s="2295"/>
    </row>
    <row r="13" spans="1:15" x14ac:dyDescent="0.2">
      <c r="A13" s="2300" t="s">
        <v>1330</v>
      </c>
      <c r="B13" s="2300"/>
      <c r="C13" s="2300"/>
      <c r="D13" s="2300"/>
      <c r="E13" s="2300"/>
      <c r="F13" s="2300"/>
      <c r="G13" s="2300"/>
      <c r="H13" s="2300"/>
      <c r="I13" s="2300"/>
      <c r="J13" s="2300"/>
      <c r="K13" s="2300"/>
      <c r="L13" s="2300"/>
      <c r="M13" s="2300"/>
      <c r="N13" s="2300"/>
      <c r="O13" s="2300"/>
    </row>
    <row r="14" spans="1:15" x14ac:dyDescent="0.2">
      <c r="A14" s="435"/>
      <c r="B14" s="435"/>
      <c r="C14" s="435"/>
      <c r="D14" s="435"/>
      <c r="E14" s="435"/>
      <c r="F14" s="435"/>
      <c r="G14" s="435"/>
      <c r="H14" s="435"/>
      <c r="I14" s="435"/>
      <c r="J14" s="435"/>
      <c r="K14" s="435"/>
      <c r="L14" s="435"/>
      <c r="M14" s="435"/>
      <c r="N14" s="435"/>
      <c r="O14" s="435"/>
    </row>
    <row r="15" spans="1:15" s="27" customFormat="1" x14ac:dyDescent="0.2">
      <c r="B15" s="34"/>
      <c r="C15" s="34"/>
      <c r="G15" s="189" t="s">
        <v>1305</v>
      </c>
      <c r="H15" s="2294">
        <v>2020</v>
      </c>
      <c r="I15" s="2294"/>
      <c r="J15" s="2294"/>
    </row>
    <row r="17" spans="1:16" x14ac:dyDescent="0.2">
      <c r="A17" s="2296" t="s">
        <v>376</v>
      </c>
      <c r="B17" s="83"/>
      <c r="C17" s="83"/>
      <c r="D17" s="83"/>
      <c r="E17" s="83"/>
      <c r="F17" s="83"/>
      <c r="G17" s="83"/>
      <c r="H17" s="83"/>
      <c r="I17" s="83"/>
      <c r="J17" s="83"/>
      <c r="K17" s="83"/>
      <c r="L17" s="83"/>
      <c r="M17" s="83"/>
      <c r="N17" s="83"/>
      <c r="O17" s="83"/>
    </row>
    <row r="18" spans="1:16" x14ac:dyDescent="0.2">
      <c r="A18" s="2297"/>
      <c r="B18" s="83"/>
      <c r="C18" s="436" t="s">
        <v>377</v>
      </c>
      <c r="D18" s="83"/>
      <c r="E18" s="2298" t="s">
        <v>378</v>
      </c>
      <c r="F18" s="2298"/>
      <c r="G18" s="2298"/>
      <c r="H18" s="2298"/>
      <c r="I18" s="2298"/>
      <c r="J18" s="265"/>
      <c r="K18" s="436" t="s">
        <v>270</v>
      </c>
      <c r="L18" s="266"/>
      <c r="M18" s="83"/>
      <c r="N18" s="83"/>
      <c r="O18" s="436" t="s">
        <v>379</v>
      </c>
    </row>
    <row r="19" spans="1:16" x14ac:dyDescent="0.2">
      <c r="A19" s="79"/>
      <c r="B19" s="83"/>
      <c r="C19" s="83"/>
      <c r="D19" s="83"/>
      <c r="E19" s="83"/>
      <c r="F19" s="83"/>
      <c r="G19" s="83"/>
      <c r="H19" s="83"/>
      <c r="I19" s="267"/>
      <c r="J19" s="267"/>
      <c r="K19" s="83"/>
      <c r="L19" s="83"/>
      <c r="M19" s="83"/>
      <c r="N19" s="83"/>
      <c r="O19" s="83"/>
    </row>
    <row r="20" spans="1:16" x14ac:dyDescent="0.2">
      <c r="A20" s="129"/>
      <c r="B20" s="83"/>
      <c r="C20" s="83"/>
      <c r="D20" s="83"/>
      <c r="E20" s="268" t="s">
        <v>271</v>
      </c>
      <c r="F20" s="269"/>
      <c r="G20" s="269"/>
      <c r="H20" s="269"/>
      <c r="I20" s="268" t="s">
        <v>272</v>
      </c>
      <c r="J20" s="83"/>
      <c r="K20" s="268" t="s">
        <v>271</v>
      </c>
      <c r="L20" s="269"/>
      <c r="M20" s="83"/>
      <c r="N20" s="83"/>
      <c r="O20" s="267" t="s">
        <v>272</v>
      </c>
      <c r="P20" s="83"/>
    </row>
    <row r="21" spans="1:16" x14ac:dyDescent="0.2">
      <c r="A21" s="129"/>
      <c r="B21" s="83"/>
      <c r="C21" s="270" t="s">
        <v>380</v>
      </c>
      <c r="D21" s="83"/>
      <c r="E21" s="83"/>
      <c r="F21" s="83"/>
      <c r="G21" s="83"/>
      <c r="H21" s="83"/>
      <c r="I21" s="83"/>
      <c r="J21" s="83"/>
      <c r="K21" s="83"/>
      <c r="L21" s="83"/>
      <c r="M21" s="83"/>
      <c r="N21" s="83"/>
      <c r="O21" s="83"/>
      <c r="P21" s="83"/>
    </row>
    <row r="22" spans="1:16" x14ac:dyDescent="0.2">
      <c r="A22" s="129">
        <v>1</v>
      </c>
      <c r="B22" s="83"/>
      <c r="C22" s="271" t="s">
        <v>381</v>
      </c>
      <c r="D22" s="83"/>
      <c r="E22" s="272">
        <v>0.56000000000000005</v>
      </c>
      <c r="F22" s="273"/>
      <c r="G22" s="24"/>
      <c r="H22" s="22"/>
      <c r="I22" s="274">
        <f>$I$31*E22</f>
        <v>59000971.680000007</v>
      </c>
      <c r="J22" s="83"/>
      <c r="K22" s="272">
        <v>3.15E-2</v>
      </c>
      <c r="L22" s="273"/>
      <c r="M22" s="24"/>
      <c r="N22" s="22"/>
      <c r="O22" s="274">
        <f>K22*I22</f>
        <v>1858530.6079200003</v>
      </c>
      <c r="P22" s="83"/>
    </row>
    <row r="23" spans="1:16" x14ac:dyDescent="0.2">
      <c r="A23" s="129">
        <v>2</v>
      </c>
      <c r="B23" s="83"/>
      <c r="C23" s="271" t="s">
        <v>382</v>
      </c>
      <c r="D23" s="83"/>
      <c r="E23" s="275">
        <v>0.04</v>
      </c>
      <c r="F23" s="273"/>
      <c r="G23" s="23" t="s">
        <v>273</v>
      </c>
      <c r="H23" s="23"/>
      <c r="I23" s="276">
        <f>$I$31*E23</f>
        <v>4214355.12</v>
      </c>
      <c r="J23" s="83"/>
      <c r="K23" s="275">
        <v>2.75E-2</v>
      </c>
      <c r="L23" s="273"/>
      <c r="M23" s="24"/>
      <c r="N23" s="22"/>
      <c r="O23" s="276">
        <f>K23*I23</f>
        <v>115894.76580000001</v>
      </c>
      <c r="P23" s="83"/>
    </row>
    <row r="24" spans="1:16" ht="13.5" thickBot="1" x14ac:dyDescent="0.25">
      <c r="A24" s="129">
        <v>3</v>
      </c>
      <c r="B24" s="83"/>
      <c r="C24" s="129" t="s">
        <v>383</v>
      </c>
      <c r="D24" s="83"/>
      <c r="E24" s="277">
        <f>SUM(E22:E23)</f>
        <v>0.60000000000000009</v>
      </c>
      <c r="F24" s="278"/>
      <c r="G24" s="277"/>
      <c r="H24" s="278"/>
      <c r="I24" s="279">
        <f>SUM(I22:I23)</f>
        <v>63215326.800000004</v>
      </c>
      <c r="J24" s="83"/>
      <c r="K24" s="280">
        <f>IF(E24=0,0,SUMPRODUCT(E22:E23,K22:K23)/E24)</f>
        <v>3.1233333333333335E-2</v>
      </c>
      <c r="L24" s="273"/>
      <c r="M24" s="281"/>
      <c r="N24" s="113"/>
      <c r="O24" s="279">
        <f>SUM(O22:O23)</f>
        <v>1974425.3737200003</v>
      </c>
      <c r="P24" s="83"/>
    </row>
    <row r="25" spans="1:16" ht="13.5" thickTop="1" x14ac:dyDescent="0.2">
      <c r="A25" s="129"/>
      <c r="B25" s="83"/>
      <c r="C25" s="83"/>
      <c r="D25" s="83"/>
      <c r="E25" s="282"/>
      <c r="F25" s="283"/>
      <c r="G25" s="282"/>
      <c r="H25" s="283"/>
      <c r="I25" s="284"/>
      <c r="J25" s="83"/>
      <c r="K25" s="285"/>
      <c r="L25" s="273"/>
      <c r="M25" s="113"/>
      <c r="N25" s="113"/>
      <c r="O25" s="284"/>
      <c r="P25" s="83"/>
    </row>
    <row r="26" spans="1:16" x14ac:dyDescent="0.2">
      <c r="A26" s="129"/>
      <c r="B26" s="83"/>
      <c r="C26" s="270" t="s">
        <v>384</v>
      </c>
      <c r="D26" s="83"/>
      <c r="E26" s="282"/>
      <c r="F26" s="283"/>
      <c r="G26" s="282"/>
      <c r="H26" s="283"/>
      <c r="I26" s="284"/>
      <c r="J26" s="83"/>
      <c r="K26" s="285"/>
      <c r="L26" s="273"/>
      <c r="M26" s="113"/>
      <c r="N26" s="113"/>
      <c r="O26" s="284"/>
      <c r="P26" s="83"/>
    </row>
    <row r="27" spans="1:16" x14ac:dyDescent="0.2">
      <c r="A27" s="286">
        <v>4</v>
      </c>
      <c r="B27" s="287"/>
      <c r="C27" s="288" t="s">
        <v>385</v>
      </c>
      <c r="D27" s="287"/>
      <c r="E27" s="289">
        <v>0.4</v>
      </c>
      <c r="F27" s="290"/>
      <c r="G27" s="24"/>
      <c r="H27" s="22"/>
      <c r="I27" s="291">
        <f>$I$31*E27</f>
        <v>42143551.200000003</v>
      </c>
      <c r="J27" s="287"/>
      <c r="K27" s="289">
        <v>8.5199999999999998E-2</v>
      </c>
      <c r="L27" s="290"/>
      <c r="M27" s="24"/>
      <c r="N27" s="22"/>
      <c r="O27" s="291">
        <f>K27*I27</f>
        <v>3590630.5622400003</v>
      </c>
      <c r="P27" s="83"/>
    </row>
    <row r="28" spans="1:16" x14ac:dyDescent="0.2">
      <c r="A28" s="286">
        <v>5</v>
      </c>
      <c r="B28" s="287"/>
      <c r="C28" s="288" t="s">
        <v>386</v>
      </c>
      <c r="D28" s="287"/>
      <c r="E28" s="292">
        <v>0</v>
      </c>
      <c r="F28" s="290"/>
      <c r="G28" s="24"/>
      <c r="H28" s="22"/>
      <c r="I28" s="293">
        <f>$I$31*E28</f>
        <v>0</v>
      </c>
      <c r="J28" s="287"/>
      <c r="K28" s="292">
        <v>0</v>
      </c>
      <c r="L28" s="290"/>
      <c r="M28" s="24"/>
      <c r="N28" s="22"/>
      <c r="O28" s="293">
        <f>K28*I28</f>
        <v>0</v>
      </c>
      <c r="P28" s="83"/>
    </row>
    <row r="29" spans="1:16" ht="13.5" thickBot="1" x14ac:dyDescent="0.25">
      <c r="A29" s="129">
        <v>6</v>
      </c>
      <c r="B29" s="83"/>
      <c r="C29" s="129" t="s">
        <v>387</v>
      </c>
      <c r="D29" s="83"/>
      <c r="E29" s="277">
        <f>SUM(E27:E28)</f>
        <v>0.4</v>
      </c>
      <c r="F29" s="277"/>
      <c r="G29" s="277"/>
      <c r="H29" s="278"/>
      <c r="I29" s="279">
        <f>SUM(I27:I28)</f>
        <v>42143551.200000003</v>
      </c>
      <c r="J29" s="83"/>
      <c r="K29" s="280">
        <f>IF(E29=0,0,SUMPRODUCT(E27:E28,K27:K28)/E29)</f>
        <v>8.5199999999999998E-2</v>
      </c>
      <c r="L29" s="273"/>
      <c r="M29" s="113"/>
      <c r="N29" s="113"/>
      <c r="O29" s="279">
        <f>SUM(O27:O28)</f>
        <v>3590630.5622400003</v>
      </c>
      <c r="P29" s="83"/>
    </row>
    <row r="30" spans="1:16" ht="13.5" thickTop="1" x14ac:dyDescent="0.2">
      <c r="A30" s="129"/>
      <c r="B30" s="83"/>
      <c r="C30" s="83"/>
      <c r="D30" s="83"/>
      <c r="E30" s="83"/>
      <c r="F30" s="83"/>
      <c r="G30" s="83"/>
      <c r="H30" s="83"/>
      <c r="I30" s="284"/>
      <c r="J30" s="83"/>
      <c r="K30" s="285"/>
      <c r="L30" s="285"/>
      <c r="M30" s="113"/>
      <c r="N30" s="113"/>
      <c r="O30" s="284"/>
      <c r="P30" s="83"/>
    </row>
    <row r="31" spans="1:16" ht="13.5" thickBot="1" x14ac:dyDescent="0.25">
      <c r="A31" s="129">
        <v>7</v>
      </c>
      <c r="B31" s="83"/>
      <c r="C31" s="270" t="s">
        <v>259</v>
      </c>
      <c r="D31" s="83"/>
      <c r="E31" s="294">
        <v>1</v>
      </c>
      <c r="F31" s="294"/>
      <c r="G31" s="295"/>
      <c r="H31" s="295"/>
      <c r="I31" s="296">
        <v>105358878</v>
      </c>
      <c r="J31" s="83"/>
      <c r="K31" s="1829">
        <f>(K24*E24)+(K29*E29)</f>
        <v>5.2820000000000006E-2</v>
      </c>
      <c r="L31" s="285"/>
      <c r="M31" s="83"/>
      <c r="N31" s="83"/>
      <c r="O31" s="298">
        <f>O24+O29</f>
        <v>5565055.9359600004</v>
      </c>
      <c r="P31" s="83"/>
    </row>
    <row r="32" spans="1:16" ht="13.5" thickTop="1" x14ac:dyDescent="0.2">
      <c r="A32" s="129"/>
      <c r="B32" s="83"/>
      <c r="C32" s="83"/>
      <c r="D32" s="83"/>
      <c r="E32" s="83"/>
      <c r="F32" s="83"/>
      <c r="G32" s="83"/>
      <c r="H32" s="83"/>
      <c r="I32" s="83"/>
      <c r="J32" s="83"/>
      <c r="K32" s="83"/>
      <c r="L32" s="83"/>
      <c r="M32" s="83"/>
      <c r="N32" s="83"/>
      <c r="O32" s="83"/>
      <c r="P32" s="83"/>
    </row>
    <row r="33" spans="1:16" x14ac:dyDescent="0.2">
      <c r="A33" s="129"/>
      <c r="B33" s="83"/>
      <c r="C33" s="83"/>
      <c r="D33" s="83"/>
      <c r="E33" s="83"/>
      <c r="F33" s="83"/>
      <c r="G33" s="83"/>
      <c r="H33" s="83"/>
      <c r="I33" s="83"/>
      <c r="J33" s="83"/>
      <c r="K33" s="83"/>
      <c r="L33" s="83"/>
      <c r="M33" s="83"/>
      <c r="N33" s="83"/>
      <c r="O33" s="83"/>
      <c r="P33" s="83"/>
    </row>
    <row r="34" spans="1:16" x14ac:dyDescent="0.2">
      <c r="A34" s="2301" t="s">
        <v>274</v>
      </c>
      <c r="B34" s="2301"/>
      <c r="C34" s="2301"/>
      <c r="D34" s="2301"/>
      <c r="E34" s="2301"/>
      <c r="F34" s="2301"/>
      <c r="G34" s="2301"/>
      <c r="H34" s="2301"/>
      <c r="I34" s="2301"/>
      <c r="J34" s="2301"/>
      <c r="K34" s="2301"/>
      <c r="L34" s="2301"/>
      <c r="M34" s="2301"/>
      <c r="N34" s="2301"/>
      <c r="O34" s="2301"/>
    </row>
    <row r="35" spans="1:16" x14ac:dyDescent="0.2">
      <c r="A35" s="299" t="s">
        <v>273</v>
      </c>
      <c r="C35" s="2035" t="s">
        <v>388</v>
      </c>
      <c r="D35" s="2035"/>
      <c r="E35" s="2035"/>
      <c r="F35" s="2035"/>
      <c r="G35" s="2035"/>
      <c r="H35" s="2035"/>
      <c r="I35" s="2035"/>
      <c r="J35" s="2035"/>
      <c r="K35" s="2035"/>
      <c r="L35" s="2035"/>
      <c r="M35" s="2035"/>
      <c r="N35" s="2035"/>
      <c r="O35" s="2035"/>
    </row>
    <row r="36" spans="1:16" x14ac:dyDescent="0.2">
      <c r="A36" s="25"/>
      <c r="C36" s="2299"/>
      <c r="D36" s="2299"/>
      <c r="E36" s="2299"/>
      <c r="F36" s="2299"/>
      <c r="G36" s="2299"/>
      <c r="H36" s="2299"/>
      <c r="I36" s="2299"/>
      <c r="J36" s="2299"/>
      <c r="K36" s="2299"/>
      <c r="L36" s="2299"/>
      <c r="M36" s="2299"/>
      <c r="N36" s="2299"/>
      <c r="O36" s="2299"/>
    </row>
    <row r="37" spans="1:16" x14ac:dyDescent="0.2">
      <c r="A37" s="25"/>
      <c r="C37" s="2299"/>
      <c r="D37" s="2299"/>
      <c r="E37" s="2299"/>
      <c r="F37" s="2299"/>
      <c r="G37" s="2299"/>
      <c r="H37" s="2299"/>
      <c r="I37" s="2299"/>
      <c r="J37" s="2299"/>
      <c r="K37" s="2299"/>
      <c r="L37" s="2299"/>
      <c r="M37" s="2299"/>
      <c r="N37" s="2299"/>
      <c r="O37" s="2299"/>
    </row>
    <row r="38" spans="1:16" x14ac:dyDescent="0.2">
      <c r="A38" s="25"/>
      <c r="C38" s="2299"/>
      <c r="D38" s="2299"/>
      <c r="E38" s="2299"/>
      <c r="F38" s="2299"/>
      <c r="G38" s="2299"/>
      <c r="H38" s="2299"/>
      <c r="I38" s="2299"/>
      <c r="J38" s="2299"/>
      <c r="K38" s="2299"/>
      <c r="L38" s="2299"/>
      <c r="M38" s="2299"/>
      <c r="N38" s="2299"/>
      <c r="O38" s="2299"/>
    </row>
    <row r="39" spans="1:16" x14ac:dyDescent="0.2">
      <c r="A39" s="25"/>
      <c r="C39" s="2299"/>
      <c r="D39" s="2299"/>
      <c r="E39" s="2299"/>
      <c r="F39" s="2299"/>
      <c r="G39" s="2299"/>
      <c r="H39" s="2299"/>
      <c r="I39" s="2299"/>
      <c r="J39" s="2299"/>
      <c r="K39" s="2299"/>
      <c r="L39" s="2299"/>
      <c r="M39" s="2299"/>
      <c r="N39" s="2299"/>
      <c r="O39" s="2299"/>
    </row>
    <row r="40" spans="1:16" x14ac:dyDescent="0.2">
      <c r="A40" s="25"/>
      <c r="C40" s="2299"/>
      <c r="D40" s="2299"/>
      <c r="E40" s="2299"/>
      <c r="F40" s="2299"/>
      <c r="G40" s="2299"/>
      <c r="H40" s="2299"/>
      <c r="I40" s="2299"/>
      <c r="J40" s="2299"/>
      <c r="K40" s="2299"/>
      <c r="L40" s="2299"/>
      <c r="M40" s="2299"/>
      <c r="N40" s="2299"/>
      <c r="O40" s="2299"/>
    </row>
    <row r="41" spans="1:16" x14ac:dyDescent="0.2">
      <c r="A41" s="25"/>
      <c r="C41" s="2299"/>
      <c r="D41" s="2299"/>
      <c r="E41" s="2299"/>
      <c r="F41" s="2299"/>
      <c r="G41" s="2299"/>
      <c r="H41" s="2299"/>
      <c r="I41" s="2299"/>
      <c r="J41" s="2299"/>
      <c r="K41" s="2299"/>
      <c r="L41" s="2299"/>
      <c r="M41" s="2299"/>
      <c r="N41" s="2299"/>
      <c r="O41" s="2299"/>
    </row>
    <row r="45" spans="1:16" s="27" customFormat="1" x14ac:dyDescent="0.2">
      <c r="B45" s="34"/>
      <c r="C45" s="34"/>
      <c r="G45" s="189" t="s">
        <v>1331</v>
      </c>
      <c r="H45" s="2294">
        <v>2013</v>
      </c>
      <c r="I45" s="2294"/>
      <c r="J45" s="2294"/>
    </row>
    <row r="47" spans="1:16" x14ac:dyDescent="0.2">
      <c r="A47" s="2296" t="s">
        <v>376</v>
      </c>
      <c r="B47" s="83"/>
      <c r="C47" s="83"/>
      <c r="D47" s="83"/>
      <c r="E47" s="83"/>
      <c r="F47" s="83"/>
      <c r="G47" s="83"/>
      <c r="H47" s="83"/>
      <c r="I47" s="83"/>
      <c r="J47" s="83"/>
      <c r="K47" s="83"/>
      <c r="L47" s="83"/>
      <c r="M47" s="83"/>
      <c r="N47" s="83"/>
      <c r="O47" s="83"/>
    </row>
    <row r="48" spans="1:16" x14ac:dyDescent="0.2">
      <c r="A48" s="2297"/>
      <c r="B48" s="83"/>
      <c r="C48" s="1450" t="s">
        <v>377</v>
      </c>
      <c r="D48" s="83"/>
      <c r="E48" s="2298" t="s">
        <v>378</v>
      </c>
      <c r="F48" s="2298"/>
      <c r="G48" s="2298"/>
      <c r="H48" s="2298"/>
      <c r="I48" s="2298"/>
      <c r="J48" s="265"/>
      <c r="K48" s="1450" t="s">
        <v>270</v>
      </c>
      <c r="L48" s="266"/>
      <c r="M48" s="83"/>
      <c r="N48" s="83"/>
      <c r="O48" s="1450" t="s">
        <v>379</v>
      </c>
    </row>
    <row r="49" spans="1:16" x14ac:dyDescent="0.2">
      <c r="A49" s="79"/>
      <c r="B49" s="83"/>
      <c r="C49" s="83"/>
      <c r="D49" s="83"/>
      <c r="E49" s="83"/>
      <c r="F49" s="83"/>
      <c r="G49" s="83"/>
      <c r="H49" s="83"/>
      <c r="I49" s="267"/>
      <c r="J49" s="267"/>
      <c r="K49" s="83"/>
      <c r="L49" s="83"/>
      <c r="M49" s="83"/>
      <c r="N49" s="83"/>
      <c r="O49" s="83"/>
    </row>
    <row r="50" spans="1:16" x14ac:dyDescent="0.2">
      <c r="A50" s="129"/>
      <c r="B50" s="83"/>
      <c r="C50" s="83"/>
      <c r="D50" s="83"/>
      <c r="E50" s="268" t="s">
        <v>271</v>
      </c>
      <c r="F50" s="269"/>
      <c r="G50" s="269"/>
      <c r="H50" s="269"/>
      <c r="I50" s="268" t="s">
        <v>272</v>
      </c>
      <c r="J50" s="83"/>
      <c r="K50" s="268" t="s">
        <v>271</v>
      </c>
      <c r="L50" s="269"/>
      <c r="M50" s="83"/>
      <c r="N50" s="83"/>
      <c r="O50" s="267" t="s">
        <v>272</v>
      </c>
      <c r="P50" s="83"/>
    </row>
    <row r="51" spans="1:16" x14ac:dyDescent="0.2">
      <c r="A51" s="129"/>
      <c r="B51" s="83"/>
      <c r="C51" s="270" t="s">
        <v>380</v>
      </c>
      <c r="D51" s="83"/>
      <c r="E51" s="83"/>
      <c r="F51" s="83"/>
      <c r="G51" s="83"/>
      <c r="H51" s="83"/>
      <c r="I51" s="83"/>
      <c r="J51" s="83"/>
      <c r="K51" s="83"/>
      <c r="L51" s="83"/>
      <c r="M51" s="83"/>
      <c r="N51" s="83"/>
      <c r="O51" s="83"/>
      <c r="P51" s="83"/>
    </row>
    <row r="52" spans="1:16" x14ac:dyDescent="0.2">
      <c r="A52" s="129">
        <v>1</v>
      </c>
      <c r="B52" s="83"/>
      <c r="C52" s="271" t="s">
        <v>381</v>
      </c>
      <c r="D52" s="83"/>
      <c r="E52" s="272">
        <v>0.56000000000000005</v>
      </c>
      <c r="F52" s="273"/>
      <c r="G52" s="24"/>
      <c r="H52" s="22"/>
      <c r="I52" s="274">
        <f>$I$61*E52</f>
        <v>49831263.440000005</v>
      </c>
      <c r="J52" s="83"/>
      <c r="K52" s="272">
        <v>4.1399999999999999E-2</v>
      </c>
      <c r="L52" s="273"/>
      <c r="M52" s="24"/>
      <c r="N52" s="22"/>
      <c r="O52" s="274">
        <f>K52*I52</f>
        <v>2063014.3064160002</v>
      </c>
      <c r="P52" s="83"/>
    </row>
    <row r="53" spans="1:16" x14ac:dyDescent="0.2">
      <c r="A53" s="129">
        <v>2</v>
      </c>
      <c r="B53" s="83"/>
      <c r="C53" s="271" t="s">
        <v>382</v>
      </c>
      <c r="D53" s="83"/>
      <c r="E53" s="275">
        <v>0.04</v>
      </c>
      <c r="F53" s="273"/>
      <c r="G53" s="23" t="s">
        <v>273</v>
      </c>
      <c r="H53" s="23"/>
      <c r="I53" s="276">
        <f>$I$61*E53</f>
        <v>3559375.96</v>
      </c>
      <c r="J53" s="83"/>
      <c r="K53" s="275">
        <v>2.07E-2</v>
      </c>
      <c r="L53" s="273"/>
      <c r="M53" s="24"/>
      <c r="N53" s="22"/>
      <c r="O53" s="276">
        <f>K53*I53</f>
        <v>73679.082372000004</v>
      </c>
      <c r="P53" s="83"/>
    </row>
    <row r="54" spans="1:16" ht="13.5" thickBot="1" x14ac:dyDescent="0.25">
      <c r="A54" s="129">
        <v>3</v>
      </c>
      <c r="B54" s="83"/>
      <c r="C54" s="129" t="s">
        <v>383</v>
      </c>
      <c r="D54" s="83"/>
      <c r="E54" s="277">
        <f>SUM(E52:E53)</f>
        <v>0.60000000000000009</v>
      </c>
      <c r="F54" s="278"/>
      <c r="G54" s="277"/>
      <c r="H54" s="278"/>
      <c r="I54" s="279">
        <f>SUM(I52:I53)</f>
        <v>53390639.400000006</v>
      </c>
      <c r="J54" s="83"/>
      <c r="K54" s="280">
        <f>IF(E54=0,0,SUMPRODUCT(E52:E53,K52:K53)/E54)</f>
        <v>4.002E-2</v>
      </c>
      <c r="L54" s="273"/>
      <c r="M54" s="281"/>
      <c r="N54" s="113"/>
      <c r="O54" s="279">
        <f>SUM(O52:O53)</f>
        <v>2136693.3887880002</v>
      </c>
      <c r="P54" s="83"/>
    </row>
    <row r="55" spans="1:16" ht="13.5" thickTop="1" x14ac:dyDescent="0.2">
      <c r="A55" s="129"/>
      <c r="B55" s="83"/>
      <c r="C55" s="83"/>
      <c r="D55" s="83"/>
      <c r="E55" s="282"/>
      <c r="F55" s="283"/>
      <c r="G55" s="282"/>
      <c r="H55" s="283"/>
      <c r="I55" s="284"/>
      <c r="J55" s="83"/>
      <c r="K55" s="285"/>
      <c r="L55" s="273"/>
      <c r="M55" s="113"/>
      <c r="N55" s="113"/>
      <c r="O55" s="284"/>
      <c r="P55" s="83"/>
    </row>
    <row r="56" spans="1:16" x14ac:dyDescent="0.2">
      <c r="A56" s="129"/>
      <c r="B56" s="83"/>
      <c r="C56" s="270" t="s">
        <v>384</v>
      </c>
      <c r="D56" s="83"/>
      <c r="E56" s="282"/>
      <c r="F56" s="283"/>
      <c r="G56" s="282"/>
      <c r="H56" s="283"/>
      <c r="I56" s="284"/>
      <c r="J56" s="83"/>
      <c r="K56" s="285"/>
      <c r="L56" s="273"/>
      <c r="M56" s="113"/>
      <c r="N56" s="113"/>
      <c r="O56" s="284"/>
      <c r="P56" s="83"/>
    </row>
    <row r="57" spans="1:16" x14ac:dyDescent="0.2">
      <c r="A57" s="286">
        <v>4</v>
      </c>
      <c r="B57" s="287"/>
      <c r="C57" s="288" t="s">
        <v>385</v>
      </c>
      <c r="D57" s="287"/>
      <c r="E57" s="289">
        <v>0.4</v>
      </c>
      <c r="F57" s="290"/>
      <c r="G57" s="24"/>
      <c r="H57" s="22"/>
      <c r="I57" s="291">
        <f>$I$61*E57</f>
        <v>35593759.600000001</v>
      </c>
      <c r="J57" s="287"/>
      <c r="K57" s="289">
        <v>8.9800000000000005E-2</v>
      </c>
      <c r="L57" s="290"/>
      <c r="M57" s="24"/>
      <c r="N57" s="22"/>
      <c r="O57" s="291">
        <f>K57*I57</f>
        <v>3196319.6120800003</v>
      </c>
      <c r="P57" s="83"/>
    </row>
    <row r="58" spans="1:16" x14ac:dyDescent="0.2">
      <c r="A58" s="286">
        <v>5</v>
      </c>
      <c r="B58" s="287"/>
      <c r="C58" s="288" t="s">
        <v>386</v>
      </c>
      <c r="D58" s="287"/>
      <c r="E58" s="292">
        <v>0</v>
      </c>
      <c r="F58" s="290"/>
      <c r="G58" s="24"/>
      <c r="H58" s="22"/>
      <c r="I58" s="293">
        <f>$I$61*E58</f>
        <v>0</v>
      </c>
      <c r="J58" s="287"/>
      <c r="K58" s="292">
        <v>0</v>
      </c>
      <c r="L58" s="290"/>
      <c r="M58" s="24"/>
      <c r="N58" s="22"/>
      <c r="O58" s="293">
        <f>K58*I58</f>
        <v>0</v>
      </c>
      <c r="P58" s="83"/>
    </row>
    <row r="59" spans="1:16" ht="13.5" thickBot="1" x14ac:dyDescent="0.25">
      <c r="A59" s="129">
        <v>6</v>
      </c>
      <c r="B59" s="83"/>
      <c r="C59" s="129" t="s">
        <v>387</v>
      </c>
      <c r="D59" s="83"/>
      <c r="E59" s="277">
        <f>SUM(E57:E58)</f>
        <v>0.4</v>
      </c>
      <c r="F59" s="277"/>
      <c r="G59" s="277"/>
      <c r="H59" s="278"/>
      <c r="I59" s="279">
        <f>SUM(I57:I58)</f>
        <v>35593759.600000001</v>
      </c>
      <c r="J59" s="83"/>
      <c r="K59" s="280">
        <f>IF(E59=0,0,SUMPRODUCT(E57:E58,K57:K58)/E59)</f>
        <v>8.9799999999999991E-2</v>
      </c>
      <c r="L59" s="273"/>
      <c r="M59" s="113"/>
      <c r="N59" s="113"/>
      <c r="O59" s="279">
        <f>SUM(O57:O58)</f>
        <v>3196319.6120800003</v>
      </c>
      <c r="P59" s="83"/>
    </row>
    <row r="60" spans="1:16" ht="13.5" thickTop="1" x14ac:dyDescent="0.2">
      <c r="A60" s="129"/>
      <c r="B60" s="83"/>
      <c r="C60" s="83"/>
      <c r="D60" s="83"/>
      <c r="E60" s="83"/>
      <c r="F60" s="83"/>
      <c r="G60" s="83"/>
      <c r="H60" s="83"/>
      <c r="I60" s="284"/>
      <c r="J60" s="83"/>
      <c r="K60" s="285"/>
      <c r="L60" s="285"/>
      <c r="M60" s="113"/>
      <c r="N60" s="113"/>
      <c r="O60" s="284"/>
      <c r="P60" s="83"/>
    </row>
    <row r="61" spans="1:16" ht="13.5" thickBot="1" x14ac:dyDescent="0.25">
      <c r="A61" s="129">
        <v>7</v>
      </c>
      <c r="B61" s="83"/>
      <c r="C61" s="270" t="s">
        <v>259</v>
      </c>
      <c r="D61" s="83"/>
      <c r="E61" s="294">
        <v>1</v>
      </c>
      <c r="F61" s="294"/>
      <c r="G61" s="295"/>
      <c r="H61" s="295"/>
      <c r="I61" s="296">
        <v>88984399</v>
      </c>
      <c r="J61" s="83"/>
      <c r="K61" s="297">
        <f>(K54*E54)+(K59*E59)</f>
        <v>5.9931999999999999E-2</v>
      </c>
      <c r="L61" s="285"/>
      <c r="M61" s="83"/>
      <c r="N61" s="83"/>
      <c r="O61" s="298">
        <f>O54+O59</f>
        <v>5333013.0008680001</v>
      </c>
      <c r="P61" s="83"/>
    </row>
    <row r="62" spans="1:16" ht="13.5" thickTop="1" x14ac:dyDescent="0.2">
      <c r="A62" s="129"/>
      <c r="B62" s="83"/>
      <c r="C62" s="83"/>
      <c r="D62" s="83"/>
      <c r="E62" s="83"/>
      <c r="F62" s="83"/>
      <c r="G62" s="83"/>
      <c r="H62" s="83"/>
      <c r="I62" s="83"/>
      <c r="J62" s="83"/>
      <c r="K62" s="83"/>
      <c r="L62" s="83"/>
      <c r="M62" s="83"/>
      <c r="N62" s="83"/>
      <c r="O62" s="83"/>
      <c r="P62" s="83"/>
    </row>
    <row r="63" spans="1:16" x14ac:dyDescent="0.2">
      <c r="A63" s="129"/>
      <c r="B63" s="83"/>
      <c r="C63" s="83"/>
      <c r="D63" s="83"/>
      <c r="E63" s="83"/>
      <c r="F63" s="83"/>
      <c r="G63" s="83"/>
      <c r="H63" s="83"/>
      <c r="I63" s="83"/>
      <c r="J63" s="83"/>
      <c r="K63" s="83"/>
      <c r="L63" s="83"/>
      <c r="M63" s="83"/>
      <c r="N63" s="83"/>
      <c r="O63" s="83"/>
      <c r="P63" s="83"/>
    </row>
    <row r="64" spans="1:16" x14ac:dyDescent="0.2">
      <c r="A64" s="2301" t="s">
        <v>274</v>
      </c>
      <c r="B64" s="2301"/>
      <c r="C64" s="2301"/>
      <c r="D64" s="2301"/>
      <c r="E64" s="2301"/>
      <c r="F64" s="2301"/>
      <c r="G64" s="2301"/>
      <c r="H64" s="2301"/>
      <c r="I64" s="2301"/>
      <c r="J64" s="2301"/>
      <c r="K64" s="2301"/>
      <c r="L64" s="2301"/>
      <c r="M64" s="2301"/>
      <c r="N64" s="2301"/>
      <c r="O64" s="2301"/>
    </row>
    <row r="65" spans="1:15" x14ac:dyDescent="0.2">
      <c r="A65" s="299" t="s">
        <v>273</v>
      </c>
      <c r="C65" s="2035" t="s">
        <v>388</v>
      </c>
      <c r="D65" s="2035"/>
      <c r="E65" s="2035"/>
      <c r="F65" s="2035"/>
      <c r="G65" s="2035"/>
      <c r="H65" s="2035"/>
      <c r="I65" s="2035"/>
      <c r="J65" s="2035"/>
      <c r="K65" s="2035"/>
      <c r="L65" s="2035"/>
      <c r="M65" s="2035"/>
      <c r="N65" s="2035"/>
      <c r="O65" s="2035"/>
    </row>
    <row r="66" spans="1:15" x14ac:dyDescent="0.2">
      <c r="A66" s="25"/>
      <c r="C66" s="2299"/>
      <c r="D66" s="2299"/>
      <c r="E66" s="2299"/>
      <c r="F66" s="2299"/>
      <c r="G66" s="2299"/>
      <c r="H66" s="2299"/>
      <c r="I66" s="2299"/>
      <c r="J66" s="2299"/>
      <c r="K66" s="2299"/>
      <c r="L66" s="2299"/>
      <c r="M66" s="2299"/>
      <c r="N66" s="2299"/>
      <c r="O66" s="2299"/>
    </row>
    <row r="67" spans="1:15" x14ac:dyDescent="0.2">
      <c r="A67" s="25"/>
      <c r="C67" s="2299"/>
      <c r="D67" s="2299"/>
      <c r="E67" s="2299"/>
      <c r="F67" s="2299"/>
      <c r="G67" s="2299"/>
      <c r="H67" s="2299"/>
      <c r="I67" s="2299"/>
      <c r="J67" s="2299"/>
      <c r="K67" s="2299"/>
      <c r="L67" s="2299"/>
      <c r="M67" s="2299"/>
      <c r="N67" s="2299"/>
      <c r="O67" s="2299"/>
    </row>
    <row r="68" spans="1:15" x14ac:dyDescent="0.2">
      <c r="A68" s="25"/>
      <c r="C68" s="2299"/>
      <c r="D68" s="2299"/>
      <c r="E68" s="2299"/>
      <c r="F68" s="2299"/>
      <c r="G68" s="2299"/>
      <c r="H68" s="2299"/>
      <c r="I68" s="2299"/>
      <c r="J68" s="2299"/>
      <c r="K68" s="2299"/>
      <c r="L68" s="2299"/>
      <c r="M68" s="2299"/>
      <c r="N68" s="2299"/>
      <c r="O68" s="2299"/>
    </row>
    <row r="69" spans="1:15" x14ac:dyDescent="0.2">
      <c r="A69" s="25"/>
      <c r="C69" s="2299"/>
      <c r="D69" s="2299"/>
      <c r="E69" s="2299"/>
      <c r="F69" s="2299"/>
      <c r="G69" s="2299"/>
      <c r="H69" s="2299"/>
      <c r="I69" s="2299"/>
      <c r="J69" s="2299"/>
      <c r="K69" s="2299"/>
      <c r="L69" s="2299"/>
      <c r="M69" s="2299"/>
      <c r="N69" s="2299"/>
      <c r="O69" s="2299"/>
    </row>
    <row r="70" spans="1:15" x14ac:dyDescent="0.2">
      <c r="A70" s="25"/>
      <c r="C70" s="2299"/>
      <c r="D70" s="2299"/>
      <c r="E70" s="2299"/>
      <c r="F70" s="2299"/>
      <c r="G70" s="2299"/>
      <c r="H70" s="2299"/>
      <c r="I70" s="2299"/>
      <c r="J70" s="2299"/>
      <c r="K70" s="2299"/>
      <c r="L70" s="2299"/>
      <c r="M70" s="2299"/>
      <c r="N70" s="2299"/>
      <c r="O70" s="2299"/>
    </row>
    <row r="71" spans="1:15" x14ac:dyDescent="0.2">
      <c r="A71" s="25"/>
      <c r="C71" s="2299"/>
      <c r="D71" s="2299"/>
      <c r="E71" s="2299"/>
      <c r="F71" s="2299"/>
      <c r="G71" s="2299"/>
      <c r="H71" s="2299"/>
      <c r="I71" s="2299"/>
      <c r="J71" s="2299"/>
      <c r="K71" s="2299"/>
      <c r="L71" s="2299"/>
      <c r="M71" s="2299"/>
      <c r="N71" s="2299"/>
      <c r="O71" s="2299"/>
    </row>
    <row r="72" spans="1:15" ht="18" x14ac:dyDescent="0.25">
      <c r="C72" s="300"/>
    </row>
  </sheetData>
  <mergeCells count="25">
    <mergeCell ref="A47:A48"/>
    <mergeCell ref="E48:I48"/>
    <mergeCell ref="A64:O64"/>
    <mergeCell ref="C65:O65"/>
    <mergeCell ref="C71:O71"/>
    <mergeCell ref="C66:O66"/>
    <mergeCell ref="C67:O67"/>
    <mergeCell ref="C68:O68"/>
    <mergeCell ref="C69:O69"/>
    <mergeCell ref="C70:O70"/>
    <mergeCell ref="H45:J45"/>
    <mergeCell ref="C10:O10"/>
    <mergeCell ref="C11:O11"/>
    <mergeCell ref="A17:A18"/>
    <mergeCell ref="E18:I18"/>
    <mergeCell ref="H15:J15"/>
    <mergeCell ref="C41:O41"/>
    <mergeCell ref="A13:O13"/>
    <mergeCell ref="C35:O35"/>
    <mergeCell ref="C36:O36"/>
    <mergeCell ref="C37:O37"/>
    <mergeCell ref="C38:O38"/>
    <mergeCell ref="C39:O39"/>
    <mergeCell ref="C40:O40"/>
    <mergeCell ref="A34:O34"/>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00000000-0002-0000-2A00-000000000000}"/>
  </dataValidations>
  <pageMargins left="0.75" right="0.75" top="1" bottom="1" header="0.5" footer="0.5"/>
  <pageSetup scale="76"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6">
    <tabColor theme="5" tint="0.39997558519241921"/>
    <pageSetUpPr autoPageBreaks="0" fitToPage="1"/>
  </sheetPr>
  <dimension ref="A1:T130"/>
  <sheetViews>
    <sheetView showGridLines="0" zoomScaleNormal="100" workbookViewId="0">
      <selection activeCell="K2" sqref="K2:K8"/>
    </sheetView>
  </sheetViews>
  <sheetFormatPr defaultColWidth="9.28515625" defaultRowHeight="12.75" x14ac:dyDescent="0.2"/>
  <cols>
    <col min="1" max="1" width="5.7109375" style="27" bestFit="1" customWidth="1"/>
    <col min="2" max="2" width="29.28515625" style="27" customWidth="1"/>
    <col min="3" max="3" width="23.28515625" style="27" customWidth="1"/>
    <col min="4" max="4" width="15.42578125" style="27" bestFit="1" customWidth="1"/>
    <col min="5" max="5" width="14" style="27" customWidth="1"/>
    <col min="6" max="6" width="12.28515625" style="27" customWidth="1"/>
    <col min="7" max="7" width="8.42578125" style="27" customWidth="1"/>
    <col min="8" max="8" width="13.28515625" style="27" customWidth="1"/>
    <col min="9" max="9" width="9.7109375" style="27" customWidth="1"/>
    <col min="10" max="10" width="13.5703125" style="27" customWidth="1"/>
    <col min="11" max="11" width="18.28515625" style="27" customWidth="1"/>
    <col min="12" max="12" width="15.7109375" style="27" customWidth="1"/>
    <col min="13" max="13" width="3.5703125" style="27" customWidth="1"/>
    <col min="14" max="14" width="1.7109375" style="27" customWidth="1"/>
    <col min="15" max="15" width="15" style="27" bestFit="1" customWidth="1"/>
    <col min="16" max="16" width="2.28515625" style="27" customWidth="1"/>
    <col min="17" max="16384" width="9.28515625" style="27"/>
  </cols>
  <sheetData>
    <row r="1" spans="1:15" x14ac:dyDescent="0.2">
      <c r="J1" s="301" t="s">
        <v>264</v>
      </c>
      <c r="K1" s="440" t="str">
        <f>EBNUMBER</f>
        <v>EB-2019-0037</v>
      </c>
    </row>
    <row r="2" spans="1:15" x14ac:dyDescent="0.2">
      <c r="J2" s="301" t="s">
        <v>265</v>
      </c>
      <c r="K2" s="41"/>
    </row>
    <row r="3" spans="1:15" x14ac:dyDescent="0.2">
      <c r="J3" s="301" t="s">
        <v>266</v>
      </c>
      <c r="K3" s="41"/>
    </row>
    <row r="4" spans="1:15" x14ac:dyDescent="0.2">
      <c r="J4" s="301" t="s">
        <v>267</v>
      </c>
      <c r="K4" s="41"/>
    </row>
    <row r="5" spans="1:15" x14ac:dyDescent="0.2">
      <c r="J5" s="301" t="s">
        <v>268</v>
      </c>
      <c r="K5" s="42"/>
    </row>
    <row r="6" spans="1:15" x14ac:dyDescent="0.2">
      <c r="J6" s="302"/>
      <c r="K6" s="40"/>
    </row>
    <row r="7" spans="1:15" x14ac:dyDescent="0.2">
      <c r="J7" s="301" t="s">
        <v>269</v>
      </c>
      <c r="K7" s="1686"/>
    </row>
    <row r="10" spans="1:15" ht="18" x14ac:dyDescent="0.25">
      <c r="A10" s="2218" t="s">
        <v>389</v>
      </c>
      <c r="B10" s="2218"/>
      <c r="C10" s="2218"/>
      <c r="D10" s="2218"/>
      <c r="E10" s="2218"/>
      <c r="F10" s="2218"/>
      <c r="G10" s="2218"/>
      <c r="H10" s="2218"/>
      <c r="I10" s="2218"/>
      <c r="J10" s="2218"/>
      <c r="K10" s="2218"/>
      <c r="L10" s="43"/>
      <c r="M10" s="43"/>
      <c r="N10" s="43"/>
      <c r="O10" s="43"/>
    </row>
    <row r="11" spans="1:15" ht="18" x14ac:dyDescent="0.25">
      <c r="A11" s="2218" t="s">
        <v>368</v>
      </c>
      <c r="B11" s="2218"/>
      <c r="C11" s="2218"/>
      <c r="D11" s="2218"/>
      <c r="E11" s="2218"/>
      <c r="F11" s="2218"/>
      <c r="G11" s="2218"/>
      <c r="H11" s="2218"/>
      <c r="I11" s="2218"/>
      <c r="J11" s="2218"/>
      <c r="K11" s="2218"/>
      <c r="L11" s="2218"/>
      <c r="M11" s="2218"/>
      <c r="N11" s="2218"/>
      <c r="O11" s="2218"/>
    </row>
    <row r="12" spans="1:15" ht="9" customHeight="1" x14ac:dyDescent="0.25">
      <c r="L12" s="428"/>
      <c r="M12" s="428"/>
      <c r="N12" s="428"/>
      <c r="O12" s="428"/>
    </row>
    <row r="13" spans="1:15" ht="28.5" customHeight="1" x14ac:dyDescent="0.25">
      <c r="A13" s="2302" t="s">
        <v>518</v>
      </c>
      <c r="B13" s="2302"/>
      <c r="C13" s="2302"/>
      <c r="D13" s="2302"/>
      <c r="E13" s="2302"/>
      <c r="F13" s="2302"/>
      <c r="G13" s="2302"/>
      <c r="H13" s="2302"/>
      <c r="I13" s="2302"/>
      <c r="J13" s="2302"/>
      <c r="K13" s="2302"/>
      <c r="L13" s="428"/>
      <c r="M13" s="428"/>
      <c r="N13" s="428"/>
      <c r="O13" s="428"/>
    </row>
    <row r="14" spans="1:15" ht="15.75" x14ac:dyDescent="0.2">
      <c r="D14" s="303" t="s">
        <v>10</v>
      </c>
      <c r="E14" s="304">
        <v>2013</v>
      </c>
      <c r="F14" s="27" t="s">
        <v>1460</v>
      </c>
    </row>
    <row r="15" spans="1:15" ht="16.5" customHeight="1" thickBot="1" x14ac:dyDescent="0.25"/>
    <row r="16" spans="1:15" ht="32.450000000000003" customHeight="1" x14ac:dyDescent="0.2">
      <c r="A16" s="305" t="s">
        <v>369</v>
      </c>
      <c r="B16" s="306" t="s">
        <v>205</v>
      </c>
      <c r="C16" s="306" t="s">
        <v>363</v>
      </c>
      <c r="D16" s="307" t="s">
        <v>364</v>
      </c>
      <c r="E16" s="307" t="s">
        <v>365</v>
      </c>
      <c r="F16" s="306" t="s">
        <v>366</v>
      </c>
      <c r="G16" s="308" t="s">
        <v>371</v>
      </c>
      <c r="H16" s="308" t="s">
        <v>370</v>
      </c>
      <c r="I16" s="308" t="s">
        <v>877</v>
      </c>
      <c r="J16" s="308" t="s">
        <v>1461</v>
      </c>
      <c r="K16" s="308" t="s">
        <v>878</v>
      </c>
      <c r="L16" s="309" t="s">
        <v>517</v>
      </c>
    </row>
    <row r="17" spans="1:20" x14ac:dyDescent="0.2">
      <c r="A17" s="310">
        <v>1</v>
      </c>
      <c r="B17" s="215" t="s">
        <v>1462</v>
      </c>
      <c r="C17" s="215" t="s">
        <v>1463</v>
      </c>
      <c r="D17" s="304" t="s">
        <v>1464</v>
      </c>
      <c r="E17" s="304" t="s">
        <v>1468</v>
      </c>
      <c r="F17" s="311">
        <v>40561</v>
      </c>
      <c r="G17" s="215">
        <v>15</v>
      </c>
      <c r="H17" s="96">
        <v>1764379</v>
      </c>
      <c r="I17" s="1707">
        <v>4.6902326480245317E-2</v>
      </c>
      <c r="J17" s="1594">
        <v>365</v>
      </c>
      <c r="K17" s="312">
        <f>H17*I17</f>
        <v>82753.479892888747</v>
      </c>
      <c r="L17" s="313"/>
    </row>
    <row r="18" spans="1:20" x14ac:dyDescent="0.2">
      <c r="A18" s="310">
        <v>2</v>
      </c>
      <c r="B18" s="215" t="s">
        <v>1465</v>
      </c>
      <c r="C18" s="215" t="s">
        <v>1466</v>
      </c>
      <c r="D18" s="304" t="s">
        <v>1467</v>
      </c>
      <c r="E18" s="304" t="s">
        <v>1468</v>
      </c>
      <c r="F18" s="311">
        <v>36831</v>
      </c>
      <c r="G18" s="215" t="s">
        <v>1469</v>
      </c>
      <c r="H18" s="96">
        <v>48645458</v>
      </c>
      <c r="I18" s="1593">
        <v>4.1200000000000001E-2</v>
      </c>
      <c r="J18" s="1594">
        <v>365</v>
      </c>
      <c r="K18" s="312">
        <f t="shared" ref="K18:K23" si="0">H18*I18</f>
        <v>2004192.8696000001</v>
      </c>
      <c r="L18" s="313" t="s">
        <v>1584</v>
      </c>
    </row>
    <row r="19" spans="1:20" x14ac:dyDescent="0.2">
      <c r="A19" s="310">
        <v>3</v>
      </c>
      <c r="B19" s="215" t="s">
        <v>1470</v>
      </c>
      <c r="C19" s="215" t="s">
        <v>1463</v>
      </c>
      <c r="D19" s="304" t="s">
        <v>1464</v>
      </c>
      <c r="E19" s="304" t="s">
        <v>1468</v>
      </c>
      <c r="F19" s="311">
        <v>41548</v>
      </c>
      <c r="G19" s="215">
        <v>15</v>
      </c>
      <c r="H19" s="96">
        <v>1000000</v>
      </c>
      <c r="I19" s="1593">
        <v>3.9899999999999998E-2</v>
      </c>
      <c r="J19" s="1594">
        <v>365</v>
      </c>
      <c r="K19" s="312">
        <f t="shared" si="0"/>
        <v>39900</v>
      </c>
      <c r="L19" s="313"/>
    </row>
    <row r="20" spans="1:20" x14ac:dyDescent="0.2">
      <c r="A20" s="310">
        <v>4</v>
      </c>
      <c r="B20" s="215"/>
      <c r="C20" s="215"/>
      <c r="D20" s="304"/>
      <c r="E20" s="304"/>
      <c r="F20" s="311"/>
      <c r="G20" s="215"/>
      <c r="H20" s="96"/>
      <c r="I20" s="215"/>
      <c r="J20" s="215"/>
      <c r="K20" s="312">
        <f t="shared" si="0"/>
        <v>0</v>
      </c>
      <c r="L20" s="313"/>
    </row>
    <row r="21" spans="1:20" x14ac:dyDescent="0.2">
      <c r="A21" s="310">
        <v>5</v>
      </c>
      <c r="B21" s="215"/>
      <c r="C21" s="215"/>
      <c r="D21" s="304"/>
      <c r="E21" s="304"/>
      <c r="F21" s="311"/>
      <c r="G21" s="215"/>
      <c r="H21" s="96"/>
      <c r="I21" s="215"/>
      <c r="J21" s="215"/>
      <c r="K21" s="312">
        <f t="shared" si="0"/>
        <v>0</v>
      </c>
      <c r="L21" s="313"/>
      <c r="R21" s="301"/>
      <c r="S21" s="301"/>
      <c r="T21" s="301"/>
    </row>
    <row r="22" spans="1:20" x14ac:dyDescent="0.2">
      <c r="A22" s="310">
        <v>6</v>
      </c>
      <c r="B22" s="215"/>
      <c r="C22" s="215"/>
      <c r="D22" s="304"/>
      <c r="E22" s="304"/>
      <c r="F22" s="311"/>
      <c r="G22" s="215"/>
      <c r="H22" s="96"/>
      <c r="I22" s="215"/>
      <c r="J22" s="215"/>
      <c r="K22" s="312">
        <f t="shared" si="0"/>
        <v>0</v>
      </c>
      <c r="L22" s="313"/>
      <c r="R22" s="301"/>
      <c r="S22" s="301"/>
      <c r="T22" s="301"/>
    </row>
    <row r="23" spans="1:20" x14ac:dyDescent="0.2">
      <c r="A23" s="310">
        <v>7</v>
      </c>
      <c r="B23" s="215"/>
      <c r="C23" s="215"/>
      <c r="D23" s="304"/>
      <c r="E23" s="304"/>
      <c r="F23" s="311"/>
      <c r="G23" s="215"/>
      <c r="H23" s="96"/>
      <c r="I23" s="215"/>
      <c r="J23" s="215"/>
      <c r="K23" s="312">
        <f t="shared" si="0"/>
        <v>0</v>
      </c>
      <c r="L23" s="313"/>
    </row>
    <row r="24" spans="1:20" ht="13.5" thickBot="1" x14ac:dyDescent="0.25">
      <c r="A24" s="314"/>
      <c r="B24" s="315"/>
      <c r="C24" s="316"/>
      <c r="D24" s="316"/>
      <c r="E24" s="316"/>
      <c r="F24" s="315"/>
      <c r="G24" s="316"/>
      <c r="H24" s="316"/>
      <c r="I24" s="316"/>
      <c r="J24" s="316"/>
      <c r="K24" s="315"/>
      <c r="L24" s="313"/>
    </row>
    <row r="25" spans="1:20" ht="14.25" thickTop="1" thickBot="1" x14ac:dyDescent="0.25">
      <c r="A25" s="317" t="s">
        <v>259</v>
      </c>
      <c r="B25" s="318"/>
      <c r="C25" s="319"/>
      <c r="D25" s="319"/>
      <c r="E25" s="319"/>
      <c r="F25" s="318"/>
      <c r="G25" s="319"/>
      <c r="H25" s="238">
        <f>SUM(H17:H23)</f>
        <v>51409837</v>
      </c>
      <c r="I25" s="857">
        <f>IF(H25=0,"",K25/H25)</f>
        <v>4.1370416122752711E-2</v>
      </c>
      <c r="J25" s="1595"/>
      <c r="K25" s="320">
        <f>SUM(K17:K23)</f>
        <v>2126846.3494928889</v>
      </c>
      <c r="L25" s="321"/>
    </row>
    <row r="28" spans="1:20" ht="15.75" x14ac:dyDescent="0.2">
      <c r="D28" s="303" t="s">
        <v>10</v>
      </c>
      <c r="E28" s="304">
        <v>2013</v>
      </c>
      <c r="F28" s="27" t="s">
        <v>334</v>
      </c>
    </row>
    <row r="29" spans="1:20" ht="16.5" customHeight="1" thickBot="1" x14ac:dyDescent="0.25"/>
    <row r="30" spans="1:20" ht="37.9" customHeight="1" x14ac:dyDescent="0.2">
      <c r="A30" s="305" t="s">
        <v>369</v>
      </c>
      <c r="B30" s="306" t="s">
        <v>205</v>
      </c>
      <c r="C30" s="306" t="s">
        <v>363</v>
      </c>
      <c r="D30" s="307" t="s">
        <v>364</v>
      </c>
      <c r="E30" s="307" t="s">
        <v>365</v>
      </c>
      <c r="F30" s="306" t="s">
        <v>366</v>
      </c>
      <c r="G30" s="308" t="s">
        <v>371</v>
      </c>
      <c r="H30" s="308" t="s">
        <v>370</v>
      </c>
      <c r="I30" s="308" t="s">
        <v>877</v>
      </c>
      <c r="J30" s="308" t="s">
        <v>1461</v>
      </c>
      <c r="K30" s="308" t="s">
        <v>878</v>
      </c>
      <c r="L30" s="309" t="s">
        <v>517</v>
      </c>
    </row>
    <row r="31" spans="1:20" x14ac:dyDescent="0.2">
      <c r="A31" s="310">
        <v>1</v>
      </c>
      <c r="B31" s="215" t="s">
        <v>1462</v>
      </c>
      <c r="C31" s="215" t="s">
        <v>1463</v>
      </c>
      <c r="D31" s="304" t="s">
        <v>1464</v>
      </c>
      <c r="E31" s="304" t="s">
        <v>1468</v>
      </c>
      <c r="F31" s="311">
        <v>40561</v>
      </c>
      <c r="G31" s="215">
        <v>15</v>
      </c>
      <c r="H31" s="96">
        <v>1760251</v>
      </c>
      <c r="I31" s="1593">
        <v>4.6902326480245317E-2</v>
      </c>
      <c r="J31" s="1594">
        <v>365</v>
      </c>
      <c r="K31" s="312">
        <f>H31*I31</f>
        <v>82559.867089178297</v>
      </c>
      <c r="L31" s="313"/>
    </row>
    <row r="32" spans="1:20" x14ac:dyDescent="0.2">
      <c r="A32" s="310">
        <v>2</v>
      </c>
      <c r="B32" s="215" t="s">
        <v>1465</v>
      </c>
      <c r="C32" s="215" t="s">
        <v>1466</v>
      </c>
      <c r="D32" s="304" t="s">
        <v>1467</v>
      </c>
      <c r="E32" s="304" t="s">
        <v>1468</v>
      </c>
      <c r="F32" s="311">
        <v>36831</v>
      </c>
      <c r="G32" s="215" t="s">
        <v>1469</v>
      </c>
      <c r="H32" s="96">
        <v>48645458</v>
      </c>
      <c r="I32" s="1593">
        <v>4.1200000000000001E-2</v>
      </c>
      <c r="J32" s="1594">
        <v>365</v>
      </c>
      <c r="K32" s="312">
        <f t="shared" ref="K32:K37" si="1">H32*I32</f>
        <v>2004192.8696000001</v>
      </c>
      <c r="L32" s="313"/>
    </row>
    <row r="33" spans="1:20" x14ac:dyDescent="0.2">
      <c r="A33" s="310">
        <v>3</v>
      </c>
      <c r="B33" s="215"/>
      <c r="C33" s="215"/>
      <c r="D33" s="304"/>
      <c r="E33" s="304"/>
      <c r="F33" s="311"/>
      <c r="G33" s="215"/>
      <c r="H33" s="96"/>
      <c r="I33" s="215"/>
      <c r="J33" s="215"/>
      <c r="K33" s="312">
        <f t="shared" si="1"/>
        <v>0</v>
      </c>
      <c r="L33" s="313"/>
    </row>
    <row r="34" spans="1:20" x14ac:dyDescent="0.2">
      <c r="A34" s="310">
        <v>4</v>
      </c>
      <c r="B34" s="215"/>
      <c r="C34" s="215"/>
      <c r="D34" s="304"/>
      <c r="E34" s="304"/>
      <c r="F34" s="311"/>
      <c r="G34" s="215"/>
      <c r="H34" s="96"/>
      <c r="I34" s="215"/>
      <c r="J34" s="215"/>
      <c r="K34" s="312">
        <f t="shared" si="1"/>
        <v>0</v>
      </c>
      <c r="L34" s="313"/>
    </row>
    <row r="35" spans="1:20" x14ac:dyDescent="0.2">
      <c r="A35" s="310">
        <v>5</v>
      </c>
      <c r="B35" s="215"/>
      <c r="C35" s="215"/>
      <c r="D35" s="304"/>
      <c r="E35" s="304"/>
      <c r="F35" s="311"/>
      <c r="G35" s="215"/>
      <c r="H35" s="96"/>
      <c r="I35" s="215"/>
      <c r="J35" s="215"/>
      <c r="K35" s="312">
        <f t="shared" si="1"/>
        <v>0</v>
      </c>
      <c r="L35" s="313"/>
      <c r="R35" s="301"/>
      <c r="S35" s="301"/>
      <c r="T35" s="301"/>
    </row>
    <row r="36" spans="1:20" x14ac:dyDescent="0.2">
      <c r="A36" s="310">
        <v>6</v>
      </c>
      <c r="B36" s="215"/>
      <c r="C36" s="215"/>
      <c r="D36" s="304"/>
      <c r="E36" s="304"/>
      <c r="F36" s="311"/>
      <c r="G36" s="215"/>
      <c r="H36" s="96"/>
      <c r="I36" s="215"/>
      <c r="J36" s="215"/>
      <c r="K36" s="312">
        <f t="shared" si="1"/>
        <v>0</v>
      </c>
      <c r="L36" s="313"/>
      <c r="R36" s="301"/>
      <c r="S36" s="301"/>
      <c r="T36" s="301"/>
    </row>
    <row r="37" spans="1:20" x14ac:dyDescent="0.2">
      <c r="A37" s="310">
        <v>7</v>
      </c>
      <c r="B37" s="215"/>
      <c r="C37" s="215"/>
      <c r="D37" s="304"/>
      <c r="E37" s="304"/>
      <c r="F37" s="311"/>
      <c r="G37" s="215"/>
      <c r="H37" s="96"/>
      <c r="I37" s="215"/>
      <c r="J37" s="215"/>
      <c r="K37" s="312">
        <f t="shared" si="1"/>
        <v>0</v>
      </c>
      <c r="L37" s="313"/>
      <c r="R37" s="301"/>
      <c r="S37" s="301"/>
      <c r="T37" s="301"/>
    </row>
    <row r="38" spans="1:20" ht="13.5" thickBot="1" x14ac:dyDescent="0.25">
      <c r="A38" s="314"/>
      <c r="B38" s="315"/>
      <c r="C38" s="316"/>
      <c r="D38" s="316"/>
      <c r="E38" s="316"/>
      <c r="F38" s="315"/>
      <c r="G38" s="316"/>
      <c r="H38" s="316"/>
      <c r="I38" s="316"/>
      <c r="J38" s="316"/>
      <c r="K38" s="315"/>
      <c r="L38" s="313"/>
    </row>
    <row r="39" spans="1:20" ht="14.25" thickTop="1" thickBot="1" x14ac:dyDescent="0.25">
      <c r="A39" s="317" t="s">
        <v>259</v>
      </c>
      <c r="B39" s="318"/>
      <c r="C39" s="319"/>
      <c r="D39" s="319"/>
      <c r="E39" s="319"/>
      <c r="F39" s="318"/>
      <c r="G39" s="319"/>
      <c r="H39" s="238">
        <f>SUM(H31:H37)</f>
        <v>50405709</v>
      </c>
      <c r="I39" s="857">
        <f>IF(H39=0,"",K39/H39)</f>
        <v>4.1399134702959507E-2</v>
      </c>
      <c r="J39" s="1595"/>
      <c r="K39" s="320">
        <f>SUM(K31:K37)</f>
        <v>2086752.7366891783</v>
      </c>
      <c r="L39" s="321"/>
    </row>
    <row r="41" spans="1:20" ht="15.75" x14ac:dyDescent="0.2">
      <c r="D41" s="303" t="s">
        <v>10</v>
      </c>
      <c r="E41" s="304">
        <v>2014</v>
      </c>
    </row>
    <row r="42" spans="1:20" ht="16.5" customHeight="1" thickBot="1" x14ac:dyDescent="0.25"/>
    <row r="43" spans="1:20" ht="52.15" customHeight="1" x14ac:dyDescent="0.2">
      <c r="A43" s="305" t="s">
        <v>369</v>
      </c>
      <c r="B43" s="306" t="s">
        <v>205</v>
      </c>
      <c r="C43" s="306" t="s">
        <v>363</v>
      </c>
      <c r="D43" s="307" t="s">
        <v>364</v>
      </c>
      <c r="E43" s="307" t="s">
        <v>365</v>
      </c>
      <c r="F43" s="306" t="s">
        <v>366</v>
      </c>
      <c r="G43" s="308" t="s">
        <v>371</v>
      </c>
      <c r="H43" s="308" t="s">
        <v>370</v>
      </c>
      <c r="I43" s="308" t="s">
        <v>877</v>
      </c>
      <c r="J43" s="308" t="s">
        <v>1461</v>
      </c>
      <c r="K43" s="308" t="s">
        <v>878</v>
      </c>
      <c r="L43" s="309" t="s">
        <v>517</v>
      </c>
    </row>
    <row r="44" spans="1:20" x14ac:dyDescent="0.2">
      <c r="A44" s="310">
        <v>1</v>
      </c>
      <c r="B44" s="215" t="s">
        <v>1462</v>
      </c>
      <c r="C44" s="215" t="s">
        <v>1463</v>
      </c>
      <c r="D44" s="304" t="s">
        <v>1464</v>
      </c>
      <c r="E44" s="304" t="s">
        <v>1468</v>
      </c>
      <c r="F44" s="311">
        <v>40561</v>
      </c>
      <c r="G44" s="215">
        <v>15</v>
      </c>
      <c r="H44" s="96">
        <v>1659002</v>
      </c>
      <c r="I44" s="1593">
        <v>4.6902326480245317E-2</v>
      </c>
      <c r="J44" s="1594">
        <v>365</v>
      </c>
      <c r="K44" s="312">
        <f>H44*I44</f>
        <v>77811.053435379945</v>
      </c>
      <c r="L44" s="313"/>
    </row>
    <row r="45" spans="1:20" x14ac:dyDescent="0.2">
      <c r="A45" s="310">
        <v>2</v>
      </c>
      <c r="B45" s="215" t="s">
        <v>1465</v>
      </c>
      <c r="C45" s="215" t="s">
        <v>1466</v>
      </c>
      <c r="D45" s="304" t="s">
        <v>1467</v>
      </c>
      <c r="E45" s="304" t="s">
        <v>1468</v>
      </c>
      <c r="F45" s="311">
        <v>36831</v>
      </c>
      <c r="G45" s="215" t="s">
        <v>1469</v>
      </c>
      <c r="H45" s="96">
        <v>48645458</v>
      </c>
      <c r="I45" s="1593">
        <v>4.1200000000000001E-2</v>
      </c>
      <c r="J45" s="1594">
        <v>365</v>
      </c>
      <c r="K45" s="312">
        <f>H45*I45</f>
        <v>2004192.8696000001</v>
      </c>
      <c r="L45" s="313"/>
    </row>
    <row r="46" spans="1:20" x14ac:dyDescent="0.2">
      <c r="A46" s="310">
        <v>3</v>
      </c>
      <c r="B46" s="215"/>
      <c r="C46" s="215"/>
      <c r="D46" s="304"/>
      <c r="E46" s="304"/>
      <c r="F46" s="311"/>
      <c r="G46" s="215"/>
      <c r="H46" s="96"/>
      <c r="I46" s="215"/>
      <c r="J46" s="215"/>
      <c r="K46" s="312">
        <f>H46*I46</f>
        <v>0</v>
      </c>
      <c r="L46" s="313"/>
    </row>
    <row r="47" spans="1:20" x14ac:dyDescent="0.2">
      <c r="A47" s="310">
        <v>4</v>
      </c>
      <c r="B47" s="215"/>
      <c r="C47" s="215"/>
      <c r="D47" s="304"/>
      <c r="E47" s="304"/>
      <c r="F47" s="311"/>
      <c r="G47" s="215"/>
      <c r="H47" s="96"/>
      <c r="I47" s="215"/>
      <c r="J47" s="215"/>
      <c r="K47" s="312">
        <f>H47*I47</f>
        <v>0</v>
      </c>
      <c r="L47" s="313"/>
    </row>
    <row r="48" spans="1:20" x14ac:dyDescent="0.2">
      <c r="A48" s="310">
        <v>5</v>
      </c>
      <c r="B48" s="215"/>
      <c r="C48" s="215"/>
      <c r="D48" s="304"/>
      <c r="E48" s="304"/>
      <c r="F48" s="311"/>
      <c r="G48" s="215"/>
      <c r="H48" s="96"/>
      <c r="I48" s="215"/>
      <c r="J48" s="215"/>
      <c r="K48" s="312">
        <f>H48*I48</f>
        <v>0</v>
      </c>
      <c r="L48" s="313"/>
      <c r="R48" s="301"/>
      <c r="S48" s="301"/>
      <c r="T48" s="301"/>
    </row>
    <row r="49" spans="1:20" ht="13.5" thickBot="1" x14ac:dyDescent="0.25">
      <c r="A49" s="314"/>
      <c r="B49" s="315"/>
      <c r="C49" s="316"/>
      <c r="D49" s="316"/>
      <c r="E49" s="316"/>
      <c r="F49" s="315"/>
      <c r="G49" s="316"/>
      <c r="H49" s="316"/>
      <c r="I49" s="316"/>
      <c r="J49" s="316"/>
      <c r="K49" s="315"/>
      <c r="L49" s="313"/>
    </row>
    <row r="50" spans="1:20" ht="14.25" thickTop="1" thickBot="1" x14ac:dyDescent="0.25">
      <c r="A50" s="317" t="s">
        <v>259</v>
      </c>
      <c r="B50" s="318"/>
      <c r="C50" s="319"/>
      <c r="D50" s="319"/>
      <c r="E50" s="319"/>
      <c r="F50" s="318"/>
      <c r="G50" s="319"/>
      <c r="H50" s="238">
        <f>SUM(H44:H48)</f>
        <v>50304460</v>
      </c>
      <c r="I50" s="857">
        <f>IF(H50=0,"",K50/H50)</f>
        <v>4.1388058296130799E-2</v>
      </c>
      <c r="J50" s="1595"/>
      <c r="K50" s="320">
        <f>SUM(K44:K48)</f>
        <v>2082003.92303538</v>
      </c>
      <c r="L50" s="321"/>
    </row>
    <row r="52" spans="1:20" ht="15.75" x14ac:dyDescent="0.2">
      <c r="D52" s="303" t="s">
        <v>10</v>
      </c>
      <c r="E52" s="304">
        <v>2015</v>
      </c>
    </row>
    <row r="53" spans="1:20" ht="16.5" customHeight="1" thickBot="1" x14ac:dyDescent="0.25"/>
    <row r="54" spans="1:20" ht="56.45" customHeight="1" x14ac:dyDescent="0.2">
      <c r="A54" s="305" t="s">
        <v>369</v>
      </c>
      <c r="B54" s="306" t="s">
        <v>205</v>
      </c>
      <c r="C54" s="306" t="s">
        <v>363</v>
      </c>
      <c r="D54" s="307" t="s">
        <v>364</v>
      </c>
      <c r="E54" s="307" t="s">
        <v>365</v>
      </c>
      <c r="F54" s="306" t="s">
        <v>366</v>
      </c>
      <c r="G54" s="308" t="s">
        <v>371</v>
      </c>
      <c r="H54" s="308" t="s">
        <v>370</v>
      </c>
      <c r="I54" s="308" t="s">
        <v>877</v>
      </c>
      <c r="J54" s="308" t="s">
        <v>1461</v>
      </c>
      <c r="K54" s="308" t="s">
        <v>878</v>
      </c>
      <c r="L54" s="309" t="s">
        <v>517</v>
      </c>
    </row>
    <row r="55" spans="1:20" x14ac:dyDescent="0.2">
      <c r="A55" s="310">
        <v>1</v>
      </c>
      <c r="B55" s="215" t="s">
        <v>1462</v>
      </c>
      <c r="C55" s="215" t="s">
        <v>1463</v>
      </c>
      <c r="D55" s="304" t="s">
        <v>1464</v>
      </c>
      <c r="E55" s="304" t="s">
        <v>1468</v>
      </c>
      <c r="F55" s="311">
        <v>40561</v>
      </c>
      <c r="G55" s="215">
        <v>15</v>
      </c>
      <c r="H55" s="96">
        <v>1548566</v>
      </c>
      <c r="I55" s="1593">
        <v>4.6902326480245317E-2</v>
      </c>
      <c r="J55" s="1594">
        <v>365</v>
      </c>
      <c r="K55" s="312">
        <f t="shared" ref="K55:K60" si="2">H55*I55</f>
        <v>72631.348108207574</v>
      </c>
      <c r="L55" s="313"/>
    </row>
    <row r="56" spans="1:20" x14ac:dyDescent="0.2">
      <c r="A56" s="310">
        <v>2</v>
      </c>
      <c r="B56" s="215" t="s">
        <v>1465</v>
      </c>
      <c r="C56" s="215" t="s">
        <v>1466</v>
      </c>
      <c r="D56" s="304" t="s">
        <v>1467</v>
      </c>
      <c r="E56" s="304" t="s">
        <v>1468</v>
      </c>
      <c r="F56" s="311">
        <v>36831</v>
      </c>
      <c r="G56" s="215" t="s">
        <v>1469</v>
      </c>
      <c r="H56" s="96">
        <v>48645458</v>
      </c>
      <c r="I56" s="1593">
        <v>4.1200000000000001E-2</v>
      </c>
      <c r="J56" s="1594">
        <v>365</v>
      </c>
      <c r="K56" s="312">
        <f t="shared" si="2"/>
        <v>2004192.8696000001</v>
      </c>
      <c r="L56" s="313"/>
    </row>
    <row r="57" spans="1:20" x14ac:dyDescent="0.2">
      <c r="A57" s="310">
        <v>3</v>
      </c>
      <c r="B57" s="1557" t="s">
        <v>1471</v>
      </c>
      <c r="C57" s="215" t="s">
        <v>1463</v>
      </c>
      <c r="D57" s="304" t="s">
        <v>1464</v>
      </c>
      <c r="E57" s="304" t="s">
        <v>1468</v>
      </c>
      <c r="F57" s="311">
        <v>42016</v>
      </c>
      <c r="G57" s="215">
        <v>10</v>
      </c>
      <c r="H57" s="96">
        <f>+(971604+899051)/2</f>
        <v>935327.5</v>
      </c>
      <c r="I57" s="1593">
        <v>4.3299999999999998E-2</v>
      </c>
      <c r="J57" s="1594">
        <f>365-11</f>
        <v>354</v>
      </c>
      <c r="K57" s="312">
        <f t="shared" si="2"/>
        <v>40499.68075</v>
      </c>
      <c r="L57" s="313" t="s">
        <v>1585</v>
      </c>
    </row>
    <row r="58" spans="1:20" x14ac:dyDescent="0.2">
      <c r="A58" s="310">
        <v>4</v>
      </c>
      <c r="B58" s="215"/>
      <c r="C58" s="215"/>
      <c r="D58" s="304"/>
      <c r="E58" s="304"/>
      <c r="F58" s="311"/>
      <c r="G58" s="215"/>
      <c r="H58" s="96"/>
      <c r="I58" s="215"/>
      <c r="J58" s="215"/>
      <c r="K58" s="312">
        <f t="shared" si="2"/>
        <v>0</v>
      </c>
      <c r="L58" s="313"/>
    </row>
    <row r="59" spans="1:20" x14ac:dyDescent="0.2">
      <c r="A59" s="310">
        <v>5</v>
      </c>
      <c r="B59" s="215"/>
      <c r="C59" s="215"/>
      <c r="D59" s="304"/>
      <c r="E59" s="304"/>
      <c r="F59" s="311"/>
      <c r="G59" s="215"/>
      <c r="H59" s="96"/>
      <c r="I59" s="215"/>
      <c r="J59" s="215"/>
      <c r="K59" s="312">
        <f t="shared" si="2"/>
        <v>0</v>
      </c>
      <c r="L59" s="313"/>
      <c r="R59" s="301"/>
      <c r="S59" s="301"/>
      <c r="T59" s="301"/>
    </row>
    <row r="60" spans="1:20" x14ac:dyDescent="0.2">
      <c r="A60" s="310">
        <v>6</v>
      </c>
      <c r="B60" s="215"/>
      <c r="C60" s="215"/>
      <c r="D60" s="304"/>
      <c r="E60" s="304"/>
      <c r="F60" s="311"/>
      <c r="G60" s="215"/>
      <c r="H60" s="96"/>
      <c r="I60" s="215"/>
      <c r="J60" s="215"/>
      <c r="K60" s="312">
        <f t="shared" si="2"/>
        <v>0</v>
      </c>
      <c r="L60" s="313"/>
      <c r="R60" s="301"/>
      <c r="S60" s="301"/>
      <c r="T60" s="301"/>
    </row>
    <row r="61" spans="1:20" ht="13.5" thickBot="1" x14ac:dyDescent="0.25">
      <c r="A61" s="314"/>
      <c r="B61" s="315"/>
      <c r="C61" s="316"/>
      <c r="D61" s="316"/>
      <c r="E61" s="316"/>
      <c r="F61" s="315"/>
      <c r="G61" s="316"/>
      <c r="H61" s="316"/>
      <c r="I61" s="316"/>
      <c r="J61" s="316"/>
      <c r="K61" s="315"/>
      <c r="L61" s="313"/>
    </row>
    <row r="62" spans="1:20" ht="14.25" thickTop="1" thickBot="1" x14ac:dyDescent="0.25">
      <c r="A62" s="317" t="s">
        <v>259</v>
      </c>
      <c r="B62" s="318"/>
      <c r="C62" s="319"/>
      <c r="D62" s="319"/>
      <c r="E62" s="319"/>
      <c r="F62" s="318"/>
      <c r="G62" s="319"/>
      <c r="H62" s="238">
        <f>SUM(H55:H60)</f>
        <v>51129351.5</v>
      </c>
      <c r="I62" s="857">
        <f>IF(H62=0,"",K62/H62)</f>
        <v>4.1411123676352662E-2</v>
      </c>
      <c r="J62" s="1595"/>
      <c r="K62" s="320">
        <f>SUM(K55:K60)</f>
        <v>2117323.8984582075</v>
      </c>
      <c r="L62" s="321"/>
    </row>
    <row r="64" spans="1:20" ht="15.75" x14ac:dyDescent="0.2">
      <c r="D64" s="303" t="s">
        <v>10</v>
      </c>
      <c r="E64" s="304">
        <v>2016</v>
      </c>
    </row>
    <row r="65" spans="1:20" ht="16.5" customHeight="1" thickBot="1" x14ac:dyDescent="0.25"/>
    <row r="66" spans="1:20" ht="58.15" customHeight="1" x14ac:dyDescent="0.2">
      <c r="A66" s="305" t="s">
        <v>369</v>
      </c>
      <c r="B66" s="306" t="s">
        <v>205</v>
      </c>
      <c r="C66" s="306" t="s">
        <v>363</v>
      </c>
      <c r="D66" s="307" t="s">
        <v>364</v>
      </c>
      <c r="E66" s="307" t="s">
        <v>365</v>
      </c>
      <c r="F66" s="306" t="s">
        <v>366</v>
      </c>
      <c r="G66" s="308" t="s">
        <v>371</v>
      </c>
      <c r="H66" s="308" t="s">
        <v>370</v>
      </c>
      <c r="I66" s="308" t="s">
        <v>877</v>
      </c>
      <c r="J66" s="308" t="s">
        <v>1461</v>
      </c>
      <c r="K66" s="308" t="s">
        <v>878</v>
      </c>
      <c r="L66" s="309" t="s">
        <v>517</v>
      </c>
    </row>
    <row r="67" spans="1:20" x14ac:dyDescent="0.2">
      <c r="A67" s="310">
        <v>1</v>
      </c>
      <c r="B67" s="215" t="s">
        <v>1462</v>
      </c>
      <c r="C67" s="215" t="s">
        <v>1463</v>
      </c>
      <c r="D67" s="304" t="s">
        <v>1464</v>
      </c>
      <c r="E67" s="304" t="s">
        <v>1468</v>
      </c>
      <c r="F67" s="311">
        <v>40561</v>
      </c>
      <c r="G67" s="215">
        <v>15</v>
      </c>
      <c r="H67" s="96">
        <v>1433007</v>
      </c>
      <c r="I67" s="1593">
        <v>4.6902326480245317E-2</v>
      </c>
      <c r="J67" s="215">
        <v>365</v>
      </c>
      <c r="K67" s="312">
        <f t="shared" ref="K67:K72" si="3">H67*I67</f>
        <v>67211.3621624769</v>
      </c>
      <c r="L67" s="313"/>
    </row>
    <row r="68" spans="1:20" x14ac:dyDescent="0.2">
      <c r="A68" s="310">
        <v>2</v>
      </c>
      <c r="B68" s="215" t="s">
        <v>1465</v>
      </c>
      <c r="C68" s="215" t="s">
        <v>1466</v>
      </c>
      <c r="D68" s="304" t="s">
        <v>1467</v>
      </c>
      <c r="E68" s="304" t="s">
        <v>1468</v>
      </c>
      <c r="F68" s="311">
        <v>36831</v>
      </c>
      <c r="G68" s="215" t="s">
        <v>1469</v>
      </c>
      <c r="H68" s="96">
        <v>48645458</v>
      </c>
      <c r="I68" s="1593">
        <v>4.1200000000000001E-2</v>
      </c>
      <c r="J68" s="215">
        <v>365</v>
      </c>
      <c r="K68" s="312">
        <f t="shared" si="3"/>
        <v>2004192.8696000001</v>
      </c>
      <c r="L68" s="313"/>
    </row>
    <row r="69" spans="1:20" x14ac:dyDescent="0.2">
      <c r="A69" s="310">
        <v>3</v>
      </c>
      <c r="B69" s="1557" t="s">
        <v>1471</v>
      </c>
      <c r="C69" s="215" t="s">
        <v>1463</v>
      </c>
      <c r="D69" s="304" t="s">
        <v>1464</v>
      </c>
      <c r="E69" s="304" t="s">
        <v>1468</v>
      </c>
      <c r="F69" s="311">
        <v>42016</v>
      </c>
      <c r="G69" s="215">
        <v>10</v>
      </c>
      <c r="H69" s="96">
        <f>+(816550+899051)/2</f>
        <v>857800.5</v>
      </c>
      <c r="I69" s="1593">
        <v>4.3299999999999998E-2</v>
      </c>
      <c r="J69" s="215">
        <v>365</v>
      </c>
      <c r="K69" s="312">
        <f t="shared" si="3"/>
        <v>37142.76165</v>
      </c>
      <c r="L69" s="313"/>
    </row>
    <row r="70" spans="1:20" x14ac:dyDescent="0.2">
      <c r="A70" s="310">
        <v>4</v>
      </c>
      <c r="B70" s="215"/>
      <c r="C70" s="215"/>
      <c r="D70" s="304"/>
      <c r="E70" s="304"/>
      <c r="F70" s="311"/>
      <c r="G70" s="215"/>
      <c r="H70" s="96"/>
      <c r="I70" s="215"/>
      <c r="J70" s="215"/>
      <c r="K70" s="312">
        <f t="shared" si="3"/>
        <v>0</v>
      </c>
      <c r="L70" s="313"/>
    </row>
    <row r="71" spans="1:20" x14ac:dyDescent="0.2">
      <c r="A71" s="310">
        <v>5</v>
      </c>
      <c r="B71" s="215"/>
      <c r="C71" s="215"/>
      <c r="D71" s="304"/>
      <c r="E71" s="304"/>
      <c r="F71" s="311"/>
      <c r="G71" s="215"/>
      <c r="H71" s="96"/>
      <c r="I71" s="215"/>
      <c r="J71" s="215"/>
      <c r="K71" s="312">
        <f t="shared" si="3"/>
        <v>0</v>
      </c>
      <c r="L71" s="313"/>
      <c r="R71" s="301"/>
      <c r="S71" s="301"/>
      <c r="T71" s="301"/>
    </row>
    <row r="72" spans="1:20" x14ac:dyDescent="0.2">
      <c r="A72" s="310">
        <v>6</v>
      </c>
      <c r="B72" s="215"/>
      <c r="C72" s="215"/>
      <c r="D72" s="304"/>
      <c r="E72" s="304"/>
      <c r="F72" s="311"/>
      <c r="G72" s="215"/>
      <c r="H72" s="96"/>
      <c r="I72" s="215"/>
      <c r="J72" s="215"/>
      <c r="K72" s="312">
        <f t="shared" si="3"/>
        <v>0</v>
      </c>
      <c r="L72" s="313"/>
      <c r="R72" s="301"/>
      <c r="S72" s="301"/>
      <c r="T72" s="301"/>
    </row>
    <row r="73" spans="1:20" ht="13.5" thickBot="1" x14ac:dyDescent="0.25">
      <c r="A73" s="314"/>
      <c r="B73" s="315"/>
      <c r="C73" s="316"/>
      <c r="D73" s="316"/>
      <c r="E73" s="316"/>
      <c r="F73" s="315"/>
      <c r="G73" s="316"/>
      <c r="H73" s="316"/>
      <c r="I73" s="316"/>
      <c r="J73" s="316"/>
      <c r="K73" s="315"/>
      <c r="L73" s="313"/>
    </row>
    <row r="74" spans="1:20" ht="14.25" thickTop="1" thickBot="1" x14ac:dyDescent="0.25">
      <c r="A74" s="317" t="s">
        <v>259</v>
      </c>
      <c r="B74" s="318"/>
      <c r="C74" s="319"/>
      <c r="D74" s="319"/>
      <c r="E74" s="319"/>
      <c r="F74" s="318"/>
      <c r="G74" s="319"/>
      <c r="H74" s="238">
        <f>SUM(H67:H72)</f>
        <v>50936265.5</v>
      </c>
      <c r="I74" s="857">
        <f>IF(H74=0,"",K74/H74)</f>
        <v>4.1395790851853423E-2</v>
      </c>
      <c r="J74" s="1595"/>
      <c r="K74" s="320">
        <f>SUM(K67:K72)</f>
        <v>2108546.993412477</v>
      </c>
      <c r="L74" s="321"/>
    </row>
    <row r="76" spans="1:20" ht="15.75" x14ac:dyDescent="0.2">
      <c r="D76" s="303" t="s">
        <v>10</v>
      </c>
      <c r="E76" s="304">
        <v>2017</v>
      </c>
    </row>
    <row r="77" spans="1:20" ht="16.5" customHeight="1" thickBot="1" x14ac:dyDescent="0.25"/>
    <row r="78" spans="1:20" ht="25.5" x14ac:dyDescent="0.2">
      <c r="A78" s="305" t="s">
        <v>369</v>
      </c>
      <c r="B78" s="306" t="s">
        <v>205</v>
      </c>
      <c r="C78" s="306" t="s">
        <v>363</v>
      </c>
      <c r="D78" s="307" t="s">
        <v>364</v>
      </c>
      <c r="E78" s="307" t="s">
        <v>365</v>
      </c>
      <c r="F78" s="306" t="s">
        <v>366</v>
      </c>
      <c r="G78" s="308" t="s">
        <v>371</v>
      </c>
      <c r="H78" s="308" t="s">
        <v>370</v>
      </c>
      <c r="I78" s="308" t="s">
        <v>877</v>
      </c>
      <c r="J78" s="308" t="s">
        <v>1461</v>
      </c>
      <c r="K78" s="308" t="s">
        <v>878</v>
      </c>
      <c r="L78" s="309" t="s">
        <v>517</v>
      </c>
    </row>
    <row r="79" spans="1:20" x14ac:dyDescent="0.2">
      <c r="A79" s="310">
        <v>1</v>
      </c>
      <c r="B79" s="215" t="s">
        <v>1462</v>
      </c>
      <c r="C79" s="215" t="s">
        <v>1463</v>
      </c>
      <c r="D79" s="304" t="s">
        <v>1464</v>
      </c>
      <c r="E79" s="304" t="s">
        <v>1468</v>
      </c>
      <c r="F79" s="311">
        <v>40561</v>
      </c>
      <c r="G79" s="215">
        <v>15</v>
      </c>
      <c r="H79" s="96">
        <v>1311807</v>
      </c>
      <c r="I79" s="1593">
        <v>4.6902326480245317E-2</v>
      </c>
      <c r="J79" s="215">
        <v>365</v>
      </c>
      <c r="K79" s="312">
        <f>H79*I79</f>
        <v>61526.800193071169</v>
      </c>
      <c r="L79" s="313"/>
    </row>
    <row r="80" spans="1:20" x14ac:dyDescent="0.2">
      <c r="A80" s="310">
        <v>2</v>
      </c>
      <c r="B80" s="215" t="s">
        <v>1465</v>
      </c>
      <c r="C80" s="215" t="s">
        <v>1466</v>
      </c>
      <c r="D80" s="304" t="s">
        <v>1467</v>
      </c>
      <c r="E80" s="304" t="s">
        <v>1468</v>
      </c>
      <c r="F80" s="311">
        <v>36831</v>
      </c>
      <c r="G80" s="215" t="s">
        <v>1469</v>
      </c>
      <c r="H80" s="96">
        <v>48645458</v>
      </c>
      <c r="I80" s="1593">
        <v>4.1200000000000001E-2</v>
      </c>
      <c r="J80" s="215">
        <v>365</v>
      </c>
      <c r="K80" s="312">
        <f t="shared" ref="K80:K85" si="4">H80*I80</f>
        <v>2004192.8696000001</v>
      </c>
      <c r="L80" s="313"/>
    </row>
    <row r="81" spans="1:20" x14ac:dyDescent="0.2">
      <c r="A81" s="310">
        <v>3</v>
      </c>
      <c r="B81" s="1557" t="s">
        <v>1471</v>
      </c>
      <c r="C81" s="215" t="s">
        <v>1463</v>
      </c>
      <c r="D81" s="304" t="s">
        <v>1464</v>
      </c>
      <c r="E81" s="304" t="s">
        <v>1468</v>
      </c>
      <c r="F81" s="311">
        <v>42016</v>
      </c>
      <c r="G81" s="215">
        <v>10</v>
      </c>
      <c r="H81" s="96">
        <f>(730399+816550)/2</f>
        <v>773474.5</v>
      </c>
      <c r="I81" s="1593">
        <v>4.3299999999999998E-2</v>
      </c>
      <c r="J81" s="215">
        <v>365</v>
      </c>
      <c r="K81" s="312">
        <f t="shared" si="4"/>
        <v>33491.445849999996</v>
      </c>
      <c r="L81" s="313"/>
    </row>
    <row r="82" spans="1:20" x14ac:dyDescent="0.2">
      <c r="A82" s="310">
        <v>4</v>
      </c>
      <c r="B82" s="215"/>
      <c r="C82" s="215"/>
      <c r="D82" s="304"/>
      <c r="E82" s="304"/>
      <c r="F82" s="311"/>
      <c r="G82" s="215"/>
      <c r="H82" s="96"/>
      <c r="I82" s="215"/>
      <c r="J82" s="215"/>
      <c r="K82" s="312">
        <f t="shared" si="4"/>
        <v>0</v>
      </c>
      <c r="L82" s="313"/>
    </row>
    <row r="83" spans="1:20" x14ac:dyDescent="0.2">
      <c r="A83" s="310">
        <v>5</v>
      </c>
      <c r="B83" s="215"/>
      <c r="C83" s="215"/>
      <c r="D83" s="304"/>
      <c r="E83" s="304"/>
      <c r="F83" s="311"/>
      <c r="G83" s="215"/>
      <c r="H83" s="96"/>
      <c r="I83" s="215"/>
      <c r="J83" s="215"/>
      <c r="K83" s="312">
        <f t="shared" si="4"/>
        <v>0</v>
      </c>
      <c r="L83" s="313"/>
      <c r="R83" s="301"/>
      <c r="S83" s="301"/>
      <c r="T83" s="301"/>
    </row>
    <row r="84" spans="1:20" x14ac:dyDescent="0.2">
      <c r="A84" s="310">
        <v>6</v>
      </c>
      <c r="B84" s="215"/>
      <c r="C84" s="215"/>
      <c r="D84" s="304"/>
      <c r="E84" s="304"/>
      <c r="F84" s="311"/>
      <c r="G84" s="215"/>
      <c r="H84" s="96"/>
      <c r="I84" s="215"/>
      <c r="J84" s="215"/>
      <c r="K84" s="312">
        <f t="shared" si="4"/>
        <v>0</v>
      </c>
      <c r="L84" s="313"/>
      <c r="R84" s="301"/>
      <c r="S84" s="301"/>
      <c r="T84" s="301"/>
    </row>
    <row r="85" spans="1:20" x14ac:dyDescent="0.2">
      <c r="A85" s="310">
        <v>7</v>
      </c>
      <c r="B85" s="215"/>
      <c r="C85" s="215"/>
      <c r="D85" s="304"/>
      <c r="E85" s="304"/>
      <c r="F85" s="311"/>
      <c r="G85" s="215"/>
      <c r="H85" s="96"/>
      <c r="I85" s="215"/>
      <c r="J85" s="215"/>
      <c r="K85" s="312">
        <f t="shared" si="4"/>
        <v>0</v>
      </c>
      <c r="L85" s="313"/>
      <c r="R85" s="301"/>
      <c r="S85" s="301"/>
      <c r="T85" s="301"/>
    </row>
    <row r="86" spans="1:20" ht="13.5" thickBot="1" x14ac:dyDescent="0.25">
      <c r="A86" s="314"/>
      <c r="B86" s="315"/>
      <c r="C86" s="316"/>
      <c r="D86" s="316"/>
      <c r="E86" s="316"/>
      <c r="F86" s="315"/>
      <c r="G86" s="316"/>
      <c r="H86" s="316"/>
      <c r="I86" s="316"/>
      <c r="J86" s="316"/>
      <c r="K86" s="315"/>
      <c r="L86" s="313"/>
    </row>
    <row r="87" spans="1:20" ht="14.25" thickTop="1" thickBot="1" x14ac:dyDescent="0.25">
      <c r="A87" s="317" t="s">
        <v>259</v>
      </c>
      <c r="B87" s="318"/>
      <c r="C87" s="319"/>
      <c r="D87" s="319"/>
      <c r="E87" s="319"/>
      <c r="F87" s="318"/>
      <c r="G87" s="319"/>
      <c r="H87" s="238">
        <f>SUM(H79:H85)</f>
        <v>50730739.5</v>
      </c>
      <c r="I87" s="857">
        <f>IF(H87=0,"",K87/H87)</f>
        <v>4.1379470047801514E-2</v>
      </c>
      <c r="J87" s="1595"/>
      <c r="K87" s="320">
        <f>SUM(K79:K85)</f>
        <v>2099211.115643071</v>
      </c>
      <c r="L87" s="321"/>
    </row>
    <row r="89" spans="1:20" ht="15.75" x14ac:dyDescent="0.2">
      <c r="D89" s="303" t="s">
        <v>10</v>
      </c>
      <c r="E89" s="304">
        <v>2018</v>
      </c>
    </row>
    <row r="90" spans="1:20" ht="16.5" customHeight="1" thickBot="1" x14ac:dyDescent="0.25"/>
    <row r="91" spans="1:20" ht="25.5" x14ac:dyDescent="0.2">
      <c r="A91" s="305" t="s">
        <v>369</v>
      </c>
      <c r="B91" s="306" t="s">
        <v>205</v>
      </c>
      <c r="C91" s="306" t="s">
        <v>363</v>
      </c>
      <c r="D91" s="307" t="s">
        <v>364</v>
      </c>
      <c r="E91" s="307" t="s">
        <v>365</v>
      </c>
      <c r="F91" s="306" t="s">
        <v>366</v>
      </c>
      <c r="G91" s="308" t="s">
        <v>371</v>
      </c>
      <c r="H91" s="308" t="s">
        <v>370</v>
      </c>
      <c r="I91" s="308" t="s">
        <v>877</v>
      </c>
      <c r="J91" s="308" t="s">
        <v>1461</v>
      </c>
      <c r="K91" s="308" t="s">
        <v>878</v>
      </c>
      <c r="L91" s="309" t="s">
        <v>517</v>
      </c>
    </row>
    <row r="92" spans="1:20" x14ac:dyDescent="0.2">
      <c r="A92" s="310">
        <v>1</v>
      </c>
      <c r="B92" s="215" t="s">
        <v>1462</v>
      </c>
      <c r="C92" s="215" t="s">
        <v>1463</v>
      </c>
      <c r="D92" s="304" t="s">
        <v>1464</v>
      </c>
      <c r="E92" s="304" t="s">
        <v>1468</v>
      </c>
      <c r="F92" s="311">
        <v>40561</v>
      </c>
      <c r="G92" s="215">
        <v>15</v>
      </c>
      <c r="H92" s="96">
        <v>1184602.5</v>
      </c>
      <c r="I92" s="1593">
        <v>4.6902326480245317E-2</v>
      </c>
      <c r="J92" s="215">
        <v>365</v>
      </c>
      <c r="K92" s="312">
        <f t="shared" ref="K92:K97" si="5">H92*I92</f>
        <v>55560.613204314803</v>
      </c>
      <c r="L92" s="313"/>
    </row>
    <row r="93" spans="1:20" x14ac:dyDescent="0.2">
      <c r="A93" s="310">
        <v>2</v>
      </c>
      <c r="B93" s="215" t="s">
        <v>1465</v>
      </c>
      <c r="C93" s="215" t="s">
        <v>1466</v>
      </c>
      <c r="D93" s="304" t="s">
        <v>1467</v>
      </c>
      <c r="E93" s="304" t="s">
        <v>1468</v>
      </c>
      <c r="F93" s="311">
        <v>36831</v>
      </c>
      <c r="G93" s="215" t="s">
        <v>1469</v>
      </c>
      <c r="H93" s="96">
        <v>48645458</v>
      </c>
      <c r="I93" s="1593">
        <v>4.1200000000000001E-2</v>
      </c>
      <c r="J93" s="215">
        <v>365</v>
      </c>
      <c r="K93" s="312">
        <f t="shared" si="5"/>
        <v>2004192.8696000001</v>
      </c>
      <c r="L93" s="313"/>
    </row>
    <row r="94" spans="1:20" x14ac:dyDescent="0.2">
      <c r="A94" s="310">
        <v>3</v>
      </c>
      <c r="B94" s="1557" t="s">
        <v>1471</v>
      </c>
      <c r="C94" s="215" t="s">
        <v>1463</v>
      </c>
      <c r="D94" s="304" t="s">
        <v>1464</v>
      </c>
      <c r="E94" s="304" t="s">
        <v>1468</v>
      </c>
      <c r="F94" s="311">
        <v>42016</v>
      </c>
      <c r="G94" s="215">
        <v>10</v>
      </c>
      <c r="H94" s="96">
        <f>(640454+730399)/2</f>
        <v>685426.5</v>
      </c>
      <c r="I94" s="1593">
        <v>4.3299999999999998E-2</v>
      </c>
      <c r="J94" s="215">
        <v>365</v>
      </c>
      <c r="K94" s="312">
        <f t="shared" si="5"/>
        <v>29678.96745</v>
      </c>
      <c r="L94" s="313"/>
    </row>
    <row r="95" spans="1:20" x14ac:dyDescent="0.2">
      <c r="A95" s="310">
        <v>4</v>
      </c>
      <c r="B95" s="215"/>
      <c r="C95" s="215"/>
      <c r="D95" s="304"/>
      <c r="E95" s="304"/>
      <c r="F95" s="311"/>
      <c r="G95" s="215"/>
      <c r="H95" s="96"/>
      <c r="I95" s="215"/>
      <c r="J95" s="215"/>
      <c r="K95" s="312">
        <f t="shared" si="5"/>
        <v>0</v>
      </c>
      <c r="L95" s="313"/>
    </row>
    <row r="96" spans="1:20" x14ac:dyDescent="0.2">
      <c r="A96" s="310">
        <v>5</v>
      </c>
      <c r="B96" s="215"/>
      <c r="C96" s="215"/>
      <c r="D96" s="304"/>
      <c r="E96" s="304"/>
      <c r="F96" s="311"/>
      <c r="G96" s="215"/>
      <c r="H96" s="96"/>
      <c r="I96" s="215"/>
      <c r="J96" s="215"/>
      <c r="K96" s="312">
        <f t="shared" si="5"/>
        <v>0</v>
      </c>
      <c r="L96" s="313"/>
      <c r="R96" s="301"/>
      <c r="S96" s="301"/>
      <c r="T96" s="301"/>
    </row>
    <row r="97" spans="1:20" x14ac:dyDescent="0.2">
      <c r="A97" s="310">
        <v>6</v>
      </c>
      <c r="B97" s="215"/>
      <c r="C97" s="215"/>
      <c r="D97" s="304"/>
      <c r="E97" s="304"/>
      <c r="F97" s="311"/>
      <c r="G97" s="215"/>
      <c r="H97" s="96"/>
      <c r="I97" s="215"/>
      <c r="J97" s="215"/>
      <c r="K97" s="312">
        <f t="shared" si="5"/>
        <v>0</v>
      </c>
      <c r="L97" s="313"/>
      <c r="R97" s="301"/>
      <c r="S97" s="301"/>
      <c r="T97" s="301"/>
    </row>
    <row r="98" spans="1:20" ht="13.5" thickBot="1" x14ac:dyDescent="0.25">
      <c r="A98" s="314"/>
      <c r="B98" s="315"/>
      <c r="C98" s="316"/>
      <c r="D98" s="316"/>
      <c r="E98" s="316"/>
      <c r="F98" s="315"/>
      <c r="G98" s="316"/>
      <c r="H98" s="316"/>
      <c r="I98" s="316"/>
      <c r="J98" s="316"/>
      <c r="K98" s="315"/>
      <c r="L98" s="313"/>
    </row>
    <row r="99" spans="1:20" ht="14.25" thickTop="1" thickBot="1" x14ac:dyDescent="0.25">
      <c r="A99" s="317" t="s">
        <v>259</v>
      </c>
      <c r="B99" s="318"/>
      <c r="C99" s="319"/>
      <c r="D99" s="319"/>
      <c r="E99" s="319"/>
      <c r="F99" s="318"/>
      <c r="G99" s="319"/>
      <c r="H99" s="238">
        <f>SUM(H92:H97)</f>
        <v>50515487</v>
      </c>
      <c r="I99" s="857">
        <f>IF(H99=0,"",K99/H99)</f>
        <v>4.1362215319320092E-2</v>
      </c>
      <c r="J99" s="1595"/>
      <c r="K99" s="320">
        <f>SUM(K92:K97)</f>
        <v>2089432.450254315</v>
      </c>
      <c r="L99" s="321"/>
    </row>
    <row r="101" spans="1:20" ht="15.75" x14ac:dyDescent="0.2">
      <c r="D101" s="303" t="s">
        <v>10</v>
      </c>
      <c r="E101" s="304">
        <v>2019</v>
      </c>
    </row>
    <row r="102" spans="1:20" ht="16.5" customHeight="1" thickBot="1" x14ac:dyDescent="0.25"/>
    <row r="103" spans="1:20" ht="25.5" x14ac:dyDescent="0.2">
      <c r="A103" s="305" t="s">
        <v>369</v>
      </c>
      <c r="B103" s="306" t="s">
        <v>205</v>
      </c>
      <c r="C103" s="306" t="s">
        <v>363</v>
      </c>
      <c r="D103" s="307" t="s">
        <v>364</v>
      </c>
      <c r="E103" s="307" t="s">
        <v>365</v>
      </c>
      <c r="F103" s="306" t="s">
        <v>366</v>
      </c>
      <c r="G103" s="308" t="s">
        <v>371</v>
      </c>
      <c r="H103" s="308" t="s">
        <v>370</v>
      </c>
      <c r="I103" s="308" t="s">
        <v>877</v>
      </c>
      <c r="J103" s="308" t="s">
        <v>1461</v>
      </c>
      <c r="K103" s="308" t="s">
        <v>878</v>
      </c>
      <c r="L103" s="309" t="s">
        <v>517</v>
      </c>
    </row>
    <row r="104" spans="1:20" x14ac:dyDescent="0.2">
      <c r="A104" s="310">
        <v>1</v>
      </c>
      <c r="B104" s="215" t="s">
        <v>1462</v>
      </c>
      <c r="C104" s="215" t="s">
        <v>1463</v>
      </c>
      <c r="D104" s="304" t="s">
        <v>1464</v>
      </c>
      <c r="E104" s="304" t="s">
        <v>1468</v>
      </c>
      <c r="F104" s="311">
        <v>40561</v>
      </c>
      <c r="G104" s="215">
        <v>15</v>
      </c>
      <c r="H104" s="96">
        <v>1051378</v>
      </c>
      <c r="I104" s="1593">
        <f>I92</f>
        <v>4.6902326480245317E-2</v>
      </c>
      <c r="J104" s="215">
        <v>365</v>
      </c>
      <c r="K104" s="312">
        <f>H104*I104</f>
        <v>49312.074210147359</v>
      </c>
      <c r="L104" s="313"/>
    </row>
    <row r="105" spans="1:20" x14ac:dyDescent="0.2">
      <c r="A105" s="310">
        <v>2</v>
      </c>
      <c r="B105" s="215" t="s">
        <v>1465</v>
      </c>
      <c r="C105" s="215" t="s">
        <v>1466</v>
      </c>
      <c r="D105" s="304" t="s">
        <v>1467</v>
      </c>
      <c r="E105" s="304" t="s">
        <v>1468</v>
      </c>
      <c r="F105" s="311">
        <v>36831</v>
      </c>
      <c r="G105" s="215" t="s">
        <v>1469</v>
      </c>
      <c r="H105" s="96">
        <v>48645458</v>
      </c>
      <c r="I105" s="1593">
        <v>4.1200000000000001E-2</v>
      </c>
      <c r="J105" s="215">
        <v>365</v>
      </c>
      <c r="K105" s="312">
        <f>H105*I105</f>
        <v>2004192.8696000001</v>
      </c>
      <c r="L105" s="313"/>
    </row>
    <row r="106" spans="1:20" x14ac:dyDescent="0.2">
      <c r="A106" s="310">
        <v>3</v>
      </c>
      <c r="B106" s="1557" t="s">
        <v>1471</v>
      </c>
      <c r="C106" s="215" t="s">
        <v>1463</v>
      </c>
      <c r="D106" s="304" t="s">
        <v>1464</v>
      </c>
      <c r="E106" s="304" t="s">
        <v>1468</v>
      </c>
      <c r="F106" s="311">
        <v>42016</v>
      </c>
      <c r="G106" s="215">
        <v>10</v>
      </c>
      <c r="H106" s="96">
        <v>593487.4560882689</v>
      </c>
      <c r="I106" s="1593">
        <v>4.3299999999999998E-2</v>
      </c>
      <c r="J106" s="215">
        <v>365</v>
      </c>
      <c r="K106" s="312">
        <f>H106*I106</f>
        <v>25698.006848622041</v>
      </c>
      <c r="L106" s="313"/>
    </row>
    <row r="107" spans="1:20" x14ac:dyDescent="0.2">
      <c r="A107" s="310">
        <v>4</v>
      </c>
      <c r="B107" s="215" t="s">
        <v>1558</v>
      </c>
      <c r="C107" s="215" t="s">
        <v>1466</v>
      </c>
      <c r="D107" s="304" t="s">
        <v>1467</v>
      </c>
      <c r="E107" s="304" t="s">
        <v>1468</v>
      </c>
      <c r="F107" s="311">
        <v>43739</v>
      </c>
      <c r="G107" s="215" t="s">
        <v>1469</v>
      </c>
      <c r="H107" s="96">
        <v>3250000</v>
      </c>
      <c r="I107" s="1593">
        <v>4.1300000000000003E-2</v>
      </c>
      <c r="J107" s="215">
        <v>92</v>
      </c>
      <c r="K107" s="312">
        <f>H107*I107*(J107/365)</f>
        <v>33832.054794520547</v>
      </c>
      <c r="L107" s="313"/>
    </row>
    <row r="108" spans="1:20" x14ac:dyDescent="0.2">
      <c r="A108" s="310">
        <v>5</v>
      </c>
      <c r="B108" s="215"/>
      <c r="C108" s="215"/>
      <c r="D108" s="304"/>
      <c r="E108" s="304"/>
      <c r="F108" s="311"/>
      <c r="G108" s="215"/>
      <c r="H108" s="96"/>
      <c r="I108" s="1593"/>
      <c r="J108" s="215"/>
      <c r="K108" s="312">
        <f>H108*I108*(J108/365)</f>
        <v>0</v>
      </c>
      <c r="L108" s="313"/>
      <c r="R108" s="301"/>
      <c r="S108" s="301"/>
      <c r="T108" s="301"/>
    </row>
    <row r="109" spans="1:20" x14ac:dyDescent="0.2">
      <c r="A109" s="310">
        <v>6</v>
      </c>
      <c r="B109" s="215"/>
      <c r="C109" s="215"/>
      <c r="D109" s="304"/>
      <c r="E109" s="304"/>
      <c r="F109" s="311"/>
      <c r="G109" s="215"/>
      <c r="H109" s="96"/>
      <c r="I109" s="215"/>
      <c r="J109" s="215"/>
      <c r="K109" s="312">
        <f>H109*I109</f>
        <v>0</v>
      </c>
      <c r="L109" s="313"/>
      <c r="R109" s="301"/>
      <c r="S109" s="301"/>
      <c r="T109" s="301"/>
    </row>
    <row r="110" spans="1:20" ht="13.5" thickBot="1" x14ac:dyDescent="0.25">
      <c r="A110" s="314"/>
      <c r="B110" s="315"/>
      <c r="C110" s="316"/>
      <c r="D110" s="316"/>
      <c r="E110" s="316"/>
      <c r="F110" s="315"/>
      <c r="G110" s="316"/>
      <c r="H110" s="316"/>
      <c r="I110" s="316"/>
      <c r="J110" s="316"/>
      <c r="K110" s="315"/>
      <c r="L110" s="313"/>
    </row>
    <row r="111" spans="1:20" ht="14.25" thickTop="1" thickBot="1" x14ac:dyDescent="0.25">
      <c r="A111" s="317" t="s">
        <v>259</v>
      </c>
      <c r="B111" s="318"/>
      <c r="C111" s="319"/>
      <c r="D111" s="319"/>
      <c r="E111" s="319"/>
      <c r="F111" s="318"/>
      <c r="G111" s="319"/>
      <c r="H111" s="238">
        <f>SUM(H104:H109)</f>
        <v>53540323.456088267</v>
      </c>
      <c r="I111" s="857">
        <f>K111/SUMPRODUCT(H104:H107,J104:J107/365)</f>
        <v>4.1343291205269667E-2</v>
      </c>
      <c r="J111" s="1595"/>
      <c r="K111" s="320">
        <f>SUM(K104:K109)</f>
        <v>2113035.00545329</v>
      </c>
      <c r="L111" s="321"/>
    </row>
    <row r="113" spans="1:20" ht="15.75" x14ac:dyDescent="0.2">
      <c r="D113" s="303" t="s">
        <v>10</v>
      </c>
      <c r="E113" s="304">
        <v>2020</v>
      </c>
    </row>
    <row r="114" spans="1:20" ht="16.5" customHeight="1" thickBot="1" x14ac:dyDescent="0.25"/>
    <row r="115" spans="1:20" ht="25.5" x14ac:dyDescent="0.2">
      <c r="A115" s="305" t="s">
        <v>369</v>
      </c>
      <c r="B115" s="306" t="s">
        <v>205</v>
      </c>
      <c r="C115" s="306" t="s">
        <v>363</v>
      </c>
      <c r="D115" s="307" t="s">
        <v>364</v>
      </c>
      <c r="E115" s="307" t="s">
        <v>365</v>
      </c>
      <c r="F115" s="306" t="s">
        <v>366</v>
      </c>
      <c r="G115" s="308" t="s">
        <v>371</v>
      </c>
      <c r="H115" s="308" t="s">
        <v>370</v>
      </c>
      <c r="I115" s="308" t="s">
        <v>877</v>
      </c>
      <c r="J115" s="308" t="s">
        <v>1461</v>
      </c>
      <c r="K115" s="308" t="s">
        <v>878</v>
      </c>
      <c r="L115" s="309" t="s">
        <v>517</v>
      </c>
      <c r="O115" s="1708"/>
    </row>
    <row r="116" spans="1:20" x14ac:dyDescent="0.2">
      <c r="A116" s="310">
        <v>1</v>
      </c>
      <c r="B116" s="215" t="s">
        <v>1462</v>
      </c>
      <c r="C116" s="215" t="s">
        <v>1463</v>
      </c>
      <c r="D116" s="304" t="s">
        <v>1464</v>
      </c>
      <c r="E116" s="304" t="s">
        <v>1468</v>
      </c>
      <c r="F116" s="311">
        <v>40561</v>
      </c>
      <c r="G116" s="215">
        <v>15</v>
      </c>
      <c r="H116" s="96">
        <v>911821</v>
      </c>
      <c r="I116" s="1593">
        <f>I104</f>
        <v>4.6902326480245317E-2</v>
      </c>
      <c r="J116" s="215">
        <v>365</v>
      </c>
      <c r="K116" s="312">
        <f>H116*I116</f>
        <v>42766.526233543766</v>
      </c>
      <c r="L116" s="313"/>
    </row>
    <row r="117" spans="1:20" x14ac:dyDescent="0.2">
      <c r="A117" s="310">
        <v>2</v>
      </c>
      <c r="B117" s="215" t="s">
        <v>1465</v>
      </c>
      <c r="C117" s="215" t="s">
        <v>1466</v>
      </c>
      <c r="D117" s="304" t="s">
        <v>1467</v>
      </c>
      <c r="E117" s="304" t="s">
        <v>1468</v>
      </c>
      <c r="F117" s="311">
        <v>36831</v>
      </c>
      <c r="G117" s="1688" t="s">
        <v>1469</v>
      </c>
      <c r="H117" s="96">
        <v>48645458</v>
      </c>
      <c r="I117" s="1593">
        <v>3.2099999999999997E-2</v>
      </c>
      <c r="J117" s="215">
        <v>365</v>
      </c>
      <c r="K117" s="312">
        <f>H117*I117</f>
        <v>1561519.2017999999</v>
      </c>
      <c r="L117" s="313" t="s">
        <v>1584</v>
      </c>
    </row>
    <row r="118" spans="1:20" x14ac:dyDescent="0.2">
      <c r="A118" s="310">
        <v>3</v>
      </c>
      <c r="B118" s="1557" t="s">
        <v>1471</v>
      </c>
      <c r="C118" s="215" t="s">
        <v>1463</v>
      </c>
      <c r="D118" s="304" t="s">
        <v>1464</v>
      </c>
      <c r="E118" s="304" t="s">
        <v>1468</v>
      </c>
      <c r="F118" s="311">
        <v>42016</v>
      </c>
      <c r="G118" s="215">
        <v>10</v>
      </c>
      <c r="H118" s="96">
        <v>497462.40736995538</v>
      </c>
      <c r="I118" s="1593">
        <v>4.3299999999999998E-2</v>
      </c>
      <c r="J118" s="215">
        <v>365</v>
      </c>
      <c r="K118" s="312">
        <f>H118*I118</f>
        <v>21540.122239119068</v>
      </c>
      <c r="L118" s="313"/>
    </row>
    <row r="119" spans="1:20" x14ac:dyDescent="0.2">
      <c r="A119" s="310">
        <v>4</v>
      </c>
      <c r="B119" s="215" t="s">
        <v>1558</v>
      </c>
      <c r="C119" s="215" t="s">
        <v>1557</v>
      </c>
      <c r="D119" s="304" t="s">
        <v>1464</v>
      </c>
      <c r="E119" s="304" t="s">
        <v>1468</v>
      </c>
      <c r="F119" s="311">
        <v>43916</v>
      </c>
      <c r="G119" s="215">
        <v>10</v>
      </c>
      <c r="H119" s="96">
        <v>5500000</v>
      </c>
      <c r="I119" s="1593">
        <v>1.976E-2</v>
      </c>
      <c r="J119" s="215">
        <f>DATE(2021,1,1)-F119</f>
        <v>281</v>
      </c>
      <c r="K119" s="312">
        <f>H119*I119*(J119/365)</f>
        <v>83668.712328767113</v>
      </c>
      <c r="L119" s="313" t="s">
        <v>1585</v>
      </c>
    </row>
    <row r="120" spans="1:20" x14ac:dyDescent="0.2">
      <c r="A120" s="310">
        <v>5</v>
      </c>
      <c r="B120" s="215"/>
      <c r="C120" s="215"/>
      <c r="D120" s="304"/>
      <c r="E120" s="304"/>
      <c r="F120" s="311"/>
      <c r="G120" s="215"/>
      <c r="H120" s="96"/>
      <c r="I120" s="1687"/>
      <c r="J120" s="1701"/>
      <c r="K120" s="312">
        <f>H120*I120*(J120/365)</f>
        <v>0</v>
      </c>
      <c r="L120" s="313"/>
      <c r="R120" s="301"/>
      <c r="S120" s="301"/>
      <c r="T120" s="301"/>
    </row>
    <row r="121" spans="1:20" x14ac:dyDescent="0.2">
      <c r="A121" s="310">
        <v>6</v>
      </c>
      <c r="B121" s="215"/>
      <c r="C121" s="215"/>
      <c r="D121" s="304"/>
      <c r="E121" s="304"/>
      <c r="F121" s="311"/>
      <c r="G121" s="215"/>
      <c r="H121" s="96"/>
      <c r="I121" s="1687"/>
      <c r="J121" s="215"/>
      <c r="K121" s="312">
        <f>H121*I121*(J121/365)</f>
        <v>0</v>
      </c>
      <c r="L121" s="313"/>
      <c r="R121" s="301"/>
      <c r="S121" s="301"/>
      <c r="T121" s="301"/>
    </row>
    <row r="122" spans="1:20" x14ac:dyDescent="0.2">
      <c r="A122" s="310">
        <v>7</v>
      </c>
      <c r="B122" s="215"/>
      <c r="C122" s="215"/>
      <c r="D122" s="304"/>
      <c r="E122" s="304"/>
      <c r="F122" s="311"/>
      <c r="G122" s="215"/>
      <c r="H122" s="96"/>
      <c r="I122" s="215"/>
      <c r="J122" s="215"/>
      <c r="K122" s="312">
        <f>H122*I122</f>
        <v>0</v>
      </c>
      <c r="L122" s="313"/>
      <c r="R122" s="301"/>
      <c r="S122" s="301"/>
      <c r="T122" s="301"/>
    </row>
    <row r="123" spans="1:20" ht="13.5" thickBot="1" x14ac:dyDescent="0.25">
      <c r="A123" s="314"/>
      <c r="B123" s="315"/>
      <c r="C123" s="316"/>
      <c r="D123" s="316"/>
      <c r="E123" s="316"/>
      <c r="F123" s="315"/>
      <c r="G123" s="316"/>
      <c r="H123" s="316"/>
      <c r="I123" s="316"/>
      <c r="J123" s="316"/>
      <c r="K123" s="315"/>
      <c r="L123" s="313"/>
    </row>
    <row r="124" spans="1:20" ht="14.25" thickTop="1" thickBot="1" x14ac:dyDescent="0.25">
      <c r="A124" s="317" t="s">
        <v>259</v>
      </c>
      <c r="B124" s="318"/>
      <c r="C124" s="319"/>
      <c r="D124" s="319"/>
      <c r="E124" s="319"/>
      <c r="F124" s="318"/>
      <c r="G124" s="319"/>
      <c r="H124" s="238">
        <f>SUM(H116:H122)</f>
        <v>55554741.407369956</v>
      </c>
      <c r="I124" s="857">
        <f>K124/SUMPRODUCT(H116:H120,J116:J120/365)</f>
        <v>3.1488790381316287E-2</v>
      </c>
      <c r="J124" s="1595"/>
      <c r="K124" s="320">
        <f>SUM(K116:K122)</f>
        <v>1709494.5626014301</v>
      </c>
      <c r="L124" s="321"/>
    </row>
    <row r="126" spans="1:20" x14ac:dyDescent="0.2">
      <c r="A126" s="39" t="s">
        <v>274</v>
      </c>
    </row>
    <row r="128" spans="1:20" x14ac:dyDescent="0.2">
      <c r="A128" s="322">
        <v>1</v>
      </c>
      <c r="B128" s="2244" t="s">
        <v>879</v>
      </c>
      <c r="C128" s="2244"/>
      <c r="D128" s="2244"/>
      <c r="E128" s="2244"/>
      <c r="F128" s="2244"/>
      <c r="G128" s="2244"/>
      <c r="H128" s="2244"/>
      <c r="I128" s="2244"/>
      <c r="J128" s="2244"/>
      <c r="K128" s="2244"/>
    </row>
    <row r="129" spans="1:11" ht="27" customHeight="1" x14ac:dyDescent="0.2">
      <c r="A129" s="322">
        <v>2</v>
      </c>
      <c r="B129" s="1865" t="s">
        <v>1332</v>
      </c>
      <c r="C129" s="1865"/>
      <c r="D129" s="1865"/>
      <c r="E129" s="1865"/>
      <c r="F129" s="1865"/>
      <c r="G129" s="1865"/>
      <c r="H129" s="1865"/>
      <c r="I129" s="1865"/>
      <c r="J129" s="1865"/>
      <c r="K129" s="1865"/>
    </row>
    <row r="130" spans="1:11" x14ac:dyDescent="0.2">
      <c r="A130" s="220">
        <v>3</v>
      </c>
      <c r="B130" s="2245" t="s">
        <v>367</v>
      </c>
      <c r="C130" s="2245"/>
      <c r="D130" s="2245"/>
      <c r="E130" s="2245"/>
      <c r="F130" s="2245"/>
      <c r="G130" s="2245"/>
      <c r="H130" s="2245"/>
      <c r="I130" s="2245"/>
      <c r="J130" s="2245"/>
      <c r="K130" s="2245"/>
    </row>
  </sheetData>
  <mergeCells count="7">
    <mergeCell ref="B130:K130"/>
    <mergeCell ref="A10:K10"/>
    <mergeCell ref="A11:K11"/>
    <mergeCell ref="L11:O11"/>
    <mergeCell ref="A13:K13"/>
    <mergeCell ref="B129:K129"/>
    <mergeCell ref="B128:K128"/>
  </mergeCells>
  <phoneticPr fontId="13" type="noConversion"/>
  <dataValidations disablePrompts="1" count="4">
    <dataValidation allowBlank="1" showInputMessage="1" showErrorMessage="1" promptTitle="Date Format" prompt="E.g:  &quot;August 1, 2011&quot;" sqref="K7" xr:uid="{00000000-0002-0000-2B00-000000000000}"/>
    <dataValidation type="list" allowBlank="1" showInputMessage="1" showErrorMessage="1" sqref="E104:E109 E79:E85 E31:E37 E44:E48 E55:E60 E67:E72 E92:E97 E17:E23 E116:E122" xr:uid="{00000000-0002-0000-2B00-000001000000}">
      <formula1>"Fixed Rate, Variable Rate"</formula1>
    </dataValidation>
    <dataValidation type="list" allowBlank="1" showInputMessage="1" showErrorMessage="1" sqref="D31:D37 D92:D97 D44:D48 D55:D60 D67:D72 D79:D85 D104:D109 D17:D23 D116:D122" xr:uid="{00000000-0002-0000-2B00-000002000000}">
      <formula1>"Affiliated, Third-Party"</formula1>
    </dataValidation>
    <dataValidation type="list" allowBlank="1" showInputMessage="1" showErrorMessage="1" sqref="E14 E28 E41 E52 E64 E76 E89 E101 E113" xr:uid="{00000000-0002-0000-2B00-000003000000}">
      <formula1>"2006,2007,2008,2009,2012,2013, 2014, 2015, 2016, 2017, 2018, 2019, 2020"</formula1>
    </dataValidation>
  </dataValidations>
  <pageMargins left="0.75" right="0.75" top="1" bottom="1" header="0.5" footer="0.5"/>
  <pageSetup scale="46" fitToHeight="0"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theme="6" tint="0.39997558519241921"/>
  </sheetPr>
  <dimension ref="A1:N61"/>
  <sheetViews>
    <sheetView showGridLines="0" topLeftCell="A34" zoomScaleNormal="100" workbookViewId="0">
      <selection activeCell="G32" sqref="G32"/>
    </sheetView>
  </sheetViews>
  <sheetFormatPr defaultColWidth="9.28515625" defaultRowHeight="12.75" x14ac:dyDescent="0.2"/>
  <cols>
    <col min="1" max="1" width="21.5703125" style="27" customWidth="1"/>
    <col min="2" max="2" width="17.7109375" style="27" customWidth="1"/>
    <col min="3" max="3" width="22.7109375" style="27" customWidth="1"/>
    <col min="4" max="4" width="21.5703125" style="27" customWidth="1"/>
    <col min="5" max="6" width="21.28515625" style="27" customWidth="1"/>
    <col min="7" max="7" width="23.28515625" style="27" customWidth="1"/>
    <col min="8" max="8" width="9.28515625" style="27"/>
    <col min="9" max="9" width="17.5703125" style="27" customWidth="1"/>
    <col min="10" max="10" width="9.28515625" style="27"/>
    <col min="11" max="11" width="12.28515625" style="27" customWidth="1"/>
    <col min="12" max="12" width="16.28515625" style="27" customWidth="1"/>
    <col min="13" max="13" width="9.28515625" style="27"/>
    <col min="14" max="14" width="14.7109375" style="27" customWidth="1"/>
    <col min="15" max="16384" width="9.28515625" style="27"/>
  </cols>
  <sheetData>
    <row r="1" spans="1:14" x14ac:dyDescent="0.2">
      <c r="F1" s="208" t="s">
        <v>264</v>
      </c>
      <c r="G1" s="40" t="str">
        <f>EBNUMBER</f>
        <v>EB-2019-0037</v>
      </c>
      <c r="L1" s="325"/>
      <c r="M1" s="326"/>
      <c r="N1" s="326"/>
    </row>
    <row r="2" spans="1:14" x14ac:dyDescent="0.2">
      <c r="F2" s="208" t="s">
        <v>265</v>
      </c>
      <c r="G2" s="41"/>
      <c r="L2" s="325"/>
      <c r="M2" s="326"/>
      <c r="N2" s="326"/>
    </row>
    <row r="3" spans="1:14" x14ac:dyDescent="0.2">
      <c r="F3" s="208" t="s">
        <v>266</v>
      </c>
      <c r="G3" s="41"/>
      <c r="L3" s="325"/>
      <c r="M3" s="326"/>
      <c r="N3" s="326"/>
    </row>
    <row r="4" spans="1:14" x14ac:dyDescent="0.2">
      <c r="F4" s="208" t="s">
        <v>267</v>
      </c>
      <c r="G4" s="41"/>
      <c r="L4" s="325"/>
      <c r="M4" s="326"/>
      <c r="N4" s="326"/>
    </row>
    <row r="5" spans="1:14" x14ac:dyDescent="0.2">
      <c r="F5" s="208" t="s">
        <v>268</v>
      </c>
      <c r="G5" s="42"/>
      <c r="L5" s="325"/>
      <c r="M5" s="326"/>
      <c r="N5" s="326"/>
    </row>
    <row r="6" spans="1:14" x14ac:dyDescent="0.2">
      <c r="F6" s="208"/>
      <c r="G6" s="40"/>
      <c r="L6" s="325"/>
      <c r="M6" s="326"/>
      <c r="N6" s="326"/>
    </row>
    <row r="7" spans="1:14" x14ac:dyDescent="0.2">
      <c r="F7" s="208" t="s">
        <v>269</v>
      </c>
      <c r="G7" s="42"/>
      <c r="L7" s="325"/>
      <c r="M7" s="327"/>
      <c r="N7" s="327"/>
    </row>
    <row r="8" spans="1:14" x14ac:dyDescent="0.2">
      <c r="A8" s="62"/>
      <c r="L8" s="39"/>
    </row>
    <row r="9" spans="1:14" ht="18" x14ac:dyDescent="0.25">
      <c r="A9" s="1906" t="s">
        <v>29</v>
      </c>
      <c r="B9" s="1906"/>
      <c r="C9" s="1906"/>
      <c r="D9" s="1906"/>
      <c r="E9" s="1906"/>
      <c r="F9" s="1906"/>
      <c r="G9" s="1906"/>
      <c r="H9" s="43"/>
      <c r="I9" s="43"/>
      <c r="J9" s="43"/>
      <c r="K9" s="43"/>
      <c r="L9" s="43"/>
    </row>
    <row r="10" spans="1:14" ht="18" x14ac:dyDescent="0.2">
      <c r="A10" s="1906" t="s">
        <v>213</v>
      </c>
      <c r="B10" s="1906"/>
      <c r="C10" s="1906"/>
      <c r="D10" s="1906"/>
      <c r="E10" s="1906"/>
      <c r="F10" s="1906"/>
      <c r="G10" s="1906"/>
      <c r="H10" s="1906"/>
      <c r="I10" s="1906"/>
      <c r="J10" s="1906"/>
      <c r="K10" s="1906"/>
      <c r="L10" s="1906"/>
    </row>
    <row r="11" spans="1:14" ht="18" x14ac:dyDescent="0.2">
      <c r="A11" s="328"/>
      <c r="B11" s="328"/>
      <c r="C11" s="328"/>
      <c r="D11" s="328"/>
      <c r="E11" s="328"/>
      <c r="F11" s="328"/>
      <c r="G11" s="328"/>
      <c r="H11" s="328"/>
      <c r="I11" s="328"/>
      <c r="J11" s="328"/>
      <c r="K11" s="328"/>
      <c r="L11" s="328"/>
    </row>
    <row r="12" spans="1:14" ht="18.75" x14ac:dyDescent="0.2">
      <c r="A12" s="2308" t="s">
        <v>880</v>
      </c>
      <c r="B12" s="2308"/>
      <c r="C12" s="2308"/>
      <c r="D12" s="2308"/>
      <c r="E12" s="2308"/>
      <c r="F12" s="2308"/>
      <c r="G12" s="2308"/>
      <c r="H12" s="329"/>
      <c r="I12" s="329"/>
      <c r="J12" s="329"/>
      <c r="K12" s="329"/>
      <c r="L12" s="329"/>
    </row>
    <row r="13" spans="1:14" ht="18.75" x14ac:dyDescent="0.2">
      <c r="A13" s="2308" t="s">
        <v>912</v>
      </c>
      <c r="B13" s="2308"/>
      <c r="C13" s="2308"/>
      <c r="D13" s="2308"/>
      <c r="E13" s="2308"/>
      <c r="F13" s="2308"/>
      <c r="G13" s="2308"/>
      <c r="H13" s="329"/>
      <c r="I13" s="329"/>
      <c r="J13" s="329"/>
      <c r="K13" s="329"/>
      <c r="L13" s="329"/>
    </row>
    <row r="14" spans="1:14" ht="18" x14ac:dyDescent="0.25">
      <c r="A14" s="330"/>
      <c r="B14" s="428"/>
      <c r="C14" s="428"/>
      <c r="D14" s="428"/>
      <c r="E14" s="428"/>
      <c r="F14" s="428"/>
      <c r="G14" s="428"/>
      <c r="H14" s="428"/>
      <c r="I14" s="428"/>
      <c r="J14" s="428"/>
      <c r="K14" s="428"/>
      <c r="L14" s="428"/>
    </row>
    <row r="15" spans="1:14" x14ac:dyDescent="0.2">
      <c r="A15" s="39"/>
      <c r="B15" s="39"/>
      <c r="C15" s="39"/>
      <c r="D15" s="62"/>
      <c r="E15" s="62"/>
      <c r="F15" s="62"/>
      <c r="G15" s="184"/>
      <c r="H15" s="184"/>
      <c r="I15" s="184"/>
      <c r="J15" s="184"/>
      <c r="K15" s="184"/>
      <c r="L15" s="184"/>
      <c r="M15" s="62"/>
      <c r="N15" s="62"/>
    </row>
    <row r="16" spans="1:14" ht="24" customHeight="1" x14ac:dyDescent="0.2">
      <c r="A16" s="2303" t="s">
        <v>214</v>
      </c>
      <c r="B16" s="2303"/>
      <c r="C16" s="2304"/>
      <c r="D16" s="2305"/>
      <c r="F16" s="432"/>
      <c r="G16" s="432"/>
      <c r="H16" s="184"/>
      <c r="I16" s="62"/>
      <c r="J16" s="62"/>
      <c r="K16" s="62"/>
      <c r="L16" s="62"/>
      <c r="M16" s="62"/>
      <c r="N16" s="62"/>
    </row>
    <row r="17" spans="1:14" x14ac:dyDescent="0.2">
      <c r="A17" s="39"/>
      <c r="B17" s="39"/>
      <c r="C17" s="39"/>
      <c r="D17" s="62"/>
      <c r="E17" s="62"/>
      <c r="F17" s="62"/>
      <c r="G17" s="432"/>
      <c r="H17" s="184"/>
      <c r="I17" s="62"/>
      <c r="J17" s="62"/>
      <c r="K17" s="62"/>
      <c r="L17" s="62"/>
      <c r="M17" s="62"/>
      <c r="N17" s="62"/>
    </row>
    <row r="18" spans="1:14" x14ac:dyDescent="0.2">
      <c r="A18" s="331" t="s">
        <v>215</v>
      </c>
      <c r="B18" s="331"/>
      <c r="C18" s="331"/>
      <c r="D18" s="64"/>
      <c r="E18" s="64"/>
      <c r="F18" s="64"/>
      <c r="G18" s="432"/>
      <c r="H18" s="184"/>
      <c r="I18" s="62"/>
      <c r="J18" s="62"/>
      <c r="K18" s="62"/>
      <c r="L18" s="62"/>
      <c r="M18" s="62"/>
      <c r="N18" s="62"/>
    </row>
    <row r="19" spans="1:14" x14ac:dyDescent="0.2">
      <c r="A19" s="64"/>
      <c r="B19" s="64"/>
      <c r="C19" s="64"/>
      <c r="D19" s="64"/>
      <c r="E19" s="64"/>
      <c r="F19" s="64"/>
      <c r="G19" s="64"/>
      <c r="H19" s="184"/>
      <c r="I19" s="62"/>
      <c r="J19" s="62"/>
      <c r="K19" s="62"/>
      <c r="L19" s="62"/>
      <c r="M19" s="62"/>
      <c r="N19" s="62"/>
    </row>
    <row r="20" spans="1:14" x14ac:dyDescent="0.2">
      <c r="A20" s="332" t="s">
        <v>273</v>
      </c>
      <c r="B20" s="332" t="s">
        <v>5</v>
      </c>
      <c r="C20" s="332" t="s">
        <v>30</v>
      </c>
      <c r="D20" s="332" t="s">
        <v>31</v>
      </c>
      <c r="E20" s="332" t="s">
        <v>32</v>
      </c>
      <c r="F20" s="333" t="s">
        <v>33</v>
      </c>
      <c r="G20" s="334"/>
      <c r="H20" s="184"/>
      <c r="I20" s="62"/>
      <c r="J20" s="62"/>
      <c r="K20" s="62"/>
      <c r="L20" s="62"/>
      <c r="M20" s="62"/>
      <c r="N20" s="62"/>
    </row>
    <row r="21" spans="1:14" ht="38.25" x14ac:dyDescent="0.2">
      <c r="A21" s="335" t="s">
        <v>34</v>
      </c>
      <c r="B21" s="437" t="s">
        <v>216</v>
      </c>
      <c r="C21" s="437" t="s">
        <v>217</v>
      </c>
      <c r="D21" s="437" t="s">
        <v>218</v>
      </c>
      <c r="E21" s="437" t="s">
        <v>219</v>
      </c>
      <c r="F21" s="75" t="s">
        <v>220</v>
      </c>
      <c r="G21" s="334"/>
      <c r="H21" s="184"/>
      <c r="L21" s="62"/>
      <c r="M21" s="62"/>
      <c r="N21" s="62"/>
    </row>
    <row r="22" spans="1:14" ht="25.5" x14ac:dyDescent="0.2">
      <c r="A22" s="336" t="s">
        <v>221</v>
      </c>
      <c r="B22" s="337" t="s">
        <v>272</v>
      </c>
      <c r="C22" s="337" t="s">
        <v>272</v>
      </c>
      <c r="D22" s="337" t="s">
        <v>272</v>
      </c>
      <c r="E22" s="337" t="s">
        <v>272</v>
      </c>
      <c r="F22" s="337"/>
      <c r="G22" s="334"/>
      <c r="H22" s="184"/>
      <c r="I22" s="62"/>
      <c r="J22" s="62"/>
      <c r="K22" s="62"/>
      <c r="L22" s="62"/>
      <c r="M22" s="62"/>
      <c r="N22" s="62"/>
    </row>
    <row r="23" spans="1:14" x14ac:dyDescent="0.2">
      <c r="A23" s="338" t="s">
        <v>35</v>
      </c>
      <c r="B23" s="339"/>
      <c r="C23" s="339"/>
      <c r="D23" s="339"/>
      <c r="E23" s="339"/>
      <c r="F23" s="340">
        <f t="shared" ref="F23:F29" si="0">C23+D23</f>
        <v>0</v>
      </c>
      <c r="G23" s="334"/>
      <c r="H23" s="341"/>
      <c r="I23" s="192"/>
      <c r="J23" s="184"/>
      <c r="K23" s="184"/>
      <c r="L23" s="184"/>
      <c r="M23" s="62"/>
      <c r="N23" s="62"/>
    </row>
    <row r="24" spans="1:14" x14ac:dyDescent="0.2">
      <c r="A24" s="338" t="s">
        <v>222</v>
      </c>
      <c r="B24" s="339"/>
      <c r="C24" s="339"/>
      <c r="D24" s="339"/>
      <c r="E24" s="339"/>
      <c r="F24" s="340">
        <f t="shared" si="0"/>
        <v>0</v>
      </c>
      <c r="G24" s="334"/>
      <c r="H24" s="341"/>
      <c r="I24" s="192"/>
      <c r="J24" s="184"/>
      <c r="K24" s="184"/>
      <c r="L24" s="184"/>
      <c r="M24" s="62"/>
      <c r="N24" s="62"/>
    </row>
    <row r="25" spans="1:14" ht="25.5" x14ac:dyDescent="0.2">
      <c r="A25" s="342" t="s">
        <v>359</v>
      </c>
      <c r="B25" s="339"/>
      <c r="C25" s="339"/>
      <c r="D25" s="339"/>
      <c r="E25" s="339"/>
      <c r="F25" s="340">
        <f t="shared" si="0"/>
        <v>0</v>
      </c>
      <c r="G25" s="334"/>
      <c r="H25" s="62"/>
      <c r="I25" s="62"/>
      <c r="J25" s="62"/>
      <c r="K25" s="62"/>
      <c r="L25" s="62"/>
      <c r="M25" s="62"/>
      <c r="N25" s="62"/>
    </row>
    <row r="26" spans="1:14" ht="27" customHeight="1" x14ac:dyDescent="0.2">
      <c r="A26" s="343" t="s">
        <v>223</v>
      </c>
      <c r="B26" s="339"/>
      <c r="C26" s="339"/>
      <c r="D26" s="339"/>
      <c r="E26" s="339"/>
      <c r="F26" s="340">
        <f t="shared" si="0"/>
        <v>0</v>
      </c>
      <c r="G26" s="334"/>
      <c r="J26" s="62"/>
      <c r="K26" s="62"/>
      <c r="L26" s="62"/>
      <c r="M26" s="62"/>
      <c r="N26" s="62"/>
    </row>
    <row r="27" spans="1:14" ht="25.5" x14ac:dyDescent="0.2">
      <c r="A27" s="343" t="s">
        <v>224</v>
      </c>
      <c r="B27" s="339"/>
      <c r="C27" s="339"/>
      <c r="D27" s="339"/>
      <c r="E27" s="339"/>
      <c r="F27" s="340">
        <f t="shared" si="0"/>
        <v>0</v>
      </c>
      <c r="G27" s="334"/>
      <c r="H27" s="324"/>
      <c r="I27" s="324"/>
      <c r="J27" s="62"/>
      <c r="K27" s="62"/>
      <c r="L27" s="62"/>
      <c r="M27" s="62"/>
      <c r="N27" s="62"/>
    </row>
    <row r="28" spans="1:14" x14ac:dyDescent="0.2">
      <c r="A28" s="338"/>
      <c r="B28" s="339"/>
      <c r="C28" s="339"/>
      <c r="D28" s="339"/>
      <c r="E28" s="339"/>
      <c r="F28" s="340">
        <f t="shared" si="0"/>
        <v>0</v>
      </c>
      <c r="G28" s="334"/>
      <c r="H28" s="344"/>
      <c r="I28" s="344"/>
      <c r="J28" s="62"/>
      <c r="K28" s="62"/>
      <c r="L28" s="62"/>
      <c r="M28" s="62"/>
      <c r="N28" s="62"/>
    </row>
    <row r="29" spans="1:14" x14ac:dyDescent="0.2">
      <c r="A29" s="338"/>
      <c r="B29" s="339"/>
      <c r="C29" s="339"/>
      <c r="D29" s="339"/>
      <c r="E29" s="339"/>
      <c r="F29" s="340">
        <f t="shared" si="0"/>
        <v>0</v>
      </c>
      <c r="G29" s="334"/>
      <c r="H29" s="64"/>
      <c r="I29" s="64"/>
      <c r="J29" s="62"/>
      <c r="K29" s="62"/>
      <c r="L29" s="62"/>
      <c r="M29" s="62"/>
      <c r="N29" s="62"/>
    </row>
    <row r="30" spans="1:14" x14ac:dyDescent="0.2">
      <c r="A30" s="345"/>
      <c r="B30" s="346"/>
      <c r="C30" s="346"/>
      <c r="D30" s="346"/>
      <c r="E30" s="346"/>
      <c r="F30" s="346"/>
      <c r="G30" s="188"/>
    </row>
    <row r="31" spans="1:14" x14ac:dyDescent="0.2">
      <c r="A31" s="333" t="s">
        <v>273</v>
      </c>
      <c r="B31" s="333" t="s">
        <v>36</v>
      </c>
      <c r="C31" s="333" t="s">
        <v>37</v>
      </c>
      <c r="D31" s="333" t="s">
        <v>38</v>
      </c>
      <c r="E31" s="333" t="s">
        <v>39</v>
      </c>
      <c r="F31" s="333" t="s">
        <v>40</v>
      </c>
      <c r="G31" s="334"/>
    </row>
    <row r="32" spans="1:14" ht="63.75" x14ac:dyDescent="0.2">
      <c r="A32" s="347" t="str">
        <f>A21</f>
        <v>Asset Class</v>
      </c>
      <c r="B32" s="75" t="s">
        <v>41</v>
      </c>
      <c r="C32" s="437" t="s">
        <v>225</v>
      </c>
      <c r="D32" s="75" t="s">
        <v>226</v>
      </c>
      <c r="E32" s="75" t="s">
        <v>227</v>
      </c>
      <c r="F32" s="75" t="s">
        <v>374</v>
      </c>
      <c r="G32" s="348"/>
    </row>
    <row r="33" spans="1:9" ht="25.5" x14ac:dyDescent="0.2">
      <c r="A33" s="349" t="s">
        <v>228</v>
      </c>
      <c r="B33" s="350" t="s">
        <v>42</v>
      </c>
      <c r="C33" s="350" t="s">
        <v>43</v>
      </c>
      <c r="D33" s="350" t="s">
        <v>44</v>
      </c>
      <c r="E33" s="350" t="s">
        <v>44</v>
      </c>
      <c r="F33" s="350" t="s">
        <v>45</v>
      </c>
    </row>
    <row r="34" spans="1:9" x14ac:dyDescent="0.2">
      <c r="A34" s="349" t="s">
        <v>35</v>
      </c>
      <c r="B34" s="351"/>
      <c r="C34" s="351"/>
      <c r="D34" s="352"/>
      <c r="E34" s="352"/>
      <c r="F34" s="353">
        <f>IF(D34=0,0,(C34/B34)*(E34/D34))</f>
        <v>0</v>
      </c>
    </row>
    <row r="35" spans="1:9" x14ac:dyDescent="0.2">
      <c r="A35" s="349" t="s">
        <v>222</v>
      </c>
      <c r="B35" s="351"/>
      <c r="C35" s="351"/>
      <c r="D35" s="352"/>
      <c r="E35" s="352"/>
      <c r="F35" s="353">
        <f>IF(D35=0,0,(C35/B35)*(E35/D35))</f>
        <v>0</v>
      </c>
    </row>
    <row r="36" spans="1:9" ht="25.5" x14ac:dyDescent="0.2">
      <c r="A36" s="349" t="s">
        <v>229</v>
      </c>
      <c r="B36" s="351"/>
      <c r="C36" s="351"/>
      <c r="D36" s="352"/>
      <c r="E36" s="352"/>
      <c r="F36" s="353">
        <f>IF(D36=0,0,(C36/B36)*(E36/D36))</f>
        <v>0</v>
      </c>
    </row>
    <row r="37" spans="1:9" x14ac:dyDescent="0.2">
      <c r="A37" s="354" t="s">
        <v>223</v>
      </c>
      <c r="B37" s="351"/>
      <c r="C37" s="351"/>
      <c r="D37" s="352"/>
      <c r="E37" s="352"/>
      <c r="F37" s="353">
        <f>IF(D37=0,0,(C37/B37)*(E37/D37))</f>
        <v>0</v>
      </c>
    </row>
    <row r="38" spans="1:9" x14ac:dyDescent="0.2">
      <c r="A38" s="354" t="s">
        <v>230</v>
      </c>
      <c r="B38" s="351"/>
      <c r="C38" s="351"/>
      <c r="D38" s="352"/>
      <c r="E38" s="352"/>
      <c r="F38" s="353">
        <f>IF(D38=0,0,(C38/B38)*(E38/D38))</f>
        <v>0</v>
      </c>
      <c r="H38" s="69"/>
    </row>
    <row r="39" spans="1:9" x14ac:dyDescent="0.2">
      <c r="A39" s="345"/>
      <c r="B39" s="346"/>
      <c r="C39" s="346"/>
      <c r="D39" s="346"/>
      <c r="E39" s="346"/>
      <c r="F39" s="346"/>
      <c r="H39" s="69"/>
    </row>
    <row r="40" spans="1:9" ht="22.5" customHeight="1" x14ac:dyDescent="0.2">
      <c r="A40" s="333" t="s">
        <v>273</v>
      </c>
      <c r="B40" s="333" t="s">
        <v>46</v>
      </c>
      <c r="C40" s="333" t="s">
        <v>47</v>
      </c>
      <c r="D40" s="333" t="s">
        <v>48</v>
      </c>
      <c r="E40" s="333" t="s">
        <v>49</v>
      </c>
      <c r="F40" s="332" t="s">
        <v>50</v>
      </c>
      <c r="G40" s="333" t="s">
        <v>169</v>
      </c>
    </row>
    <row r="41" spans="1:9" ht="51" x14ac:dyDescent="0.2">
      <c r="A41" s="355" t="str">
        <f>A32</f>
        <v>Asset Class</v>
      </c>
      <c r="B41" s="75" t="s">
        <v>51</v>
      </c>
      <c r="C41" s="75" t="s">
        <v>52</v>
      </c>
      <c r="D41" s="75" t="s">
        <v>53</v>
      </c>
      <c r="E41" s="75" t="s">
        <v>54</v>
      </c>
      <c r="F41" s="75" t="s">
        <v>55</v>
      </c>
      <c r="G41" s="437" t="s">
        <v>231</v>
      </c>
    </row>
    <row r="42" spans="1:9" x14ac:dyDescent="0.2">
      <c r="A42" s="356"/>
      <c r="B42" s="357" t="s">
        <v>272</v>
      </c>
      <c r="C42" s="357" t="s">
        <v>272</v>
      </c>
      <c r="D42" s="357" t="s">
        <v>272</v>
      </c>
      <c r="E42" s="357" t="s">
        <v>272</v>
      </c>
      <c r="F42" s="358" t="s">
        <v>272</v>
      </c>
      <c r="G42" s="357" t="s">
        <v>56</v>
      </c>
      <c r="H42" s="359"/>
      <c r="I42" s="188"/>
    </row>
    <row r="43" spans="1:9" x14ac:dyDescent="0.2">
      <c r="A43" s="349" t="s">
        <v>35</v>
      </c>
      <c r="B43" s="360">
        <f>E$54*(F23+B23*E$59)*F34</f>
        <v>0</v>
      </c>
      <c r="C43" s="360">
        <f>(B43-(B$54*C$54*F34*(F23+B23*E57)+B$55*C$55*F34*(F23+B23*E$57)))*E$57/(1-E$57)</f>
        <v>0</v>
      </c>
      <c r="D43" s="361">
        <f>E23*F34</f>
        <v>0</v>
      </c>
      <c r="E43" s="361">
        <f>B23*F34</f>
        <v>0</v>
      </c>
      <c r="F43" s="362">
        <f>SUM(B43:E43)</f>
        <v>0</v>
      </c>
      <c r="G43" s="363">
        <f>IF(E34=0,0,(D43/E34))</f>
        <v>0</v>
      </c>
    </row>
    <row r="44" spans="1:9" x14ac:dyDescent="0.2">
      <c r="A44" s="349" t="s">
        <v>222</v>
      </c>
      <c r="B44" s="360">
        <f>E$54*(F24+B24*E$59)*F35</f>
        <v>0</v>
      </c>
      <c r="C44" s="360">
        <f>(B44-(B$54*C$54*F35*(F24+B24*E58)+B$55*C$55*F35*(F24+B24*E58)))*E$57/(1-E$57)</f>
        <v>0</v>
      </c>
      <c r="D44" s="361">
        <f>E24*F35</f>
        <v>0</v>
      </c>
      <c r="E44" s="361">
        <f>B24*F35</f>
        <v>0</v>
      </c>
      <c r="F44" s="362">
        <f>SUM(B44:E44)</f>
        <v>0</v>
      </c>
      <c r="G44" s="363">
        <f>IF(E35=0,0,(D44/E35))</f>
        <v>0</v>
      </c>
    </row>
    <row r="45" spans="1:9" ht="25.5" x14ac:dyDescent="0.2">
      <c r="A45" s="349" t="s">
        <v>229</v>
      </c>
      <c r="B45" s="360">
        <f>E$54*(F25+B25*E$59)*F36</f>
        <v>0</v>
      </c>
      <c r="C45" s="360">
        <f>(B45-(B$54*C$54*F36*(F25+B25*E59)+B$55*C$55*F36*(F25+B25*E$59)))*E$57/(1-E$57)</f>
        <v>0</v>
      </c>
      <c r="D45" s="361">
        <f>E25*F36</f>
        <v>0</v>
      </c>
      <c r="E45" s="361">
        <f>B25*F36</f>
        <v>0</v>
      </c>
      <c r="F45" s="362">
        <f>SUM(B45:E45)</f>
        <v>0</v>
      </c>
      <c r="G45" s="363">
        <f>IF(E36=0,0,(D45/E36))</f>
        <v>0</v>
      </c>
    </row>
    <row r="46" spans="1:9" x14ac:dyDescent="0.2">
      <c r="A46" s="354" t="s">
        <v>223</v>
      </c>
      <c r="B46" s="360">
        <f>E$54*(F26+B26*E$59)*F37</f>
        <v>0</v>
      </c>
      <c r="C46" s="360">
        <f>(B46-(B$54*C$54*F37*(F26+B26*E60)+B$55*C$55*F37*(F26+B26*E60)))*E$57/(1-E$57)</f>
        <v>0</v>
      </c>
      <c r="D46" s="361">
        <f>E26*F37</f>
        <v>0</v>
      </c>
      <c r="E46" s="361">
        <f>B26*F37</f>
        <v>0</v>
      </c>
      <c r="F46" s="362">
        <f>SUM(B46:E46)</f>
        <v>0</v>
      </c>
      <c r="G46" s="363">
        <f>IF(E37=0,0,(D46/E37))</f>
        <v>0</v>
      </c>
    </row>
    <row r="47" spans="1:9" x14ac:dyDescent="0.2">
      <c r="A47" s="354" t="s">
        <v>230</v>
      </c>
      <c r="B47" s="360">
        <f>E$54*(F27+B27*E$59)*F38</f>
        <v>0</v>
      </c>
      <c r="C47" s="360">
        <f>(B47-(B$54*C$54*F38*(F27+B27*I61)+B$55*C$55*F38*(F27+B27*I61)))*E$57/(1-E$57)</f>
        <v>0</v>
      </c>
      <c r="D47" s="361">
        <f>E27*F38</f>
        <v>0</v>
      </c>
      <c r="E47" s="361">
        <f>B27*F38</f>
        <v>0</v>
      </c>
      <c r="F47" s="362">
        <f>SUM(B47:E47)</f>
        <v>0</v>
      </c>
      <c r="G47" s="363">
        <f>IF(E38=0,0,(D47/E38))</f>
        <v>0</v>
      </c>
    </row>
    <row r="48" spans="1:9" x14ac:dyDescent="0.2">
      <c r="A48" s="349"/>
      <c r="B48" s="361"/>
      <c r="C48" s="360"/>
      <c r="D48" s="361"/>
      <c r="E48" s="361"/>
      <c r="F48" s="362"/>
      <c r="G48" s="364"/>
    </row>
    <row r="49" spans="1:8" ht="24" customHeight="1" x14ac:dyDescent="0.2">
      <c r="A49" s="365" t="s">
        <v>259</v>
      </c>
      <c r="B49" s="366"/>
      <c r="C49" s="367"/>
      <c r="D49" s="366"/>
      <c r="E49" s="366"/>
      <c r="F49" s="368">
        <f>SUM(F43:F47)</f>
        <v>0</v>
      </c>
      <c r="G49" s="369">
        <f>SUM(G43:G47)</f>
        <v>0</v>
      </c>
    </row>
    <row r="50" spans="1:8" ht="13.5" thickBot="1" x14ac:dyDescent="0.25">
      <c r="A50" s="62"/>
      <c r="B50" s="62"/>
      <c r="C50" s="370"/>
      <c r="D50" s="62"/>
      <c r="E50" s="62"/>
      <c r="F50" s="62"/>
      <c r="G50" s="62"/>
      <c r="H50" s="69"/>
    </row>
    <row r="51" spans="1:8" x14ac:dyDescent="0.2">
      <c r="A51" s="371" t="s">
        <v>57</v>
      </c>
      <c r="B51" s="371" t="s">
        <v>58</v>
      </c>
      <c r="C51" s="372" t="s">
        <v>59</v>
      </c>
      <c r="D51" s="371" t="s">
        <v>170</v>
      </c>
      <c r="E51" s="372" t="s">
        <v>60</v>
      </c>
      <c r="G51" s="62"/>
      <c r="H51" s="69"/>
    </row>
    <row r="52" spans="1:8" ht="12.75" customHeight="1" x14ac:dyDescent="0.2">
      <c r="A52" s="373"/>
      <c r="B52" s="374" t="s">
        <v>61</v>
      </c>
      <c r="C52" s="375" t="s">
        <v>270</v>
      </c>
      <c r="D52" s="373"/>
      <c r="E52" s="376"/>
      <c r="G52" s="62"/>
      <c r="H52" s="69"/>
    </row>
    <row r="53" spans="1:8" ht="13.5" thickBot="1" x14ac:dyDescent="0.25">
      <c r="A53" s="377"/>
      <c r="B53" s="378" t="s">
        <v>271</v>
      </c>
      <c r="C53" s="379" t="s">
        <v>271</v>
      </c>
      <c r="D53" s="380"/>
      <c r="E53" s="379" t="s">
        <v>271</v>
      </c>
      <c r="G53" s="62"/>
      <c r="H53" s="69"/>
    </row>
    <row r="54" spans="1:8" x14ac:dyDescent="0.2">
      <c r="A54" s="381" t="s">
        <v>62</v>
      </c>
      <c r="B54" s="382"/>
      <c r="C54" s="382"/>
      <c r="D54" s="2306" t="s">
        <v>63</v>
      </c>
      <c r="E54" s="2311">
        <f>IF(B60=0%,0,SUMPRODUCT(B54:B58,C54:C58)/B60)</f>
        <v>0</v>
      </c>
      <c r="G54" s="62"/>
      <c r="H54" s="69"/>
    </row>
    <row r="55" spans="1:8" ht="13.5" thickBot="1" x14ac:dyDescent="0.25">
      <c r="A55" s="377" t="s">
        <v>64</v>
      </c>
      <c r="B55" s="383"/>
      <c r="C55" s="384"/>
      <c r="D55" s="2307"/>
      <c r="E55" s="2312"/>
      <c r="G55" s="62"/>
      <c r="H55" s="69"/>
    </row>
    <row r="56" spans="1:8" ht="13.5" thickBot="1" x14ac:dyDescent="0.25">
      <c r="A56" s="385"/>
      <c r="B56" s="386"/>
      <c r="C56" s="387"/>
      <c r="D56" s="381"/>
      <c r="E56" s="376"/>
      <c r="G56" s="62"/>
      <c r="H56" s="69"/>
    </row>
    <row r="57" spans="1:8" ht="12.75" customHeight="1" thickBot="1" x14ac:dyDescent="0.25">
      <c r="A57" s="373" t="s">
        <v>65</v>
      </c>
      <c r="B57" s="382"/>
      <c r="C57" s="382"/>
      <c r="D57" s="385" t="s">
        <v>66</v>
      </c>
      <c r="E57" s="388"/>
      <c r="G57" s="62"/>
      <c r="H57" s="69"/>
    </row>
    <row r="58" spans="1:8" ht="13.5" thickBot="1" x14ac:dyDescent="0.25">
      <c r="A58" s="377" t="s">
        <v>67</v>
      </c>
      <c r="B58" s="383"/>
      <c r="C58" s="384"/>
      <c r="D58" s="385"/>
      <c r="E58" s="387"/>
      <c r="G58" s="62"/>
      <c r="H58" s="69"/>
    </row>
    <row r="59" spans="1:8" x14ac:dyDescent="0.2">
      <c r="A59" s="373"/>
      <c r="B59" s="373"/>
      <c r="C59" s="376"/>
      <c r="D59" s="2306" t="s">
        <v>68</v>
      </c>
      <c r="E59" s="2309"/>
      <c r="G59" s="62"/>
    </row>
    <row r="60" spans="1:8" ht="13.5" thickBot="1" x14ac:dyDescent="0.25">
      <c r="A60" s="389" t="s">
        <v>259</v>
      </c>
      <c r="B60" s="390">
        <f>SUM(B54:B58)</f>
        <v>0</v>
      </c>
      <c r="C60" s="391"/>
      <c r="D60" s="2307"/>
      <c r="E60" s="2310"/>
      <c r="G60" s="62"/>
    </row>
    <row r="61" spans="1:8" x14ac:dyDescent="0.2">
      <c r="A61" s="62"/>
      <c r="B61" s="62"/>
      <c r="C61" s="62"/>
      <c r="D61" s="62"/>
      <c r="E61" s="62"/>
      <c r="F61" s="62"/>
      <c r="G61" s="62"/>
    </row>
  </sheetData>
  <mergeCells count="11">
    <mergeCell ref="H10:L10"/>
    <mergeCell ref="A13:G13"/>
    <mergeCell ref="A12:G12"/>
    <mergeCell ref="D59:D60"/>
    <mergeCell ref="E59:E60"/>
    <mergeCell ref="E54:E55"/>
    <mergeCell ref="A9:G9"/>
    <mergeCell ref="A10:G10"/>
    <mergeCell ref="A16:B16"/>
    <mergeCell ref="C16:D16"/>
    <mergeCell ref="D54:D55"/>
  </mergeCells>
  <phoneticPr fontId="0" type="noConversion"/>
  <dataValidations xWindow="95" yWindow="494" count="8">
    <dataValidation operator="lessThanOrEqual" allowBlank="1" showInputMessage="1" showErrorMessage="1" promptTitle="Annual depreciation expense" prompt="Enter annual depreciation expense as a negative amount." sqref="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xr:uid="{00000000-0002-0000-2C00-000000000000}"/>
    <dataValidation allowBlank="1" showInputMessage="1" showErrorMessage="1" promptTitle="Name of Embedded Distributor" prompt="Input name of embedded Distributor" sqref="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C16 G17:G18" xr:uid="{00000000-0002-0000-2C00-000001000000}"/>
    <dataValidation allowBlank="1" showInputMessage="1" showErrorMessage="1" promptTitle="Date Format" prompt="E.g:  &quot;August 1, 2011&quot;" sqref="M7:N7 G7" xr:uid="{00000000-0002-0000-2C00-000002000000}"/>
    <dataValidation operator="lessThanOrEqual" allowBlank="1" showErrorMessage="1" promptTitle="Annual depreciation expense" prompt="Enter annual depreciation expense as a negative amount." sqref="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xr:uid="{00000000-0002-0000-2C00-000003000000}"/>
    <dataValidation allowBlank="1" showInputMessage="1" showErrorMessage="1" promptTitle="Gross Book Value" prompt="Enter original (Gross Book Value) of assets in dollars ($)" sqref="WVF33:WVF39 IT33:IT39 SP33:SP39 ACL33:ACL39 AMH33:AMH39 AWD33:AWD39 BFZ33:BFZ39 BPV33:BPV39 BZR33:BZR39 CJN33:CJN39 CTJ33:CTJ39 DDF33:DDF39 DNB33:DNB39 DWX33:DWX39 EGT33:EGT39 EQP33:EQP39 FAL33:FAL39 FKH33:FKH39 FUD33:FUD39 GDZ33:GDZ39 GNV33:GNV39 GXR33:GXR39 HHN33:HHN39 HRJ33:HRJ39 IBF33:IBF39 ILB33:ILB39 IUX33:IUX39 JET33:JET39 JOP33:JOP39 JYL33:JYL39 KIH33:KIH39 KSD33:KSD39 LBZ33:LBZ39 LLV33:LLV39 LVR33:LVR39 MFN33:MFN39 MPJ33:MPJ39 MZF33:MZF39 NJB33:NJB39 NSX33:NSX39 OCT33:OCT39 OMP33:OMP39 OWL33:OWL39 PGH33:PGH39 PQD33:PQD39 PZZ33:PZZ39 QJV33:QJV39 QTR33:QTR39 RDN33:RDN39 RNJ33:RNJ39 RXF33:RXF39 SHB33:SHB39 SQX33:SQX39 TAT33:TAT39 TKP33:TKP39 TUL33:TUL39 UEH33:UEH39 UOD33:UOD39 UXZ33:UXZ39 VHV33:VHV39 VRR33:VRR39 WBN33:WBN39 WLJ33:WLJ39 C23:C29" xr:uid="{00000000-0002-0000-2C00-000004000000}"/>
    <dataValidation allowBlank="1" showInputMessage="1" showErrorMessage="1" promptTitle="OM&amp;A expenses" prompt="Enter OM&amp;A expenses in dollars ($)" sqref="WBS18:WBS24 IR33:IR39 SN33:SN39 ACJ33:ACJ39 AMF33:AMF39 AWB33:AWB39 BFX33:BFX39 BPT33:BPT39 BZP33:BZP39 CJL33:CJL39 CTH33:CTH39 DDD33:DDD39 DMZ33:DMZ39 DWV33:DWV39 EGR33:EGR39 EQN33:EQN39 FAJ33:FAJ39 FKF33:FKF39 FUB33:FUB39 GDX33:GDX39 GNT33:GNT39 GXP33:GXP39 HHL33:HHL39 HRH33:HRH39 IBD33:IBD39 IKZ33:IKZ39 IUV33:IUV39 JER33:JER39 JON33:JON39 JYJ33:JYJ39 KIF33:KIF39 KSB33:KSB39 LBX33:LBX39 LLT33:LLT39 LVP33:LVP39 MFL33:MFL39 MPH33:MPH39 MZD33:MZD39 NIZ33:NIZ39 NSV33:NSV39 OCR33:OCR39 OMN33:OMN39 OWJ33:OWJ39 PGF33:PGF39 PQB33:PQB39 PZX33:PZX39 QJT33:QJT39 QTP33:QTP39 RDL33:RDL39 RNH33:RNH39 RXD33:RXD39 SGZ33:SGZ39 SQV33:SQV39 TAR33:TAR39 TKN33:TKN39 TUJ33:TUJ39 UEF33:UEF39 UOB33:UOB39 UXX33:UXX39 VHT33:VHT39 VRP33:VRP39 WBL33:WBL39 WLH33:WLH39 WVD33:WVD39 WLM18:WLM24 WVE18:WVE22 WLI18:WLI22 WBM18:WBM22 VRQ18:VRQ22 VHU18:VHU22 UXY18:UXY22 UOC18:UOC22 UEG18:UEG22 TUK18:TUK22 TKO18:TKO22 TAS18:TAS22 SQW18:SQW22 SHA18:SHA22 RXE18:RXE22 RNI18:RNI22 RDM18:RDM22 QTQ18:QTQ22 QJU18:QJU22 PZY18:PZY22 PQC18:PQC22 PGG18:PGG22 OWK18:OWK22 OMO18:OMO22 OCS18:OCS22 NSW18:NSW22 NJA18:NJA22 MZE18:MZE22 MPI18:MPI22 MFM18:MFM22 LVQ18:LVQ22 LLU18:LLU22 LBY18:LBY22 KSC18:KSC22 KIG18:KIG22 JYK18:JYK22 JOO18:JOO22 JES18:JES22 IUW18:IUW22 ILA18:ILA22 IBE18:IBE22 HRI18:HRI22 HHM18:HHM22 GXQ18:GXQ22 GNU18:GNU22 GDY18:GDY22 FUC18:FUC22 FKG18:FKG22 FAK18:FAK22 EQO18:EQO22 EGS18:EGS22 DWW18:DWW22 DNA18:DNA22 DDE18:DDE22 CTI18:CTI22 CJM18:CJM22 BZQ18:BZQ22 BPU18:BPU22 BFY18:BFY22 AWC18:AWC22 AMG18:AMG22 ACK18:ACK22 SO18:SO22 IS18:IS22 WVG18:WVG22 IU18:IU22 SQ18:SQ22 ACM18:ACM22 AMI18:AMI22 AWE18:AWE22 BGA18:BGA22 BPW18:BPW22 BZS18:BZS22 CJO18:CJO22 CTK18:CTK22 DDG18:DDG22 DNC18:DNC22 DWY18:DWY22 EGU18:EGU22 EQQ18:EQQ22 FAM18:FAM22 FKI18:FKI22 FUE18:FUE22 GEA18:GEA22 GNW18:GNW22 GXS18:GXS22 HHO18:HHO22 HRK18:HRK22 IBG18:IBG22 ILC18:ILC22 IUY18:IUY22 JEU18:JEU22 JOQ18:JOQ22 JYM18:JYM22 KII18:KII22 KSE18:KSE22 LCA18:LCA22 LLW18:LLW22 LVS18:LVS22 MFO18:MFO22 MPK18:MPK22 MZG18:MZG22 NJC18:NJC22 NSY18:NSY22 OCU18:OCU22 OMQ18:OMQ22 OWM18:OWM22 PGI18:PGI22 PQE18:PQE22 QAA18:QAA22 QJW18:QJW22 QTS18:QTS22 RDO18:RDO22 RNK18:RNK22 RXG18:RXG22 SHC18:SHC22 SQY18:SQY22 TAU18:TAU22 TKQ18:TKQ22 TUM18:TUM22 UEI18:UEI22 UOE18:UOE22 UYA18:UYA22 VHW18:VHW22 VRS18:VRS22 WBO18:WBO22 WLK18:WLK22 WLO18:WLO24 WVQ23:WVQ24 WLU23:WLU24 WBY23:WBY24 VSC23:VSC24 VIG23:VIG24 UYK23:UYK24 UOO23:UOO24 UES23:UES24 TUW23:TUW24 TLA23:TLA24 TBE23:TBE24 SRI23:SRI24 SHM23:SHM24 RXQ23:RXQ24 RNU23:RNU24 RDY23:RDY24 QUC23:QUC24 QKG23:QKG24 QAK23:QAK24 PQO23:PQO24 PGS23:PGS24 OWW23:OWW24 ONA23:ONA24 ODE23:ODE24 NTI23:NTI24 NJM23:NJM24 MZQ23:MZQ24 MPU23:MPU24 MFY23:MFY24 LWC23:LWC24 LMG23:LMG24 LCK23:LCK24 KSO23:KSO24 KIS23:KIS24 JYW23:JYW24 JPA23:JPA24 JFE23:JFE24 IVI23:IVI24 ILM23:ILM24 IBQ23:IBQ24 HRU23:HRU24 HHY23:HHY24 GYC23:GYC24 GOG23:GOG24 GEK23:GEK24 FUO23:FUO24 FKS23:FKS24 FAW23:FAW24 ERA23:ERA24 EHE23:EHE24 DXI23:DXI24 DNM23:DNM24 DDQ23:DDQ24 CTU23:CTU24 CJY23:CJY24 CAC23:CAC24 BQG23:BQG24 BGK23:BGK24 AWO23:AWO24 AMS23:AMS24 ACW23:ACW24 TA23:TA24 JE23:JE24 I23:I24 WBQ18:WBQ24 WVI18:WVI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JA18:JA24 SW18:SW24 ACS18:ACS24 AMO18:AMO24 AWK18:AWK24 BGG18:BGG24 BQC18:BQC24 BZY18:BZY24 CJU18:CJU24 CTQ18:CTQ24 DDM18:DDM24 DNI18:DNI24 DXE18:DXE24 EHA18:EHA24 EQW18:EQW24 FAS18:FAS24 FKO18:FKO24 FUK18:FUK24 GEG18:GEG24 GOC18:GOC24 GXY18:GXY24 HHU18:HHU24 HRQ18:HRQ24 IBM18:IBM24 ILI18:ILI24 IVE18:IVE24 JFA18:JFA24 JOW18:JOW24 JYS18:JYS24 KIO18:KIO24 KSK18:KSK24 LCG18:LCG24 LMC18:LMC24 LVY18:LVY24 MFU18:MFU24 MPQ18:MPQ24 MZM18:MZM24 NJI18:NJI24 NTE18:NTE24 ODA18:ODA24 OMW18:OMW24 OWS18:OWS24 PGO18:PGO24 PQK18:PQK24 QAG18:QAG24 QKC18:QKC24 QTY18:QTY24 RDU18:RDU24 RNQ18:RNQ24 RXM18:RXM24 SHI18:SHI24 SRE18:SRE24 TBA18:TBA24 TKW18:TKW24 TUS18:TUS24 UEO18:UEO24 UOK18:UOK24 UYG18:UYG24 VIC18:VIC24 VRY18:VRY24 WBU18:WBU24 WLQ18:WLQ24 WVK18:WVK24 WVM18:WVM24 IW18:IW24 IY18:IY24 SS18:SS24 SU18:SU24 ACO18:ACO24 ACQ18:ACQ24 AMK18:AMK24 AMM18:AMM24 AWG18:AWG24 AWI18:AWI24 BGC18:BGC24 BGE18:BGE24 BPY18:BPY24 BQA18:BQA24 BZU18:BZU24 BZW18:BZW24 CJQ18:CJQ24 CJS18:CJS24 CTM18:CTM24 CTO18:CTO24 DDI18:DDI24 DDK18:DDK24 DNE18:DNE24 DNG18:DNG24 DXA18:DXA24 DXC18:DXC24 EGW18:EGW24 EGY18:EGY24 EQS18:EQS24 EQU18:EQU24 FAO18:FAO24 FAQ18:FAQ24 FKK18:FKK24 FKM18:FKM24 FUG18:FUG24 FUI18:FUI24 GEC18:GEC24 GEE18:GEE24 GNY18:GNY24 GOA18:GOA24 GXU18:GXU24 GXW18:GXW24 HHQ18:HHQ24 HHS18:HHS24 HRM18:HRM24 HRO18:HRO24 IBI18:IBI24 IBK18:IBK24 ILE18:ILE24 ILG18:ILG24 IVA18:IVA24 IVC18:IVC24 JEW18:JEW24 JEY18:JEY24 JOS18:JOS24 JOU18:JOU24 JYO18:JYO24 JYQ18:JYQ24 KIK18:KIK24 KIM18:KIM24 KSG18:KSG24 KSI18:KSI24 LCC18:LCC24 LCE18:LCE24 LLY18:LLY24 LMA18:LMA24 LVU18:LVU24 LVW18:LVW24 MFQ18:MFQ24 MFS18:MFS24 MPM18:MPM24 MPO18:MPO24 MZI18:MZI24 MZK18:MZK24 NJE18:NJE24 NJG18:NJG24 NTA18:NTA24 NTC18:NTC24 OCW18:OCW24 OCY18:OCY24 OMS18:OMS24 OMU18:OMU24 OWO18:OWO24 OWQ18:OWQ24 PGK18:PGK24 PGM18:PGM24 PQG18:PQG24 PQI18:PQI24 QAC18:QAC24 QAE18:QAE24 QJY18:QJY24 QKA18:QKA24 QTU18:QTU24 QTW18:QTW24 RDQ18:RDQ24 RDS18:RDS24 RNM18:RNM24 RNO18:RNO24 RXI18:RXI24 RXK18:RXK24 SHE18:SHE24 SHG18:SHG24 SRA18:SRA24 SRC18:SRC24 TAW18:TAW24 TAY18:TAY24 TKS18:TKS24 TKU18:TKU24 TUO18:TUO24 TUQ18:TUQ24 UEK18:UEK24 UEM18:UEM24 UOG18:UOG24 UOI18:UOI24 UYC18:UYC24 UYE18:UYE24 VHY18:VHY24 VIA18:VIA24 VRU18:VRU24 VRW18:VRW24 B23:B29" xr:uid="{00000000-0002-0000-2C00-000005000000}"/>
    <dataValidation type="decimal" operator="lessThanOrEqual" allowBlank="1" showInputMessage="1" showErrorMessage="1" promptTitle="Annual depreciation expense" prompt="Enter annual depreciation expense as a negative amount." sqref="WVJ33:WVJ39 IX33:IX39 ST33:ST39 ACP33:ACP39 AML33:AML39 AWH33:AWH39 BGD33:BGD39 BPZ33:BPZ39 BZV33:BZV39 CJR33:CJR39 CTN33:CTN39 DDJ33:DDJ39 DNF33:DNF39 DXB33:DXB39 EGX33:EGX39 EQT33:EQT39 FAP33:FAP39 FKL33:FKL39 FUH33:FUH39 GED33:GED39 GNZ33:GNZ39 GXV33:GXV39 HHR33:HHR39 HRN33:HRN39 IBJ33:IBJ39 ILF33:ILF39 IVB33:IVB39 JEX33:JEX39 JOT33:JOT39 JYP33:JYP39 KIL33:KIL39 KSH33:KSH39 LCD33:LCD39 LLZ33:LLZ39 LVV33:LVV39 MFR33:MFR39 MPN33:MPN39 MZJ33:MZJ39 NJF33:NJF39 NTB33:NTB39 OCX33:OCX39 OMT33:OMT39 OWP33:OWP39 PGL33:PGL39 PQH33:PQH39 QAD33:QAD39 QJZ33:QJZ39 QTV33:QTV39 RDR33:RDR39 RNN33:RNN39 RXJ33:RXJ39 SHF33:SHF39 SRB33:SRB39 TAX33:TAX39 TKT33:TKT39 TUP33:TUP39 UEL33:UEL39 UOH33:UOH39 UYD33:UYD39 VHZ33:VHZ39 VRV33:VRV39 WBR33:WBR39 WLN33:WLN39 E23:E29" xr:uid="{00000000-0002-0000-2C00-000006000000}">
      <formula1>0</formula1>
    </dataValidation>
    <dataValidation type="decimal" operator="lessThanOrEqual" allowBlank="1" showInputMessage="1" showErrorMessage="1" promptTitle="Accumulated depreciation" prompt="Enter accumulated depreciation as a negative amount." sqref="WVH33:WVH39 IV33:IV39 SR33:SR39 ACN33:ACN39 AMJ33:AMJ39 AWF33:AWF39 BGB33:BGB39 BPX33:BPX39 BZT33:BZT39 CJP33:CJP39 CTL33:CTL39 DDH33:DDH39 DND33:DND39 DWZ33:DWZ39 EGV33:EGV39 EQR33:EQR39 FAN33:FAN39 FKJ33:FKJ39 FUF33:FUF39 GEB33:GEB39 GNX33:GNX39 GXT33:GXT39 HHP33:HHP39 HRL33:HRL39 IBH33:IBH39 ILD33:ILD39 IUZ33:IUZ39 JEV33:JEV39 JOR33:JOR39 JYN33:JYN39 KIJ33:KIJ39 KSF33:KSF39 LCB33:LCB39 LLX33:LLX39 LVT33:LVT39 MFP33:MFP39 MPL33:MPL39 MZH33:MZH39 NJD33:NJD39 NSZ33:NSZ39 OCV33:OCV39 OMR33:OMR39 OWN33:OWN39 PGJ33:PGJ39 PQF33:PQF39 QAB33:QAB39 QJX33:QJX39 QTT33:QTT39 RDP33:RDP39 RNL33:RNL39 RXH33:RXH39 SHD33:SHD39 SQZ33:SQZ39 TAV33:TAV39 TKR33:TKR39 TUN33:TUN39 UEJ33:UEJ39 UOF33:UOF39 UYB33:UYB39 VHX33:VHX39 VRT33:VRT39 WBP33:WBP39 WLL33:WLL39 D23:D29" xr:uid="{00000000-0002-0000-2C00-000007000000}">
      <formula1>0</formula1>
    </dataValidation>
  </dataValidations>
  <pageMargins left="0.75" right="0.75" top="1" bottom="1" header="0.5" footer="0.5"/>
  <pageSetup scale="67" fitToHeight="2" orientation="landscape" r:id="rId1"/>
  <headerFooter alignWithMargins="0"/>
  <rowBreaks count="1" manualBreakCount="1">
    <brk id="38"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9">
    <tabColor theme="6" tint="0.39997558519241921"/>
  </sheetPr>
  <dimension ref="B1:I71"/>
  <sheetViews>
    <sheetView showGridLines="0" topLeftCell="A16" zoomScaleNormal="100" workbookViewId="0">
      <selection activeCell="H25" sqref="H25"/>
    </sheetView>
  </sheetViews>
  <sheetFormatPr defaultColWidth="9.28515625" defaultRowHeight="12.75" x14ac:dyDescent="0.2"/>
  <cols>
    <col min="1" max="1" width="2.28515625" style="1" customWidth="1"/>
    <col min="2" max="2" width="8.7109375" style="1" customWidth="1"/>
    <col min="3" max="3" width="30.7109375" style="1" customWidth="1"/>
    <col min="4" max="8" width="12.7109375" style="1" customWidth="1"/>
    <col min="9" max="9" width="14.7109375" style="1" customWidth="1"/>
    <col min="10" max="16384" width="9.28515625" style="1"/>
  </cols>
  <sheetData>
    <row r="1" spans="2:9" x14ac:dyDescent="0.2">
      <c r="H1" s="993" t="s">
        <v>264</v>
      </c>
      <c r="I1" s="875" t="str">
        <f>EBNUMBER</f>
        <v>EB-2019-0037</v>
      </c>
    </row>
    <row r="2" spans="2:9" x14ac:dyDescent="0.2">
      <c r="H2" s="993" t="s">
        <v>265</v>
      </c>
      <c r="I2" s="41"/>
    </row>
    <row r="3" spans="2:9" x14ac:dyDescent="0.2">
      <c r="H3" s="993" t="s">
        <v>266</v>
      </c>
      <c r="I3" s="41"/>
    </row>
    <row r="4" spans="2:9" x14ac:dyDescent="0.2">
      <c r="H4" s="993" t="s">
        <v>267</v>
      </c>
      <c r="I4" s="41"/>
    </row>
    <row r="5" spans="2:9" x14ac:dyDescent="0.2">
      <c r="H5" s="993" t="s">
        <v>268</v>
      </c>
      <c r="I5" s="42"/>
    </row>
    <row r="6" spans="2:9" x14ac:dyDescent="0.2">
      <c r="H6" s="993"/>
      <c r="I6" s="875"/>
    </row>
    <row r="7" spans="2:9" x14ac:dyDescent="0.2">
      <c r="H7" s="993" t="s">
        <v>269</v>
      </c>
      <c r="I7" s="1448"/>
    </row>
    <row r="9" spans="2:9" ht="18" x14ac:dyDescent="0.25">
      <c r="B9" s="1856" t="s">
        <v>358</v>
      </c>
      <c r="C9" s="1856"/>
      <c r="D9" s="1856"/>
      <c r="E9" s="1856"/>
      <c r="F9" s="1856"/>
      <c r="G9" s="1856"/>
      <c r="H9" s="1856"/>
      <c r="I9" s="1856"/>
    </row>
    <row r="10" spans="2:9" ht="18" x14ac:dyDescent="0.25">
      <c r="B10" s="1856" t="s">
        <v>93</v>
      </c>
      <c r="C10" s="1856"/>
      <c r="D10" s="1856"/>
      <c r="E10" s="1856"/>
      <c r="F10" s="1856"/>
      <c r="G10" s="1856"/>
      <c r="H10" s="1856"/>
      <c r="I10" s="1856"/>
    </row>
    <row r="11" spans="2:9" x14ac:dyDescent="0.2">
      <c r="B11" s="2313"/>
      <c r="C11" s="2313"/>
      <c r="D11" s="2313"/>
      <c r="E11" s="2313"/>
      <c r="F11" s="2313"/>
      <c r="G11" s="2313"/>
      <c r="H11" s="2313"/>
      <c r="I11" s="2313"/>
    </row>
    <row r="12" spans="2:9" ht="13.5" thickBot="1" x14ac:dyDescent="0.25"/>
    <row r="13" spans="2:9" x14ac:dyDescent="0.2">
      <c r="B13" s="2314"/>
      <c r="C13" s="2315"/>
      <c r="D13" s="2318" t="s">
        <v>121</v>
      </c>
      <c r="E13" s="2319"/>
      <c r="F13" s="2319"/>
      <c r="G13" s="2319"/>
      <c r="H13" s="2320"/>
      <c r="I13" s="2321" t="s">
        <v>122</v>
      </c>
    </row>
    <row r="14" spans="2:9" x14ac:dyDescent="0.2">
      <c r="B14" s="2316"/>
      <c r="C14" s="2317"/>
      <c r="D14" s="1522">
        <f>IF(ISBLANK('LDC Info'!E26-5), "Year 5", 'LDC Info'!E26-5)</f>
        <v>2014</v>
      </c>
      <c r="E14" s="1522">
        <f>IF(ISBLANK('LDC Info'!E26-4), "Year 5", 'LDC Info'!E26-4)</f>
        <v>2015</v>
      </c>
      <c r="F14" s="1522">
        <f>IF(ISBLANK('LDC Info'!E26-3), "Year 5", 'LDC Info'!E26-3)</f>
        <v>2016</v>
      </c>
      <c r="G14" s="1522">
        <f>IF(ISBLANK('LDC Info'!E26-2), "Year 5", 'LDC Info'!E26-2)</f>
        <v>2017</v>
      </c>
      <c r="H14" s="1522">
        <f>IF(ISBLANK('LDC Info'!E26-1), "Year 5", 'LDC Info'!E26-1)</f>
        <v>2018</v>
      </c>
      <c r="I14" s="2322"/>
    </row>
    <row r="15" spans="2:9" x14ac:dyDescent="0.2">
      <c r="B15" s="1242"/>
      <c r="C15" s="2323" t="s">
        <v>123</v>
      </c>
      <c r="D15" s="2324"/>
      <c r="E15" s="2324"/>
      <c r="F15" s="2324"/>
      <c r="G15" s="2324"/>
      <c r="H15" s="2324"/>
      <c r="I15" s="2325"/>
    </row>
    <row r="16" spans="2:9" ht="25.5" x14ac:dyDescent="0.2">
      <c r="B16" s="1243" t="s">
        <v>124</v>
      </c>
      <c r="C16" s="1201" t="s">
        <v>125</v>
      </c>
      <c r="D16" s="392">
        <v>972464694.73656726</v>
      </c>
      <c r="E16" s="392">
        <v>927945069.62831962</v>
      </c>
      <c r="F16" s="392">
        <v>900566483.02833998</v>
      </c>
      <c r="G16" s="392">
        <v>884126814.27200007</v>
      </c>
      <c r="H16" s="392">
        <v>913002830.75032568</v>
      </c>
      <c r="I16" s="1244">
        <f>IF(SUM(D16:H16)=0,0,AVERAGE(D16:H16))</f>
        <v>919621178.48311043</v>
      </c>
    </row>
    <row r="17" spans="2:9" ht="25.5" x14ac:dyDescent="0.2">
      <c r="B17" s="1243" t="s">
        <v>126</v>
      </c>
      <c r="C17" s="1201" t="s">
        <v>127</v>
      </c>
      <c r="D17" s="392">
        <v>965161905.4363184</v>
      </c>
      <c r="E17" s="392">
        <v>921010921.72777724</v>
      </c>
      <c r="F17" s="392">
        <v>893775064.33209682</v>
      </c>
      <c r="G17" s="392">
        <v>877510999.56138921</v>
      </c>
      <c r="H17" s="392">
        <v>906173544.71055138</v>
      </c>
      <c r="I17" s="1244">
        <f>IF(SUM(D17:H17)=0,0,AVERAGE(D17:H17))</f>
        <v>912726487.15362668</v>
      </c>
    </row>
    <row r="18" spans="2:9" ht="38.25" x14ac:dyDescent="0.2">
      <c r="B18" s="1243" t="s">
        <v>128</v>
      </c>
      <c r="C18" s="1201" t="s">
        <v>129</v>
      </c>
      <c r="D18" s="392"/>
      <c r="E18" s="392"/>
      <c r="F18" s="392"/>
      <c r="G18" s="392"/>
      <c r="H18" s="392"/>
      <c r="I18" s="1244">
        <f>IF(SUM(D18:H18)=0,0,AVERAGE(D18:H18))</f>
        <v>0</v>
      </c>
    </row>
    <row r="19" spans="2:9" ht="25.5" x14ac:dyDescent="0.2">
      <c r="B19" s="1243" t="s">
        <v>130</v>
      </c>
      <c r="C19" s="1201" t="s">
        <v>142</v>
      </c>
      <c r="D19" s="1245">
        <f t="shared" ref="D19:I19" si="0">D17-D18</f>
        <v>965161905.4363184</v>
      </c>
      <c r="E19" s="1245">
        <f t="shared" si="0"/>
        <v>921010921.72777724</v>
      </c>
      <c r="F19" s="1245">
        <f t="shared" si="0"/>
        <v>893775064.33209682</v>
      </c>
      <c r="G19" s="1245">
        <f t="shared" si="0"/>
        <v>877510999.56138921</v>
      </c>
      <c r="H19" s="1245">
        <f t="shared" si="0"/>
        <v>906173544.71055138</v>
      </c>
      <c r="I19" s="1246">
        <f t="shared" si="0"/>
        <v>912726487.15362668</v>
      </c>
    </row>
    <row r="20" spans="2:9" ht="14.25" customHeight="1" x14ac:dyDescent="0.2">
      <c r="B20" s="1243" t="s">
        <v>131</v>
      </c>
      <c r="C20" s="1201" t="s">
        <v>132</v>
      </c>
      <c r="D20" s="392">
        <v>925991840.11999905</v>
      </c>
      <c r="E20" s="392">
        <v>886098301.4599998</v>
      </c>
      <c r="F20" s="392">
        <v>853279710.72000027</v>
      </c>
      <c r="G20" s="392">
        <v>844346736.85000002</v>
      </c>
      <c r="H20" s="392">
        <v>879196512.5</v>
      </c>
      <c r="I20" s="1244">
        <f>IF(SUM(D20:H20)=0,0,AVERAGE(D20:H20))</f>
        <v>877782620.32999992</v>
      </c>
    </row>
    <row r="21" spans="2:9" ht="38.25" x14ac:dyDescent="0.2">
      <c r="B21" s="1243" t="s">
        <v>133</v>
      </c>
      <c r="C21" s="1201" t="s">
        <v>134</v>
      </c>
      <c r="D21" s="393"/>
      <c r="E21" s="392"/>
      <c r="F21" s="392"/>
      <c r="G21" s="392"/>
      <c r="H21" s="392"/>
      <c r="I21" s="1244">
        <f>IF(SUM(D21:H21)=0,0,AVERAGE(D21:H21))</f>
        <v>0</v>
      </c>
    </row>
    <row r="22" spans="2:9" ht="25.5" x14ac:dyDescent="0.2">
      <c r="B22" s="1243" t="s">
        <v>135</v>
      </c>
      <c r="C22" s="1201" t="s">
        <v>143</v>
      </c>
      <c r="D22" s="1245">
        <f t="shared" ref="D22:I22" si="1">D20-D21</f>
        <v>925991840.11999905</v>
      </c>
      <c r="E22" s="1245">
        <f t="shared" si="1"/>
        <v>886098301.4599998</v>
      </c>
      <c r="F22" s="1245">
        <f t="shared" si="1"/>
        <v>853279710.72000027</v>
      </c>
      <c r="G22" s="1245">
        <f t="shared" si="1"/>
        <v>844346736.85000002</v>
      </c>
      <c r="H22" s="1245">
        <f t="shared" si="1"/>
        <v>879196512.5</v>
      </c>
      <c r="I22" s="1246">
        <f t="shared" si="1"/>
        <v>877782620.32999992</v>
      </c>
    </row>
    <row r="23" spans="2:9" ht="25.5" x14ac:dyDescent="0.2">
      <c r="B23" s="1243" t="s">
        <v>136</v>
      </c>
      <c r="C23" s="1201" t="s">
        <v>144</v>
      </c>
      <c r="D23" s="1247">
        <f t="shared" ref="D23:I23" si="2">IF(D22=0,"",D19/D22)</f>
        <v>1.0423006592706512</v>
      </c>
      <c r="E23" s="1247">
        <f t="shared" si="2"/>
        <v>1.0394003918191164</v>
      </c>
      <c r="F23" s="1247">
        <f t="shared" si="2"/>
        <v>1.0474584747572708</v>
      </c>
      <c r="G23" s="1247">
        <f t="shared" si="2"/>
        <v>1.0392780137163968</v>
      </c>
      <c r="H23" s="1247">
        <f t="shared" si="2"/>
        <v>1.0306837343267456</v>
      </c>
      <c r="I23" s="1248">
        <f t="shared" si="2"/>
        <v>1.0398092489123214</v>
      </c>
    </row>
    <row r="24" spans="2:9" ht="13.5" customHeight="1" x14ac:dyDescent="0.2">
      <c r="B24" s="1249"/>
      <c r="C24" s="2326" t="s">
        <v>138</v>
      </c>
      <c r="D24" s="2327"/>
      <c r="E24" s="2327"/>
      <c r="F24" s="2327"/>
      <c r="G24" s="2327"/>
      <c r="H24" s="2327"/>
      <c r="I24" s="2328"/>
    </row>
    <row r="25" spans="2:9" x14ac:dyDescent="0.2">
      <c r="B25" s="1243" t="s">
        <v>137</v>
      </c>
      <c r="C25" s="1201" t="s">
        <v>139</v>
      </c>
      <c r="D25" s="1596">
        <f>D16/D17</f>
        <v>1.0075663878351555</v>
      </c>
      <c r="E25" s="1596">
        <f>E16/E17</f>
        <v>1.0075288443784511</v>
      </c>
      <c r="F25" s="1596">
        <f>F16/F17</f>
        <v>1.0075985770550875</v>
      </c>
      <c r="G25" s="1596">
        <f>G16/G17</f>
        <v>1.0075392954776836</v>
      </c>
      <c r="H25" s="1596">
        <f>H16/H17</f>
        <v>1.0075363997102296</v>
      </c>
      <c r="I25" s="1250">
        <f>IF(SUM(D25:H25)=0,0,AVERAGE(D25:H25))</f>
        <v>1.0075539008913215</v>
      </c>
    </row>
    <row r="26" spans="2:9" x14ac:dyDescent="0.2">
      <c r="B26" s="1249"/>
      <c r="C26" s="2326" t="s">
        <v>140</v>
      </c>
      <c r="D26" s="2327"/>
      <c r="E26" s="2327"/>
      <c r="F26" s="2327"/>
      <c r="G26" s="2327"/>
      <c r="H26" s="2327"/>
      <c r="I26" s="2328"/>
    </row>
    <row r="27" spans="2:9" ht="13.5" thickBot="1" x14ac:dyDescent="0.25">
      <c r="B27" s="1251" t="s">
        <v>141</v>
      </c>
      <c r="C27" s="1252" t="s">
        <v>145</v>
      </c>
      <c r="D27" s="1253">
        <f t="shared" ref="D27:I27" si="3">IF(D23="","",D23*D25)</f>
        <v>1.0501871102995313</v>
      </c>
      <c r="E27" s="1253">
        <f t="shared" si="3"/>
        <v>1.0472258756160235</v>
      </c>
      <c r="F27" s="1253">
        <f t="shared" si="3"/>
        <v>1.0554176686897183</v>
      </c>
      <c r="G27" s="1253">
        <f t="shared" si="3"/>
        <v>1.0471134377452649</v>
      </c>
      <c r="H27" s="1253">
        <f t="shared" si="3"/>
        <v>1.0384513789234642</v>
      </c>
      <c r="I27" s="1254">
        <f t="shared" si="3"/>
        <v>1.0476638649244845</v>
      </c>
    </row>
    <row r="29" spans="2:9" x14ac:dyDescent="0.2">
      <c r="B29" s="944" t="s">
        <v>6</v>
      </c>
    </row>
    <row r="31" spans="2:9" x14ac:dyDescent="0.2">
      <c r="B31" s="942" t="s">
        <v>124</v>
      </c>
      <c r="C31" s="2329" t="s">
        <v>245</v>
      </c>
      <c r="D31" s="2329"/>
      <c r="E31" s="2329"/>
      <c r="F31" s="2329"/>
      <c r="G31" s="2329"/>
      <c r="H31" s="2329"/>
      <c r="I31" s="2329"/>
    </row>
    <row r="32" spans="2:9" x14ac:dyDescent="0.2">
      <c r="B32" s="1255"/>
      <c r="C32" s="2329"/>
      <c r="D32" s="2329"/>
      <c r="E32" s="2329"/>
      <c r="F32" s="2329"/>
      <c r="G32" s="2329"/>
      <c r="H32" s="2329"/>
      <c r="I32" s="2329"/>
    </row>
    <row r="33" spans="2:9" x14ac:dyDescent="0.2">
      <c r="B33" s="1255"/>
      <c r="C33" s="2329"/>
      <c r="D33" s="2329"/>
      <c r="E33" s="2329"/>
      <c r="F33" s="2329"/>
      <c r="G33" s="2329"/>
      <c r="H33" s="2329"/>
      <c r="I33" s="2329"/>
    </row>
    <row r="34" spans="2:9" ht="7.5" customHeight="1" x14ac:dyDescent="0.2">
      <c r="B34" s="1255"/>
      <c r="C34" s="10"/>
      <c r="D34" s="10"/>
      <c r="E34" s="10"/>
      <c r="F34" s="10"/>
      <c r="G34" s="10"/>
      <c r="H34" s="10"/>
      <c r="I34" s="10"/>
    </row>
    <row r="35" spans="2:9" x14ac:dyDescent="0.2">
      <c r="B35" s="1255"/>
      <c r="C35" s="2329" t="s">
        <v>246</v>
      </c>
      <c r="D35" s="2329"/>
      <c r="E35" s="2329"/>
      <c r="F35" s="2329"/>
      <c r="G35" s="2329"/>
      <c r="H35" s="2329"/>
      <c r="I35" s="2329"/>
    </row>
    <row r="36" spans="2:9" x14ac:dyDescent="0.2">
      <c r="B36" s="1255"/>
      <c r="C36" s="2329"/>
      <c r="D36" s="2329"/>
      <c r="E36" s="2329"/>
      <c r="F36" s="2329"/>
      <c r="G36" s="2329"/>
      <c r="H36" s="2329"/>
      <c r="I36" s="2329"/>
    </row>
    <row r="37" spans="2:9" x14ac:dyDescent="0.2">
      <c r="B37" s="1255"/>
      <c r="C37" s="2329"/>
      <c r="D37" s="2329"/>
      <c r="E37" s="2329"/>
      <c r="F37" s="2329"/>
      <c r="G37" s="2329"/>
      <c r="H37" s="2329"/>
      <c r="I37" s="2329"/>
    </row>
    <row r="38" spans="2:9" x14ac:dyDescent="0.2">
      <c r="B38" s="1255"/>
      <c r="C38" s="2329"/>
      <c r="D38" s="2329"/>
      <c r="E38" s="2329"/>
      <c r="F38" s="2329"/>
      <c r="G38" s="2329"/>
      <c r="H38" s="2329"/>
      <c r="I38" s="2329"/>
    </row>
    <row r="39" spans="2:9" ht="7.5" customHeight="1" x14ac:dyDescent="0.2">
      <c r="B39" s="1255"/>
      <c r="C39" s="10"/>
      <c r="D39" s="10"/>
      <c r="E39" s="10"/>
      <c r="F39" s="10"/>
      <c r="G39" s="10"/>
      <c r="H39" s="10"/>
      <c r="I39" s="10"/>
    </row>
    <row r="40" spans="2:9" x14ac:dyDescent="0.2">
      <c r="B40" s="1255"/>
      <c r="C40" s="10" t="s">
        <v>203</v>
      </c>
      <c r="D40" s="10"/>
      <c r="E40" s="10"/>
      <c r="F40" s="10"/>
      <c r="G40" s="10"/>
      <c r="H40" s="10"/>
      <c r="I40" s="10"/>
    </row>
    <row r="41" spans="2:9" ht="7.5" customHeight="1" x14ac:dyDescent="0.2">
      <c r="B41" s="1255"/>
      <c r="C41" s="10"/>
      <c r="D41" s="10"/>
      <c r="E41" s="10"/>
      <c r="F41" s="10"/>
      <c r="G41" s="10"/>
      <c r="H41" s="10"/>
      <c r="I41" s="10"/>
    </row>
    <row r="42" spans="2:9" x14ac:dyDescent="0.2">
      <c r="B42" s="942" t="s">
        <v>126</v>
      </c>
      <c r="C42" s="2329" t="s">
        <v>247</v>
      </c>
      <c r="D42" s="2329"/>
      <c r="E42" s="2329"/>
      <c r="F42" s="2329"/>
      <c r="G42" s="2329"/>
      <c r="H42" s="2329"/>
      <c r="I42" s="2329"/>
    </row>
    <row r="43" spans="2:9" x14ac:dyDescent="0.2">
      <c r="B43" s="1255"/>
      <c r="C43" s="2329"/>
      <c r="D43" s="2329"/>
      <c r="E43" s="2329"/>
      <c r="F43" s="2329"/>
      <c r="G43" s="2329"/>
      <c r="H43" s="2329"/>
      <c r="I43" s="2329"/>
    </row>
    <row r="44" spans="2:9" x14ac:dyDescent="0.2">
      <c r="B44" s="1255"/>
      <c r="C44" s="2329"/>
      <c r="D44" s="2329"/>
      <c r="E44" s="2329"/>
      <c r="F44" s="2329"/>
      <c r="G44" s="2329"/>
      <c r="H44" s="2329"/>
      <c r="I44" s="2329"/>
    </row>
    <row r="45" spans="2:9" ht="7.5" customHeight="1" x14ac:dyDescent="0.2">
      <c r="B45" s="1255"/>
      <c r="C45" s="10"/>
      <c r="D45" s="10"/>
      <c r="E45" s="10"/>
      <c r="F45" s="10"/>
      <c r="G45" s="10"/>
      <c r="H45" s="10"/>
      <c r="I45" s="10"/>
    </row>
    <row r="46" spans="2:9" ht="12.75" customHeight="1" x14ac:dyDescent="0.2">
      <c r="B46" s="1255"/>
      <c r="C46" s="2330" t="s">
        <v>526</v>
      </c>
      <c r="D46" s="2330"/>
      <c r="E46" s="2330"/>
      <c r="F46" s="2330"/>
      <c r="G46" s="2330"/>
      <c r="H46" s="2330"/>
      <c r="I46" s="2330"/>
    </row>
    <row r="47" spans="2:9" x14ac:dyDescent="0.2">
      <c r="B47" s="1255"/>
      <c r="C47" s="2330"/>
      <c r="D47" s="2330"/>
      <c r="E47" s="2330"/>
      <c r="F47" s="2330"/>
      <c r="G47" s="2330"/>
      <c r="H47" s="2330"/>
      <c r="I47" s="2330"/>
    </row>
    <row r="48" spans="2:9" x14ac:dyDescent="0.2">
      <c r="B48" s="1255"/>
      <c r="C48" s="2330"/>
      <c r="D48" s="2330"/>
      <c r="E48" s="2330"/>
      <c r="F48" s="2330"/>
      <c r="G48" s="2330"/>
      <c r="H48" s="2330"/>
      <c r="I48" s="2330"/>
    </row>
    <row r="49" spans="2:9" x14ac:dyDescent="0.2">
      <c r="B49" s="1255"/>
      <c r="C49" s="2330"/>
      <c r="D49" s="2330"/>
      <c r="E49" s="2330"/>
      <c r="F49" s="2330"/>
      <c r="G49" s="2330"/>
      <c r="H49" s="2330"/>
      <c r="I49" s="2330"/>
    </row>
    <row r="50" spans="2:9" ht="7.5" customHeight="1" x14ac:dyDescent="0.2">
      <c r="B50" s="1255"/>
      <c r="C50" s="10"/>
      <c r="D50" s="10"/>
      <c r="E50" s="10"/>
      <c r="F50" s="10"/>
      <c r="G50" s="10"/>
      <c r="H50" s="10"/>
      <c r="I50" s="10"/>
    </row>
    <row r="51" spans="2:9" x14ac:dyDescent="0.2">
      <c r="B51" s="1255"/>
      <c r="C51" s="2331" t="s">
        <v>203</v>
      </c>
      <c r="D51" s="2331"/>
      <c r="E51" s="2331"/>
      <c r="F51" s="2331"/>
      <c r="G51" s="2331"/>
      <c r="H51" s="2331"/>
      <c r="I51" s="2331"/>
    </row>
    <row r="52" spans="2:9" ht="7.5" customHeight="1" x14ac:dyDescent="0.2">
      <c r="B52" s="1255"/>
      <c r="C52" s="10"/>
      <c r="D52" s="10"/>
      <c r="E52" s="10"/>
      <c r="F52" s="10"/>
      <c r="G52" s="10"/>
      <c r="H52" s="10"/>
      <c r="I52" s="10"/>
    </row>
    <row r="53" spans="2:9" x14ac:dyDescent="0.2">
      <c r="B53" s="1255"/>
      <c r="C53" s="2329" t="s">
        <v>248</v>
      </c>
      <c r="D53" s="2329"/>
      <c r="E53" s="2329"/>
      <c r="F53" s="2329"/>
      <c r="G53" s="2329"/>
      <c r="H53" s="2329"/>
      <c r="I53" s="2329"/>
    </row>
    <row r="54" spans="2:9" x14ac:dyDescent="0.2">
      <c r="B54" s="1255"/>
      <c r="C54" s="2329"/>
      <c r="D54" s="2329"/>
      <c r="E54" s="2329"/>
      <c r="F54" s="2329"/>
      <c r="G54" s="2329"/>
      <c r="H54" s="2329"/>
      <c r="I54" s="2329"/>
    </row>
    <row r="55" spans="2:9" ht="7.5" customHeight="1" x14ac:dyDescent="0.2">
      <c r="B55" s="1255"/>
      <c r="C55" s="10"/>
      <c r="D55" s="10"/>
      <c r="E55" s="10"/>
      <c r="F55" s="10"/>
      <c r="G55" s="10"/>
      <c r="H55" s="10"/>
      <c r="I55" s="10"/>
    </row>
    <row r="56" spans="2:9" x14ac:dyDescent="0.2">
      <c r="B56" s="942" t="s">
        <v>128</v>
      </c>
      <c r="C56" s="2330" t="s">
        <v>1225</v>
      </c>
      <c r="D56" s="2329"/>
      <c r="E56" s="2329"/>
      <c r="F56" s="2329"/>
      <c r="G56" s="2329"/>
      <c r="H56" s="2329"/>
      <c r="I56" s="2329"/>
    </row>
    <row r="57" spans="2:9" ht="30" customHeight="1" x14ac:dyDescent="0.2">
      <c r="B57" s="1255"/>
      <c r="C57" s="2329"/>
      <c r="D57" s="2329"/>
      <c r="E57" s="2329"/>
      <c r="F57" s="2329"/>
      <c r="G57" s="2329"/>
      <c r="H57" s="2329"/>
      <c r="I57" s="2329"/>
    </row>
    <row r="58" spans="2:9" ht="7.5" customHeight="1" x14ac:dyDescent="0.2">
      <c r="B58" s="1255"/>
      <c r="C58" s="10"/>
      <c r="D58" s="10"/>
      <c r="E58" s="10"/>
      <c r="F58" s="10"/>
      <c r="G58" s="10"/>
      <c r="H58" s="10"/>
      <c r="I58" s="10"/>
    </row>
    <row r="59" spans="2:9" x14ac:dyDescent="0.2">
      <c r="B59" s="942" t="s">
        <v>131</v>
      </c>
      <c r="C59" s="2330" t="s">
        <v>372</v>
      </c>
      <c r="D59" s="2329"/>
      <c r="E59" s="2329"/>
      <c r="F59" s="2329"/>
      <c r="G59" s="2329"/>
      <c r="H59" s="2329"/>
      <c r="I59" s="2329"/>
    </row>
    <row r="60" spans="2:9" x14ac:dyDescent="0.2">
      <c r="B60" s="942"/>
      <c r="C60" s="1357"/>
      <c r="D60" s="1356"/>
      <c r="E60" s="1356"/>
      <c r="F60" s="1356"/>
      <c r="G60" s="1356"/>
      <c r="H60" s="1356"/>
      <c r="I60" s="1356"/>
    </row>
    <row r="61" spans="2:9" x14ac:dyDescent="0.2">
      <c r="B61" s="942" t="s">
        <v>133</v>
      </c>
      <c r="C61" s="2330" t="s">
        <v>1226</v>
      </c>
      <c r="D61" s="2329"/>
      <c r="E61" s="2329"/>
      <c r="F61" s="2329"/>
      <c r="G61" s="2329"/>
      <c r="H61" s="2329"/>
      <c r="I61" s="2329"/>
    </row>
    <row r="62" spans="2:9" x14ac:dyDescent="0.2">
      <c r="B62" s="1255"/>
      <c r="C62" s="10"/>
      <c r="D62" s="10"/>
      <c r="E62" s="10"/>
      <c r="F62" s="10"/>
      <c r="G62" s="10"/>
      <c r="H62" s="10"/>
      <c r="I62" s="10"/>
    </row>
    <row r="63" spans="2:9" x14ac:dyDescent="0.2">
      <c r="B63" s="942" t="s">
        <v>249</v>
      </c>
      <c r="C63" s="2331" t="s">
        <v>204</v>
      </c>
      <c r="D63" s="2331"/>
      <c r="E63" s="2331"/>
      <c r="F63" s="2331"/>
      <c r="G63" s="2331"/>
      <c r="H63" s="2331"/>
      <c r="I63" s="2331"/>
    </row>
    <row r="64" spans="2:9" x14ac:dyDescent="0.2">
      <c r="B64" s="1255"/>
      <c r="C64" s="10"/>
      <c r="D64" s="10"/>
      <c r="E64" s="10"/>
      <c r="F64" s="10"/>
      <c r="G64" s="10"/>
      <c r="H64" s="10"/>
      <c r="I64" s="10"/>
    </row>
    <row r="65" spans="2:9" x14ac:dyDescent="0.2">
      <c r="B65" s="942" t="s">
        <v>137</v>
      </c>
      <c r="C65" s="2333" t="s">
        <v>1227</v>
      </c>
      <c r="D65" s="2331"/>
      <c r="E65" s="2331"/>
      <c r="F65" s="2331"/>
      <c r="G65" s="2331"/>
      <c r="H65" s="2331"/>
      <c r="I65" s="2331"/>
    </row>
    <row r="66" spans="2:9" x14ac:dyDescent="0.2">
      <c r="B66" s="10"/>
      <c r="C66" s="10"/>
      <c r="D66" s="10"/>
      <c r="E66" s="10"/>
      <c r="F66" s="10"/>
      <c r="G66" s="10"/>
      <c r="H66" s="10"/>
      <c r="I66" s="10"/>
    </row>
    <row r="67" spans="2:9" x14ac:dyDescent="0.2">
      <c r="B67" s="10"/>
      <c r="C67" s="1356"/>
      <c r="D67" s="1356"/>
      <c r="E67" s="1356"/>
      <c r="F67" s="1356"/>
      <c r="G67" s="1356"/>
      <c r="H67" s="1356"/>
      <c r="I67" s="10"/>
    </row>
    <row r="68" spans="2:9" x14ac:dyDescent="0.2">
      <c r="B68" s="10"/>
      <c r="C68" s="1356"/>
      <c r="D68" s="1356"/>
      <c r="E68" s="1356"/>
      <c r="F68" s="1356"/>
      <c r="G68" s="1356"/>
      <c r="H68" s="1356"/>
      <c r="I68" s="10"/>
    </row>
    <row r="69" spans="2:9" x14ac:dyDescent="0.2">
      <c r="B69" s="10"/>
      <c r="C69" s="1356"/>
      <c r="D69" s="1356"/>
      <c r="E69" s="1356"/>
      <c r="F69" s="1356"/>
      <c r="G69" s="1356"/>
      <c r="H69" s="1356"/>
      <c r="I69" s="10"/>
    </row>
    <row r="70" spans="2:9" x14ac:dyDescent="0.2">
      <c r="B70" s="10"/>
      <c r="C70" s="10"/>
      <c r="D70" s="10"/>
      <c r="E70" s="10"/>
      <c r="F70" s="10"/>
      <c r="G70" s="10"/>
      <c r="H70" s="10"/>
      <c r="I70" s="10"/>
    </row>
    <row r="71" spans="2:9" x14ac:dyDescent="0.2">
      <c r="C71" s="2331"/>
      <c r="D71" s="2332"/>
      <c r="E71" s="2332"/>
      <c r="F71" s="2332"/>
      <c r="G71" s="2332"/>
      <c r="H71" s="2332"/>
      <c r="I71" s="2332"/>
    </row>
  </sheetData>
  <sheetProtection algorithmName="SHA-512" hashValue="z5kr08JPMpsHCzGim4534rKE1/f0BpJEb2+uv1gcS5CHv57pZLRI4GR0VmIvjMViHssiJgnKovSSGNYu9xmnew==" saltValue="2yTz1yZM/xlNj+hf8TzAug==" spinCount="100000" sheet="1" objects="1" scenarios="1"/>
  <mergeCells count="21">
    <mergeCell ref="C56:I57"/>
    <mergeCell ref="C59:I59"/>
    <mergeCell ref="C31:I33"/>
    <mergeCell ref="C71:I71"/>
    <mergeCell ref="C63:I63"/>
    <mergeCell ref="C65:I65"/>
    <mergeCell ref="C51:I51"/>
    <mergeCell ref="C61:I61"/>
    <mergeCell ref="C15:I15"/>
    <mergeCell ref="C24:I24"/>
    <mergeCell ref="C26:I26"/>
    <mergeCell ref="C53:I54"/>
    <mergeCell ref="C35:I38"/>
    <mergeCell ref="C42:I44"/>
    <mergeCell ref="C46:I49"/>
    <mergeCell ref="B9:I9"/>
    <mergeCell ref="B10:I10"/>
    <mergeCell ref="B11:I11"/>
    <mergeCell ref="B13:C14"/>
    <mergeCell ref="D13:H13"/>
    <mergeCell ref="I13:I14"/>
  </mergeCells>
  <phoneticPr fontId="13" type="noConversion"/>
  <dataValidations count="1">
    <dataValidation allowBlank="1" showInputMessage="1" showErrorMessage="1" promptTitle="Date Format" prompt="E.g:  &quot;August 1, 2011&quot;" sqref="I7" xr:uid="{00000000-0002-0000-2D00-000000000000}"/>
  </dataValidations>
  <pageMargins left="0.75" right="0.75" top="1" bottom="1" header="0.5" footer="0.5"/>
  <pageSetup scale="64" fitToHeight="0"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0">
    <tabColor rgb="FFFFC000"/>
  </sheetPr>
  <dimension ref="A1:H100"/>
  <sheetViews>
    <sheetView showGridLines="0" zoomScaleNormal="100" workbookViewId="0">
      <selection activeCell="H28" sqref="H28"/>
    </sheetView>
  </sheetViews>
  <sheetFormatPr defaultColWidth="9.28515625" defaultRowHeight="12.75" x14ac:dyDescent="0.2"/>
  <cols>
    <col min="1" max="1" width="6.7109375" style="27" customWidth="1"/>
    <col min="2" max="2" width="6.5703125" style="27" customWidth="1"/>
    <col min="3" max="5" width="13.7109375" style="27" customWidth="1"/>
    <col min="6" max="6" width="19.7109375" style="27" customWidth="1"/>
    <col min="7" max="7" width="13.7109375" style="27" customWidth="1"/>
    <col min="8" max="8" width="16.42578125" style="27" customWidth="1"/>
    <col min="9" max="9" width="13.7109375" style="27" customWidth="1"/>
    <col min="10" max="16384" width="9.28515625" style="27"/>
  </cols>
  <sheetData>
    <row r="1" spans="1:8" x14ac:dyDescent="0.2">
      <c r="G1" s="208" t="s">
        <v>264</v>
      </c>
      <c r="H1" s="40" t="str">
        <f>EBNUMBER</f>
        <v>EB-2019-0037</v>
      </c>
    </row>
    <row r="2" spans="1:8" x14ac:dyDescent="0.2">
      <c r="G2" s="208" t="s">
        <v>265</v>
      </c>
      <c r="H2" s="41"/>
    </row>
    <row r="3" spans="1:8" x14ac:dyDescent="0.2">
      <c r="G3" s="208" t="s">
        <v>266</v>
      </c>
      <c r="H3" s="41"/>
    </row>
    <row r="4" spans="1:8" x14ac:dyDescent="0.2">
      <c r="G4" s="208" t="s">
        <v>267</v>
      </c>
      <c r="H4" s="41"/>
    </row>
    <row r="5" spans="1:8" x14ac:dyDescent="0.2">
      <c r="G5" s="208" t="s">
        <v>268</v>
      </c>
      <c r="H5" s="42"/>
    </row>
    <row r="6" spans="1:8" x14ac:dyDescent="0.2">
      <c r="G6" s="208"/>
      <c r="H6" s="40"/>
    </row>
    <row r="7" spans="1:8" x14ac:dyDescent="0.2">
      <c r="G7" s="208" t="s">
        <v>269</v>
      </c>
      <c r="H7" s="42"/>
    </row>
    <row r="9" spans="1:8" ht="18" x14ac:dyDescent="0.25">
      <c r="A9" s="2218" t="s">
        <v>176</v>
      </c>
      <c r="B9" s="2218"/>
      <c r="C9" s="2218"/>
      <c r="D9" s="2218"/>
      <c r="E9" s="2218"/>
      <c r="F9" s="2218"/>
      <c r="G9" s="2218"/>
      <c r="H9" s="2218"/>
    </row>
    <row r="10" spans="1:8" ht="18" x14ac:dyDescent="0.25">
      <c r="A10" s="2218" t="s">
        <v>158</v>
      </c>
      <c r="B10" s="2218"/>
      <c r="C10" s="2218"/>
      <c r="D10" s="2218"/>
      <c r="E10" s="2218"/>
      <c r="F10" s="2218"/>
      <c r="G10" s="2218"/>
      <c r="H10" s="2218"/>
    </row>
    <row r="11" spans="1:8" ht="13.5" thickBot="1" x14ac:dyDescent="0.25"/>
    <row r="12" spans="1:8" ht="51" x14ac:dyDescent="0.2">
      <c r="A12" s="394" t="s">
        <v>10</v>
      </c>
      <c r="B12" s="395" t="s">
        <v>274</v>
      </c>
      <c r="C12" s="45" t="s">
        <v>11</v>
      </c>
      <c r="D12" s="45" t="s">
        <v>12</v>
      </c>
      <c r="E12" s="45" t="s">
        <v>197</v>
      </c>
      <c r="F12" s="45" t="s">
        <v>13</v>
      </c>
      <c r="G12" s="45" t="s">
        <v>14</v>
      </c>
      <c r="H12" s="396" t="s">
        <v>15</v>
      </c>
    </row>
    <row r="13" spans="1:8" x14ac:dyDescent="0.2">
      <c r="A13" s="397"/>
      <c r="B13" s="216"/>
      <c r="C13" s="332" t="s">
        <v>16</v>
      </c>
      <c r="D13" s="332" t="s">
        <v>17</v>
      </c>
      <c r="E13" s="332" t="s">
        <v>198</v>
      </c>
      <c r="F13" s="332" t="s">
        <v>86</v>
      </c>
      <c r="G13" s="332" t="s">
        <v>19</v>
      </c>
      <c r="H13" s="398" t="s">
        <v>199</v>
      </c>
    </row>
    <row r="14" spans="1:8" x14ac:dyDescent="0.2">
      <c r="A14" s="399">
        <v>2006</v>
      </c>
      <c r="B14" s="400"/>
      <c r="C14" s="96"/>
      <c r="D14" s="96"/>
      <c r="E14" s="96"/>
      <c r="F14" s="97">
        <f t="shared" ref="F14:F26" si="0">C14-D14-E14</f>
        <v>0</v>
      </c>
      <c r="G14" s="96"/>
      <c r="H14" s="401">
        <f t="shared" ref="H14:H26" si="1">F14-G14</f>
        <v>0</v>
      </c>
    </row>
    <row r="15" spans="1:8" x14ac:dyDescent="0.2">
      <c r="A15" s="399">
        <v>2007</v>
      </c>
      <c r="B15" s="400"/>
      <c r="C15" s="96"/>
      <c r="D15" s="96"/>
      <c r="E15" s="96"/>
      <c r="F15" s="97">
        <f t="shared" si="0"/>
        <v>0</v>
      </c>
      <c r="G15" s="96"/>
      <c r="H15" s="401">
        <f t="shared" si="1"/>
        <v>0</v>
      </c>
    </row>
    <row r="16" spans="1:8" x14ac:dyDescent="0.2">
      <c r="A16" s="399">
        <v>2008</v>
      </c>
      <c r="B16" s="400"/>
      <c r="C16" s="96"/>
      <c r="D16" s="96"/>
      <c r="E16" s="96"/>
      <c r="F16" s="97">
        <f t="shared" si="0"/>
        <v>0</v>
      </c>
      <c r="G16" s="96"/>
      <c r="H16" s="401">
        <f t="shared" si="1"/>
        <v>0</v>
      </c>
    </row>
    <row r="17" spans="1:8" x14ac:dyDescent="0.2">
      <c r="A17" s="399">
        <v>2009</v>
      </c>
      <c r="B17" s="400"/>
      <c r="C17" s="96"/>
      <c r="D17" s="96"/>
      <c r="E17" s="96"/>
      <c r="F17" s="97">
        <f t="shared" si="0"/>
        <v>0</v>
      </c>
      <c r="G17" s="96"/>
      <c r="H17" s="401">
        <f t="shared" si="1"/>
        <v>0</v>
      </c>
    </row>
    <row r="18" spans="1:8" x14ac:dyDescent="0.2">
      <c r="A18" s="399">
        <v>2010</v>
      </c>
      <c r="B18" s="400"/>
      <c r="C18" s="96"/>
      <c r="D18" s="96"/>
      <c r="E18" s="96"/>
      <c r="F18" s="97">
        <f t="shared" si="0"/>
        <v>0</v>
      </c>
      <c r="G18" s="96"/>
      <c r="H18" s="401">
        <f t="shared" si="1"/>
        <v>0</v>
      </c>
    </row>
    <row r="19" spans="1:8" x14ac:dyDescent="0.2">
      <c r="A19" s="399">
        <v>2011</v>
      </c>
      <c r="B19" s="400"/>
      <c r="C19" s="96"/>
      <c r="D19" s="96"/>
      <c r="E19" s="96"/>
      <c r="F19" s="97">
        <f t="shared" si="0"/>
        <v>0</v>
      </c>
      <c r="G19" s="96"/>
      <c r="H19" s="401">
        <f t="shared" si="1"/>
        <v>0</v>
      </c>
    </row>
    <row r="20" spans="1:8" x14ac:dyDescent="0.2">
      <c r="A20" s="402">
        <v>2012</v>
      </c>
      <c r="B20" s="403"/>
      <c r="C20" s="237"/>
      <c r="D20" s="237"/>
      <c r="E20" s="237"/>
      <c r="F20" s="97">
        <f t="shared" si="0"/>
        <v>0</v>
      </c>
      <c r="G20" s="237"/>
      <c r="H20" s="401">
        <f t="shared" si="1"/>
        <v>0</v>
      </c>
    </row>
    <row r="21" spans="1:8" x14ac:dyDescent="0.2">
      <c r="A21" s="402">
        <v>2013</v>
      </c>
      <c r="B21" s="403"/>
      <c r="C21" s="237"/>
      <c r="D21" s="237"/>
      <c r="E21" s="237"/>
      <c r="F21" s="97">
        <f>C21-D21-E21</f>
        <v>0</v>
      </c>
      <c r="G21" s="237"/>
      <c r="H21" s="401">
        <f>F21-G21</f>
        <v>0</v>
      </c>
    </row>
    <row r="22" spans="1:8" x14ac:dyDescent="0.2">
      <c r="A22" s="402">
        <v>2014</v>
      </c>
      <c r="B22" s="403"/>
      <c r="C22" s="237"/>
      <c r="D22" s="237"/>
      <c r="E22" s="237"/>
      <c r="F22" s="97">
        <f>C22-D22-E22</f>
        <v>0</v>
      </c>
      <c r="G22" s="237"/>
      <c r="H22" s="401">
        <f>F22-G22</f>
        <v>0</v>
      </c>
    </row>
    <row r="23" spans="1:8" x14ac:dyDescent="0.2">
      <c r="A23" s="402">
        <v>2015</v>
      </c>
      <c r="B23" s="403"/>
      <c r="C23" s="237"/>
      <c r="D23" s="237"/>
      <c r="E23" s="237"/>
      <c r="F23" s="97">
        <f>C23-D23-E23</f>
        <v>0</v>
      </c>
      <c r="G23" s="237"/>
      <c r="H23" s="401">
        <f>F23-G23</f>
        <v>0</v>
      </c>
    </row>
    <row r="24" spans="1:8" ht="12" customHeight="1" x14ac:dyDescent="0.2">
      <c r="A24" s="402">
        <v>2016</v>
      </c>
      <c r="B24" s="403"/>
      <c r="C24" s="237"/>
      <c r="D24" s="237"/>
      <c r="E24" s="237"/>
      <c r="F24" s="97">
        <f>C24-D24-E24</f>
        <v>0</v>
      </c>
      <c r="G24" s="237"/>
      <c r="H24" s="401">
        <f>F24-G24</f>
        <v>0</v>
      </c>
    </row>
    <row r="25" spans="1:8" ht="12" customHeight="1" x14ac:dyDescent="0.2">
      <c r="A25" s="402">
        <v>2017</v>
      </c>
      <c r="B25" s="403"/>
      <c r="C25" s="237"/>
      <c r="D25" s="237"/>
      <c r="E25" s="237"/>
      <c r="F25" s="97">
        <f>C25-D25-E25</f>
        <v>0</v>
      </c>
      <c r="G25" s="237"/>
      <c r="H25" s="401">
        <f>F25-G25</f>
        <v>0</v>
      </c>
    </row>
    <row r="26" spans="1:8" x14ac:dyDescent="0.2">
      <c r="A26" s="402">
        <v>2018</v>
      </c>
      <c r="B26" s="403" t="s">
        <v>273</v>
      </c>
      <c r="C26" s="237"/>
      <c r="D26" s="237"/>
      <c r="E26" s="237"/>
      <c r="F26" s="97">
        <f t="shared" si="0"/>
        <v>0</v>
      </c>
      <c r="G26" s="237"/>
      <c r="H26" s="401">
        <f t="shared" si="1"/>
        <v>0</v>
      </c>
    </row>
    <row r="27" spans="1:8" ht="12" customHeight="1" x14ac:dyDescent="0.2">
      <c r="A27" s="402">
        <v>2019</v>
      </c>
      <c r="B27" s="403"/>
      <c r="C27" s="237"/>
      <c r="D27" s="237"/>
      <c r="E27" s="237"/>
      <c r="F27" s="97">
        <f>C27-D27-E27</f>
        <v>0</v>
      </c>
      <c r="G27" s="237"/>
      <c r="H27" s="401">
        <f>F27-G27</f>
        <v>0</v>
      </c>
    </row>
    <row r="28" spans="1:8" ht="13.5" thickBot="1" x14ac:dyDescent="0.25">
      <c r="A28" s="404">
        <v>2020</v>
      </c>
      <c r="B28" s="405"/>
      <c r="C28" s="406"/>
      <c r="D28" s="406"/>
      <c r="E28" s="406"/>
      <c r="F28" s="323">
        <f>C28-D28-E28</f>
        <v>0</v>
      </c>
      <c r="G28" s="406"/>
      <c r="H28" s="407">
        <f>F28-G28</f>
        <v>0</v>
      </c>
    </row>
    <row r="30" spans="1:8" x14ac:dyDescent="0.2">
      <c r="A30" s="39" t="s">
        <v>6</v>
      </c>
    </row>
    <row r="31" spans="1:8" x14ac:dyDescent="0.2">
      <c r="A31" s="39"/>
    </row>
    <row r="32" spans="1:8" x14ac:dyDescent="0.2">
      <c r="A32" s="408" t="s">
        <v>273</v>
      </c>
      <c r="B32" s="409" t="s">
        <v>1291</v>
      </c>
      <c r="C32" s="409"/>
      <c r="D32" s="409"/>
      <c r="E32" s="409"/>
      <c r="F32" s="409"/>
      <c r="G32" s="409"/>
    </row>
    <row r="35" spans="1:8" x14ac:dyDescent="0.2">
      <c r="A35" s="2336" t="s">
        <v>163</v>
      </c>
      <c r="B35" s="2336"/>
      <c r="C35" s="2336"/>
      <c r="D35" s="2336"/>
      <c r="E35" s="2336"/>
      <c r="F35" s="2336"/>
      <c r="G35" s="2336"/>
      <c r="H35" s="2336"/>
    </row>
    <row r="36" spans="1:8" x14ac:dyDescent="0.2">
      <c r="A36" s="2336"/>
      <c r="B36" s="2336"/>
      <c r="C36" s="2336"/>
      <c r="D36" s="2336"/>
      <c r="E36" s="2336"/>
      <c r="F36" s="2336"/>
      <c r="G36" s="2336"/>
      <c r="H36" s="2336"/>
    </row>
    <row r="37" spans="1:8" x14ac:dyDescent="0.2">
      <c r="A37" s="2336"/>
      <c r="B37" s="2336"/>
      <c r="C37" s="2336"/>
      <c r="D37" s="2336"/>
      <c r="E37" s="2336"/>
      <c r="F37" s="2336"/>
      <c r="G37" s="2336"/>
      <c r="H37" s="2336"/>
    </row>
    <row r="38" spans="1:8" x14ac:dyDescent="0.2">
      <c r="A38" s="2336"/>
      <c r="B38" s="2336"/>
      <c r="C38" s="2336"/>
      <c r="D38" s="2336"/>
      <c r="E38" s="2336"/>
      <c r="F38" s="2336"/>
      <c r="G38" s="2336"/>
      <c r="H38" s="2336"/>
    </row>
    <row r="40" spans="1:8" x14ac:dyDescent="0.2">
      <c r="A40" s="2337" t="s">
        <v>520</v>
      </c>
      <c r="B40" s="2338"/>
      <c r="C40" s="2338"/>
      <c r="D40" s="2338"/>
      <c r="E40" s="2338"/>
      <c r="F40" s="2338"/>
      <c r="G40" s="2338"/>
      <c r="H40" s="2338"/>
    </row>
    <row r="41" spans="1:8" x14ac:dyDescent="0.2">
      <c r="A41" s="2338"/>
      <c r="B41" s="2338"/>
      <c r="C41" s="2338"/>
      <c r="D41" s="2338"/>
      <c r="E41" s="2338"/>
      <c r="F41" s="2338"/>
      <c r="G41" s="2338"/>
      <c r="H41" s="2338"/>
    </row>
    <row r="43" spans="1:8" x14ac:dyDescent="0.2">
      <c r="A43" s="433">
        <v>1</v>
      </c>
      <c r="B43" s="2334" t="s">
        <v>164</v>
      </c>
      <c r="C43" s="2334"/>
      <c r="D43" s="2334"/>
      <c r="E43" s="2334"/>
      <c r="F43" s="2334"/>
      <c r="G43" s="2334"/>
      <c r="H43" s="2334"/>
    </row>
    <row r="44" spans="1:8" x14ac:dyDescent="0.2">
      <c r="B44" s="2334"/>
      <c r="C44" s="2334"/>
      <c r="D44" s="2334"/>
      <c r="E44" s="2334"/>
      <c r="F44" s="2334"/>
      <c r="G44" s="2334"/>
      <c r="H44" s="2334"/>
    </row>
    <row r="46" spans="1:8" ht="12.75" customHeight="1" x14ac:dyDescent="0.2">
      <c r="A46" s="433">
        <v>2</v>
      </c>
      <c r="B46" s="2339" t="s">
        <v>200</v>
      </c>
      <c r="C46" s="2339"/>
      <c r="D46" s="2339"/>
      <c r="E46" s="2339"/>
      <c r="F46" s="2339"/>
      <c r="G46" s="2339"/>
      <c r="H46" s="2339"/>
    </row>
    <row r="47" spans="1:8" x14ac:dyDescent="0.2">
      <c r="B47" s="2339"/>
      <c r="C47" s="2339"/>
      <c r="D47" s="2339"/>
      <c r="E47" s="2339"/>
      <c r="F47" s="2339"/>
      <c r="G47" s="2339"/>
      <c r="H47" s="2339"/>
    </row>
    <row r="48" spans="1:8" x14ac:dyDescent="0.2">
      <c r="B48" s="2339"/>
      <c r="C48" s="2339"/>
      <c r="D48" s="2339"/>
      <c r="E48" s="2339"/>
      <c r="F48" s="2339"/>
      <c r="G48" s="2339"/>
      <c r="H48" s="2339"/>
    </row>
    <row r="50" spans="1:8" x14ac:dyDescent="0.2">
      <c r="A50" s="433">
        <v>3</v>
      </c>
      <c r="B50" s="2334" t="s">
        <v>165</v>
      </c>
      <c r="C50" s="2334"/>
      <c r="D50" s="2334"/>
      <c r="E50" s="2334"/>
      <c r="F50" s="2334"/>
      <c r="G50" s="2334"/>
      <c r="H50" s="2334"/>
    </row>
    <row r="51" spans="1:8" x14ac:dyDescent="0.2">
      <c r="B51" s="2334"/>
      <c r="C51" s="2334"/>
      <c r="D51" s="2334"/>
      <c r="E51" s="2334"/>
      <c r="F51" s="2334"/>
      <c r="G51" s="2334"/>
      <c r="H51" s="2334"/>
    </row>
    <row r="52" spans="1:8" x14ac:dyDescent="0.2">
      <c r="B52" s="2334"/>
      <c r="C52" s="2334"/>
      <c r="D52" s="2334"/>
      <c r="E52" s="2334"/>
      <c r="F52" s="2334"/>
      <c r="G52" s="2334"/>
      <c r="H52" s="2334"/>
    </row>
    <row r="53" spans="1:8" x14ac:dyDescent="0.2">
      <c r="B53" s="2334"/>
      <c r="C53" s="2334"/>
      <c r="D53" s="2334"/>
      <c r="E53" s="2334"/>
      <c r="F53" s="2334"/>
      <c r="G53" s="2334"/>
      <c r="H53" s="2334"/>
    </row>
    <row r="55" spans="1:8" x14ac:dyDescent="0.2">
      <c r="B55" s="2334" t="s">
        <v>73</v>
      </c>
      <c r="C55" s="2334"/>
      <c r="D55" s="2334"/>
      <c r="E55" s="2334"/>
      <c r="F55" s="2334"/>
      <c r="G55" s="2334"/>
      <c r="H55" s="2334"/>
    </row>
    <row r="56" spans="1:8" x14ac:dyDescent="0.2">
      <c r="B56" s="2334"/>
      <c r="C56" s="2334"/>
      <c r="D56" s="2334"/>
      <c r="E56" s="2334"/>
      <c r="F56" s="2334"/>
      <c r="G56" s="2334"/>
      <c r="H56" s="2334"/>
    </row>
    <row r="57" spans="1:8" x14ac:dyDescent="0.2">
      <c r="B57" s="2334"/>
      <c r="C57" s="2334"/>
      <c r="D57" s="2334"/>
      <c r="E57" s="2334"/>
      <c r="F57" s="2334"/>
      <c r="G57" s="2334"/>
      <c r="H57" s="2334"/>
    </row>
    <row r="58" spans="1:8" x14ac:dyDescent="0.2">
      <c r="B58" s="2334"/>
      <c r="C58" s="2334"/>
      <c r="D58" s="2334"/>
      <c r="E58" s="2334"/>
      <c r="F58" s="2334"/>
      <c r="G58" s="2334"/>
      <c r="H58" s="2334"/>
    </row>
    <row r="60" spans="1:8" x14ac:dyDescent="0.2">
      <c r="B60" s="27" t="s">
        <v>160</v>
      </c>
      <c r="C60" s="2334" t="s">
        <v>167</v>
      </c>
      <c r="D60" s="2334"/>
      <c r="E60" s="2334"/>
      <c r="F60" s="2334"/>
      <c r="G60" s="2334"/>
      <c r="H60" s="2334"/>
    </row>
    <row r="61" spans="1:8" x14ac:dyDescent="0.2">
      <c r="C61" s="2334"/>
      <c r="D61" s="2334"/>
      <c r="E61" s="2334"/>
      <c r="F61" s="2334"/>
      <c r="G61" s="2334"/>
      <c r="H61" s="2334"/>
    </row>
    <row r="63" spans="1:8" x14ac:dyDescent="0.2">
      <c r="B63" s="27" t="s">
        <v>161</v>
      </c>
      <c r="C63" s="2336" t="s">
        <v>168</v>
      </c>
      <c r="D63" s="2336"/>
      <c r="E63" s="2336"/>
      <c r="F63" s="2336"/>
      <c r="G63" s="2336"/>
      <c r="H63" s="2336"/>
    </row>
    <row r="64" spans="1:8" x14ac:dyDescent="0.2">
      <c r="C64" s="2336"/>
      <c r="D64" s="2336"/>
      <c r="E64" s="2336"/>
      <c r="F64" s="2336"/>
      <c r="G64" s="2336"/>
      <c r="H64" s="2336"/>
    </row>
    <row r="65" spans="1:8" x14ac:dyDescent="0.2">
      <c r="C65" s="2336"/>
      <c r="D65" s="2336"/>
      <c r="E65" s="2336"/>
      <c r="F65" s="2336"/>
      <c r="G65" s="2336"/>
      <c r="H65" s="2336"/>
    </row>
    <row r="66" spans="1:8" x14ac:dyDescent="0.2">
      <c r="C66" s="2336"/>
      <c r="D66" s="2336"/>
      <c r="E66" s="2336"/>
      <c r="F66" s="2336"/>
      <c r="G66" s="2336"/>
      <c r="H66" s="2336"/>
    </row>
    <row r="67" spans="1:8" ht="18" customHeight="1" x14ac:dyDescent="0.2"/>
    <row r="68" spans="1:8" x14ac:dyDescent="0.2">
      <c r="B68" s="27" t="s">
        <v>162</v>
      </c>
      <c r="C68" s="2336" t="s">
        <v>202</v>
      </c>
      <c r="D68" s="2336"/>
      <c r="E68" s="2336"/>
      <c r="F68" s="2336"/>
      <c r="G68" s="2336"/>
      <c r="H68" s="2336"/>
    </row>
    <row r="69" spans="1:8" x14ac:dyDescent="0.2">
      <c r="C69" s="2336"/>
      <c r="D69" s="2336"/>
      <c r="E69" s="2336"/>
      <c r="F69" s="2336"/>
      <c r="G69" s="2336"/>
      <c r="H69" s="2336"/>
    </row>
    <row r="70" spans="1:8" ht="4.9000000000000004" customHeight="1" x14ac:dyDescent="0.2">
      <c r="C70" s="2336"/>
      <c r="D70" s="2336"/>
      <c r="E70" s="2336"/>
      <c r="F70" s="2336"/>
      <c r="G70" s="2336"/>
      <c r="H70" s="2336"/>
    </row>
    <row r="72" spans="1:8" x14ac:dyDescent="0.2">
      <c r="A72" s="2337" t="s">
        <v>519</v>
      </c>
      <c r="B72" s="2338"/>
      <c r="C72" s="2338"/>
      <c r="D72" s="2338"/>
      <c r="E72" s="2338"/>
      <c r="F72" s="2338"/>
      <c r="G72" s="2338"/>
      <c r="H72" s="2338"/>
    </row>
    <row r="73" spans="1:8" x14ac:dyDescent="0.2">
      <c r="A73" s="2338"/>
      <c r="B73" s="2338"/>
      <c r="C73" s="2338"/>
      <c r="D73" s="2338"/>
      <c r="E73" s="2338"/>
      <c r="F73" s="2338"/>
      <c r="G73" s="2338"/>
      <c r="H73" s="2338"/>
    </row>
    <row r="75" spans="1:8" x14ac:dyDescent="0.2">
      <c r="A75" s="433">
        <v>1</v>
      </c>
      <c r="B75" s="2334" t="s">
        <v>164</v>
      </c>
      <c r="C75" s="2334"/>
      <c r="D75" s="2334"/>
      <c r="E75" s="2334"/>
      <c r="F75" s="2334"/>
      <c r="G75" s="2334"/>
      <c r="H75" s="2334"/>
    </row>
    <row r="76" spans="1:8" x14ac:dyDescent="0.2">
      <c r="A76" s="433"/>
      <c r="B76" s="2334"/>
      <c r="C76" s="2334"/>
      <c r="D76" s="2334"/>
      <c r="E76" s="2334"/>
      <c r="F76" s="2334"/>
      <c r="G76" s="2334"/>
      <c r="H76" s="2334"/>
    </row>
    <row r="77" spans="1:8" x14ac:dyDescent="0.2">
      <c r="A77" s="433"/>
    </row>
    <row r="78" spans="1:8" ht="12.75" customHeight="1" x14ac:dyDescent="0.2">
      <c r="A78" s="433">
        <v>2</v>
      </c>
      <c r="B78" s="2335" t="s">
        <v>201</v>
      </c>
      <c r="C78" s="2335"/>
      <c r="D78" s="2335"/>
      <c r="E78" s="2335"/>
      <c r="F78" s="2335"/>
      <c r="G78" s="2335"/>
      <c r="H78" s="2335"/>
    </row>
    <row r="79" spans="1:8" x14ac:dyDescent="0.2">
      <c r="A79" s="433"/>
      <c r="B79" s="2335"/>
      <c r="C79" s="2335"/>
      <c r="D79" s="2335"/>
      <c r="E79" s="2335"/>
      <c r="F79" s="2335"/>
      <c r="G79" s="2335"/>
      <c r="H79" s="2335"/>
    </row>
    <row r="80" spans="1:8" x14ac:dyDescent="0.2">
      <c r="A80" s="433"/>
      <c r="B80" s="2335"/>
      <c r="C80" s="2335"/>
      <c r="D80" s="2335"/>
      <c r="E80" s="2335"/>
      <c r="F80" s="2335"/>
      <c r="G80" s="2335"/>
      <c r="H80" s="2335"/>
    </row>
    <row r="81" spans="1:8" x14ac:dyDescent="0.2">
      <c r="A81" s="433"/>
      <c r="B81" s="434"/>
      <c r="C81" s="434"/>
      <c r="D81" s="434"/>
      <c r="E81" s="434"/>
      <c r="F81" s="434"/>
      <c r="G81" s="434"/>
      <c r="H81" s="434"/>
    </row>
    <row r="82" spans="1:8" x14ac:dyDescent="0.2">
      <c r="A82" s="433">
        <v>3</v>
      </c>
      <c r="B82" s="2334" t="s">
        <v>74</v>
      </c>
      <c r="C82" s="2334"/>
      <c r="D82" s="2334"/>
      <c r="E82" s="2334"/>
      <c r="F82" s="2334"/>
      <c r="G82" s="2334"/>
      <c r="H82" s="2334"/>
    </row>
    <row r="83" spans="1:8" x14ac:dyDescent="0.2">
      <c r="A83" s="433"/>
      <c r="B83" s="2334"/>
      <c r="C83" s="2334"/>
      <c r="D83" s="2334"/>
      <c r="E83" s="2334"/>
      <c r="F83" s="2334"/>
      <c r="G83" s="2334"/>
      <c r="H83" s="2334"/>
    </row>
    <row r="84" spans="1:8" x14ac:dyDescent="0.2">
      <c r="A84" s="433"/>
      <c r="B84" s="2334"/>
      <c r="C84" s="2334"/>
      <c r="D84" s="2334"/>
      <c r="E84" s="2334"/>
      <c r="F84" s="2334"/>
      <c r="G84" s="2334"/>
      <c r="H84" s="2334"/>
    </row>
    <row r="85" spans="1:8" x14ac:dyDescent="0.2">
      <c r="A85" s="433"/>
    </row>
    <row r="86" spans="1:8" x14ac:dyDescent="0.2">
      <c r="A86" s="433">
        <v>4</v>
      </c>
      <c r="B86" s="2334" t="s">
        <v>171</v>
      </c>
      <c r="C86" s="2334"/>
      <c r="D86" s="2334"/>
      <c r="E86" s="2334"/>
      <c r="F86" s="2334"/>
      <c r="G86" s="2334"/>
      <c r="H86" s="2334"/>
    </row>
    <row r="87" spans="1:8" x14ac:dyDescent="0.2">
      <c r="A87" s="433"/>
      <c r="B87" s="2334"/>
      <c r="C87" s="2334"/>
      <c r="D87" s="2334"/>
      <c r="E87" s="2334"/>
      <c r="F87" s="2334"/>
      <c r="G87" s="2334"/>
      <c r="H87" s="2334"/>
    </row>
    <row r="88" spans="1:8" x14ac:dyDescent="0.2">
      <c r="A88" s="433"/>
      <c r="B88" s="2334"/>
      <c r="C88" s="2334"/>
      <c r="D88" s="2334"/>
      <c r="E88" s="2334"/>
      <c r="F88" s="2334"/>
      <c r="G88" s="2334"/>
      <c r="H88" s="2334"/>
    </row>
    <row r="89" spans="1:8" x14ac:dyDescent="0.2">
      <c r="A89" s="433"/>
    </row>
    <row r="90" spans="1:8" x14ac:dyDescent="0.2">
      <c r="A90" s="433">
        <v>5</v>
      </c>
      <c r="B90" s="2334" t="s">
        <v>75</v>
      </c>
      <c r="C90" s="2334"/>
      <c r="D90" s="2334"/>
      <c r="E90" s="2334"/>
      <c r="F90" s="2334"/>
      <c r="G90" s="2334"/>
      <c r="H90" s="2334"/>
    </row>
    <row r="91" spans="1:8" x14ac:dyDescent="0.2">
      <c r="A91" s="433"/>
      <c r="B91" s="2334"/>
      <c r="C91" s="2334"/>
      <c r="D91" s="2334"/>
      <c r="E91" s="2334"/>
      <c r="F91" s="2334"/>
      <c r="G91" s="2334"/>
      <c r="H91" s="2334"/>
    </row>
    <row r="92" spans="1:8" x14ac:dyDescent="0.2">
      <c r="A92" s="433"/>
      <c r="B92" s="2334"/>
      <c r="C92" s="2334"/>
      <c r="D92" s="2334"/>
      <c r="E92" s="2334"/>
      <c r="F92" s="2334"/>
      <c r="G92" s="2334"/>
      <c r="H92" s="2334"/>
    </row>
    <row r="93" spans="1:8" x14ac:dyDescent="0.2">
      <c r="A93" s="433"/>
    </row>
    <row r="94" spans="1:8" x14ac:dyDescent="0.2">
      <c r="A94" s="433">
        <v>6</v>
      </c>
      <c r="B94" s="2334" t="s">
        <v>76</v>
      </c>
      <c r="C94" s="2334"/>
      <c r="D94" s="2334"/>
      <c r="E94" s="2334"/>
      <c r="F94" s="2334"/>
      <c r="G94" s="2334"/>
      <c r="H94" s="2334"/>
    </row>
    <row r="95" spans="1:8" x14ac:dyDescent="0.2">
      <c r="A95" s="433"/>
      <c r="B95" s="2334"/>
      <c r="C95" s="2334"/>
      <c r="D95" s="2334"/>
      <c r="E95" s="2334"/>
      <c r="F95" s="2334"/>
      <c r="G95" s="2334"/>
      <c r="H95" s="2334"/>
    </row>
    <row r="96" spans="1:8" ht="15" customHeight="1" x14ac:dyDescent="0.2"/>
    <row r="97" spans="1:8" ht="12.75" customHeight="1" x14ac:dyDescent="0.2">
      <c r="A97" s="1868" t="s">
        <v>1333</v>
      </c>
      <c r="B97" s="1869"/>
      <c r="C97" s="1869"/>
      <c r="D97" s="1869"/>
      <c r="E97" s="1869"/>
      <c r="F97" s="1869"/>
      <c r="G97" s="1869"/>
      <c r="H97" s="1869"/>
    </row>
    <row r="98" spans="1:8" x14ac:dyDescent="0.2">
      <c r="A98" s="1869"/>
      <c r="B98" s="1869"/>
      <c r="C98" s="1869"/>
      <c r="D98" s="1869"/>
      <c r="E98" s="1869"/>
      <c r="F98" s="1869"/>
      <c r="G98" s="1869"/>
      <c r="H98" s="1869"/>
    </row>
    <row r="99" spans="1:8" x14ac:dyDescent="0.2">
      <c r="A99" s="1869"/>
      <c r="B99" s="1869"/>
      <c r="C99" s="1869"/>
      <c r="D99" s="1869"/>
      <c r="E99" s="1869"/>
      <c r="F99" s="1869"/>
      <c r="G99" s="1869"/>
      <c r="H99" s="1869"/>
    </row>
    <row r="100" spans="1:8" x14ac:dyDescent="0.2">
      <c r="A100" s="1869"/>
      <c r="B100" s="1869"/>
      <c r="C100" s="1869"/>
      <c r="D100" s="1869"/>
      <c r="E100" s="1869"/>
      <c r="F100" s="1869"/>
      <c r="G100" s="1869"/>
      <c r="H100" s="1869"/>
    </row>
  </sheetData>
  <mergeCells count="19">
    <mergeCell ref="A9:H9"/>
    <mergeCell ref="A10:H10"/>
    <mergeCell ref="A35:H38"/>
    <mergeCell ref="A40:H41"/>
    <mergeCell ref="C60:H61"/>
    <mergeCell ref="C68:H70"/>
    <mergeCell ref="A72:H73"/>
    <mergeCell ref="B43:H44"/>
    <mergeCell ref="B46:H48"/>
    <mergeCell ref="B50:H53"/>
    <mergeCell ref="B55:H58"/>
    <mergeCell ref="C63:H66"/>
    <mergeCell ref="A97:H100"/>
    <mergeCell ref="B90:H92"/>
    <mergeCell ref="B94:H95"/>
    <mergeCell ref="B75:H76"/>
    <mergeCell ref="B82:H84"/>
    <mergeCell ref="B86:H88"/>
    <mergeCell ref="B78:H80"/>
  </mergeCells>
  <phoneticPr fontId="13" type="noConversion"/>
  <dataValidations count="1">
    <dataValidation allowBlank="1" showInputMessage="1" showErrorMessage="1" promptTitle="Date Format" prompt="E.g:  &quot;August 1, 2011&quot;" sqref="H7" xr:uid="{00000000-0002-0000-2E00-000000000000}"/>
  </dataValidations>
  <pageMargins left="0.74803149606299213" right="0.74803149606299213" top="0.98425196850393704" bottom="0.98425196850393704" header="0.51181102362204722" footer="0.51181102362204722"/>
  <pageSetup scale="73" fitToHeight="0" orientation="portrait" r:id="rId1"/>
  <headerFooter alignWithMargins="0"/>
  <rowBreaks count="1" manualBreakCount="1">
    <brk id="70" max="7" man="1"/>
  </rowBreaks>
  <ignoredErrors>
    <ignoredError sqref="B26"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1">
    <tabColor rgb="FFFFC000"/>
    <pageSetUpPr fitToPage="1"/>
  </sheetPr>
  <dimension ref="A1:T40"/>
  <sheetViews>
    <sheetView showGridLines="0" topLeftCell="A16" zoomScaleNormal="100" workbookViewId="0">
      <selection activeCell="D26" sqref="D26:E30"/>
    </sheetView>
  </sheetViews>
  <sheetFormatPr defaultColWidth="9.28515625" defaultRowHeight="12.75" x14ac:dyDescent="0.2"/>
  <cols>
    <col min="1" max="2" width="9.28515625" style="34"/>
    <col min="3" max="3" width="15.5703125" style="34" customWidth="1"/>
    <col min="4" max="6" width="14.7109375" style="34" customWidth="1"/>
    <col min="7" max="9" width="20.7109375" style="34" customWidth="1"/>
    <col min="10" max="16384" width="9.28515625" style="34"/>
  </cols>
  <sheetData>
    <row r="1" spans="1:9" x14ac:dyDescent="0.2">
      <c r="H1" s="79" t="s">
        <v>264</v>
      </c>
      <c r="I1" s="590" t="str">
        <f>EBNUMBER</f>
        <v>EB-2019-0037</v>
      </c>
    </row>
    <row r="2" spans="1:9" x14ac:dyDescent="0.2">
      <c r="H2" s="79" t="s">
        <v>265</v>
      </c>
      <c r="I2" s="33"/>
    </row>
    <row r="3" spans="1:9" x14ac:dyDescent="0.2">
      <c r="H3" s="79" t="s">
        <v>266</v>
      </c>
      <c r="I3" s="33"/>
    </row>
    <row r="4" spans="1:9" x14ac:dyDescent="0.2">
      <c r="H4" s="79" t="s">
        <v>267</v>
      </c>
      <c r="I4" s="33"/>
    </row>
    <row r="5" spans="1:9" x14ac:dyDescent="0.2">
      <c r="H5" s="79" t="s">
        <v>268</v>
      </c>
      <c r="I5" s="448"/>
    </row>
    <row r="6" spans="1:9" x14ac:dyDescent="0.2">
      <c r="H6" s="79"/>
      <c r="I6" s="590"/>
    </row>
    <row r="7" spans="1:9" x14ac:dyDescent="0.2">
      <c r="H7" s="79" t="s">
        <v>269</v>
      </c>
      <c r="I7" s="1810"/>
    </row>
    <row r="9" spans="1:9" ht="18" x14ac:dyDescent="0.25">
      <c r="A9" s="2015" t="s">
        <v>788</v>
      </c>
      <c r="B9" s="2034"/>
      <c r="C9" s="2034"/>
      <c r="D9" s="2034"/>
      <c r="E9" s="2034"/>
      <c r="F9" s="2034"/>
      <c r="G9" s="2034"/>
      <c r="H9" s="2034"/>
      <c r="I9" s="2034"/>
    </row>
    <row r="10" spans="1:9" ht="18" x14ac:dyDescent="0.25">
      <c r="A10" s="2015" t="s">
        <v>431</v>
      </c>
      <c r="B10" s="2035"/>
      <c r="C10" s="2035"/>
      <c r="D10" s="2035"/>
      <c r="E10" s="2035"/>
      <c r="F10" s="2035"/>
      <c r="G10" s="2035"/>
      <c r="H10" s="2035"/>
      <c r="I10" s="2035"/>
    </row>
    <row r="11" spans="1:9" ht="18" x14ac:dyDescent="0.25">
      <c r="A11" s="2015" t="s">
        <v>432</v>
      </c>
      <c r="B11" s="2035"/>
      <c r="C11" s="2035"/>
      <c r="D11" s="2035"/>
      <c r="E11" s="2035"/>
      <c r="F11" s="2035"/>
      <c r="G11" s="2035"/>
      <c r="H11" s="2035"/>
      <c r="I11" s="2035"/>
    </row>
    <row r="14" spans="1:9" ht="13.5" thickBot="1" x14ac:dyDescent="0.25"/>
    <row r="15" spans="1:9" ht="12.75" customHeight="1" x14ac:dyDescent="0.2">
      <c r="A15" s="2019" t="s">
        <v>433</v>
      </c>
      <c r="B15" s="2393"/>
      <c r="C15" s="2394"/>
      <c r="D15" s="138">
        <f>TestYear</f>
        <v>2020</v>
      </c>
      <c r="E15" s="410">
        <f>TestYear</f>
        <v>2020</v>
      </c>
      <c r="F15" s="410" t="s">
        <v>69</v>
      </c>
      <c r="G15" s="2400" t="s">
        <v>434</v>
      </c>
      <c r="H15" s="2401"/>
      <c r="I15" s="2402"/>
    </row>
    <row r="16" spans="1:9" ht="14.25" x14ac:dyDescent="0.2">
      <c r="A16" s="2020"/>
      <c r="B16" s="2395"/>
      <c r="C16" s="2396"/>
      <c r="D16" s="139" t="s">
        <v>92</v>
      </c>
      <c r="E16" s="455" t="s">
        <v>927</v>
      </c>
      <c r="F16" s="411"/>
      <c r="G16" s="2403" t="s">
        <v>975</v>
      </c>
      <c r="H16" s="2404"/>
      <c r="I16" s="2405"/>
    </row>
    <row r="17" spans="1:9" ht="13.5" thickBot="1" x14ac:dyDescent="0.25">
      <c r="A17" s="2397"/>
      <c r="B17" s="2398"/>
      <c r="C17" s="2399"/>
      <c r="D17" s="413"/>
      <c r="E17" s="456"/>
      <c r="F17" s="414"/>
      <c r="G17" s="415"/>
      <c r="H17" s="416"/>
      <c r="I17" s="417"/>
    </row>
    <row r="18" spans="1:9" ht="12.75" customHeight="1" x14ac:dyDescent="0.2">
      <c r="A18" s="2381" t="s">
        <v>1726</v>
      </c>
      <c r="B18" s="2382"/>
      <c r="C18" s="2383"/>
      <c r="D18" s="418">
        <f>'App.2-BA_Fixed Asset Cont'!N449</f>
        <v>94610632.988487542</v>
      </c>
      <c r="E18" s="418">
        <f>D18+'App.2-EA_Account 1575 (2015)'!H38-'App.2-EA_Account 1575 (2015)'!H36</f>
        <v>98600895.048487559</v>
      </c>
      <c r="F18" s="419">
        <f>+D18-E18</f>
        <v>-3990262.0600000173</v>
      </c>
      <c r="G18" s="2384" t="s">
        <v>1728</v>
      </c>
      <c r="H18" s="2385"/>
      <c r="I18" s="2386"/>
    </row>
    <row r="19" spans="1:9" ht="12.75" customHeight="1" x14ac:dyDescent="0.2">
      <c r="A19" s="2387" t="s">
        <v>1727</v>
      </c>
      <c r="B19" s="2388"/>
      <c r="C19" s="2389"/>
      <c r="D19" s="135">
        <f>'App.2-BA_Fixed Asset Cont'!L513</f>
        <v>98541937.491892502</v>
      </c>
      <c r="E19" s="135">
        <f>D19-D18+E18+'App.2-H_Other_Oper_Rev'!L21</f>
        <v>103063889.55189252</v>
      </c>
      <c r="F19" s="412">
        <f>+D19-E19</f>
        <v>-4521952.0600000173</v>
      </c>
      <c r="G19" s="2343" t="s">
        <v>1728</v>
      </c>
      <c r="H19" s="2344"/>
      <c r="I19" s="2345"/>
    </row>
    <row r="20" spans="1:9" ht="12.75" customHeight="1" x14ac:dyDescent="0.2">
      <c r="A20" s="2390" t="s">
        <v>435</v>
      </c>
      <c r="B20" s="2391"/>
      <c r="C20" s="2392"/>
      <c r="D20" s="420">
        <f>(D18+D19)/2</f>
        <v>96576285.240190029</v>
      </c>
      <c r="E20" s="412">
        <f>(E18+E19)/2</f>
        <v>100832392.30019003</v>
      </c>
      <c r="F20" s="412">
        <f>+D20-E20</f>
        <v>-4256107.0600000024</v>
      </c>
      <c r="G20" s="2343"/>
      <c r="H20" s="2344"/>
      <c r="I20" s="2345"/>
    </row>
    <row r="21" spans="1:9" ht="12.75" customHeight="1" x14ac:dyDescent="0.2">
      <c r="A21" s="2368" t="s">
        <v>436</v>
      </c>
      <c r="B21" s="2369"/>
      <c r="C21" s="2370"/>
      <c r="D21" s="135">
        <v>8782592.3801009506</v>
      </c>
      <c r="E21" s="135">
        <f>D21</f>
        <v>8782592.3801009506</v>
      </c>
      <c r="F21" s="420">
        <f>+D21-E21</f>
        <v>0</v>
      </c>
      <c r="G21" s="2371"/>
      <c r="H21" s="2344"/>
      <c r="I21" s="2345"/>
    </row>
    <row r="22" spans="1:9" ht="13.5" customHeight="1" thickBot="1" x14ac:dyDescent="0.25">
      <c r="A22" s="2372" t="s">
        <v>437</v>
      </c>
      <c r="B22" s="2373"/>
      <c r="C22" s="2374"/>
      <c r="D22" s="421">
        <f>SUM(D20:D21)</f>
        <v>105358877.62029098</v>
      </c>
      <c r="E22" s="421">
        <f>SUM(E20:E21)</f>
        <v>109614984.68029098</v>
      </c>
      <c r="F22" s="420">
        <f>+D22-E22</f>
        <v>-4256107.0600000024</v>
      </c>
      <c r="G22" s="2375"/>
      <c r="H22" s="2376"/>
      <c r="I22" s="2377"/>
    </row>
    <row r="23" spans="1:9" ht="13.5" thickTop="1" x14ac:dyDescent="0.2">
      <c r="A23" s="2378"/>
      <c r="B23" s="2379"/>
      <c r="C23" s="2380"/>
      <c r="D23" s="2378"/>
      <c r="E23" s="2379"/>
      <c r="F23" s="2380">
        <f t="shared" ref="F23:F34" si="0">+D23-E23</f>
        <v>0</v>
      </c>
      <c r="G23" s="2378"/>
      <c r="H23" s="2379"/>
      <c r="I23" s="2380"/>
    </row>
    <row r="24" spans="1:9" ht="12.75" customHeight="1" x14ac:dyDescent="0.2">
      <c r="A24" s="2364" t="s">
        <v>438</v>
      </c>
      <c r="B24" s="2365"/>
      <c r="C24" s="2366"/>
      <c r="D24" s="135">
        <f>D22*5.282%</f>
        <v>5565055.9159037694</v>
      </c>
      <c r="E24" s="135">
        <f>E22*5.282%</f>
        <v>5789863.4908129694</v>
      </c>
      <c r="F24" s="412">
        <f t="shared" si="0"/>
        <v>-224807.57490919996</v>
      </c>
      <c r="G24" s="2367" t="s">
        <v>1777</v>
      </c>
      <c r="H24" s="2344"/>
      <c r="I24" s="2345"/>
    </row>
    <row r="25" spans="1:9" x14ac:dyDescent="0.2">
      <c r="A25" s="2361"/>
      <c r="B25" s="2362"/>
      <c r="C25" s="2363"/>
      <c r="D25" s="135"/>
      <c r="E25" s="135"/>
      <c r="F25" s="412">
        <f t="shared" si="0"/>
        <v>0</v>
      </c>
      <c r="G25" s="2343"/>
      <c r="H25" s="2344"/>
      <c r="I25" s="2345"/>
    </row>
    <row r="26" spans="1:9" x14ac:dyDescent="0.2">
      <c r="A26" s="2340" t="s">
        <v>103</v>
      </c>
      <c r="B26" s="2341"/>
      <c r="C26" s="2342"/>
      <c r="D26" s="135">
        <v>16237777</v>
      </c>
      <c r="E26" s="135">
        <v>16237777</v>
      </c>
      <c r="F26" s="412">
        <f t="shared" si="0"/>
        <v>0</v>
      </c>
      <c r="G26" s="2343"/>
      <c r="H26" s="2344"/>
      <c r="I26" s="2345"/>
    </row>
    <row r="27" spans="1:9" ht="12.75" customHeight="1" x14ac:dyDescent="0.2">
      <c r="A27" s="2340" t="s">
        <v>439</v>
      </c>
      <c r="B27" s="2341"/>
      <c r="C27" s="2342"/>
      <c r="D27" s="135">
        <v>4333632.4327450544</v>
      </c>
      <c r="E27" s="135">
        <v>4125830.4065950541</v>
      </c>
      <c r="F27" s="412">
        <f t="shared" si="0"/>
        <v>207802.02615000028</v>
      </c>
      <c r="G27" s="2343" t="s">
        <v>1729</v>
      </c>
      <c r="H27" s="2344"/>
      <c r="I27" s="2345"/>
    </row>
    <row r="28" spans="1:9" ht="12.75" customHeight="1" x14ac:dyDescent="0.2">
      <c r="A28" s="2361" t="s">
        <v>440</v>
      </c>
      <c r="B28" s="2362"/>
      <c r="C28" s="2363"/>
      <c r="D28" s="135">
        <v>300042.31695044943</v>
      </c>
      <c r="E28" s="135">
        <v>300042.31695044943</v>
      </c>
      <c r="F28" s="412">
        <f t="shared" si="0"/>
        <v>0</v>
      </c>
      <c r="G28" s="2343"/>
      <c r="H28" s="2344"/>
      <c r="I28" s="2345"/>
    </row>
    <row r="29" spans="1:9" x14ac:dyDescent="0.2">
      <c r="A29" s="2361" t="s">
        <v>1778</v>
      </c>
      <c r="B29" s="2362"/>
      <c r="C29" s="2363"/>
      <c r="D29" s="135">
        <v>268803</v>
      </c>
      <c r="E29" s="135">
        <v>268803</v>
      </c>
      <c r="F29" s="412">
        <f t="shared" si="0"/>
        <v>0</v>
      </c>
      <c r="G29" s="2343"/>
      <c r="H29" s="2344"/>
      <c r="I29" s="2345"/>
    </row>
    <row r="30" spans="1:9" ht="12.75" customHeight="1" x14ac:dyDescent="0.2">
      <c r="A30" s="2340" t="s">
        <v>441</v>
      </c>
      <c r="B30" s="2341"/>
      <c r="C30" s="2342"/>
      <c r="D30" s="135">
        <v>-1552786.76535</v>
      </c>
      <c r="E30" s="135">
        <v>-1876674.7392</v>
      </c>
      <c r="F30" s="412">
        <f t="shared" si="0"/>
        <v>323887.97384999995</v>
      </c>
      <c r="G30" s="2343" t="s">
        <v>1779</v>
      </c>
      <c r="H30" s="2344"/>
      <c r="I30" s="2345"/>
    </row>
    <row r="31" spans="1:9" x14ac:dyDescent="0.2">
      <c r="A31" s="2346"/>
      <c r="B31" s="2347"/>
      <c r="C31" s="2348"/>
      <c r="D31" s="135"/>
      <c r="E31" s="135"/>
      <c r="F31" s="412">
        <f t="shared" si="0"/>
        <v>0</v>
      </c>
      <c r="G31" s="2343"/>
      <c r="H31" s="2344"/>
      <c r="I31" s="2345"/>
    </row>
    <row r="32" spans="1:9" x14ac:dyDescent="0.2">
      <c r="A32" s="2340"/>
      <c r="B32" s="2341"/>
      <c r="C32" s="2342"/>
      <c r="D32" s="135"/>
      <c r="E32" s="135"/>
      <c r="F32" s="412">
        <f t="shared" si="0"/>
        <v>0</v>
      </c>
      <c r="G32" s="2343"/>
      <c r="H32" s="2344"/>
      <c r="I32" s="2345"/>
    </row>
    <row r="33" spans="1:20" x14ac:dyDescent="0.2">
      <c r="A33" s="2340"/>
      <c r="B33" s="2341"/>
      <c r="C33" s="2342"/>
      <c r="D33" s="135"/>
      <c r="E33" s="135"/>
      <c r="F33" s="412">
        <f t="shared" si="0"/>
        <v>0</v>
      </c>
      <c r="G33" s="2343"/>
      <c r="H33" s="2344"/>
      <c r="I33" s="2345"/>
    </row>
    <row r="34" spans="1:20" ht="13.5" thickBot="1" x14ac:dyDescent="0.25">
      <c r="A34" s="2349" t="s">
        <v>159</v>
      </c>
      <c r="B34" s="2350"/>
      <c r="C34" s="2351"/>
      <c r="D34" s="136"/>
      <c r="E34" s="136"/>
      <c r="F34" s="412">
        <f t="shared" si="0"/>
        <v>0</v>
      </c>
      <c r="G34" s="2352"/>
      <c r="H34" s="2353"/>
      <c r="I34" s="2354"/>
    </row>
    <row r="35" spans="1:20" ht="14.25" customHeight="1" thickTop="1" thickBot="1" x14ac:dyDescent="0.25">
      <c r="A35" s="2355" t="s">
        <v>442</v>
      </c>
      <c r="B35" s="2356"/>
      <c r="C35" s="2357"/>
      <c r="D35" s="137">
        <f>SUM(D24:D34)</f>
        <v>25152523.900249273</v>
      </c>
      <c r="E35" s="137">
        <f>SUM(E24:E34)</f>
        <v>24845641.475158472</v>
      </c>
      <c r="F35" s="137">
        <f>SUM(F24:F34)</f>
        <v>306882.42509080027</v>
      </c>
      <c r="G35" s="2358"/>
      <c r="H35" s="2359"/>
      <c r="I35" s="2360"/>
    </row>
    <row r="37" spans="1:20" ht="87" customHeight="1" x14ac:dyDescent="0.2">
      <c r="A37" s="1930" t="s">
        <v>992</v>
      </c>
      <c r="B37" s="1930"/>
      <c r="C37" s="1930"/>
      <c r="D37" s="1930"/>
      <c r="E37" s="1930"/>
      <c r="F37" s="1930"/>
      <c r="G37" s="1930"/>
      <c r="H37" s="1930"/>
      <c r="I37" s="1930"/>
      <c r="J37" s="713"/>
      <c r="K37" s="713"/>
      <c r="L37" s="713"/>
      <c r="M37" s="713"/>
      <c r="N37" s="713"/>
      <c r="O37" s="713"/>
      <c r="P37" s="713"/>
      <c r="Q37" s="713"/>
      <c r="R37" s="713"/>
      <c r="S37" s="713"/>
      <c r="T37" s="713"/>
    </row>
    <row r="38" spans="1:20" ht="12.75" customHeight="1" x14ac:dyDescent="0.2">
      <c r="A38" s="719"/>
      <c r="B38" s="719"/>
      <c r="C38" s="719"/>
      <c r="D38" s="719"/>
      <c r="E38" s="719"/>
      <c r="F38" s="719"/>
      <c r="G38" s="719"/>
      <c r="H38" s="719"/>
      <c r="I38" s="719"/>
      <c r="J38" s="713"/>
      <c r="K38" s="713"/>
      <c r="L38" s="713"/>
      <c r="M38" s="713"/>
      <c r="N38" s="713"/>
      <c r="O38" s="713"/>
      <c r="P38" s="713"/>
      <c r="Q38" s="713"/>
      <c r="R38" s="713"/>
      <c r="S38" s="713"/>
      <c r="T38" s="713"/>
    </row>
    <row r="39" spans="1:20" x14ac:dyDescent="0.2">
      <c r="A39" s="719"/>
      <c r="B39" s="719"/>
      <c r="C39" s="719"/>
      <c r="D39" s="719"/>
      <c r="E39" s="719"/>
      <c r="F39" s="719"/>
      <c r="G39" s="719"/>
      <c r="H39" s="719"/>
      <c r="I39" s="719"/>
      <c r="J39" s="713"/>
      <c r="K39" s="713"/>
      <c r="L39" s="713"/>
      <c r="M39" s="713"/>
      <c r="N39" s="713"/>
      <c r="O39" s="713"/>
      <c r="P39" s="713"/>
      <c r="Q39" s="713"/>
      <c r="R39" s="713"/>
      <c r="S39" s="713"/>
      <c r="T39" s="713"/>
    </row>
    <row r="40" spans="1:20" ht="12.75" customHeight="1" x14ac:dyDescent="0.2">
      <c r="A40" s="719"/>
      <c r="B40" s="719"/>
      <c r="C40" s="719"/>
      <c r="D40" s="719"/>
      <c r="E40" s="719"/>
      <c r="F40" s="719"/>
      <c r="G40" s="719"/>
      <c r="H40" s="719"/>
      <c r="I40" s="719"/>
    </row>
  </sheetData>
  <sheetProtection algorithmName="SHA-512" hashValue="M+Ugk1RNo3VlbPd1Ij6nrbq2hNZaP8xnWUo3JJhdLk9C5Klml62EU4CnGuR2IEvZspXH0t4zdiVW0Z8qUxVEkg==" saltValue="BypjXP/jObVIKf9Ex/yJFA==" spinCount="100000" sheet="1" objects="1" scenarios="1"/>
  <mergeCells count="44">
    <mergeCell ref="A9:I9"/>
    <mergeCell ref="A10:I10"/>
    <mergeCell ref="A11:I11"/>
    <mergeCell ref="A15:C17"/>
    <mergeCell ref="G15:I15"/>
    <mergeCell ref="G16:I16"/>
    <mergeCell ref="A18:C18"/>
    <mergeCell ref="G18:I18"/>
    <mergeCell ref="A19:C19"/>
    <mergeCell ref="G19:I19"/>
    <mergeCell ref="A20:C20"/>
    <mergeCell ref="G20:I20"/>
    <mergeCell ref="A21:C21"/>
    <mergeCell ref="G21:I21"/>
    <mergeCell ref="A22:C22"/>
    <mergeCell ref="G22:I22"/>
    <mergeCell ref="A23:C23"/>
    <mergeCell ref="D23:F23"/>
    <mergeCell ref="G23:I23"/>
    <mergeCell ref="A24:C24"/>
    <mergeCell ref="G24:I24"/>
    <mergeCell ref="A25:C25"/>
    <mergeCell ref="G25:I25"/>
    <mergeCell ref="A26:C26"/>
    <mergeCell ref="G26:I26"/>
    <mergeCell ref="A27:C27"/>
    <mergeCell ref="G27:I27"/>
    <mergeCell ref="A28:C28"/>
    <mergeCell ref="G28:I28"/>
    <mergeCell ref="A29:C29"/>
    <mergeCell ref="G29:I29"/>
    <mergeCell ref="A37:I37"/>
    <mergeCell ref="A30:C30"/>
    <mergeCell ref="G30:I30"/>
    <mergeCell ref="A31:C31"/>
    <mergeCell ref="G31:I31"/>
    <mergeCell ref="A32:C32"/>
    <mergeCell ref="G32:I32"/>
    <mergeCell ref="A33:C33"/>
    <mergeCell ref="G33:I33"/>
    <mergeCell ref="A34:C34"/>
    <mergeCell ref="G34:I34"/>
    <mergeCell ref="A35:C35"/>
    <mergeCell ref="G35:I35"/>
  </mergeCells>
  <pageMargins left="0.7" right="0.7" top="0.75" bottom="0.75" header="0.3" footer="0.3"/>
  <pageSetup scale="87" orientation="landscape"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4"/>
  <dimension ref="A1:J72"/>
  <sheetViews>
    <sheetView zoomScale="85" zoomScaleNormal="85" workbookViewId="0">
      <pane ySplit="1" topLeftCell="A35" activePane="bottomLeft" state="frozenSplit"/>
      <selection pane="bottomLeft" activeCell="M37" sqref="M37"/>
    </sheetView>
  </sheetViews>
  <sheetFormatPr defaultColWidth="9.28515625" defaultRowHeight="12.75" x14ac:dyDescent="0.2"/>
  <cols>
    <col min="1" max="1" width="33.5703125" style="27" bestFit="1" customWidth="1"/>
    <col min="2" max="9" width="11.7109375" style="27" bestFit="1" customWidth="1"/>
    <col min="10" max="15" width="9.28515625" style="27"/>
    <col min="16" max="16" width="33.5703125" style="27" bestFit="1" customWidth="1"/>
    <col min="17" max="16384" width="9.28515625" style="27"/>
  </cols>
  <sheetData>
    <row r="1" spans="1:9" x14ac:dyDescent="0.2">
      <c r="B1" s="422" t="s">
        <v>91</v>
      </c>
      <c r="C1" s="422" t="s">
        <v>91</v>
      </c>
      <c r="D1" s="422" t="s">
        <v>91</v>
      </c>
      <c r="E1" s="422" t="s">
        <v>92</v>
      </c>
      <c r="F1" s="422" t="s">
        <v>500</v>
      </c>
      <c r="G1" s="422" t="s">
        <v>648</v>
      </c>
      <c r="H1" s="422" t="s">
        <v>648</v>
      </c>
      <c r="I1" s="422" t="s">
        <v>648</v>
      </c>
    </row>
    <row r="2" spans="1:9" x14ac:dyDescent="0.2">
      <c r="B2" s="422" t="s">
        <v>235</v>
      </c>
      <c r="C2" s="422">
        <v>2012</v>
      </c>
      <c r="D2" s="422">
        <v>2013</v>
      </c>
      <c r="E2" s="422"/>
      <c r="F2" s="422"/>
      <c r="G2" s="422" t="s">
        <v>235</v>
      </c>
      <c r="H2" s="422">
        <v>2012</v>
      </c>
      <c r="I2" s="422">
        <v>2013</v>
      </c>
    </row>
    <row r="3" spans="1:9" x14ac:dyDescent="0.2">
      <c r="A3" s="221" t="s">
        <v>443</v>
      </c>
      <c r="B3" s="350" t="s">
        <v>497</v>
      </c>
      <c r="C3" s="350" t="s">
        <v>497</v>
      </c>
      <c r="D3" s="350" t="s">
        <v>497</v>
      </c>
      <c r="E3" s="350" t="s">
        <v>497</v>
      </c>
      <c r="F3" s="350" t="s">
        <v>497</v>
      </c>
      <c r="G3" s="350" t="s">
        <v>497</v>
      </c>
      <c r="H3" s="350" t="s">
        <v>497</v>
      </c>
      <c r="I3" s="350" t="s">
        <v>497</v>
      </c>
    </row>
    <row r="4" spans="1:9" x14ac:dyDescent="0.2">
      <c r="A4" s="221" t="s">
        <v>628</v>
      </c>
      <c r="B4" s="350" t="s">
        <v>497</v>
      </c>
      <c r="C4" s="350" t="s">
        <v>497</v>
      </c>
      <c r="D4" s="350" t="s">
        <v>497</v>
      </c>
      <c r="E4" s="350" t="s">
        <v>497</v>
      </c>
      <c r="F4" s="350" t="s">
        <v>497</v>
      </c>
      <c r="G4" s="350" t="s">
        <v>497</v>
      </c>
      <c r="H4" s="350" t="s">
        <v>497</v>
      </c>
      <c r="I4" s="350" t="s">
        <v>497</v>
      </c>
    </row>
    <row r="5" spans="1:9" x14ac:dyDescent="0.2">
      <c r="A5" s="221" t="s">
        <v>521</v>
      </c>
      <c r="B5" s="350" t="s">
        <v>497</v>
      </c>
      <c r="C5" s="350" t="s">
        <v>497</v>
      </c>
      <c r="D5" s="350" t="s">
        <v>497</v>
      </c>
      <c r="E5" s="350" t="s">
        <v>497</v>
      </c>
      <c r="F5" s="350" t="s">
        <v>497</v>
      </c>
      <c r="G5" s="350" t="s">
        <v>497</v>
      </c>
      <c r="H5" s="350" t="s">
        <v>497</v>
      </c>
      <c r="I5" s="350" t="s">
        <v>497</v>
      </c>
    </row>
    <row r="6" spans="1:9" x14ac:dyDescent="0.2">
      <c r="A6" s="221" t="s">
        <v>522</v>
      </c>
      <c r="B6" s="350" t="s">
        <v>497</v>
      </c>
      <c r="C6" s="350" t="s">
        <v>497</v>
      </c>
      <c r="D6" s="350" t="s">
        <v>497</v>
      </c>
      <c r="E6" s="350" t="s">
        <v>497</v>
      </c>
      <c r="F6" s="350" t="s">
        <v>497</v>
      </c>
      <c r="G6" s="350" t="s">
        <v>497</v>
      </c>
      <c r="H6" s="350" t="s">
        <v>497</v>
      </c>
      <c r="I6" s="350" t="s">
        <v>497</v>
      </c>
    </row>
    <row r="7" spans="1:9" x14ac:dyDescent="0.2">
      <c r="A7" s="221" t="s">
        <v>629</v>
      </c>
      <c r="B7" s="350" t="s">
        <v>497</v>
      </c>
      <c r="C7" s="350" t="s">
        <v>497</v>
      </c>
      <c r="D7" s="350" t="s">
        <v>497</v>
      </c>
      <c r="E7" s="350" t="s">
        <v>497</v>
      </c>
      <c r="F7" s="350" t="s">
        <v>497</v>
      </c>
      <c r="G7" s="350" t="s">
        <v>497</v>
      </c>
      <c r="H7" s="350" t="s">
        <v>497</v>
      </c>
      <c r="I7" s="350" t="s">
        <v>497</v>
      </c>
    </row>
    <row r="8" spans="1:9" x14ac:dyDescent="0.2">
      <c r="A8" s="221" t="s">
        <v>630</v>
      </c>
      <c r="B8" s="350" t="s">
        <v>497</v>
      </c>
      <c r="C8" s="350" t="s">
        <v>497</v>
      </c>
      <c r="D8" s="350" t="s">
        <v>497</v>
      </c>
      <c r="E8" s="350" t="s">
        <v>497</v>
      </c>
      <c r="F8" s="350" t="s">
        <v>497</v>
      </c>
      <c r="G8" s="350" t="s">
        <v>497</v>
      </c>
      <c r="H8" s="350" t="s">
        <v>497</v>
      </c>
      <c r="I8" s="350" t="s">
        <v>497</v>
      </c>
    </row>
    <row r="9" spans="1:9" x14ac:dyDescent="0.2">
      <c r="A9" s="221" t="s">
        <v>643</v>
      </c>
      <c r="B9" s="350" t="s">
        <v>497</v>
      </c>
      <c r="C9" s="350" t="s">
        <v>497</v>
      </c>
      <c r="D9" s="350" t="s">
        <v>497</v>
      </c>
      <c r="E9" s="350" t="s">
        <v>499</v>
      </c>
      <c r="F9" s="350" t="s">
        <v>497</v>
      </c>
      <c r="G9" s="350" t="s">
        <v>497</v>
      </c>
      <c r="H9" s="350" t="s">
        <v>497</v>
      </c>
      <c r="I9" s="350" t="s">
        <v>497</v>
      </c>
    </row>
    <row r="10" spans="1:9" x14ac:dyDescent="0.2">
      <c r="A10" s="221" t="s">
        <v>644</v>
      </c>
      <c r="B10" s="350" t="s">
        <v>499</v>
      </c>
      <c r="C10" s="350" t="s">
        <v>499</v>
      </c>
      <c r="D10" s="350" t="s">
        <v>499</v>
      </c>
      <c r="E10" s="350" t="s">
        <v>497</v>
      </c>
      <c r="F10" s="350" t="s">
        <v>499</v>
      </c>
      <c r="G10" s="350" t="s">
        <v>499</v>
      </c>
      <c r="H10" s="350" t="s">
        <v>499</v>
      </c>
      <c r="I10" s="350" t="s">
        <v>499</v>
      </c>
    </row>
    <row r="11" spans="1:9" x14ac:dyDescent="0.2">
      <c r="A11" s="221" t="s">
        <v>444</v>
      </c>
      <c r="B11" s="350" t="s">
        <v>497</v>
      </c>
      <c r="C11" s="350" t="s">
        <v>497</v>
      </c>
      <c r="D11" s="350" t="s">
        <v>497</v>
      </c>
      <c r="E11" s="350" t="s">
        <v>497</v>
      </c>
      <c r="F11" s="350" t="s">
        <v>497</v>
      </c>
      <c r="G11" s="350" t="s">
        <v>497</v>
      </c>
      <c r="H11" s="350" t="s">
        <v>497</v>
      </c>
      <c r="I11" s="350" t="s">
        <v>497</v>
      </c>
    </row>
    <row r="12" spans="1:9" x14ac:dyDescent="0.2">
      <c r="A12" s="221" t="s">
        <v>445</v>
      </c>
      <c r="B12" s="350" t="s">
        <v>499</v>
      </c>
      <c r="C12" s="350" t="s">
        <v>499</v>
      </c>
      <c r="D12" s="350" t="s">
        <v>499</v>
      </c>
      <c r="E12" s="350" t="s">
        <v>497</v>
      </c>
      <c r="F12" s="350" t="s">
        <v>499</v>
      </c>
      <c r="G12" s="350" t="s">
        <v>499</v>
      </c>
      <c r="H12" s="350" t="s">
        <v>499</v>
      </c>
      <c r="I12" s="350" t="s">
        <v>499</v>
      </c>
    </row>
    <row r="13" spans="1:9" x14ac:dyDescent="0.2">
      <c r="A13" s="221" t="s">
        <v>446</v>
      </c>
      <c r="B13" s="350" t="s">
        <v>499</v>
      </c>
      <c r="C13" s="350" t="s">
        <v>499</v>
      </c>
      <c r="D13" s="350" t="s">
        <v>499</v>
      </c>
      <c r="E13" s="350" t="s">
        <v>497</v>
      </c>
      <c r="F13" s="350" t="s">
        <v>499</v>
      </c>
      <c r="G13" s="350" t="s">
        <v>499</v>
      </c>
      <c r="H13" s="350" t="s">
        <v>499</v>
      </c>
      <c r="I13" s="350" t="s">
        <v>499</v>
      </c>
    </row>
    <row r="14" spans="1:9" x14ac:dyDescent="0.2">
      <c r="A14" s="221" t="s">
        <v>447</v>
      </c>
      <c r="B14" s="350" t="s">
        <v>499</v>
      </c>
      <c r="C14" s="350" t="s">
        <v>499</v>
      </c>
      <c r="D14" s="350" t="s">
        <v>499</v>
      </c>
      <c r="E14" s="350" t="s">
        <v>497</v>
      </c>
      <c r="F14" s="350" t="s">
        <v>499</v>
      </c>
      <c r="G14" s="350" t="s">
        <v>499</v>
      </c>
      <c r="H14" s="350" t="s">
        <v>499</v>
      </c>
      <c r="I14" s="350" t="s">
        <v>499</v>
      </c>
    </row>
    <row r="15" spans="1:9" x14ac:dyDescent="0.2">
      <c r="A15" s="221" t="s">
        <v>448</v>
      </c>
      <c r="B15" s="350" t="s">
        <v>499</v>
      </c>
      <c r="C15" s="350" t="s">
        <v>499</v>
      </c>
      <c r="D15" s="350" t="s">
        <v>499</v>
      </c>
      <c r="E15" s="350" t="s">
        <v>497</v>
      </c>
      <c r="F15" s="350" t="s">
        <v>499</v>
      </c>
      <c r="G15" s="350" t="s">
        <v>499</v>
      </c>
      <c r="H15" s="350" t="s">
        <v>499</v>
      </c>
      <c r="I15" s="350" t="s">
        <v>499</v>
      </c>
    </row>
    <row r="16" spans="1:9" x14ac:dyDescent="0.2">
      <c r="A16" s="221" t="s">
        <v>449</v>
      </c>
      <c r="B16" s="350" t="s">
        <v>499</v>
      </c>
      <c r="C16" s="350" t="s">
        <v>499</v>
      </c>
      <c r="D16" s="350" t="s">
        <v>499</v>
      </c>
      <c r="E16" s="350" t="s">
        <v>497</v>
      </c>
      <c r="F16" s="350" t="s">
        <v>499</v>
      </c>
      <c r="G16" s="350" t="s">
        <v>499</v>
      </c>
      <c r="H16" s="350" t="s">
        <v>499</v>
      </c>
      <c r="I16" s="350" t="s">
        <v>499</v>
      </c>
    </row>
    <row r="17" spans="1:9" x14ac:dyDescent="0.2">
      <c r="A17" s="221" t="s">
        <v>450</v>
      </c>
      <c r="B17" s="350" t="s">
        <v>499</v>
      </c>
      <c r="C17" s="350" t="s">
        <v>499</v>
      </c>
      <c r="D17" s="350" t="s">
        <v>499</v>
      </c>
      <c r="E17" s="350" t="s">
        <v>497</v>
      </c>
      <c r="F17" s="350" t="s">
        <v>499</v>
      </c>
      <c r="G17" s="350" t="s">
        <v>499</v>
      </c>
      <c r="H17" s="350" t="s">
        <v>499</v>
      </c>
      <c r="I17" s="350" t="s">
        <v>499</v>
      </c>
    </row>
    <row r="18" spans="1:9" x14ac:dyDescent="0.2">
      <c r="A18" s="221" t="s">
        <v>451</v>
      </c>
      <c r="B18" s="350" t="s">
        <v>499</v>
      </c>
      <c r="C18" s="350" t="s">
        <v>499</v>
      </c>
      <c r="D18" s="350" t="s">
        <v>499</v>
      </c>
      <c r="E18" s="350" t="s">
        <v>497</v>
      </c>
      <c r="F18" s="350" t="s">
        <v>499</v>
      </c>
      <c r="G18" s="350" t="s">
        <v>499</v>
      </c>
      <c r="H18" s="350" t="s">
        <v>499</v>
      </c>
      <c r="I18" s="350" t="s">
        <v>499</v>
      </c>
    </row>
    <row r="19" spans="1:9" x14ac:dyDescent="0.2">
      <c r="A19" s="221" t="s">
        <v>452</v>
      </c>
      <c r="B19" s="350" t="s">
        <v>499</v>
      </c>
      <c r="C19" s="350" t="s">
        <v>499</v>
      </c>
      <c r="D19" s="350" t="s">
        <v>499</v>
      </c>
      <c r="E19" s="350" t="s">
        <v>497</v>
      </c>
      <c r="F19" s="350" t="s">
        <v>499</v>
      </c>
      <c r="G19" s="350" t="s">
        <v>499</v>
      </c>
      <c r="H19" s="350" t="s">
        <v>499</v>
      </c>
      <c r="I19" s="350" t="s">
        <v>499</v>
      </c>
    </row>
    <row r="20" spans="1:9" x14ac:dyDescent="0.2">
      <c r="A20" s="221" t="s">
        <v>453</v>
      </c>
      <c r="B20" s="350" t="s">
        <v>499</v>
      </c>
      <c r="C20" s="350" t="s">
        <v>499</v>
      </c>
      <c r="D20" s="350" t="s">
        <v>499</v>
      </c>
      <c r="E20" s="350" t="s">
        <v>497</v>
      </c>
      <c r="F20" s="350" t="s">
        <v>499</v>
      </c>
      <c r="G20" s="350" t="s">
        <v>499</v>
      </c>
      <c r="H20" s="350" t="s">
        <v>499</v>
      </c>
      <c r="I20" s="350" t="s">
        <v>499</v>
      </c>
    </row>
    <row r="21" spans="1:9" x14ac:dyDescent="0.2">
      <c r="A21" s="221" t="s">
        <v>454</v>
      </c>
      <c r="B21" s="350" t="s">
        <v>499</v>
      </c>
      <c r="C21" s="350" t="s">
        <v>499</v>
      </c>
      <c r="D21" s="350" t="s">
        <v>499</v>
      </c>
      <c r="E21" s="350" t="s">
        <v>497</v>
      </c>
      <c r="F21" s="350" t="s">
        <v>499</v>
      </c>
      <c r="G21" s="350" t="s">
        <v>499</v>
      </c>
      <c r="H21" s="350" t="s">
        <v>499</v>
      </c>
      <c r="I21" s="350" t="s">
        <v>499</v>
      </c>
    </row>
    <row r="22" spans="1:9" x14ac:dyDescent="0.2">
      <c r="A22" s="221" t="s">
        <v>455</v>
      </c>
      <c r="B22" s="350" t="s">
        <v>499</v>
      </c>
      <c r="C22" s="350" t="s">
        <v>499</v>
      </c>
      <c r="D22" s="350" t="s">
        <v>499</v>
      </c>
      <c r="E22" s="350" t="s">
        <v>497</v>
      </c>
      <c r="F22" s="350" t="s">
        <v>499</v>
      </c>
      <c r="G22" s="350" t="s">
        <v>499</v>
      </c>
      <c r="H22" s="350" t="s">
        <v>499</v>
      </c>
      <c r="I22" s="350" t="s">
        <v>499</v>
      </c>
    </row>
    <row r="23" spans="1:9" x14ac:dyDescent="0.2">
      <c r="A23" s="221" t="s">
        <v>456</v>
      </c>
      <c r="B23" s="350" t="s">
        <v>499</v>
      </c>
      <c r="C23" s="350" t="s">
        <v>499</v>
      </c>
      <c r="D23" s="350" t="s">
        <v>499</v>
      </c>
      <c r="E23" s="350" t="s">
        <v>497</v>
      </c>
      <c r="F23" s="350" t="s">
        <v>499</v>
      </c>
      <c r="G23" s="350" t="s">
        <v>499</v>
      </c>
      <c r="H23" s="350" t="s">
        <v>499</v>
      </c>
      <c r="I23" s="350" t="s">
        <v>499</v>
      </c>
    </row>
    <row r="24" spans="1:9" x14ac:dyDescent="0.2">
      <c r="A24" s="221" t="s">
        <v>457</v>
      </c>
      <c r="B24" s="350" t="s">
        <v>499</v>
      </c>
      <c r="C24" s="350" t="s">
        <v>499</v>
      </c>
      <c r="D24" s="350" t="s">
        <v>499</v>
      </c>
      <c r="E24" s="350" t="s">
        <v>497</v>
      </c>
      <c r="F24" s="350" t="s">
        <v>499</v>
      </c>
      <c r="G24" s="350" t="s">
        <v>499</v>
      </c>
      <c r="H24" s="350" t="s">
        <v>499</v>
      </c>
      <c r="I24" s="350" t="s">
        <v>499</v>
      </c>
    </row>
    <row r="25" spans="1:9" x14ac:dyDescent="0.2">
      <c r="A25" s="221" t="s">
        <v>458</v>
      </c>
      <c r="B25" s="350" t="s">
        <v>499</v>
      </c>
      <c r="C25" s="350" t="s">
        <v>499</v>
      </c>
      <c r="D25" s="350" t="s">
        <v>499</v>
      </c>
      <c r="E25" s="350" t="s">
        <v>497</v>
      </c>
      <c r="F25" s="350" t="s">
        <v>499</v>
      </c>
      <c r="G25" s="350" t="s">
        <v>499</v>
      </c>
      <c r="H25" s="350" t="s">
        <v>499</v>
      </c>
      <c r="I25" s="350" t="s">
        <v>499</v>
      </c>
    </row>
    <row r="26" spans="1:9" x14ac:dyDescent="0.2">
      <c r="A26" s="221" t="s">
        <v>459</v>
      </c>
      <c r="B26" s="350" t="s">
        <v>497</v>
      </c>
      <c r="C26" s="350" t="s">
        <v>497</v>
      </c>
      <c r="D26" s="350" t="s">
        <v>497</v>
      </c>
      <c r="E26" s="350" t="s">
        <v>499</v>
      </c>
      <c r="F26" s="350" t="s">
        <v>499</v>
      </c>
      <c r="G26" s="350" t="s">
        <v>497</v>
      </c>
      <c r="H26" s="350" t="s">
        <v>497</v>
      </c>
      <c r="I26" s="350" t="s">
        <v>497</v>
      </c>
    </row>
    <row r="27" spans="1:9" x14ac:dyDescent="0.2">
      <c r="A27" s="221" t="s">
        <v>460</v>
      </c>
      <c r="B27" s="350" t="s">
        <v>497</v>
      </c>
      <c r="C27" s="350" t="s">
        <v>497</v>
      </c>
      <c r="D27" s="350" t="s">
        <v>499</v>
      </c>
      <c r="E27" s="350" t="s">
        <v>499</v>
      </c>
      <c r="F27" s="350" t="s">
        <v>499</v>
      </c>
      <c r="G27" s="350" t="s">
        <v>497</v>
      </c>
      <c r="H27" s="350" t="s">
        <v>497</v>
      </c>
      <c r="I27" s="350" t="s">
        <v>499</v>
      </c>
    </row>
    <row r="28" spans="1:9" x14ac:dyDescent="0.2">
      <c r="A28" s="221" t="s">
        <v>461</v>
      </c>
      <c r="B28" s="350" t="s">
        <v>497</v>
      </c>
      <c r="C28" s="350" t="s">
        <v>497</v>
      </c>
      <c r="D28" s="350" t="s">
        <v>499</v>
      </c>
      <c r="E28" s="350" t="s">
        <v>499</v>
      </c>
      <c r="F28" s="350" t="s">
        <v>499</v>
      </c>
      <c r="G28" s="350" t="s">
        <v>497</v>
      </c>
      <c r="H28" s="350" t="s">
        <v>497</v>
      </c>
      <c r="I28" s="350" t="s">
        <v>499</v>
      </c>
    </row>
    <row r="29" spans="1:9" x14ac:dyDescent="0.2">
      <c r="A29" s="221" t="s">
        <v>462</v>
      </c>
      <c r="B29" s="350" t="s">
        <v>497</v>
      </c>
      <c r="C29" s="350" t="s">
        <v>497</v>
      </c>
      <c r="D29" s="350" t="s">
        <v>499</v>
      </c>
      <c r="E29" s="350" t="s">
        <v>499</v>
      </c>
      <c r="F29" s="350" t="s">
        <v>499</v>
      </c>
      <c r="G29" s="350" t="s">
        <v>497</v>
      </c>
      <c r="H29" s="350" t="s">
        <v>497</v>
      </c>
      <c r="I29" s="350" t="s">
        <v>499</v>
      </c>
    </row>
    <row r="30" spans="1:9" x14ac:dyDescent="0.2">
      <c r="A30" s="221" t="s">
        <v>463</v>
      </c>
      <c r="B30" s="350" t="s">
        <v>497</v>
      </c>
      <c r="C30" s="350" t="s">
        <v>497</v>
      </c>
      <c r="D30" s="350" t="s">
        <v>499</v>
      </c>
      <c r="E30" s="350" t="s">
        <v>499</v>
      </c>
      <c r="F30" s="350" t="s">
        <v>499</v>
      </c>
      <c r="G30" s="350" t="s">
        <v>497</v>
      </c>
      <c r="H30" s="350" t="s">
        <v>497</v>
      </c>
      <c r="I30" s="350" t="s">
        <v>499</v>
      </c>
    </row>
    <row r="31" spans="1:9" x14ac:dyDescent="0.2">
      <c r="A31" s="221" t="s">
        <v>464</v>
      </c>
      <c r="B31" s="350" t="s">
        <v>497</v>
      </c>
      <c r="C31" s="350" t="s">
        <v>499</v>
      </c>
      <c r="D31" s="350" t="s">
        <v>497</v>
      </c>
      <c r="E31" s="350" t="s">
        <v>499</v>
      </c>
      <c r="F31" s="350" t="s">
        <v>499</v>
      </c>
      <c r="G31" s="350" t="s">
        <v>497</v>
      </c>
      <c r="H31" s="350" t="s">
        <v>499</v>
      </c>
      <c r="I31" s="350" t="s">
        <v>497</v>
      </c>
    </row>
    <row r="32" spans="1:9" x14ac:dyDescent="0.2">
      <c r="A32" s="221" t="s">
        <v>465</v>
      </c>
      <c r="B32" s="350" t="s">
        <v>497</v>
      </c>
      <c r="C32" s="350" t="s">
        <v>499</v>
      </c>
      <c r="D32" s="350" t="s">
        <v>497</v>
      </c>
      <c r="E32" s="350" t="s">
        <v>499</v>
      </c>
      <c r="F32" s="350" t="s">
        <v>499</v>
      </c>
      <c r="G32" s="350" t="s">
        <v>497</v>
      </c>
      <c r="H32" s="350" t="s">
        <v>499</v>
      </c>
      <c r="I32" s="350" t="s">
        <v>497</v>
      </c>
    </row>
    <row r="33" spans="1:10" x14ac:dyDescent="0.2">
      <c r="A33" s="221" t="s">
        <v>466</v>
      </c>
      <c r="B33" s="350" t="s">
        <v>497</v>
      </c>
      <c r="C33" s="350" t="s">
        <v>499</v>
      </c>
      <c r="D33" s="350" t="s">
        <v>497</v>
      </c>
      <c r="E33" s="350" t="s">
        <v>499</v>
      </c>
      <c r="F33" s="350" t="s">
        <v>499</v>
      </c>
      <c r="G33" s="350" t="s">
        <v>497</v>
      </c>
      <c r="H33" s="350" t="s">
        <v>499</v>
      </c>
      <c r="I33" s="350" t="s">
        <v>497</v>
      </c>
    </row>
    <row r="34" spans="1:10" x14ac:dyDescent="0.2">
      <c r="A34" s="221" t="s">
        <v>467</v>
      </c>
      <c r="B34" s="350" t="s">
        <v>497</v>
      </c>
      <c r="C34" s="350" t="s">
        <v>499</v>
      </c>
      <c r="D34" s="350" t="s">
        <v>497</v>
      </c>
      <c r="E34" s="350" t="s">
        <v>499</v>
      </c>
      <c r="F34" s="350" t="s">
        <v>499</v>
      </c>
      <c r="G34" s="350" t="s">
        <v>497</v>
      </c>
      <c r="H34" s="350" t="s">
        <v>499</v>
      </c>
      <c r="I34" s="350" t="s">
        <v>497</v>
      </c>
    </row>
    <row r="35" spans="1:10" x14ac:dyDescent="0.2">
      <c r="A35" s="221" t="s">
        <v>501</v>
      </c>
      <c r="B35" s="350" t="s">
        <v>499</v>
      </c>
      <c r="C35" s="350" t="s">
        <v>499</v>
      </c>
      <c r="D35" s="350" t="s">
        <v>499</v>
      </c>
      <c r="E35" s="350" t="s">
        <v>499</v>
      </c>
      <c r="F35" s="350" t="s">
        <v>497</v>
      </c>
      <c r="G35" s="350" t="s">
        <v>499</v>
      </c>
      <c r="H35" s="350" t="s">
        <v>499</v>
      </c>
      <c r="I35" s="350" t="s">
        <v>499</v>
      </c>
    </row>
    <row r="36" spans="1:10" x14ac:dyDescent="0.2">
      <c r="A36" s="221" t="s">
        <v>468</v>
      </c>
      <c r="B36" s="350" t="s">
        <v>499</v>
      </c>
      <c r="C36" s="350" t="s">
        <v>499</v>
      </c>
      <c r="D36" s="350" t="s">
        <v>499</v>
      </c>
      <c r="E36" s="350" t="s">
        <v>497</v>
      </c>
      <c r="F36" s="350" t="s">
        <v>499</v>
      </c>
      <c r="G36" s="350" t="s">
        <v>499</v>
      </c>
      <c r="H36" s="350" t="s">
        <v>499</v>
      </c>
      <c r="I36" s="350" t="s">
        <v>499</v>
      </c>
    </row>
    <row r="37" spans="1:10" x14ac:dyDescent="0.2">
      <c r="A37" s="221" t="s">
        <v>469</v>
      </c>
      <c r="B37" s="350" t="s">
        <v>497</v>
      </c>
      <c r="C37" s="350" t="s">
        <v>497</v>
      </c>
      <c r="D37" s="350" t="s">
        <v>497</v>
      </c>
      <c r="E37" s="350" t="s">
        <v>499</v>
      </c>
      <c r="F37" s="350" t="s">
        <v>499</v>
      </c>
      <c r="G37" s="350" t="s">
        <v>497</v>
      </c>
      <c r="H37" s="350" t="s">
        <v>497</v>
      </c>
      <c r="I37" s="350" t="s">
        <v>497</v>
      </c>
    </row>
    <row r="38" spans="1:10" x14ac:dyDescent="0.2">
      <c r="A38" s="221" t="s">
        <v>470</v>
      </c>
      <c r="B38" s="350" t="s">
        <v>499</v>
      </c>
      <c r="C38" s="350" t="s">
        <v>499</v>
      </c>
      <c r="D38" s="350" t="s">
        <v>499</v>
      </c>
      <c r="E38" s="350" t="s">
        <v>497</v>
      </c>
      <c r="F38" s="350" t="s">
        <v>497</v>
      </c>
      <c r="G38" s="350" t="s">
        <v>499</v>
      </c>
      <c r="H38" s="350" t="s">
        <v>499</v>
      </c>
      <c r="I38" s="350" t="s">
        <v>499</v>
      </c>
    </row>
    <row r="39" spans="1:10" x14ac:dyDescent="0.2">
      <c r="A39" s="221" t="s">
        <v>471</v>
      </c>
      <c r="B39" s="350" t="s">
        <v>499</v>
      </c>
      <c r="C39" s="350" t="s">
        <v>499</v>
      </c>
      <c r="D39" s="350" t="s">
        <v>499</v>
      </c>
      <c r="E39" s="350" t="s">
        <v>497</v>
      </c>
      <c r="F39" s="350" t="s">
        <v>497</v>
      </c>
      <c r="G39" s="350" t="s">
        <v>499</v>
      </c>
      <c r="H39" s="350" t="s">
        <v>499</v>
      </c>
      <c r="I39" s="350" t="s">
        <v>499</v>
      </c>
    </row>
    <row r="40" spans="1:10" x14ac:dyDescent="0.2">
      <c r="A40" s="221" t="s">
        <v>472</v>
      </c>
      <c r="B40" s="350" t="s">
        <v>499</v>
      </c>
      <c r="C40" s="350" t="s">
        <v>499</v>
      </c>
      <c r="D40" s="350" t="s">
        <v>499</v>
      </c>
      <c r="E40" s="350" t="s">
        <v>497</v>
      </c>
      <c r="F40" s="350" t="s">
        <v>497</v>
      </c>
      <c r="G40" s="350" t="s">
        <v>499</v>
      </c>
      <c r="H40" s="350" t="s">
        <v>499</v>
      </c>
      <c r="I40" s="350" t="s">
        <v>499</v>
      </c>
    </row>
    <row r="41" spans="1:10" x14ac:dyDescent="0.2">
      <c r="A41" s="221" t="s">
        <v>473</v>
      </c>
      <c r="B41" s="350" t="s">
        <v>497</v>
      </c>
      <c r="C41" s="350" t="s">
        <v>497</v>
      </c>
      <c r="D41" s="350" t="s">
        <v>499</v>
      </c>
      <c r="E41" s="350" t="s">
        <v>497</v>
      </c>
      <c r="F41" s="350" t="s">
        <v>497</v>
      </c>
      <c r="G41" s="350" t="s">
        <v>497</v>
      </c>
      <c r="H41" s="350" t="s">
        <v>497</v>
      </c>
      <c r="I41" s="350" t="s">
        <v>499</v>
      </c>
    </row>
    <row r="42" spans="1:10" x14ac:dyDescent="0.2">
      <c r="A42" s="221" t="s">
        <v>474</v>
      </c>
      <c r="B42" s="350" t="s">
        <v>497</v>
      </c>
      <c r="C42" s="350" t="s">
        <v>499</v>
      </c>
      <c r="D42" s="350" t="s">
        <v>497</v>
      </c>
      <c r="E42" s="350" t="s">
        <v>497</v>
      </c>
      <c r="F42" s="350" t="s">
        <v>497</v>
      </c>
      <c r="G42" s="350" t="s">
        <v>497</v>
      </c>
      <c r="H42" s="350" t="s">
        <v>499</v>
      </c>
      <c r="I42" s="350" t="s">
        <v>497</v>
      </c>
    </row>
    <row r="43" spans="1:10" x14ac:dyDescent="0.2">
      <c r="A43" s="221" t="s">
        <v>475</v>
      </c>
      <c r="B43" s="350" t="s">
        <v>498</v>
      </c>
      <c r="C43" s="350" t="s">
        <v>498</v>
      </c>
      <c r="D43" s="350" t="s">
        <v>498</v>
      </c>
      <c r="E43" s="350" t="s">
        <v>498</v>
      </c>
      <c r="F43" s="350" t="s">
        <v>498</v>
      </c>
      <c r="G43" s="350" t="s">
        <v>498</v>
      </c>
      <c r="H43" s="350" t="s">
        <v>498</v>
      </c>
      <c r="I43" s="350" t="s">
        <v>498</v>
      </c>
    </row>
    <row r="44" spans="1:10" x14ac:dyDescent="0.2">
      <c r="A44" s="221" t="s">
        <v>650</v>
      </c>
      <c r="B44" s="350" t="s">
        <v>498</v>
      </c>
      <c r="C44" s="350" t="s">
        <v>498</v>
      </c>
      <c r="D44" s="350" t="s">
        <v>498</v>
      </c>
      <c r="E44" s="350" t="s">
        <v>498</v>
      </c>
      <c r="F44" s="350" t="s">
        <v>498</v>
      </c>
      <c r="G44" s="350" t="s">
        <v>498</v>
      </c>
      <c r="H44" s="350" t="s">
        <v>498</v>
      </c>
      <c r="I44" s="350" t="s">
        <v>498</v>
      </c>
    </row>
    <row r="45" spans="1:10" x14ac:dyDescent="0.2">
      <c r="A45" s="221" t="s">
        <v>649</v>
      </c>
      <c r="B45" s="350" t="s">
        <v>498</v>
      </c>
      <c r="C45" s="350" t="s">
        <v>498</v>
      </c>
      <c r="D45" s="350" t="s">
        <v>498</v>
      </c>
      <c r="E45" s="350" t="s">
        <v>498</v>
      </c>
      <c r="F45" s="350" t="s">
        <v>498</v>
      </c>
      <c r="G45" s="350" t="s">
        <v>498</v>
      </c>
      <c r="H45" s="350" t="s">
        <v>498</v>
      </c>
      <c r="I45" s="350" t="s">
        <v>498</v>
      </c>
    </row>
    <row r="46" spans="1:10" x14ac:dyDescent="0.2">
      <c r="A46" s="221" t="s">
        <v>476</v>
      </c>
      <c r="B46" s="350" t="s">
        <v>497</v>
      </c>
      <c r="C46" s="350" t="s">
        <v>497</v>
      </c>
      <c r="D46" s="350" t="s">
        <v>497</v>
      </c>
      <c r="E46" s="350" t="s">
        <v>497</v>
      </c>
      <c r="F46" s="350" t="s">
        <v>497</v>
      </c>
      <c r="G46" s="350" t="s">
        <v>497</v>
      </c>
      <c r="H46" s="350" t="s">
        <v>497</v>
      </c>
      <c r="I46" s="350" t="s">
        <v>497</v>
      </c>
      <c r="J46" s="34"/>
    </row>
    <row r="47" spans="1:10" x14ac:dyDescent="0.2">
      <c r="A47" s="221" t="s">
        <v>477</v>
      </c>
      <c r="B47" s="350" t="s">
        <v>497</v>
      </c>
      <c r="C47" s="350" t="s">
        <v>497</v>
      </c>
      <c r="D47" s="350" t="s">
        <v>497</v>
      </c>
      <c r="E47" s="350" t="s">
        <v>497</v>
      </c>
      <c r="F47" s="350" t="s">
        <v>497</v>
      </c>
      <c r="G47" s="350" t="s">
        <v>497</v>
      </c>
      <c r="H47" s="350" t="s">
        <v>497</v>
      </c>
      <c r="I47" s="350" t="s">
        <v>497</v>
      </c>
      <c r="J47" s="34"/>
    </row>
    <row r="48" spans="1:10" x14ac:dyDescent="0.2">
      <c r="A48" s="221" t="s">
        <v>478</v>
      </c>
      <c r="B48" s="350" t="s">
        <v>497</v>
      </c>
      <c r="C48" s="350" t="s">
        <v>497</v>
      </c>
      <c r="D48" s="350" t="s">
        <v>497</v>
      </c>
      <c r="E48" s="350" t="s">
        <v>497</v>
      </c>
      <c r="F48" s="350" t="s">
        <v>497</v>
      </c>
      <c r="G48" s="350" t="s">
        <v>497</v>
      </c>
      <c r="H48" s="350" t="s">
        <v>497</v>
      </c>
      <c r="I48" s="350" t="s">
        <v>497</v>
      </c>
      <c r="J48" s="34"/>
    </row>
    <row r="49" spans="1:10" x14ac:dyDescent="0.2">
      <c r="A49" s="221" t="s">
        <v>658</v>
      </c>
      <c r="B49" s="350" t="s">
        <v>497</v>
      </c>
      <c r="C49" s="350" t="s">
        <v>497</v>
      </c>
      <c r="D49" s="350" t="s">
        <v>497</v>
      </c>
      <c r="E49" s="350" t="s">
        <v>497</v>
      </c>
      <c r="F49" s="350" t="s">
        <v>497</v>
      </c>
      <c r="G49" s="350" t="s">
        <v>497</v>
      </c>
      <c r="H49" s="350" t="s">
        <v>497</v>
      </c>
      <c r="I49" s="350" t="s">
        <v>497</v>
      </c>
      <c r="J49" s="423"/>
    </row>
    <row r="50" spans="1:10" x14ac:dyDescent="0.2">
      <c r="A50" s="221" t="s">
        <v>659</v>
      </c>
      <c r="B50" s="350" t="s">
        <v>497</v>
      </c>
      <c r="C50" s="350" t="s">
        <v>497</v>
      </c>
      <c r="D50" s="350" t="s">
        <v>497</v>
      </c>
      <c r="E50" s="350" t="s">
        <v>497</v>
      </c>
      <c r="F50" s="350" t="s">
        <v>497</v>
      </c>
      <c r="G50" s="350" t="s">
        <v>497</v>
      </c>
      <c r="H50" s="350" t="s">
        <v>497</v>
      </c>
      <c r="I50" s="350" t="s">
        <v>497</v>
      </c>
      <c r="J50" s="423"/>
    </row>
    <row r="51" spans="1:10" x14ac:dyDescent="0.2">
      <c r="A51" s="221" t="s">
        <v>660</v>
      </c>
      <c r="B51" s="350" t="s">
        <v>497</v>
      </c>
      <c r="C51" s="350" t="s">
        <v>497</v>
      </c>
      <c r="D51" s="350" t="s">
        <v>497</v>
      </c>
      <c r="E51" s="350" t="s">
        <v>497</v>
      </c>
      <c r="F51" s="350" t="s">
        <v>497</v>
      </c>
      <c r="G51" s="350" t="s">
        <v>497</v>
      </c>
      <c r="H51" s="350" t="s">
        <v>497</v>
      </c>
      <c r="I51" s="350" t="s">
        <v>497</v>
      </c>
    </row>
    <row r="52" spans="1:10" x14ac:dyDescent="0.2">
      <c r="A52" s="221" t="s">
        <v>479</v>
      </c>
      <c r="B52" s="350" t="s">
        <v>497</v>
      </c>
      <c r="C52" s="350" t="s">
        <v>497</v>
      </c>
      <c r="D52" s="350" t="s">
        <v>497</v>
      </c>
      <c r="E52" s="350" t="s">
        <v>497</v>
      </c>
      <c r="F52" s="350" t="s">
        <v>497</v>
      </c>
      <c r="G52" s="350" t="s">
        <v>497</v>
      </c>
      <c r="H52" s="350" t="s">
        <v>497</v>
      </c>
      <c r="I52" s="350" t="s">
        <v>497</v>
      </c>
    </row>
    <row r="53" spans="1:10" x14ac:dyDescent="0.2">
      <c r="A53" s="221" t="s">
        <v>480</v>
      </c>
      <c r="B53" s="350" t="s">
        <v>497</v>
      </c>
      <c r="C53" s="350" t="s">
        <v>497</v>
      </c>
      <c r="D53" s="350" t="s">
        <v>497</v>
      </c>
      <c r="E53" s="350" t="s">
        <v>497</v>
      </c>
      <c r="F53" s="350" t="s">
        <v>497</v>
      </c>
      <c r="G53" s="350" t="s">
        <v>497</v>
      </c>
      <c r="H53" s="350" t="s">
        <v>497</v>
      </c>
      <c r="I53" s="350" t="s">
        <v>497</v>
      </c>
    </row>
    <row r="54" spans="1:10" x14ac:dyDescent="0.2">
      <c r="A54" s="221" t="s">
        <v>481</v>
      </c>
      <c r="B54" s="350" t="s">
        <v>497</v>
      </c>
      <c r="C54" s="350" t="s">
        <v>497</v>
      </c>
      <c r="D54" s="350" t="s">
        <v>497</v>
      </c>
      <c r="E54" s="350" t="s">
        <v>497</v>
      </c>
      <c r="F54" s="350" t="s">
        <v>497</v>
      </c>
      <c r="G54" s="350" t="s">
        <v>497</v>
      </c>
      <c r="H54" s="350" t="s">
        <v>497</v>
      </c>
      <c r="I54" s="350" t="s">
        <v>497</v>
      </c>
    </row>
    <row r="55" spans="1:10" x14ac:dyDescent="0.2">
      <c r="A55" s="221" t="s">
        <v>482</v>
      </c>
      <c r="B55" s="350" t="s">
        <v>497</v>
      </c>
      <c r="C55" s="350" t="s">
        <v>497</v>
      </c>
      <c r="D55" s="350" t="s">
        <v>497</v>
      </c>
      <c r="E55" s="350" t="s">
        <v>497</v>
      </c>
      <c r="F55" s="350" t="s">
        <v>497</v>
      </c>
      <c r="G55" s="350" t="s">
        <v>497</v>
      </c>
      <c r="H55" s="350" t="s">
        <v>497</v>
      </c>
      <c r="I55" s="350" t="s">
        <v>497</v>
      </c>
    </row>
    <row r="56" spans="1:10" x14ac:dyDescent="0.2">
      <c r="A56" s="221" t="s">
        <v>483</v>
      </c>
      <c r="B56" s="350" t="s">
        <v>497</v>
      </c>
      <c r="C56" s="350" t="s">
        <v>497</v>
      </c>
      <c r="D56" s="350" t="s">
        <v>497</v>
      </c>
      <c r="E56" s="350" t="s">
        <v>497</v>
      </c>
      <c r="F56" s="350" t="s">
        <v>497</v>
      </c>
      <c r="G56" s="350" t="s">
        <v>497</v>
      </c>
      <c r="H56" s="350" t="s">
        <v>497</v>
      </c>
      <c r="I56" s="350" t="s">
        <v>497</v>
      </c>
    </row>
    <row r="57" spans="1:10" x14ac:dyDescent="0.2">
      <c r="A57" s="221" t="s">
        <v>484</v>
      </c>
      <c r="B57" s="350" t="s">
        <v>497</v>
      </c>
      <c r="C57" s="350" t="s">
        <v>497</v>
      </c>
      <c r="D57" s="350" t="s">
        <v>497</v>
      </c>
      <c r="E57" s="350" t="s">
        <v>497</v>
      </c>
      <c r="F57" s="350" t="s">
        <v>497</v>
      </c>
      <c r="G57" s="350" t="s">
        <v>497</v>
      </c>
      <c r="H57" s="350" t="s">
        <v>497</v>
      </c>
      <c r="I57" s="350" t="s">
        <v>497</v>
      </c>
    </row>
    <row r="58" spans="1:10" x14ac:dyDescent="0.2">
      <c r="A58" s="221" t="s">
        <v>485</v>
      </c>
      <c r="B58" s="350" t="s">
        <v>497</v>
      </c>
      <c r="C58" s="350" t="s">
        <v>497</v>
      </c>
      <c r="D58" s="350" t="s">
        <v>497</v>
      </c>
      <c r="E58" s="350" t="s">
        <v>497</v>
      </c>
      <c r="F58" s="350" t="s">
        <v>497</v>
      </c>
      <c r="G58" s="350" t="s">
        <v>497</v>
      </c>
      <c r="H58" s="350" t="s">
        <v>497</v>
      </c>
      <c r="I58" s="350" t="s">
        <v>497</v>
      </c>
    </row>
    <row r="59" spans="1:10" x14ac:dyDescent="0.2">
      <c r="A59" s="221" t="s">
        <v>486</v>
      </c>
      <c r="B59" s="350" t="s">
        <v>662</v>
      </c>
      <c r="C59" s="350" t="s">
        <v>662</v>
      </c>
      <c r="D59" s="350" t="s">
        <v>662</v>
      </c>
      <c r="E59" s="350" t="s">
        <v>662</v>
      </c>
      <c r="F59" s="350" t="s">
        <v>662</v>
      </c>
      <c r="G59" s="350" t="s">
        <v>662</v>
      </c>
      <c r="H59" s="350" t="s">
        <v>662</v>
      </c>
      <c r="I59" s="350" t="s">
        <v>662</v>
      </c>
    </row>
    <row r="60" spans="1:10" x14ac:dyDescent="0.2">
      <c r="A60" s="221" t="s">
        <v>487</v>
      </c>
      <c r="B60" s="350" t="s">
        <v>497</v>
      </c>
      <c r="C60" s="350" t="s">
        <v>497</v>
      </c>
      <c r="D60" s="350" t="s">
        <v>497</v>
      </c>
      <c r="E60" s="350" t="s">
        <v>497</v>
      </c>
      <c r="F60" s="350" t="s">
        <v>497</v>
      </c>
      <c r="G60" s="350" t="s">
        <v>497</v>
      </c>
      <c r="H60" s="350" t="s">
        <v>497</v>
      </c>
      <c r="I60" s="350" t="s">
        <v>497</v>
      </c>
    </row>
    <row r="61" spans="1:10" x14ac:dyDescent="0.2">
      <c r="A61" s="221" t="s">
        <v>488</v>
      </c>
      <c r="B61" s="350" t="s">
        <v>497</v>
      </c>
      <c r="C61" s="350" t="s">
        <v>497</v>
      </c>
      <c r="D61" s="350" t="s">
        <v>497</v>
      </c>
      <c r="E61" s="350" t="s">
        <v>497</v>
      </c>
      <c r="F61" s="350" t="s">
        <v>497</v>
      </c>
      <c r="G61" s="350" t="s">
        <v>497</v>
      </c>
      <c r="H61" s="350" t="s">
        <v>497</v>
      </c>
      <c r="I61" s="350" t="s">
        <v>497</v>
      </c>
    </row>
    <row r="62" spans="1:10" x14ac:dyDescent="0.2">
      <c r="A62" s="221" t="s">
        <v>489</v>
      </c>
      <c r="B62" s="350" t="s">
        <v>497</v>
      </c>
      <c r="C62" s="350" t="s">
        <v>497</v>
      </c>
      <c r="D62" s="350" t="s">
        <v>497</v>
      </c>
      <c r="E62" s="350" t="s">
        <v>497</v>
      </c>
      <c r="F62" s="350" t="s">
        <v>497</v>
      </c>
      <c r="G62" s="350" t="s">
        <v>497</v>
      </c>
      <c r="H62" s="350" t="s">
        <v>497</v>
      </c>
      <c r="I62" s="350" t="s">
        <v>497</v>
      </c>
    </row>
    <row r="63" spans="1:10" x14ac:dyDescent="0.2">
      <c r="A63" s="221" t="s">
        <v>490</v>
      </c>
      <c r="B63" s="350" t="s">
        <v>497</v>
      </c>
      <c r="C63" s="350" t="s">
        <v>497</v>
      </c>
      <c r="D63" s="350" t="s">
        <v>497</v>
      </c>
      <c r="E63" s="350" t="s">
        <v>497</v>
      </c>
      <c r="F63" s="350" t="s">
        <v>497</v>
      </c>
      <c r="G63" s="350" t="s">
        <v>497</v>
      </c>
      <c r="H63" s="350" t="s">
        <v>497</v>
      </c>
      <c r="I63" s="350" t="s">
        <v>497</v>
      </c>
    </row>
    <row r="64" spans="1:10" x14ac:dyDescent="0.2">
      <c r="A64" s="221" t="s">
        <v>491</v>
      </c>
      <c r="B64" s="350" t="s">
        <v>497</v>
      </c>
      <c r="C64" s="350" t="s">
        <v>497</v>
      </c>
      <c r="D64" s="350" t="s">
        <v>497</v>
      </c>
      <c r="E64" s="350" t="s">
        <v>497</v>
      </c>
      <c r="F64" s="350" t="s">
        <v>497</v>
      </c>
      <c r="G64" s="350" t="s">
        <v>497</v>
      </c>
      <c r="H64" s="350" t="s">
        <v>497</v>
      </c>
      <c r="I64" s="350" t="s">
        <v>497</v>
      </c>
    </row>
    <row r="65" spans="1:9" x14ac:dyDescent="0.2">
      <c r="A65" s="221" t="s">
        <v>492</v>
      </c>
      <c r="B65" s="350" t="s">
        <v>497</v>
      </c>
      <c r="C65" s="350" t="s">
        <v>497</v>
      </c>
      <c r="D65" s="350" t="s">
        <v>497</v>
      </c>
      <c r="E65" s="350" t="s">
        <v>497</v>
      </c>
      <c r="F65" s="350" t="s">
        <v>497</v>
      </c>
      <c r="G65" s="350" t="s">
        <v>497</v>
      </c>
      <c r="H65" s="350" t="s">
        <v>497</v>
      </c>
      <c r="I65" s="350" t="s">
        <v>497</v>
      </c>
    </row>
    <row r="66" spans="1:9" x14ac:dyDescent="0.2">
      <c r="A66" s="356" t="s">
        <v>493</v>
      </c>
      <c r="B66" s="350" t="s">
        <v>497</v>
      </c>
      <c r="C66" s="350" t="s">
        <v>497</v>
      </c>
      <c r="D66" s="350" t="s">
        <v>497</v>
      </c>
      <c r="E66" s="350" t="s">
        <v>497</v>
      </c>
      <c r="F66" s="350" t="s">
        <v>497</v>
      </c>
      <c r="G66" s="350" t="s">
        <v>497</v>
      </c>
      <c r="H66" s="350" t="s">
        <v>497</v>
      </c>
      <c r="I66" s="350" t="s">
        <v>497</v>
      </c>
    </row>
    <row r="67" spans="1:9" x14ac:dyDescent="0.2">
      <c r="A67" s="221" t="s">
        <v>494</v>
      </c>
      <c r="B67" s="350" t="s">
        <v>499</v>
      </c>
      <c r="C67" s="350" t="s">
        <v>499</v>
      </c>
      <c r="D67" s="350" t="s">
        <v>499</v>
      </c>
      <c r="E67" s="350" t="s">
        <v>497</v>
      </c>
      <c r="F67" s="350" t="s">
        <v>499</v>
      </c>
      <c r="G67" s="350" t="s">
        <v>499</v>
      </c>
      <c r="H67" s="350" t="s">
        <v>499</v>
      </c>
      <c r="I67" s="350" t="s">
        <v>499</v>
      </c>
    </row>
    <row r="68" spans="1:9" x14ac:dyDescent="0.2">
      <c r="A68" s="221" t="s">
        <v>495</v>
      </c>
      <c r="B68" s="350" t="s">
        <v>497</v>
      </c>
      <c r="C68" s="350" t="s">
        <v>497</v>
      </c>
      <c r="D68" s="350" t="s">
        <v>497</v>
      </c>
      <c r="E68" s="350" t="s">
        <v>499</v>
      </c>
      <c r="F68" s="350" t="s">
        <v>499</v>
      </c>
      <c r="G68" s="350" t="s">
        <v>497</v>
      </c>
      <c r="H68" s="350" t="s">
        <v>497</v>
      </c>
      <c r="I68" s="350" t="s">
        <v>497</v>
      </c>
    </row>
    <row r="69" spans="1:9" x14ac:dyDescent="0.2">
      <c r="A69" s="221" t="s">
        <v>523</v>
      </c>
      <c r="B69" s="350" t="s">
        <v>497</v>
      </c>
      <c r="C69" s="350" t="s">
        <v>497</v>
      </c>
      <c r="D69" s="350" t="s">
        <v>497</v>
      </c>
      <c r="E69" s="350" t="s">
        <v>497</v>
      </c>
      <c r="F69" s="350" t="s">
        <v>497</v>
      </c>
      <c r="G69" s="350" t="s">
        <v>497</v>
      </c>
      <c r="H69" s="350" t="s">
        <v>497</v>
      </c>
      <c r="I69" s="350" t="s">
        <v>497</v>
      </c>
    </row>
    <row r="70" spans="1:9" x14ac:dyDescent="0.2">
      <c r="A70" s="221" t="s">
        <v>657</v>
      </c>
      <c r="B70" s="350" t="s">
        <v>499</v>
      </c>
      <c r="C70" s="350" t="s">
        <v>499</v>
      </c>
      <c r="D70" s="350" t="s">
        <v>499</v>
      </c>
      <c r="E70" s="350" t="s">
        <v>499</v>
      </c>
      <c r="F70" s="350" t="s">
        <v>499</v>
      </c>
      <c r="G70" s="350" t="s">
        <v>499</v>
      </c>
      <c r="H70" s="350" t="s">
        <v>499</v>
      </c>
      <c r="I70" s="350" t="s">
        <v>499</v>
      </c>
    </row>
    <row r="71" spans="1:9" x14ac:dyDescent="0.2">
      <c r="A71" s="221" t="s">
        <v>661</v>
      </c>
      <c r="B71" s="350" t="s">
        <v>499</v>
      </c>
      <c r="C71" s="350" t="s">
        <v>499</v>
      </c>
      <c r="D71" s="350" t="s">
        <v>499</v>
      </c>
      <c r="E71" s="350" t="s">
        <v>499</v>
      </c>
      <c r="F71" s="350" t="s">
        <v>499</v>
      </c>
      <c r="G71" s="350" t="s">
        <v>499</v>
      </c>
      <c r="H71" s="350" t="s">
        <v>499</v>
      </c>
      <c r="I71" s="350" t="s">
        <v>499</v>
      </c>
    </row>
    <row r="72" spans="1:9" x14ac:dyDescent="0.2">
      <c r="A72" s="221" t="s">
        <v>496</v>
      </c>
      <c r="B72" s="424" t="s">
        <v>499</v>
      </c>
      <c r="C72" s="424" t="s">
        <v>499</v>
      </c>
      <c r="D72" s="424" t="s">
        <v>499</v>
      </c>
      <c r="E72" s="424" t="s">
        <v>499</v>
      </c>
      <c r="F72" s="424" t="s">
        <v>499</v>
      </c>
      <c r="G72" s="424" t="s">
        <v>499</v>
      </c>
      <c r="H72" s="424" t="s">
        <v>499</v>
      </c>
      <c r="I72" s="424" t="s">
        <v>499</v>
      </c>
    </row>
  </sheetData>
  <sheetProtection algorithmName="SHA-512" hashValue="pIxbPJ4jLK4bvm0yP5peu4j6F9Nfw6VEY+QzgxAYJjYcOdBPirWofpaYqKXbgngs3LPNS+LS2gkf3as33F6hKw==" saltValue="ZTE1eZl7i4xbdw8YiEPKNg==" spinCount="100000" sheet="1" objects="1" scenarios="1"/>
  <conditionalFormatting sqref="B3:B11 B26:B35 B37 B41:B66 B68:B80 E3:F80">
    <cfRule type="cellIs" dxfId="60" priority="62" operator="equal">
      <formula>"o"</formula>
    </cfRule>
    <cfRule type="cellIs" dxfId="59" priority="63" operator="equal">
      <formula>"x"</formula>
    </cfRule>
  </conditionalFormatting>
  <conditionalFormatting sqref="B3:B11 B26:B35 B37 B41:B66 B68:B72 E3:F72">
    <cfRule type="cellIs" dxfId="58" priority="61" operator="equal">
      <formula>"e"</formula>
    </cfRule>
  </conditionalFormatting>
  <conditionalFormatting sqref="C3:D11 C26:D26 C37:D37 D31:D34 C27:C30 C43:D66 D42 C41 C68:D80">
    <cfRule type="cellIs" dxfId="57" priority="59" operator="equal">
      <formula>"o"</formula>
    </cfRule>
    <cfRule type="cellIs" dxfId="56" priority="60" operator="equal">
      <formula>"x"</formula>
    </cfRule>
  </conditionalFormatting>
  <conditionalFormatting sqref="C3:D11 C26:D26 C37:D37 D31:D34 C27:C30 C43:D66 D42 C41 C68:D72">
    <cfRule type="cellIs" dxfId="55" priority="58" operator="equal">
      <formula>"e"</formula>
    </cfRule>
  </conditionalFormatting>
  <conditionalFormatting sqref="H3:I26 H37:I37 H27:H30 I31:I34 H43:I66 H41 I42 H68:I80">
    <cfRule type="cellIs" dxfId="54" priority="50" operator="equal">
      <formula>"o"</formula>
    </cfRule>
    <cfRule type="cellIs" dxfId="53" priority="51" operator="equal">
      <formula>"x"</formula>
    </cfRule>
  </conditionalFormatting>
  <conditionalFormatting sqref="H3:I26 H37:I37 H27:H30 I31:I34 H43:I66 H41 I42 H68:I72">
    <cfRule type="cellIs" dxfId="52" priority="49" operator="equal">
      <formula>"e"</formula>
    </cfRule>
  </conditionalFormatting>
  <conditionalFormatting sqref="G3:G34 G37 G41:G66 G68:G80">
    <cfRule type="cellIs" dxfId="51" priority="53" operator="equal">
      <formula>"o"</formula>
    </cfRule>
    <cfRule type="cellIs" dxfId="50" priority="54" operator="equal">
      <formula>"x"</formula>
    </cfRule>
  </conditionalFormatting>
  <conditionalFormatting sqref="G3:G34 G37 G41:G66 G68:G72">
    <cfRule type="cellIs" dxfId="49" priority="52" operator="equal">
      <formula>"e"</formula>
    </cfRule>
  </conditionalFormatting>
  <conditionalFormatting sqref="B12:D25">
    <cfRule type="cellIs" dxfId="48" priority="47" operator="equal">
      <formula>"o"</formula>
    </cfRule>
    <cfRule type="cellIs" dxfId="47" priority="48" operator="equal">
      <formula>"x"</formula>
    </cfRule>
  </conditionalFormatting>
  <conditionalFormatting sqref="B12:D25">
    <cfRule type="cellIs" dxfId="46" priority="46" operator="equal">
      <formula>"e"</formula>
    </cfRule>
  </conditionalFormatting>
  <conditionalFormatting sqref="B36:D36">
    <cfRule type="cellIs" dxfId="45" priority="44" operator="equal">
      <formula>"o"</formula>
    </cfRule>
    <cfRule type="cellIs" dxfId="44" priority="45" operator="equal">
      <formula>"x"</formula>
    </cfRule>
  </conditionalFormatting>
  <conditionalFormatting sqref="B36:D36">
    <cfRule type="cellIs" dxfId="43" priority="43" operator="equal">
      <formula>"e"</formula>
    </cfRule>
  </conditionalFormatting>
  <conditionalFormatting sqref="C31:C35">
    <cfRule type="cellIs" dxfId="42" priority="41" operator="equal">
      <formula>"o"</formula>
    </cfRule>
    <cfRule type="cellIs" dxfId="41" priority="42" operator="equal">
      <formula>"x"</formula>
    </cfRule>
  </conditionalFormatting>
  <conditionalFormatting sqref="C31:C35">
    <cfRule type="cellIs" dxfId="40" priority="40" operator="equal">
      <formula>"e"</formula>
    </cfRule>
  </conditionalFormatting>
  <conditionalFormatting sqref="D35">
    <cfRule type="cellIs" dxfId="39" priority="38" operator="equal">
      <formula>"o"</formula>
    </cfRule>
    <cfRule type="cellIs" dxfId="38" priority="39" operator="equal">
      <formula>"x"</formula>
    </cfRule>
  </conditionalFormatting>
  <conditionalFormatting sqref="D35">
    <cfRule type="cellIs" dxfId="37" priority="37" operator="equal">
      <formula>"e"</formula>
    </cfRule>
  </conditionalFormatting>
  <conditionalFormatting sqref="D27:D30">
    <cfRule type="cellIs" dxfId="36" priority="35" operator="equal">
      <formula>"o"</formula>
    </cfRule>
    <cfRule type="cellIs" dxfId="35" priority="36" operator="equal">
      <formula>"x"</formula>
    </cfRule>
  </conditionalFormatting>
  <conditionalFormatting sqref="D27:D30">
    <cfRule type="cellIs" dxfId="34" priority="34" operator="equal">
      <formula>"e"</formula>
    </cfRule>
  </conditionalFormatting>
  <conditionalFormatting sqref="I27:I30">
    <cfRule type="cellIs" dxfId="33" priority="32" operator="equal">
      <formula>"o"</formula>
    </cfRule>
    <cfRule type="cellIs" dxfId="32" priority="33" operator="equal">
      <formula>"x"</formula>
    </cfRule>
  </conditionalFormatting>
  <conditionalFormatting sqref="I27:I30">
    <cfRule type="cellIs" dxfId="31" priority="31" operator="equal">
      <formula>"e"</formula>
    </cfRule>
  </conditionalFormatting>
  <conditionalFormatting sqref="H31:H34">
    <cfRule type="cellIs" dxfId="30" priority="29" operator="equal">
      <formula>"o"</formula>
    </cfRule>
    <cfRule type="cellIs" dxfId="29" priority="30" operator="equal">
      <formula>"x"</formula>
    </cfRule>
  </conditionalFormatting>
  <conditionalFormatting sqref="H31:H34">
    <cfRule type="cellIs" dxfId="28" priority="28" operator="equal">
      <formula>"e"</formula>
    </cfRule>
  </conditionalFormatting>
  <conditionalFormatting sqref="G35:I36">
    <cfRule type="cellIs" dxfId="27" priority="26" operator="equal">
      <formula>"o"</formula>
    </cfRule>
    <cfRule type="cellIs" dxfId="26" priority="27" operator="equal">
      <formula>"x"</formula>
    </cfRule>
  </conditionalFormatting>
  <conditionalFormatting sqref="G35:I36">
    <cfRule type="cellIs" dxfId="25" priority="25" operator="equal">
      <formula>"e"</formula>
    </cfRule>
  </conditionalFormatting>
  <conditionalFormatting sqref="G38:I40">
    <cfRule type="cellIs" dxfId="24" priority="23" operator="equal">
      <formula>"o"</formula>
    </cfRule>
    <cfRule type="cellIs" dxfId="23" priority="24" operator="equal">
      <formula>"x"</formula>
    </cfRule>
  </conditionalFormatting>
  <conditionalFormatting sqref="G38:I40">
    <cfRule type="cellIs" dxfId="22" priority="22" operator="equal">
      <formula>"e"</formula>
    </cfRule>
  </conditionalFormatting>
  <conditionalFormatting sqref="I41">
    <cfRule type="cellIs" dxfId="21" priority="20" operator="equal">
      <formula>"o"</formula>
    </cfRule>
    <cfRule type="cellIs" dxfId="20" priority="21" operator="equal">
      <formula>"x"</formula>
    </cfRule>
  </conditionalFormatting>
  <conditionalFormatting sqref="I41">
    <cfRule type="cellIs" dxfId="19" priority="19" operator="equal">
      <formula>"e"</formula>
    </cfRule>
  </conditionalFormatting>
  <conditionalFormatting sqref="H42">
    <cfRule type="cellIs" dxfId="18" priority="17" operator="equal">
      <formula>"o"</formula>
    </cfRule>
    <cfRule type="cellIs" dxfId="17" priority="18" operator="equal">
      <formula>"x"</formula>
    </cfRule>
  </conditionalFormatting>
  <conditionalFormatting sqref="H42">
    <cfRule type="cellIs" dxfId="16" priority="16" operator="equal">
      <formula>"e"</formula>
    </cfRule>
  </conditionalFormatting>
  <conditionalFormatting sqref="C42">
    <cfRule type="cellIs" dxfId="15" priority="14" operator="equal">
      <formula>"o"</formula>
    </cfRule>
    <cfRule type="cellIs" dxfId="14" priority="15" operator="equal">
      <formula>"x"</formula>
    </cfRule>
  </conditionalFormatting>
  <conditionalFormatting sqref="C42">
    <cfRule type="cellIs" dxfId="13" priority="13" operator="equal">
      <formula>"e"</formula>
    </cfRule>
  </conditionalFormatting>
  <conditionalFormatting sqref="D38:D41">
    <cfRule type="cellIs" dxfId="12" priority="11" operator="equal">
      <formula>"o"</formula>
    </cfRule>
    <cfRule type="cellIs" dxfId="11" priority="12" operator="equal">
      <formula>"x"</formula>
    </cfRule>
  </conditionalFormatting>
  <conditionalFormatting sqref="D38:D41">
    <cfRule type="cellIs" dxfId="10" priority="10" operator="equal">
      <formula>"e"</formula>
    </cfRule>
  </conditionalFormatting>
  <conditionalFormatting sqref="B38:C40">
    <cfRule type="cellIs" dxfId="9" priority="8" operator="equal">
      <formula>"o"</formula>
    </cfRule>
    <cfRule type="cellIs" dxfId="8" priority="9" operator="equal">
      <formula>"x"</formula>
    </cfRule>
  </conditionalFormatting>
  <conditionalFormatting sqref="B38:C40">
    <cfRule type="cellIs" dxfId="7" priority="7" operator="equal">
      <formula>"e"</formula>
    </cfRule>
  </conditionalFormatting>
  <conditionalFormatting sqref="B67:D67">
    <cfRule type="cellIs" dxfId="6" priority="5" operator="equal">
      <formula>"o"</formula>
    </cfRule>
    <cfRule type="cellIs" dxfId="5" priority="6" operator="equal">
      <formula>"x"</formula>
    </cfRule>
  </conditionalFormatting>
  <conditionalFormatting sqref="B67:D67">
    <cfRule type="cellIs" dxfId="4" priority="4" operator="equal">
      <formula>"e"</formula>
    </cfRule>
  </conditionalFormatting>
  <conditionalFormatting sqref="G67:I67">
    <cfRule type="cellIs" dxfId="3" priority="2" operator="equal">
      <formula>"o"</formula>
    </cfRule>
    <cfRule type="cellIs" dxfId="2" priority="3" operator="equal">
      <formula>"x"</formula>
    </cfRule>
  </conditionalFormatting>
  <conditionalFormatting sqref="G67:I67">
    <cfRule type="cellIs" dxfId="1" priority="1" operator="equal">
      <formula>"e"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theme="6"/>
    <pageSetUpPr fitToPage="1"/>
  </sheetPr>
  <dimension ref="A1:H42"/>
  <sheetViews>
    <sheetView showGridLines="0" zoomScaleNormal="100" workbookViewId="0">
      <selection activeCell="H2" sqref="H2:H7"/>
    </sheetView>
  </sheetViews>
  <sheetFormatPr defaultRowHeight="12.75" x14ac:dyDescent="0.2"/>
  <cols>
    <col min="1" max="1" width="2.7109375" customWidth="1"/>
    <col min="2" max="2" width="4.7109375" customWidth="1"/>
    <col min="3" max="3" width="2.7109375" customWidth="1"/>
    <col min="4" max="4" width="4.7109375" customWidth="1"/>
    <col min="5" max="5" width="2.7109375" customWidth="1"/>
    <col min="6" max="6" width="70.7109375" customWidth="1"/>
    <col min="7" max="7" width="13.42578125" customWidth="1"/>
    <col min="8" max="8" width="15.7109375" customWidth="1"/>
    <col min="9" max="9" width="31.28515625" customWidth="1"/>
  </cols>
  <sheetData>
    <row r="1" spans="1:8" x14ac:dyDescent="0.2">
      <c r="A1" s="27" t="s">
        <v>1072</v>
      </c>
      <c r="B1" s="27"/>
      <c r="C1" s="27"/>
      <c r="D1" s="27"/>
      <c r="E1" s="27"/>
      <c r="F1" s="27"/>
      <c r="G1" s="39" t="s">
        <v>264</v>
      </c>
      <c r="H1" s="875" t="str">
        <f>EBNUMBER</f>
        <v>EB-2019-0037</v>
      </c>
    </row>
    <row r="2" spans="1:8" x14ac:dyDescent="0.2">
      <c r="A2" s="27"/>
      <c r="B2" s="27"/>
      <c r="C2" s="27"/>
      <c r="D2" s="27"/>
      <c r="E2" s="27"/>
      <c r="F2" s="27"/>
      <c r="G2" s="39" t="s">
        <v>265</v>
      </c>
      <c r="H2" s="41"/>
    </row>
    <row r="3" spans="1:8" x14ac:dyDescent="0.2">
      <c r="A3" s="27"/>
      <c r="B3" s="27"/>
      <c r="C3" s="27"/>
      <c r="D3" s="27"/>
      <c r="E3" s="27"/>
      <c r="F3" s="27"/>
      <c r="G3" s="39" t="s">
        <v>266</v>
      </c>
      <c r="H3" s="41"/>
    </row>
    <row r="4" spans="1:8" x14ac:dyDescent="0.2">
      <c r="A4" s="27"/>
      <c r="B4" s="27"/>
      <c r="C4" s="27"/>
      <c r="D4" s="27"/>
      <c r="E4" s="27"/>
      <c r="F4" s="27"/>
      <c r="G4" s="39" t="s">
        <v>267</v>
      </c>
      <c r="H4" s="41"/>
    </row>
    <row r="5" spans="1:8" x14ac:dyDescent="0.2">
      <c r="A5" s="27"/>
      <c r="B5" s="27"/>
      <c r="C5" s="27"/>
      <c r="D5" s="27"/>
      <c r="E5" s="27"/>
      <c r="F5" s="27"/>
      <c r="G5" s="39" t="s">
        <v>268</v>
      </c>
      <c r="H5" s="42"/>
    </row>
    <row r="6" spans="1:8" x14ac:dyDescent="0.2">
      <c r="A6" s="27"/>
      <c r="B6" s="27"/>
      <c r="C6" s="27"/>
      <c r="D6" s="27"/>
      <c r="E6" s="27"/>
      <c r="F6" s="27"/>
      <c r="G6" s="39"/>
      <c r="H6" s="40"/>
    </row>
    <row r="7" spans="1:8" x14ac:dyDescent="0.2">
      <c r="A7" s="27"/>
      <c r="B7" s="27"/>
      <c r="C7" s="27"/>
      <c r="D7" s="27"/>
      <c r="E7" s="27"/>
      <c r="F7" s="27"/>
      <c r="G7" s="39" t="s">
        <v>269</v>
      </c>
      <c r="H7" s="1448"/>
    </row>
    <row r="9" spans="1:8" ht="18" x14ac:dyDescent="0.25">
      <c r="B9" s="1860" t="s">
        <v>980</v>
      </c>
      <c r="C9" s="1860"/>
      <c r="D9" s="1860"/>
      <c r="E9" s="1860"/>
      <c r="F9" s="1860"/>
      <c r="G9" s="1860"/>
      <c r="H9" s="1860"/>
    </row>
    <row r="10" spans="1:8" ht="18" x14ac:dyDescent="0.2">
      <c r="B10" s="1863" t="s">
        <v>977</v>
      </c>
      <c r="C10" s="1863"/>
      <c r="D10" s="1863"/>
      <c r="E10" s="1863"/>
      <c r="F10" s="1863"/>
      <c r="G10" s="1863"/>
      <c r="H10" s="1863"/>
    </row>
    <row r="12" spans="1:8" ht="54" customHeight="1" x14ac:dyDescent="0.2">
      <c r="B12" s="1853" t="s">
        <v>1005</v>
      </c>
      <c r="C12" s="1853"/>
      <c r="D12" s="1853"/>
      <c r="E12" s="1853"/>
      <c r="F12" s="1853"/>
      <c r="G12" s="1853"/>
      <c r="H12" s="1853"/>
    </row>
    <row r="14" spans="1:8" x14ac:dyDescent="0.2">
      <c r="B14" s="1853" t="s">
        <v>978</v>
      </c>
      <c r="C14" s="1853"/>
      <c r="D14" s="1853"/>
      <c r="E14" s="1853"/>
      <c r="F14" s="1853"/>
      <c r="G14" s="1853"/>
      <c r="H14" s="1853"/>
    </row>
    <row r="16" spans="1:8" ht="26.25" customHeight="1" x14ac:dyDescent="0.2">
      <c r="B16" s="1853" t="s">
        <v>979</v>
      </c>
      <c r="C16" s="1853"/>
      <c r="D16" s="1853"/>
      <c r="E16" s="1853"/>
      <c r="F16" s="1853"/>
      <c r="G16" s="1853"/>
      <c r="H16" s="1853"/>
    </row>
    <row r="18" spans="2:8" x14ac:dyDescent="0.2">
      <c r="B18" s="1864" t="str">
        <f>CONCATENATE('LDC Info'!E14," is seeking the following approvals in this application:")</f>
        <v>Greater Sudbury Hydro Inc. is seeking the following approvals in this application:</v>
      </c>
      <c r="C18" s="1864"/>
      <c r="D18" s="1864"/>
      <c r="E18" s="1864"/>
      <c r="F18" s="1864"/>
      <c r="G18" s="1864"/>
      <c r="H18" s="1864"/>
    </row>
    <row r="20" spans="2:8" ht="77.25" customHeight="1" x14ac:dyDescent="0.2">
      <c r="B20" s="588">
        <v>1</v>
      </c>
      <c r="D20" s="588"/>
      <c r="F20" s="1861" t="s">
        <v>1718</v>
      </c>
      <c r="G20" s="1862"/>
      <c r="H20" s="1862"/>
    </row>
    <row r="22" spans="2:8" ht="76.5" customHeight="1" x14ac:dyDescent="0.2">
      <c r="B22" s="588">
        <v>2</v>
      </c>
      <c r="D22" s="588"/>
      <c r="F22" s="1862" t="s">
        <v>1660</v>
      </c>
      <c r="G22" s="1862"/>
      <c r="H22" s="1862"/>
    </row>
    <row r="24" spans="2:8" ht="76.5" customHeight="1" x14ac:dyDescent="0.2">
      <c r="B24" s="588">
        <v>3</v>
      </c>
      <c r="D24" s="588"/>
      <c r="F24" s="1862" t="s">
        <v>1661</v>
      </c>
      <c r="G24" s="1862"/>
      <c r="H24" s="1862"/>
    </row>
    <row r="26" spans="2:8" ht="76.5" customHeight="1" x14ac:dyDescent="0.2">
      <c r="B26" s="588">
        <v>4</v>
      </c>
      <c r="D26" s="588"/>
      <c r="F26" s="1861" t="s">
        <v>1722</v>
      </c>
      <c r="G26" s="1862"/>
      <c r="H26" s="1862"/>
    </row>
    <row r="28" spans="2:8" ht="76.5" customHeight="1" x14ac:dyDescent="0.2">
      <c r="B28" s="588">
        <v>5</v>
      </c>
      <c r="D28" s="588"/>
      <c r="F28" s="1861" t="s">
        <v>1721</v>
      </c>
      <c r="G28" s="1862"/>
      <c r="H28" s="1862"/>
    </row>
    <row r="30" spans="2:8" ht="76.5" customHeight="1" x14ac:dyDescent="0.2">
      <c r="B30" s="588">
        <v>6</v>
      </c>
      <c r="D30" s="588"/>
      <c r="F30" s="1862" t="s">
        <v>1664</v>
      </c>
      <c r="G30" s="1862"/>
      <c r="H30" s="1862"/>
    </row>
    <row r="32" spans="2:8" ht="76.5" customHeight="1" x14ac:dyDescent="0.2">
      <c r="B32" s="588">
        <v>7</v>
      </c>
      <c r="D32" s="588"/>
      <c r="F32" s="1861" t="s">
        <v>1720</v>
      </c>
      <c r="G32" s="1862"/>
      <c r="H32" s="1862"/>
    </row>
    <row r="34" spans="2:8" ht="76.5" customHeight="1" x14ac:dyDescent="0.2">
      <c r="B34" s="588">
        <v>8</v>
      </c>
      <c r="D34" s="588"/>
      <c r="F34" s="1861" t="s">
        <v>1719</v>
      </c>
      <c r="G34" s="1861"/>
      <c r="H34" s="1861"/>
    </row>
    <row r="36" spans="2:8" ht="76.5" customHeight="1" x14ac:dyDescent="0.2">
      <c r="B36" s="588">
        <v>9</v>
      </c>
      <c r="D36" s="588"/>
      <c r="F36" s="1862" t="s">
        <v>1662</v>
      </c>
      <c r="G36" s="1862"/>
      <c r="H36" s="1862"/>
    </row>
    <row r="38" spans="2:8" ht="76.5" customHeight="1" x14ac:dyDescent="0.2">
      <c r="B38" s="588">
        <v>10</v>
      </c>
      <c r="D38" s="588"/>
      <c r="F38" s="1862" t="s">
        <v>1663</v>
      </c>
      <c r="G38" s="1862"/>
      <c r="H38" s="1862"/>
    </row>
    <row r="40" spans="2:8" ht="76.5" customHeight="1" x14ac:dyDescent="0.2">
      <c r="B40" s="588">
        <v>11</v>
      </c>
      <c r="D40" s="588"/>
      <c r="F40" s="1861" t="s">
        <v>1723</v>
      </c>
      <c r="G40" s="1862"/>
      <c r="H40" s="1862"/>
    </row>
    <row r="42" spans="2:8" ht="76.5" customHeight="1" x14ac:dyDescent="0.2">
      <c r="B42" s="588"/>
      <c r="D42" s="588"/>
      <c r="F42" s="1862"/>
      <c r="G42" s="1862"/>
      <c r="H42" s="1862"/>
    </row>
  </sheetData>
  <mergeCells count="18">
    <mergeCell ref="F42:H42"/>
    <mergeCell ref="B12:H12"/>
    <mergeCell ref="F30:H30"/>
    <mergeCell ref="F24:H24"/>
    <mergeCell ref="F26:H26"/>
    <mergeCell ref="F28:H28"/>
    <mergeCell ref="F32:H32"/>
    <mergeCell ref="F22:H22"/>
    <mergeCell ref="B14:H14"/>
    <mergeCell ref="B16:H16"/>
    <mergeCell ref="B18:H18"/>
    <mergeCell ref="F20:H20"/>
    <mergeCell ref="B9:H9"/>
    <mergeCell ref="F34:H34"/>
    <mergeCell ref="F36:H36"/>
    <mergeCell ref="F38:H38"/>
    <mergeCell ref="F40:H40"/>
    <mergeCell ref="B10:H10"/>
  </mergeCells>
  <pageMargins left="0.7" right="0.7" top="0.75" bottom="0.75" header="0.3" footer="0.3"/>
  <pageSetup scale="78"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6BF23DFD-526D-4374-8B19-C9F6268B6EBA}">
            <xm:f>'LDC Info'!$E$14:$K$14=""</xm:f>
            <x14:dxf>
              <font>
                <color theme="0"/>
              </font>
            </x14:dxf>
          </x14:cfRule>
          <xm:sqref>B18:H18</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4">
    <tabColor rgb="FFFFC000"/>
    <pageSetUpPr fitToPage="1"/>
  </sheetPr>
  <dimension ref="A2:V48"/>
  <sheetViews>
    <sheetView showGridLines="0" topLeftCell="F13" zoomScaleNormal="100" workbookViewId="0">
      <selection activeCell="O23" sqref="O23"/>
    </sheetView>
  </sheetViews>
  <sheetFormatPr defaultRowHeight="12.75" x14ac:dyDescent="0.2"/>
  <cols>
    <col min="1" max="1" width="5" style="34" customWidth="1"/>
    <col min="2" max="2" width="47.42578125" style="34" customWidth="1"/>
    <col min="3" max="3" width="12.7109375" style="34" bestFit="1" customWidth="1"/>
    <col min="4" max="4" width="1.7109375" style="34" customWidth="1"/>
    <col min="5" max="14" width="14.7109375" style="34" customWidth="1"/>
    <col min="15" max="18" width="16.7109375" style="34" customWidth="1"/>
    <col min="19" max="19" width="19.28515625" style="34" customWidth="1"/>
    <col min="20" max="20" width="31.28515625" style="34" customWidth="1"/>
    <col min="21" max="21" width="13.7109375" style="34" customWidth="1"/>
    <col min="22" max="22" width="40.7109375" style="34" customWidth="1"/>
    <col min="23" max="265" width="9.28515625" style="34"/>
    <col min="266" max="266" width="2.7109375" style="34" customWidth="1"/>
    <col min="267" max="267" width="5" style="34" customWidth="1"/>
    <col min="268" max="268" width="62" style="34" customWidth="1"/>
    <col min="269" max="269" width="12.7109375" style="34" bestFit="1" customWidth="1"/>
    <col min="270" max="270" width="1.7109375" style="34" customWidth="1"/>
    <col min="271" max="276" width="15.7109375" style="34" customWidth="1"/>
    <col min="277" max="277" width="13.7109375" style="34" customWidth="1"/>
    <col min="278" max="278" width="40.7109375" style="34" customWidth="1"/>
    <col min="279" max="521" width="9.28515625" style="34"/>
    <col min="522" max="522" width="2.7109375" style="34" customWidth="1"/>
    <col min="523" max="523" width="5" style="34" customWidth="1"/>
    <col min="524" max="524" width="62" style="34" customWidth="1"/>
    <col min="525" max="525" width="12.7109375" style="34" bestFit="1" customWidth="1"/>
    <col min="526" max="526" width="1.7109375" style="34" customWidth="1"/>
    <col min="527" max="532" width="15.7109375" style="34" customWidth="1"/>
    <col min="533" max="533" width="13.7109375" style="34" customWidth="1"/>
    <col min="534" max="534" width="40.7109375" style="34" customWidth="1"/>
    <col min="535" max="777" width="9.28515625" style="34"/>
    <col min="778" max="778" width="2.7109375" style="34" customWidth="1"/>
    <col min="779" max="779" width="5" style="34" customWidth="1"/>
    <col min="780" max="780" width="62" style="34" customWidth="1"/>
    <col min="781" max="781" width="12.7109375" style="34" bestFit="1" customWidth="1"/>
    <col min="782" max="782" width="1.7109375" style="34" customWidth="1"/>
    <col min="783" max="788" width="15.7109375" style="34" customWidth="1"/>
    <col min="789" max="789" width="13.7109375" style="34" customWidth="1"/>
    <col min="790" max="790" width="40.7109375" style="34" customWidth="1"/>
    <col min="791" max="1033" width="9.28515625" style="34"/>
    <col min="1034" max="1034" width="2.7109375" style="34" customWidth="1"/>
    <col min="1035" max="1035" width="5" style="34" customWidth="1"/>
    <col min="1036" max="1036" width="62" style="34" customWidth="1"/>
    <col min="1037" max="1037" width="12.7109375" style="34" bestFit="1" customWidth="1"/>
    <col min="1038" max="1038" width="1.7109375" style="34" customWidth="1"/>
    <col min="1039" max="1044" width="15.7109375" style="34" customWidth="1"/>
    <col min="1045" max="1045" width="13.7109375" style="34" customWidth="1"/>
    <col min="1046" max="1046" width="40.7109375" style="34" customWidth="1"/>
    <col min="1047" max="1289" width="9.28515625" style="34"/>
    <col min="1290" max="1290" width="2.7109375" style="34" customWidth="1"/>
    <col min="1291" max="1291" width="5" style="34" customWidth="1"/>
    <col min="1292" max="1292" width="62" style="34" customWidth="1"/>
    <col min="1293" max="1293" width="12.7109375" style="34" bestFit="1" customWidth="1"/>
    <col min="1294" max="1294" width="1.7109375" style="34" customWidth="1"/>
    <col min="1295" max="1300" width="15.7109375" style="34" customWidth="1"/>
    <col min="1301" max="1301" width="13.7109375" style="34" customWidth="1"/>
    <col min="1302" max="1302" width="40.7109375" style="34" customWidth="1"/>
    <col min="1303" max="1545" width="9.28515625" style="34"/>
    <col min="1546" max="1546" width="2.7109375" style="34" customWidth="1"/>
    <col min="1547" max="1547" width="5" style="34" customWidth="1"/>
    <col min="1548" max="1548" width="62" style="34" customWidth="1"/>
    <col min="1549" max="1549" width="12.7109375" style="34" bestFit="1" customWidth="1"/>
    <col min="1550" max="1550" width="1.7109375" style="34" customWidth="1"/>
    <col min="1551" max="1556" width="15.7109375" style="34" customWidth="1"/>
    <col min="1557" max="1557" width="13.7109375" style="34" customWidth="1"/>
    <col min="1558" max="1558" width="40.7109375" style="34" customWidth="1"/>
    <col min="1559" max="1801" width="9.28515625" style="34"/>
    <col min="1802" max="1802" width="2.7109375" style="34" customWidth="1"/>
    <col min="1803" max="1803" width="5" style="34" customWidth="1"/>
    <col min="1804" max="1804" width="62" style="34" customWidth="1"/>
    <col min="1805" max="1805" width="12.7109375" style="34" bestFit="1" customWidth="1"/>
    <col min="1806" max="1806" width="1.7109375" style="34" customWidth="1"/>
    <col min="1807" max="1812" width="15.7109375" style="34" customWidth="1"/>
    <col min="1813" max="1813" width="13.7109375" style="34" customWidth="1"/>
    <col min="1814" max="1814" width="40.7109375" style="34" customWidth="1"/>
    <col min="1815" max="2057" width="9.28515625" style="34"/>
    <col min="2058" max="2058" width="2.7109375" style="34" customWidth="1"/>
    <col min="2059" max="2059" width="5" style="34" customWidth="1"/>
    <col min="2060" max="2060" width="62" style="34" customWidth="1"/>
    <col min="2061" max="2061" width="12.7109375" style="34" bestFit="1" customWidth="1"/>
    <col min="2062" max="2062" width="1.7109375" style="34" customWidth="1"/>
    <col min="2063" max="2068" width="15.7109375" style="34" customWidth="1"/>
    <col min="2069" max="2069" width="13.7109375" style="34" customWidth="1"/>
    <col min="2070" max="2070" width="40.7109375" style="34" customWidth="1"/>
    <col min="2071" max="2313" width="9.28515625" style="34"/>
    <col min="2314" max="2314" width="2.7109375" style="34" customWidth="1"/>
    <col min="2315" max="2315" width="5" style="34" customWidth="1"/>
    <col min="2316" max="2316" width="62" style="34" customWidth="1"/>
    <col min="2317" max="2317" width="12.7109375" style="34" bestFit="1" customWidth="1"/>
    <col min="2318" max="2318" width="1.7109375" style="34" customWidth="1"/>
    <col min="2319" max="2324" width="15.7109375" style="34" customWidth="1"/>
    <col min="2325" max="2325" width="13.7109375" style="34" customWidth="1"/>
    <col min="2326" max="2326" width="40.7109375" style="34" customWidth="1"/>
    <col min="2327" max="2569" width="9.28515625" style="34"/>
    <col min="2570" max="2570" width="2.7109375" style="34" customWidth="1"/>
    <col min="2571" max="2571" width="5" style="34" customWidth="1"/>
    <col min="2572" max="2572" width="62" style="34" customWidth="1"/>
    <col min="2573" max="2573" width="12.7109375" style="34" bestFit="1" customWidth="1"/>
    <col min="2574" max="2574" width="1.7109375" style="34" customWidth="1"/>
    <col min="2575" max="2580" width="15.7109375" style="34" customWidth="1"/>
    <col min="2581" max="2581" width="13.7109375" style="34" customWidth="1"/>
    <col min="2582" max="2582" width="40.7109375" style="34" customWidth="1"/>
    <col min="2583" max="2825" width="9.28515625" style="34"/>
    <col min="2826" max="2826" width="2.7109375" style="34" customWidth="1"/>
    <col min="2827" max="2827" width="5" style="34" customWidth="1"/>
    <col min="2828" max="2828" width="62" style="34" customWidth="1"/>
    <col min="2829" max="2829" width="12.7109375" style="34" bestFit="1" customWidth="1"/>
    <col min="2830" max="2830" width="1.7109375" style="34" customWidth="1"/>
    <col min="2831" max="2836" width="15.7109375" style="34" customWidth="1"/>
    <col min="2837" max="2837" width="13.7109375" style="34" customWidth="1"/>
    <col min="2838" max="2838" width="40.7109375" style="34" customWidth="1"/>
    <col min="2839" max="3081" width="9.28515625" style="34"/>
    <col min="3082" max="3082" width="2.7109375" style="34" customWidth="1"/>
    <col min="3083" max="3083" width="5" style="34" customWidth="1"/>
    <col min="3084" max="3084" width="62" style="34" customWidth="1"/>
    <col min="3085" max="3085" width="12.7109375" style="34" bestFit="1" customWidth="1"/>
    <col min="3086" max="3086" width="1.7109375" style="34" customWidth="1"/>
    <col min="3087" max="3092" width="15.7109375" style="34" customWidth="1"/>
    <col min="3093" max="3093" width="13.7109375" style="34" customWidth="1"/>
    <col min="3094" max="3094" width="40.7109375" style="34" customWidth="1"/>
    <col min="3095" max="3337" width="9.28515625" style="34"/>
    <col min="3338" max="3338" width="2.7109375" style="34" customWidth="1"/>
    <col min="3339" max="3339" width="5" style="34" customWidth="1"/>
    <col min="3340" max="3340" width="62" style="34" customWidth="1"/>
    <col min="3341" max="3341" width="12.7109375" style="34" bestFit="1" customWidth="1"/>
    <col min="3342" max="3342" width="1.7109375" style="34" customWidth="1"/>
    <col min="3343" max="3348" width="15.7109375" style="34" customWidth="1"/>
    <col min="3349" max="3349" width="13.7109375" style="34" customWidth="1"/>
    <col min="3350" max="3350" width="40.7109375" style="34" customWidth="1"/>
    <col min="3351" max="3593" width="9.28515625" style="34"/>
    <col min="3594" max="3594" width="2.7109375" style="34" customWidth="1"/>
    <col min="3595" max="3595" width="5" style="34" customWidth="1"/>
    <col min="3596" max="3596" width="62" style="34" customWidth="1"/>
    <col min="3597" max="3597" width="12.7109375" style="34" bestFit="1" customWidth="1"/>
    <col min="3598" max="3598" width="1.7109375" style="34" customWidth="1"/>
    <col min="3599" max="3604" width="15.7109375" style="34" customWidth="1"/>
    <col min="3605" max="3605" width="13.7109375" style="34" customWidth="1"/>
    <col min="3606" max="3606" width="40.7109375" style="34" customWidth="1"/>
    <col min="3607" max="3849" width="9.28515625" style="34"/>
    <col min="3850" max="3850" width="2.7109375" style="34" customWidth="1"/>
    <col min="3851" max="3851" width="5" style="34" customWidth="1"/>
    <col min="3852" max="3852" width="62" style="34" customWidth="1"/>
    <col min="3853" max="3853" width="12.7109375" style="34" bestFit="1" customWidth="1"/>
    <col min="3854" max="3854" width="1.7109375" style="34" customWidth="1"/>
    <col min="3855" max="3860" width="15.7109375" style="34" customWidth="1"/>
    <col min="3861" max="3861" width="13.7109375" style="34" customWidth="1"/>
    <col min="3862" max="3862" width="40.7109375" style="34" customWidth="1"/>
    <col min="3863" max="4105" width="9.28515625" style="34"/>
    <col min="4106" max="4106" width="2.7109375" style="34" customWidth="1"/>
    <col min="4107" max="4107" width="5" style="34" customWidth="1"/>
    <col min="4108" max="4108" width="62" style="34" customWidth="1"/>
    <col min="4109" max="4109" width="12.7109375" style="34" bestFit="1" customWidth="1"/>
    <col min="4110" max="4110" width="1.7109375" style="34" customWidth="1"/>
    <col min="4111" max="4116" width="15.7109375" style="34" customWidth="1"/>
    <col min="4117" max="4117" width="13.7109375" style="34" customWidth="1"/>
    <col min="4118" max="4118" width="40.7109375" style="34" customWidth="1"/>
    <col min="4119" max="4361" width="9.28515625" style="34"/>
    <col min="4362" max="4362" width="2.7109375" style="34" customWidth="1"/>
    <col min="4363" max="4363" width="5" style="34" customWidth="1"/>
    <col min="4364" max="4364" width="62" style="34" customWidth="1"/>
    <col min="4365" max="4365" width="12.7109375" style="34" bestFit="1" customWidth="1"/>
    <col min="4366" max="4366" width="1.7109375" style="34" customWidth="1"/>
    <col min="4367" max="4372" width="15.7109375" style="34" customWidth="1"/>
    <col min="4373" max="4373" width="13.7109375" style="34" customWidth="1"/>
    <col min="4374" max="4374" width="40.7109375" style="34" customWidth="1"/>
    <col min="4375" max="4617" width="9.28515625" style="34"/>
    <col min="4618" max="4618" width="2.7109375" style="34" customWidth="1"/>
    <col min="4619" max="4619" width="5" style="34" customWidth="1"/>
    <col min="4620" max="4620" width="62" style="34" customWidth="1"/>
    <col min="4621" max="4621" width="12.7109375" style="34" bestFit="1" customWidth="1"/>
    <col min="4622" max="4622" width="1.7109375" style="34" customWidth="1"/>
    <col min="4623" max="4628" width="15.7109375" style="34" customWidth="1"/>
    <col min="4629" max="4629" width="13.7109375" style="34" customWidth="1"/>
    <col min="4630" max="4630" width="40.7109375" style="34" customWidth="1"/>
    <col min="4631" max="4873" width="9.28515625" style="34"/>
    <col min="4874" max="4874" width="2.7109375" style="34" customWidth="1"/>
    <col min="4875" max="4875" width="5" style="34" customWidth="1"/>
    <col min="4876" max="4876" width="62" style="34" customWidth="1"/>
    <col min="4877" max="4877" width="12.7109375" style="34" bestFit="1" customWidth="1"/>
    <col min="4878" max="4878" width="1.7109375" style="34" customWidth="1"/>
    <col min="4879" max="4884" width="15.7109375" style="34" customWidth="1"/>
    <col min="4885" max="4885" width="13.7109375" style="34" customWidth="1"/>
    <col min="4886" max="4886" width="40.7109375" style="34" customWidth="1"/>
    <col min="4887" max="5129" width="9.28515625" style="34"/>
    <col min="5130" max="5130" width="2.7109375" style="34" customWidth="1"/>
    <col min="5131" max="5131" width="5" style="34" customWidth="1"/>
    <col min="5132" max="5132" width="62" style="34" customWidth="1"/>
    <col min="5133" max="5133" width="12.7109375" style="34" bestFit="1" customWidth="1"/>
    <col min="5134" max="5134" width="1.7109375" style="34" customWidth="1"/>
    <col min="5135" max="5140" width="15.7109375" style="34" customWidth="1"/>
    <col min="5141" max="5141" width="13.7109375" style="34" customWidth="1"/>
    <col min="5142" max="5142" width="40.7109375" style="34" customWidth="1"/>
    <col min="5143" max="5385" width="9.28515625" style="34"/>
    <col min="5386" max="5386" width="2.7109375" style="34" customWidth="1"/>
    <col min="5387" max="5387" width="5" style="34" customWidth="1"/>
    <col min="5388" max="5388" width="62" style="34" customWidth="1"/>
    <col min="5389" max="5389" width="12.7109375" style="34" bestFit="1" customWidth="1"/>
    <col min="5390" max="5390" width="1.7109375" style="34" customWidth="1"/>
    <col min="5391" max="5396" width="15.7109375" style="34" customWidth="1"/>
    <col min="5397" max="5397" width="13.7109375" style="34" customWidth="1"/>
    <col min="5398" max="5398" width="40.7109375" style="34" customWidth="1"/>
    <col min="5399" max="5641" width="9.28515625" style="34"/>
    <col min="5642" max="5642" width="2.7109375" style="34" customWidth="1"/>
    <col min="5643" max="5643" width="5" style="34" customWidth="1"/>
    <col min="5644" max="5644" width="62" style="34" customWidth="1"/>
    <col min="5645" max="5645" width="12.7109375" style="34" bestFit="1" customWidth="1"/>
    <col min="5646" max="5646" width="1.7109375" style="34" customWidth="1"/>
    <col min="5647" max="5652" width="15.7109375" style="34" customWidth="1"/>
    <col min="5653" max="5653" width="13.7109375" style="34" customWidth="1"/>
    <col min="5654" max="5654" width="40.7109375" style="34" customWidth="1"/>
    <col min="5655" max="5897" width="9.28515625" style="34"/>
    <col min="5898" max="5898" width="2.7109375" style="34" customWidth="1"/>
    <col min="5899" max="5899" width="5" style="34" customWidth="1"/>
    <col min="5900" max="5900" width="62" style="34" customWidth="1"/>
    <col min="5901" max="5901" width="12.7109375" style="34" bestFit="1" customWidth="1"/>
    <col min="5902" max="5902" width="1.7109375" style="34" customWidth="1"/>
    <col min="5903" max="5908" width="15.7109375" style="34" customWidth="1"/>
    <col min="5909" max="5909" width="13.7109375" style="34" customWidth="1"/>
    <col min="5910" max="5910" width="40.7109375" style="34" customWidth="1"/>
    <col min="5911" max="6153" width="9.28515625" style="34"/>
    <col min="6154" max="6154" width="2.7109375" style="34" customWidth="1"/>
    <col min="6155" max="6155" width="5" style="34" customWidth="1"/>
    <col min="6156" max="6156" width="62" style="34" customWidth="1"/>
    <col min="6157" max="6157" width="12.7109375" style="34" bestFit="1" customWidth="1"/>
    <col min="6158" max="6158" width="1.7109375" style="34" customWidth="1"/>
    <col min="6159" max="6164" width="15.7109375" style="34" customWidth="1"/>
    <col min="6165" max="6165" width="13.7109375" style="34" customWidth="1"/>
    <col min="6166" max="6166" width="40.7109375" style="34" customWidth="1"/>
    <col min="6167" max="6409" width="9.28515625" style="34"/>
    <col min="6410" max="6410" width="2.7109375" style="34" customWidth="1"/>
    <col min="6411" max="6411" width="5" style="34" customWidth="1"/>
    <col min="6412" max="6412" width="62" style="34" customWidth="1"/>
    <col min="6413" max="6413" width="12.7109375" style="34" bestFit="1" customWidth="1"/>
    <col min="6414" max="6414" width="1.7109375" style="34" customWidth="1"/>
    <col min="6415" max="6420" width="15.7109375" style="34" customWidth="1"/>
    <col min="6421" max="6421" width="13.7109375" style="34" customWidth="1"/>
    <col min="6422" max="6422" width="40.7109375" style="34" customWidth="1"/>
    <col min="6423" max="6665" width="9.28515625" style="34"/>
    <col min="6666" max="6666" width="2.7109375" style="34" customWidth="1"/>
    <col min="6667" max="6667" width="5" style="34" customWidth="1"/>
    <col min="6668" max="6668" width="62" style="34" customWidth="1"/>
    <col min="6669" max="6669" width="12.7109375" style="34" bestFit="1" customWidth="1"/>
    <col min="6670" max="6670" width="1.7109375" style="34" customWidth="1"/>
    <col min="6671" max="6676" width="15.7109375" style="34" customWidth="1"/>
    <col min="6677" max="6677" width="13.7109375" style="34" customWidth="1"/>
    <col min="6678" max="6678" width="40.7109375" style="34" customWidth="1"/>
    <col min="6679" max="6921" width="9.28515625" style="34"/>
    <col min="6922" max="6922" width="2.7109375" style="34" customWidth="1"/>
    <col min="6923" max="6923" width="5" style="34" customWidth="1"/>
    <col min="6924" max="6924" width="62" style="34" customWidth="1"/>
    <col min="6925" max="6925" width="12.7109375" style="34" bestFit="1" customWidth="1"/>
    <col min="6926" max="6926" width="1.7109375" style="34" customWidth="1"/>
    <col min="6927" max="6932" width="15.7109375" style="34" customWidth="1"/>
    <col min="6933" max="6933" width="13.7109375" style="34" customWidth="1"/>
    <col min="6934" max="6934" width="40.7109375" style="34" customWidth="1"/>
    <col min="6935" max="7177" width="9.28515625" style="34"/>
    <col min="7178" max="7178" width="2.7109375" style="34" customWidth="1"/>
    <col min="7179" max="7179" width="5" style="34" customWidth="1"/>
    <col min="7180" max="7180" width="62" style="34" customWidth="1"/>
    <col min="7181" max="7181" width="12.7109375" style="34" bestFit="1" customWidth="1"/>
    <col min="7182" max="7182" width="1.7109375" style="34" customWidth="1"/>
    <col min="7183" max="7188" width="15.7109375" style="34" customWidth="1"/>
    <col min="7189" max="7189" width="13.7109375" style="34" customWidth="1"/>
    <col min="7190" max="7190" width="40.7109375" style="34" customWidth="1"/>
    <col min="7191" max="7433" width="9.28515625" style="34"/>
    <col min="7434" max="7434" width="2.7109375" style="34" customWidth="1"/>
    <col min="7435" max="7435" width="5" style="34" customWidth="1"/>
    <col min="7436" max="7436" width="62" style="34" customWidth="1"/>
    <col min="7437" max="7437" width="12.7109375" style="34" bestFit="1" customWidth="1"/>
    <col min="7438" max="7438" width="1.7109375" style="34" customWidth="1"/>
    <col min="7439" max="7444" width="15.7109375" style="34" customWidth="1"/>
    <col min="7445" max="7445" width="13.7109375" style="34" customWidth="1"/>
    <col min="7446" max="7446" width="40.7109375" style="34" customWidth="1"/>
    <col min="7447" max="7689" width="9.28515625" style="34"/>
    <col min="7690" max="7690" width="2.7109375" style="34" customWidth="1"/>
    <col min="7691" max="7691" width="5" style="34" customWidth="1"/>
    <col min="7692" max="7692" width="62" style="34" customWidth="1"/>
    <col min="7693" max="7693" width="12.7109375" style="34" bestFit="1" customWidth="1"/>
    <col min="7694" max="7694" width="1.7109375" style="34" customWidth="1"/>
    <col min="7695" max="7700" width="15.7109375" style="34" customWidth="1"/>
    <col min="7701" max="7701" width="13.7109375" style="34" customWidth="1"/>
    <col min="7702" max="7702" width="40.7109375" style="34" customWidth="1"/>
    <col min="7703" max="7945" width="9.28515625" style="34"/>
    <col min="7946" max="7946" width="2.7109375" style="34" customWidth="1"/>
    <col min="7947" max="7947" width="5" style="34" customWidth="1"/>
    <col min="7948" max="7948" width="62" style="34" customWidth="1"/>
    <col min="7949" max="7949" width="12.7109375" style="34" bestFit="1" customWidth="1"/>
    <col min="7950" max="7950" width="1.7109375" style="34" customWidth="1"/>
    <col min="7951" max="7956" width="15.7109375" style="34" customWidth="1"/>
    <col min="7957" max="7957" width="13.7109375" style="34" customWidth="1"/>
    <col min="7958" max="7958" width="40.7109375" style="34" customWidth="1"/>
    <col min="7959" max="8201" width="9.28515625" style="34"/>
    <col min="8202" max="8202" width="2.7109375" style="34" customWidth="1"/>
    <col min="8203" max="8203" width="5" style="34" customWidth="1"/>
    <col min="8204" max="8204" width="62" style="34" customWidth="1"/>
    <col min="8205" max="8205" width="12.7109375" style="34" bestFit="1" customWidth="1"/>
    <col min="8206" max="8206" width="1.7109375" style="34" customWidth="1"/>
    <col min="8207" max="8212" width="15.7109375" style="34" customWidth="1"/>
    <col min="8213" max="8213" width="13.7109375" style="34" customWidth="1"/>
    <col min="8214" max="8214" width="40.7109375" style="34" customWidth="1"/>
    <col min="8215" max="8457" width="9.28515625" style="34"/>
    <col min="8458" max="8458" width="2.7109375" style="34" customWidth="1"/>
    <col min="8459" max="8459" width="5" style="34" customWidth="1"/>
    <col min="8460" max="8460" width="62" style="34" customWidth="1"/>
    <col min="8461" max="8461" width="12.7109375" style="34" bestFit="1" customWidth="1"/>
    <col min="8462" max="8462" width="1.7109375" style="34" customWidth="1"/>
    <col min="8463" max="8468" width="15.7109375" style="34" customWidth="1"/>
    <col min="8469" max="8469" width="13.7109375" style="34" customWidth="1"/>
    <col min="8470" max="8470" width="40.7109375" style="34" customWidth="1"/>
    <col min="8471" max="8713" width="9.28515625" style="34"/>
    <col min="8714" max="8714" width="2.7109375" style="34" customWidth="1"/>
    <col min="8715" max="8715" width="5" style="34" customWidth="1"/>
    <col min="8716" max="8716" width="62" style="34" customWidth="1"/>
    <col min="8717" max="8717" width="12.7109375" style="34" bestFit="1" customWidth="1"/>
    <col min="8718" max="8718" width="1.7109375" style="34" customWidth="1"/>
    <col min="8719" max="8724" width="15.7109375" style="34" customWidth="1"/>
    <col min="8725" max="8725" width="13.7109375" style="34" customWidth="1"/>
    <col min="8726" max="8726" width="40.7109375" style="34" customWidth="1"/>
    <col min="8727" max="8969" width="9.28515625" style="34"/>
    <col min="8970" max="8970" width="2.7109375" style="34" customWidth="1"/>
    <col min="8971" max="8971" width="5" style="34" customWidth="1"/>
    <col min="8972" max="8972" width="62" style="34" customWidth="1"/>
    <col min="8973" max="8973" width="12.7109375" style="34" bestFit="1" customWidth="1"/>
    <col min="8974" max="8974" width="1.7109375" style="34" customWidth="1"/>
    <col min="8975" max="8980" width="15.7109375" style="34" customWidth="1"/>
    <col min="8981" max="8981" width="13.7109375" style="34" customWidth="1"/>
    <col min="8982" max="8982" width="40.7109375" style="34" customWidth="1"/>
    <col min="8983" max="9225" width="9.28515625" style="34"/>
    <col min="9226" max="9226" width="2.7109375" style="34" customWidth="1"/>
    <col min="9227" max="9227" width="5" style="34" customWidth="1"/>
    <col min="9228" max="9228" width="62" style="34" customWidth="1"/>
    <col min="9229" max="9229" width="12.7109375" style="34" bestFit="1" customWidth="1"/>
    <col min="9230" max="9230" width="1.7109375" style="34" customWidth="1"/>
    <col min="9231" max="9236" width="15.7109375" style="34" customWidth="1"/>
    <col min="9237" max="9237" width="13.7109375" style="34" customWidth="1"/>
    <col min="9238" max="9238" width="40.7109375" style="34" customWidth="1"/>
    <col min="9239" max="9481" width="9.28515625" style="34"/>
    <col min="9482" max="9482" width="2.7109375" style="34" customWidth="1"/>
    <col min="9483" max="9483" width="5" style="34" customWidth="1"/>
    <col min="9484" max="9484" width="62" style="34" customWidth="1"/>
    <col min="9485" max="9485" width="12.7109375" style="34" bestFit="1" customWidth="1"/>
    <col min="9486" max="9486" width="1.7109375" style="34" customWidth="1"/>
    <col min="9487" max="9492" width="15.7109375" style="34" customWidth="1"/>
    <col min="9493" max="9493" width="13.7109375" style="34" customWidth="1"/>
    <col min="9494" max="9494" width="40.7109375" style="34" customWidth="1"/>
    <col min="9495" max="9737" width="9.28515625" style="34"/>
    <col min="9738" max="9738" width="2.7109375" style="34" customWidth="1"/>
    <col min="9739" max="9739" width="5" style="34" customWidth="1"/>
    <col min="9740" max="9740" width="62" style="34" customWidth="1"/>
    <col min="9741" max="9741" width="12.7109375" style="34" bestFit="1" customWidth="1"/>
    <col min="9742" max="9742" width="1.7109375" style="34" customWidth="1"/>
    <col min="9743" max="9748" width="15.7109375" style="34" customWidth="1"/>
    <col min="9749" max="9749" width="13.7109375" style="34" customWidth="1"/>
    <col min="9750" max="9750" width="40.7109375" style="34" customWidth="1"/>
    <col min="9751" max="9993" width="9.28515625" style="34"/>
    <col min="9994" max="9994" width="2.7109375" style="34" customWidth="1"/>
    <col min="9995" max="9995" width="5" style="34" customWidth="1"/>
    <col min="9996" max="9996" width="62" style="34" customWidth="1"/>
    <col min="9997" max="9997" width="12.7109375" style="34" bestFit="1" customWidth="1"/>
    <col min="9998" max="9998" width="1.7109375" style="34" customWidth="1"/>
    <col min="9999" max="10004" width="15.7109375" style="34" customWidth="1"/>
    <col min="10005" max="10005" width="13.7109375" style="34" customWidth="1"/>
    <col min="10006" max="10006" width="40.7109375" style="34" customWidth="1"/>
    <col min="10007" max="10249" width="9.28515625" style="34"/>
    <col min="10250" max="10250" width="2.7109375" style="34" customWidth="1"/>
    <col min="10251" max="10251" width="5" style="34" customWidth="1"/>
    <col min="10252" max="10252" width="62" style="34" customWidth="1"/>
    <col min="10253" max="10253" width="12.7109375" style="34" bestFit="1" customWidth="1"/>
    <col min="10254" max="10254" width="1.7109375" style="34" customWidth="1"/>
    <col min="10255" max="10260" width="15.7109375" style="34" customWidth="1"/>
    <col min="10261" max="10261" width="13.7109375" style="34" customWidth="1"/>
    <col min="10262" max="10262" width="40.7109375" style="34" customWidth="1"/>
    <col min="10263" max="10505" width="9.28515625" style="34"/>
    <col min="10506" max="10506" width="2.7109375" style="34" customWidth="1"/>
    <col min="10507" max="10507" width="5" style="34" customWidth="1"/>
    <col min="10508" max="10508" width="62" style="34" customWidth="1"/>
    <col min="10509" max="10509" width="12.7109375" style="34" bestFit="1" customWidth="1"/>
    <col min="10510" max="10510" width="1.7109375" style="34" customWidth="1"/>
    <col min="10511" max="10516" width="15.7109375" style="34" customWidth="1"/>
    <col min="10517" max="10517" width="13.7109375" style="34" customWidth="1"/>
    <col min="10518" max="10518" width="40.7109375" style="34" customWidth="1"/>
    <col min="10519" max="10761" width="9.28515625" style="34"/>
    <col min="10762" max="10762" width="2.7109375" style="34" customWidth="1"/>
    <col min="10763" max="10763" width="5" style="34" customWidth="1"/>
    <col min="10764" max="10764" width="62" style="34" customWidth="1"/>
    <col min="10765" max="10765" width="12.7109375" style="34" bestFit="1" customWidth="1"/>
    <col min="10766" max="10766" width="1.7109375" style="34" customWidth="1"/>
    <col min="10767" max="10772" width="15.7109375" style="34" customWidth="1"/>
    <col min="10773" max="10773" width="13.7109375" style="34" customWidth="1"/>
    <col min="10774" max="10774" width="40.7109375" style="34" customWidth="1"/>
    <col min="10775" max="11017" width="9.28515625" style="34"/>
    <col min="11018" max="11018" width="2.7109375" style="34" customWidth="1"/>
    <col min="11019" max="11019" width="5" style="34" customWidth="1"/>
    <col min="11020" max="11020" width="62" style="34" customWidth="1"/>
    <col min="11021" max="11021" width="12.7109375" style="34" bestFit="1" customWidth="1"/>
    <col min="11022" max="11022" width="1.7109375" style="34" customWidth="1"/>
    <col min="11023" max="11028" width="15.7109375" style="34" customWidth="1"/>
    <col min="11029" max="11029" width="13.7109375" style="34" customWidth="1"/>
    <col min="11030" max="11030" width="40.7109375" style="34" customWidth="1"/>
    <col min="11031" max="11273" width="9.28515625" style="34"/>
    <col min="11274" max="11274" width="2.7109375" style="34" customWidth="1"/>
    <col min="11275" max="11275" width="5" style="34" customWidth="1"/>
    <col min="11276" max="11276" width="62" style="34" customWidth="1"/>
    <col min="11277" max="11277" width="12.7109375" style="34" bestFit="1" customWidth="1"/>
    <col min="11278" max="11278" width="1.7109375" style="34" customWidth="1"/>
    <col min="11279" max="11284" width="15.7109375" style="34" customWidth="1"/>
    <col min="11285" max="11285" width="13.7109375" style="34" customWidth="1"/>
    <col min="11286" max="11286" width="40.7109375" style="34" customWidth="1"/>
    <col min="11287" max="11529" width="9.28515625" style="34"/>
    <col min="11530" max="11530" width="2.7109375" style="34" customWidth="1"/>
    <col min="11531" max="11531" width="5" style="34" customWidth="1"/>
    <col min="11532" max="11532" width="62" style="34" customWidth="1"/>
    <col min="11533" max="11533" width="12.7109375" style="34" bestFit="1" customWidth="1"/>
    <col min="11534" max="11534" width="1.7109375" style="34" customWidth="1"/>
    <col min="11535" max="11540" width="15.7109375" style="34" customWidth="1"/>
    <col min="11541" max="11541" width="13.7109375" style="34" customWidth="1"/>
    <col min="11542" max="11542" width="40.7109375" style="34" customWidth="1"/>
    <col min="11543" max="11785" width="9.28515625" style="34"/>
    <col min="11786" max="11786" width="2.7109375" style="34" customWidth="1"/>
    <col min="11787" max="11787" width="5" style="34" customWidth="1"/>
    <col min="11788" max="11788" width="62" style="34" customWidth="1"/>
    <col min="11789" max="11789" width="12.7109375" style="34" bestFit="1" customWidth="1"/>
    <col min="11790" max="11790" width="1.7109375" style="34" customWidth="1"/>
    <col min="11791" max="11796" width="15.7109375" style="34" customWidth="1"/>
    <col min="11797" max="11797" width="13.7109375" style="34" customWidth="1"/>
    <col min="11798" max="11798" width="40.7109375" style="34" customWidth="1"/>
    <col min="11799" max="12041" width="9.28515625" style="34"/>
    <col min="12042" max="12042" width="2.7109375" style="34" customWidth="1"/>
    <col min="12043" max="12043" width="5" style="34" customWidth="1"/>
    <col min="12044" max="12044" width="62" style="34" customWidth="1"/>
    <col min="12045" max="12045" width="12.7109375" style="34" bestFit="1" customWidth="1"/>
    <col min="12046" max="12046" width="1.7109375" style="34" customWidth="1"/>
    <col min="12047" max="12052" width="15.7109375" style="34" customWidth="1"/>
    <col min="12053" max="12053" width="13.7109375" style="34" customWidth="1"/>
    <col min="12054" max="12054" width="40.7109375" style="34" customWidth="1"/>
    <col min="12055" max="12297" width="9.28515625" style="34"/>
    <col min="12298" max="12298" width="2.7109375" style="34" customWidth="1"/>
    <col min="12299" max="12299" width="5" style="34" customWidth="1"/>
    <col min="12300" max="12300" width="62" style="34" customWidth="1"/>
    <col min="12301" max="12301" width="12.7109375" style="34" bestFit="1" customWidth="1"/>
    <col min="12302" max="12302" width="1.7109375" style="34" customWidth="1"/>
    <col min="12303" max="12308" width="15.7109375" style="34" customWidth="1"/>
    <col min="12309" max="12309" width="13.7109375" style="34" customWidth="1"/>
    <col min="12310" max="12310" width="40.7109375" style="34" customWidth="1"/>
    <col min="12311" max="12553" width="9.28515625" style="34"/>
    <col min="12554" max="12554" width="2.7109375" style="34" customWidth="1"/>
    <col min="12555" max="12555" width="5" style="34" customWidth="1"/>
    <col min="12556" max="12556" width="62" style="34" customWidth="1"/>
    <col min="12557" max="12557" width="12.7109375" style="34" bestFit="1" customWidth="1"/>
    <col min="12558" max="12558" width="1.7109375" style="34" customWidth="1"/>
    <col min="12559" max="12564" width="15.7109375" style="34" customWidth="1"/>
    <col min="12565" max="12565" width="13.7109375" style="34" customWidth="1"/>
    <col min="12566" max="12566" width="40.7109375" style="34" customWidth="1"/>
    <col min="12567" max="12809" width="9.28515625" style="34"/>
    <col min="12810" max="12810" width="2.7109375" style="34" customWidth="1"/>
    <col min="12811" max="12811" width="5" style="34" customWidth="1"/>
    <col min="12812" max="12812" width="62" style="34" customWidth="1"/>
    <col min="12813" max="12813" width="12.7109375" style="34" bestFit="1" customWidth="1"/>
    <col min="12814" max="12814" width="1.7109375" style="34" customWidth="1"/>
    <col min="12815" max="12820" width="15.7109375" style="34" customWidth="1"/>
    <col min="12821" max="12821" width="13.7109375" style="34" customWidth="1"/>
    <col min="12822" max="12822" width="40.7109375" style="34" customWidth="1"/>
    <col min="12823" max="13065" width="9.28515625" style="34"/>
    <col min="13066" max="13066" width="2.7109375" style="34" customWidth="1"/>
    <col min="13067" max="13067" width="5" style="34" customWidth="1"/>
    <col min="13068" max="13068" width="62" style="34" customWidth="1"/>
    <col min="13069" max="13069" width="12.7109375" style="34" bestFit="1" customWidth="1"/>
    <col min="13070" max="13070" width="1.7109375" style="34" customWidth="1"/>
    <col min="13071" max="13076" width="15.7109375" style="34" customWidth="1"/>
    <col min="13077" max="13077" width="13.7109375" style="34" customWidth="1"/>
    <col min="13078" max="13078" width="40.7109375" style="34" customWidth="1"/>
    <col min="13079" max="13321" width="9.28515625" style="34"/>
    <col min="13322" max="13322" width="2.7109375" style="34" customWidth="1"/>
    <col min="13323" max="13323" width="5" style="34" customWidth="1"/>
    <col min="13324" max="13324" width="62" style="34" customWidth="1"/>
    <col min="13325" max="13325" width="12.7109375" style="34" bestFit="1" customWidth="1"/>
    <col min="13326" max="13326" width="1.7109375" style="34" customWidth="1"/>
    <col min="13327" max="13332" width="15.7109375" style="34" customWidth="1"/>
    <col min="13333" max="13333" width="13.7109375" style="34" customWidth="1"/>
    <col min="13334" max="13334" width="40.7109375" style="34" customWidth="1"/>
    <col min="13335" max="13577" width="9.28515625" style="34"/>
    <col min="13578" max="13578" width="2.7109375" style="34" customWidth="1"/>
    <col min="13579" max="13579" width="5" style="34" customWidth="1"/>
    <col min="13580" max="13580" width="62" style="34" customWidth="1"/>
    <col min="13581" max="13581" width="12.7109375" style="34" bestFit="1" customWidth="1"/>
    <col min="13582" max="13582" width="1.7109375" style="34" customWidth="1"/>
    <col min="13583" max="13588" width="15.7109375" style="34" customWidth="1"/>
    <col min="13589" max="13589" width="13.7109375" style="34" customWidth="1"/>
    <col min="13590" max="13590" width="40.7109375" style="34" customWidth="1"/>
    <col min="13591" max="13833" width="9.28515625" style="34"/>
    <col min="13834" max="13834" width="2.7109375" style="34" customWidth="1"/>
    <col min="13835" max="13835" width="5" style="34" customWidth="1"/>
    <col min="13836" max="13836" width="62" style="34" customWidth="1"/>
    <col min="13837" max="13837" width="12.7109375" style="34" bestFit="1" customWidth="1"/>
    <col min="13838" max="13838" width="1.7109375" style="34" customWidth="1"/>
    <col min="13839" max="13844" width="15.7109375" style="34" customWidth="1"/>
    <col min="13845" max="13845" width="13.7109375" style="34" customWidth="1"/>
    <col min="13846" max="13846" width="40.7109375" style="34" customWidth="1"/>
    <col min="13847" max="14089" width="9.28515625" style="34"/>
    <col min="14090" max="14090" width="2.7109375" style="34" customWidth="1"/>
    <col min="14091" max="14091" width="5" style="34" customWidth="1"/>
    <col min="14092" max="14092" width="62" style="34" customWidth="1"/>
    <col min="14093" max="14093" width="12.7109375" style="34" bestFit="1" customWidth="1"/>
    <col min="14094" max="14094" width="1.7109375" style="34" customWidth="1"/>
    <col min="14095" max="14100" width="15.7109375" style="34" customWidth="1"/>
    <col min="14101" max="14101" width="13.7109375" style="34" customWidth="1"/>
    <col min="14102" max="14102" width="40.7109375" style="34" customWidth="1"/>
    <col min="14103" max="14345" width="9.28515625" style="34"/>
    <col min="14346" max="14346" width="2.7109375" style="34" customWidth="1"/>
    <col min="14347" max="14347" width="5" style="34" customWidth="1"/>
    <col min="14348" max="14348" width="62" style="34" customWidth="1"/>
    <col min="14349" max="14349" width="12.7109375" style="34" bestFit="1" customWidth="1"/>
    <col min="14350" max="14350" width="1.7109375" style="34" customWidth="1"/>
    <col min="14351" max="14356" width="15.7109375" style="34" customWidth="1"/>
    <col min="14357" max="14357" width="13.7109375" style="34" customWidth="1"/>
    <col min="14358" max="14358" width="40.7109375" style="34" customWidth="1"/>
    <col min="14359" max="14601" width="9.28515625" style="34"/>
    <col min="14602" max="14602" width="2.7109375" style="34" customWidth="1"/>
    <col min="14603" max="14603" width="5" style="34" customWidth="1"/>
    <col min="14604" max="14604" width="62" style="34" customWidth="1"/>
    <col min="14605" max="14605" width="12.7109375" style="34" bestFit="1" customWidth="1"/>
    <col min="14606" max="14606" width="1.7109375" style="34" customWidth="1"/>
    <col min="14607" max="14612" width="15.7109375" style="34" customWidth="1"/>
    <col min="14613" max="14613" width="13.7109375" style="34" customWidth="1"/>
    <col min="14614" max="14614" width="40.7109375" style="34" customWidth="1"/>
    <col min="14615" max="14857" width="9.28515625" style="34"/>
    <col min="14858" max="14858" width="2.7109375" style="34" customWidth="1"/>
    <col min="14859" max="14859" width="5" style="34" customWidth="1"/>
    <col min="14860" max="14860" width="62" style="34" customWidth="1"/>
    <col min="14861" max="14861" width="12.7109375" style="34" bestFit="1" customWidth="1"/>
    <col min="14862" max="14862" width="1.7109375" style="34" customWidth="1"/>
    <col min="14863" max="14868" width="15.7109375" style="34" customWidth="1"/>
    <col min="14869" max="14869" width="13.7109375" style="34" customWidth="1"/>
    <col min="14870" max="14870" width="40.7109375" style="34" customWidth="1"/>
    <col min="14871" max="15113" width="9.28515625" style="34"/>
    <col min="15114" max="15114" width="2.7109375" style="34" customWidth="1"/>
    <col min="15115" max="15115" width="5" style="34" customWidth="1"/>
    <col min="15116" max="15116" width="62" style="34" customWidth="1"/>
    <col min="15117" max="15117" width="12.7109375" style="34" bestFit="1" customWidth="1"/>
    <col min="15118" max="15118" width="1.7109375" style="34" customWidth="1"/>
    <col min="15119" max="15124" width="15.7109375" style="34" customWidth="1"/>
    <col min="15125" max="15125" width="13.7109375" style="34" customWidth="1"/>
    <col min="15126" max="15126" width="40.7109375" style="34" customWidth="1"/>
    <col min="15127" max="15369" width="9.28515625" style="34"/>
    <col min="15370" max="15370" width="2.7109375" style="34" customWidth="1"/>
    <col min="15371" max="15371" width="5" style="34" customWidth="1"/>
    <col min="15372" max="15372" width="62" style="34" customWidth="1"/>
    <col min="15373" max="15373" width="12.7109375" style="34" bestFit="1" customWidth="1"/>
    <col min="15374" max="15374" width="1.7109375" style="34" customWidth="1"/>
    <col min="15375" max="15380" width="15.7109375" style="34" customWidth="1"/>
    <col min="15381" max="15381" width="13.7109375" style="34" customWidth="1"/>
    <col min="15382" max="15382" width="40.7109375" style="34" customWidth="1"/>
    <col min="15383" max="15625" width="9.28515625" style="34"/>
    <col min="15626" max="15626" width="2.7109375" style="34" customWidth="1"/>
    <col min="15627" max="15627" width="5" style="34" customWidth="1"/>
    <col min="15628" max="15628" width="62" style="34" customWidth="1"/>
    <col min="15629" max="15629" width="12.7109375" style="34" bestFit="1" customWidth="1"/>
    <col min="15630" max="15630" width="1.7109375" style="34" customWidth="1"/>
    <col min="15631" max="15636" width="15.7109375" style="34" customWidth="1"/>
    <col min="15637" max="15637" width="13.7109375" style="34" customWidth="1"/>
    <col min="15638" max="15638" width="40.7109375" style="34" customWidth="1"/>
    <col min="15639" max="15881" width="9.28515625" style="34"/>
    <col min="15882" max="15882" width="2.7109375" style="34" customWidth="1"/>
    <col min="15883" max="15883" width="5" style="34" customWidth="1"/>
    <col min="15884" max="15884" width="62" style="34" customWidth="1"/>
    <col min="15885" max="15885" width="12.7109375" style="34" bestFit="1" customWidth="1"/>
    <col min="15886" max="15886" width="1.7109375" style="34" customWidth="1"/>
    <col min="15887" max="15892" width="15.7109375" style="34" customWidth="1"/>
    <col min="15893" max="15893" width="13.7109375" style="34" customWidth="1"/>
    <col min="15894" max="15894" width="40.7109375" style="34" customWidth="1"/>
    <col min="15895" max="16137" width="9.28515625" style="34"/>
    <col min="16138" max="16138" width="2.7109375" style="34" customWidth="1"/>
    <col min="16139" max="16139" width="5" style="34" customWidth="1"/>
    <col min="16140" max="16140" width="62" style="34" customWidth="1"/>
    <col min="16141" max="16141" width="12.7109375" style="34" bestFit="1" customWidth="1"/>
    <col min="16142" max="16142" width="1.7109375" style="34" customWidth="1"/>
    <col min="16143" max="16148" width="15.7109375" style="34" customWidth="1"/>
    <col min="16149" max="16149" width="13.7109375" style="34" customWidth="1"/>
    <col min="16150" max="16150" width="40.7109375" style="34" customWidth="1"/>
    <col min="16151" max="16383" width="9.28515625" style="34"/>
    <col min="16384" max="16384" width="9.28515625" style="34" customWidth="1"/>
  </cols>
  <sheetData>
    <row r="2" spans="1:22" x14ac:dyDescent="0.2">
      <c r="S2" s="79" t="s">
        <v>264</v>
      </c>
      <c r="T2" s="590" t="str">
        <f>EBNUMBER</f>
        <v>EB-2019-0037</v>
      </c>
    </row>
    <row r="3" spans="1:22" x14ac:dyDescent="0.2">
      <c r="S3" s="79" t="s">
        <v>265</v>
      </c>
      <c r="T3" s="33">
        <v>9</v>
      </c>
    </row>
    <row r="4" spans="1:22" x14ac:dyDescent="0.2">
      <c r="S4" s="79" t="s">
        <v>266</v>
      </c>
      <c r="T4" s="33">
        <v>1</v>
      </c>
    </row>
    <row r="5" spans="1:22" x14ac:dyDescent="0.2">
      <c r="S5" s="79" t="s">
        <v>267</v>
      </c>
      <c r="T5" s="33">
        <v>4</v>
      </c>
    </row>
    <row r="6" spans="1:22" x14ac:dyDescent="0.2">
      <c r="S6" s="79" t="s">
        <v>268</v>
      </c>
      <c r="T6" s="448">
        <v>2</v>
      </c>
    </row>
    <row r="7" spans="1:22" x14ac:dyDescent="0.2">
      <c r="S7" s="79"/>
      <c r="T7" s="590"/>
    </row>
    <row r="8" spans="1:22" x14ac:dyDescent="0.2">
      <c r="S8" s="79" t="s">
        <v>269</v>
      </c>
      <c r="T8" s="1697">
        <v>43769</v>
      </c>
    </row>
    <row r="9" spans="1:22" ht="18" x14ac:dyDescent="0.25">
      <c r="A9" s="2015" t="s">
        <v>974</v>
      </c>
      <c r="B9" s="2034"/>
      <c r="C9" s="2034"/>
      <c r="D9" s="2034"/>
      <c r="E9" s="2034"/>
      <c r="F9" s="2034"/>
      <c r="G9" s="2034"/>
      <c r="H9" s="2034"/>
      <c r="I9" s="2034"/>
      <c r="J9" s="2034"/>
      <c r="K9" s="2034"/>
      <c r="L9" s="2034"/>
      <c r="M9" s="2034"/>
      <c r="N9" s="2034"/>
      <c r="O9" s="2034"/>
      <c r="P9" s="2034"/>
      <c r="Q9" s="2034"/>
      <c r="R9" s="2034"/>
      <c r="S9" s="2034"/>
      <c r="T9" s="2034"/>
      <c r="U9" s="2034"/>
      <c r="V9" s="2034"/>
    </row>
    <row r="10" spans="1:22" ht="18" x14ac:dyDescent="0.25">
      <c r="A10" s="2015" t="s">
        <v>329</v>
      </c>
      <c r="B10" s="2035"/>
      <c r="C10" s="2035"/>
      <c r="D10" s="2035"/>
      <c r="E10" s="2035"/>
      <c r="F10" s="2035"/>
      <c r="G10" s="2035"/>
      <c r="H10" s="2035"/>
      <c r="I10" s="2035"/>
      <c r="J10" s="2035"/>
      <c r="K10" s="2035"/>
      <c r="L10" s="2035"/>
      <c r="M10" s="2035"/>
      <c r="N10" s="2035"/>
      <c r="O10" s="2035"/>
      <c r="P10" s="2035"/>
      <c r="Q10" s="2035"/>
      <c r="R10" s="2035"/>
      <c r="S10" s="2035"/>
      <c r="T10" s="2035"/>
      <c r="U10" s="2035"/>
      <c r="V10" s="2035"/>
    </row>
    <row r="12" spans="1:22" ht="27" customHeight="1" x14ac:dyDescent="0.2">
      <c r="A12" s="1929" t="s">
        <v>330</v>
      </c>
      <c r="B12" s="1929"/>
      <c r="C12" s="1929"/>
      <c r="D12" s="1929"/>
      <c r="E12" s="1929"/>
      <c r="F12" s="1929"/>
      <c r="G12" s="1929"/>
      <c r="H12" s="1929"/>
      <c r="I12" s="1929"/>
      <c r="J12" s="1929"/>
      <c r="K12" s="1929"/>
      <c r="L12" s="1929"/>
      <c r="M12" s="1929"/>
      <c r="N12" s="1929"/>
      <c r="O12" s="1929"/>
      <c r="P12" s="1929"/>
      <c r="Q12" s="1929"/>
      <c r="R12" s="1929"/>
      <c r="S12" s="1929"/>
      <c r="T12" s="1929"/>
      <c r="U12" s="725"/>
      <c r="V12" s="725"/>
    </row>
    <row r="13" spans="1:22" ht="13.5" thickBot="1" x14ac:dyDescent="0.25"/>
    <row r="14" spans="1:22" ht="27.75" customHeight="1" x14ac:dyDescent="0.2">
      <c r="A14" s="2432" t="s">
        <v>331</v>
      </c>
      <c r="B14" s="2433"/>
      <c r="C14" s="2433"/>
      <c r="D14" s="818"/>
      <c r="E14" s="1638" t="s">
        <v>902</v>
      </c>
      <c r="F14" s="602" t="s">
        <v>902</v>
      </c>
      <c r="G14" s="602" t="s">
        <v>902</v>
      </c>
      <c r="H14" s="602" t="s">
        <v>902</v>
      </c>
      <c r="I14" s="602" t="s">
        <v>902</v>
      </c>
      <c r="J14" s="602" t="s">
        <v>902</v>
      </c>
      <c r="K14" s="602" t="s">
        <v>902</v>
      </c>
      <c r="L14" s="602" t="s">
        <v>902</v>
      </c>
      <c r="M14" s="602" t="s">
        <v>902</v>
      </c>
      <c r="N14" s="602" t="s">
        <v>902</v>
      </c>
      <c r="O14" s="602" t="s">
        <v>903</v>
      </c>
      <c r="P14" s="2439" t="s">
        <v>833</v>
      </c>
      <c r="Q14" s="2427" t="s">
        <v>833</v>
      </c>
      <c r="R14" s="2441" t="s">
        <v>1601</v>
      </c>
      <c r="S14" s="2436" t="s">
        <v>834</v>
      </c>
      <c r="T14" s="2429" t="s">
        <v>332</v>
      </c>
    </row>
    <row r="15" spans="1:22" x14ac:dyDescent="0.2">
      <c r="A15" s="2434"/>
      <c r="B15" s="2435"/>
      <c r="C15" s="2435"/>
      <c r="D15" s="83"/>
      <c r="E15" s="1639"/>
      <c r="F15" s="819"/>
      <c r="G15" s="819"/>
      <c r="H15" s="819"/>
      <c r="I15" s="819"/>
      <c r="J15" s="819"/>
      <c r="K15" s="819"/>
      <c r="L15" s="819"/>
      <c r="M15" s="819"/>
      <c r="N15" s="819"/>
      <c r="O15" s="819"/>
      <c r="P15" s="2440"/>
      <c r="Q15" s="2428"/>
      <c r="R15" s="2442"/>
      <c r="S15" s="2437"/>
      <c r="T15" s="2430"/>
    </row>
    <row r="16" spans="1:22" ht="36" customHeight="1" thickBot="1" x14ac:dyDescent="0.25">
      <c r="A16" s="2434"/>
      <c r="B16" s="2435"/>
      <c r="C16" s="2435"/>
      <c r="D16" s="83"/>
      <c r="E16" s="1640">
        <v>2009</v>
      </c>
      <c r="F16" s="820">
        <v>2010</v>
      </c>
      <c r="G16" s="820">
        <v>2011</v>
      </c>
      <c r="H16" s="820">
        <v>2012</v>
      </c>
      <c r="I16" s="820">
        <v>2013</v>
      </c>
      <c r="J16" s="820">
        <v>2014</v>
      </c>
      <c r="K16" s="820">
        <v>2015</v>
      </c>
      <c r="L16" s="820">
        <v>2016</v>
      </c>
      <c r="M16" s="820">
        <v>2017</v>
      </c>
      <c r="N16" s="820">
        <v>2018</v>
      </c>
      <c r="O16" s="820" t="s">
        <v>1503</v>
      </c>
      <c r="P16" s="821">
        <v>2019</v>
      </c>
      <c r="Q16" s="822">
        <v>2020</v>
      </c>
      <c r="R16" s="2443"/>
      <c r="S16" s="2438"/>
      <c r="T16" s="2431"/>
    </row>
    <row r="17" spans="1:22" ht="56.25" customHeight="1" x14ac:dyDescent="0.2">
      <c r="A17" s="2413" t="s">
        <v>981</v>
      </c>
      <c r="B17" s="2414"/>
      <c r="C17" s="2415"/>
      <c r="D17" s="823"/>
      <c r="E17" s="1641"/>
      <c r="F17" s="418">
        <f>13717+25000+4139</f>
        <v>42856</v>
      </c>
      <c r="G17" s="418">
        <f>35000-25000+15000+12241</f>
        <v>37241</v>
      </c>
      <c r="H17" s="418">
        <f>27000+8000+13750</f>
        <v>48750</v>
      </c>
      <c r="I17" s="418"/>
      <c r="J17" s="418"/>
      <c r="K17" s="418"/>
      <c r="L17" s="418"/>
      <c r="M17" s="418"/>
      <c r="N17" s="418"/>
      <c r="O17" s="418"/>
      <c r="P17" s="825"/>
      <c r="Q17" s="824"/>
      <c r="R17" s="824"/>
      <c r="S17" s="826">
        <f t="shared" ref="S17:S28" si="0">SUM(E17:R17)</f>
        <v>128847</v>
      </c>
      <c r="T17" s="594" t="s">
        <v>1597</v>
      </c>
    </row>
    <row r="18" spans="1:22" ht="12.75" customHeight="1" x14ac:dyDescent="0.2">
      <c r="A18" s="2412" t="s">
        <v>982</v>
      </c>
      <c r="B18" s="1972"/>
      <c r="C18" s="1973"/>
      <c r="D18" s="823"/>
      <c r="E18" s="1642"/>
      <c r="F18" s="135"/>
      <c r="G18" s="135"/>
      <c r="H18" s="135"/>
      <c r="I18" s="135"/>
      <c r="J18" s="135"/>
      <c r="K18" s="135"/>
      <c r="L18" s="135"/>
      <c r="M18" s="135"/>
      <c r="N18" s="135"/>
      <c r="O18" s="135"/>
      <c r="P18" s="827"/>
      <c r="Q18" s="131"/>
      <c r="R18" s="131"/>
      <c r="S18" s="826">
        <f t="shared" si="0"/>
        <v>0</v>
      </c>
      <c r="T18" s="594"/>
    </row>
    <row r="19" spans="1:22" ht="60.75" customHeight="1" x14ac:dyDescent="0.2">
      <c r="A19" s="2413" t="s">
        <v>983</v>
      </c>
      <c r="B19" s="2414"/>
      <c r="C19" s="2415"/>
      <c r="D19" s="823"/>
      <c r="E19" s="1642"/>
      <c r="F19" s="135"/>
      <c r="G19" s="135"/>
      <c r="H19" s="135">
        <f>355.34+2308.88</f>
        <v>2664.2200000000003</v>
      </c>
      <c r="I19" s="135"/>
      <c r="J19" s="135"/>
      <c r="K19" s="135"/>
      <c r="L19" s="135">
        <v>41598.019999999997</v>
      </c>
      <c r="M19" s="135"/>
      <c r="N19" s="135"/>
      <c r="O19" s="135"/>
      <c r="P19" s="827"/>
      <c r="Q19" s="131"/>
      <c r="R19" s="131"/>
      <c r="S19" s="826">
        <f t="shared" si="0"/>
        <v>44262.239999999998</v>
      </c>
      <c r="T19" s="594" t="s">
        <v>1598</v>
      </c>
    </row>
    <row r="20" spans="1:22" ht="44.25" customHeight="1" x14ac:dyDescent="0.2">
      <c r="A20" s="2416" t="s">
        <v>984</v>
      </c>
      <c r="B20" s="2417"/>
      <c r="C20" s="2418"/>
      <c r="D20" s="823"/>
      <c r="E20" s="1642">
        <v>474.9</v>
      </c>
      <c r="F20" s="135">
        <f>117.74+223.03</f>
        <v>340.77</v>
      </c>
      <c r="G20" s="135"/>
      <c r="H20" s="135"/>
      <c r="I20" s="135">
        <f>403.97+187.85</f>
        <v>591.82000000000005</v>
      </c>
      <c r="J20" s="135"/>
      <c r="K20" s="135"/>
      <c r="L20" s="135"/>
      <c r="M20" s="135"/>
      <c r="N20" s="135"/>
      <c r="O20" s="135"/>
      <c r="P20" s="827"/>
      <c r="Q20" s="131"/>
      <c r="R20" s="131"/>
      <c r="S20" s="826">
        <f t="shared" si="0"/>
        <v>1407.49</v>
      </c>
      <c r="T20" s="594" t="s">
        <v>1600</v>
      </c>
    </row>
    <row r="21" spans="1:22" ht="41.25" customHeight="1" x14ac:dyDescent="0.2">
      <c r="A21" s="2412" t="s">
        <v>985</v>
      </c>
      <c r="B21" s="1972"/>
      <c r="C21" s="1973"/>
      <c r="D21" s="823"/>
      <c r="E21" s="1642"/>
      <c r="F21" s="135"/>
      <c r="G21" s="135">
        <v>1072.45</v>
      </c>
      <c r="H21" s="135">
        <v>520</v>
      </c>
      <c r="I21" s="135"/>
      <c r="J21" s="135"/>
      <c r="K21" s="135"/>
      <c r="L21" s="135"/>
      <c r="M21" s="135"/>
      <c r="N21" s="135"/>
      <c r="O21" s="135"/>
      <c r="P21" s="827"/>
      <c r="Q21" s="131"/>
      <c r="R21" s="131"/>
      <c r="S21" s="826">
        <f t="shared" si="0"/>
        <v>1592.45</v>
      </c>
      <c r="T21" s="594" t="s">
        <v>1599</v>
      </c>
    </row>
    <row r="22" spans="1:22" x14ac:dyDescent="0.2">
      <c r="A22" s="2419"/>
      <c r="B22" s="2420"/>
      <c r="C22" s="2421"/>
      <c r="D22" s="823"/>
      <c r="E22" s="1642"/>
      <c r="F22" s="135"/>
      <c r="G22" s="135"/>
      <c r="H22" s="135"/>
      <c r="I22" s="135"/>
      <c r="J22" s="135"/>
      <c r="K22" s="135"/>
      <c r="L22" s="135"/>
      <c r="M22" s="135"/>
      <c r="N22" s="135"/>
      <c r="O22" s="135"/>
      <c r="P22" s="827"/>
      <c r="Q22" s="131"/>
      <c r="R22" s="131"/>
      <c r="S22" s="826">
        <f t="shared" si="0"/>
        <v>0</v>
      </c>
      <c r="T22" s="594"/>
    </row>
    <row r="23" spans="1:22" ht="25.15" customHeight="1" x14ac:dyDescent="0.2">
      <c r="A23" s="2349" t="s">
        <v>1596</v>
      </c>
      <c r="B23" s="2350"/>
      <c r="C23" s="2422"/>
      <c r="D23" s="823"/>
      <c r="E23" s="1642"/>
      <c r="F23" s="135"/>
      <c r="G23" s="135"/>
      <c r="H23" s="135"/>
      <c r="I23" s="135"/>
      <c r="J23" s="135"/>
      <c r="K23" s="135"/>
      <c r="L23" s="135"/>
      <c r="M23" s="135"/>
      <c r="N23" s="135"/>
      <c r="O23" s="135">
        <v>14778</v>
      </c>
      <c r="P23" s="827"/>
      <c r="Q23" s="131"/>
      <c r="R23" s="131">
        <v>5238</v>
      </c>
      <c r="S23" s="826">
        <f t="shared" si="0"/>
        <v>20016</v>
      </c>
      <c r="T23" s="594"/>
    </row>
    <row r="24" spans="1:22" ht="25.15" customHeight="1" x14ac:dyDescent="0.2">
      <c r="A24" s="2349"/>
      <c r="B24" s="2350"/>
      <c r="C24" s="2422"/>
      <c r="D24" s="823"/>
      <c r="E24" s="1642"/>
      <c r="F24" s="135"/>
      <c r="G24" s="135"/>
      <c r="H24" s="135"/>
      <c r="I24" s="135"/>
      <c r="J24" s="135"/>
      <c r="K24" s="135"/>
      <c r="L24" s="135"/>
      <c r="M24" s="135"/>
      <c r="N24" s="135"/>
      <c r="O24" s="135"/>
      <c r="P24" s="827"/>
      <c r="Q24" s="131"/>
      <c r="R24" s="131"/>
      <c r="S24" s="826">
        <f t="shared" si="0"/>
        <v>0</v>
      </c>
      <c r="T24" s="594"/>
    </row>
    <row r="25" spans="1:22" ht="13.5" customHeight="1" x14ac:dyDescent="0.2">
      <c r="A25" s="2419"/>
      <c r="B25" s="2420"/>
      <c r="C25" s="2421"/>
      <c r="D25" s="823"/>
      <c r="E25" s="1642"/>
      <c r="F25" s="135"/>
      <c r="G25" s="135"/>
      <c r="H25" s="135"/>
      <c r="I25" s="135"/>
      <c r="J25" s="135"/>
      <c r="K25" s="135"/>
      <c r="L25" s="135"/>
      <c r="M25" s="135"/>
      <c r="N25" s="135"/>
      <c r="O25" s="135"/>
      <c r="P25" s="827"/>
      <c r="Q25" s="131"/>
      <c r="R25" s="131"/>
      <c r="S25" s="826">
        <f t="shared" si="0"/>
        <v>0</v>
      </c>
      <c r="T25" s="594"/>
    </row>
    <row r="26" spans="1:22" ht="32.25" customHeight="1" x14ac:dyDescent="0.2">
      <c r="A26" s="2340" t="s">
        <v>904</v>
      </c>
      <c r="B26" s="2341"/>
      <c r="C26" s="2423"/>
      <c r="D26" s="823"/>
      <c r="E26" s="1642"/>
      <c r="F26" s="135"/>
      <c r="G26" s="135"/>
      <c r="H26" s="135"/>
      <c r="I26" s="135"/>
      <c r="J26" s="135"/>
      <c r="K26" s="135"/>
      <c r="L26" s="135"/>
      <c r="M26" s="135"/>
      <c r="N26" s="135"/>
      <c r="O26" s="135"/>
      <c r="P26" s="827"/>
      <c r="Q26" s="131"/>
      <c r="R26" s="131"/>
      <c r="S26" s="826">
        <f t="shared" si="0"/>
        <v>0</v>
      </c>
      <c r="T26" s="594"/>
    </row>
    <row r="27" spans="1:22" ht="27" customHeight="1" x14ac:dyDescent="0.2">
      <c r="A27" s="2340"/>
      <c r="B27" s="2341"/>
      <c r="C27" s="2423"/>
      <c r="D27" s="823"/>
      <c r="E27" s="1642"/>
      <c r="F27" s="135"/>
      <c r="G27" s="135"/>
      <c r="H27" s="135"/>
      <c r="I27" s="135"/>
      <c r="J27" s="135"/>
      <c r="K27" s="135"/>
      <c r="L27" s="135"/>
      <c r="M27" s="135"/>
      <c r="N27" s="135"/>
      <c r="O27" s="135"/>
      <c r="P27" s="827"/>
      <c r="Q27" s="131"/>
      <c r="R27" s="131"/>
      <c r="S27" s="826">
        <f t="shared" si="0"/>
        <v>0</v>
      </c>
      <c r="T27" s="594"/>
    </row>
    <row r="28" spans="1:22" ht="13.5" customHeight="1" thickBot="1" x14ac:dyDescent="0.25">
      <c r="A28" s="2424" t="s">
        <v>159</v>
      </c>
      <c r="B28" s="2425"/>
      <c r="C28" s="2426"/>
      <c r="D28" s="823"/>
      <c r="E28" s="1642"/>
      <c r="F28" s="135"/>
      <c r="G28" s="135"/>
      <c r="H28" s="135"/>
      <c r="I28" s="135"/>
      <c r="J28" s="135"/>
      <c r="K28" s="135"/>
      <c r="L28" s="135"/>
      <c r="M28" s="135"/>
      <c r="N28" s="135"/>
      <c r="O28" s="135"/>
      <c r="P28" s="827"/>
      <c r="Q28" s="131"/>
      <c r="R28" s="131"/>
      <c r="S28" s="826">
        <f t="shared" si="0"/>
        <v>0</v>
      </c>
      <c r="T28" s="595"/>
    </row>
    <row r="29" spans="1:22" ht="14.25" customHeight="1" thickTop="1" thickBot="1" x14ac:dyDescent="0.25">
      <c r="A29" s="2409" t="s">
        <v>259</v>
      </c>
      <c r="B29" s="2410"/>
      <c r="C29" s="2411"/>
      <c r="D29" s="828"/>
      <c r="E29" s="829">
        <f>SUM(E17:E28)</f>
        <v>474.9</v>
      </c>
      <c r="F29" s="829">
        <f t="shared" ref="F29:R29" si="1">SUM(F17:F28)</f>
        <v>43196.77</v>
      </c>
      <c r="G29" s="829">
        <f t="shared" si="1"/>
        <v>38313.449999999997</v>
      </c>
      <c r="H29" s="829">
        <f t="shared" si="1"/>
        <v>51934.22</v>
      </c>
      <c r="I29" s="829">
        <f t="shared" si="1"/>
        <v>591.82000000000005</v>
      </c>
      <c r="J29" s="829">
        <f t="shared" si="1"/>
        <v>0</v>
      </c>
      <c r="K29" s="829">
        <f t="shared" si="1"/>
        <v>0</v>
      </c>
      <c r="L29" s="829">
        <f t="shared" si="1"/>
        <v>41598.019999999997</v>
      </c>
      <c r="M29" s="829">
        <f t="shared" si="1"/>
        <v>0</v>
      </c>
      <c r="N29" s="829"/>
      <c r="O29" s="829">
        <f t="shared" si="1"/>
        <v>14778</v>
      </c>
      <c r="P29" s="829">
        <f t="shared" si="1"/>
        <v>0</v>
      </c>
      <c r="Q29" s="829">
        <f t="shared" si="1"/>
        <v>0</v>
      </c>
      <c r="R29" s="829">
        <f t="shared" si="1"/>
        <v>5238</v>
      </c>
      <c r="S29" s="137">
        <f>SUM(S17:S28)</f>
        <v>196125.18</v>
      </c>
      <c r="T29" s="596"/>
    </row>
    <row r="31" spans="1:22" x14ac:dyDescent="0.2">
      <c r="A31" s="79" t="s">
        <v>101</v>
      </c>
      <c r="B31" s="38"/>
      <c r="C31" s="38"/>
      <c r="D31" s="38"/>
    </row>
    <row r="32" spans="1:22" ht="27" customHeight="1" x14ac:dyDescent="0.2">
      <c r="A32" s="439">
        <v>1</v>
      </c>
      <c r="B32" s="1930" t="s">
        <v>333</v>
      </c>
      <c r="C32" s="1930"/>
      <c r="D32" s="1930"/>
      <c r="E32" s="1930"/>
      <c r="F32" s="1930"/>
      <c r="G32" s="1930"/>
      <c r="H32" s="1930"/>
      <c r="I32" s="1930"/>
      <c r="J32" s="1930"/>
      <c r="K32" s="1930"/>
      <c r="L32" s="1930"/>
      <c r="M32" s="1930"/>
      <c r="N32" s="1930"/>
      <c r="O32" s="1930"/>
      <c r="P32" s="1930"/>
      <c r="Q32" s="1930"/>
      <c r="R32" s="1930"/>
      <c r="S32" s="1930"/>
      <c r="T32" s="1930"/>
      <c r="U32" s="438"/>
      <c r="V32" s="438"/>
    </row>
    <row r="33" spans="1:20" ht="12.75" customHeight="1" x14ac:dyDescent="0.2">
      <c r="A33" s="439">
        <v>2</v>
      </c>
      <c r="B33" s="2406" t="s">
        <v>430</v>
      </c>
      <c r="C33" s="2406"/>
      <c r="D33" s="2406"/>
      <c r="E33" s="2406"/>
      <c r="F33" s="2407"/>
      <c r="G33" s="2407"/>
    </row>
    <row r="34" spans="1:20" ht="12.75" customHeight="1" x14ac:dyDescent="0.2">
      <c r="A34" s="2029">
        <v>3</v>
      </c>
      <c r="B34" s="1930" t="s">
        <v>883</v>
      </c>
      <c r="C34" s="1930"/>
      <c r="D34" s="1930"/>
      <c r="E34" s="1930"/>
      <c r="F34" s="1930"/>
      <c r="G34" s="1930"/>
      <c r="H34" s="1930"/>
      <c r="I34" s="1930"/>
      <c r="J34" s="1930"/>
      <c r="K34" s="1930"/>
      <c r="L34" s="1930"/>
      <c r="M34" s="1930"/>
      <c r="N34" s="1930"/>
      <c r="O34" s="1930"/>
      <c r="P34" s="1930"/>
      <c r="Q34" s="1930"/>
      <c r="R34" s="1930"/>
      <c r="S34" s="1930"/>
      <c r="T34" s="1930"/>
    </row>
    <row r="35" spans="1:20" x14ac:dyDescent="0.2">
      <c r="A35" s="2029"/>
      <c r="B35" s="719"/>
      <c r="C35" s="719"/>
      <c r="D35" s="719"/>
    </row>
    <row r="36" spans="1:20" x14ac:dyDescent="0.2">
      <c r="A36" s="134"/>
      <c r="B36" s="38"/>
      <c r="C36" s="38"/>
      <c r="D36" s="38"/>
    </row>
    <row r="37" spans="1:20" ht="12.75" customHeight="1" x14ac:dyDescent="0.2">
      <c r="A37" s="2029"/>
      <c r="B37" s="2408"/>
      <c r="C37" s="2408"/>
      <c r="D37" s="2408"/>
      <c r="E37" s="438"/>
      <c r="F37" s="438"/>
      <c r="G37" s="438"/>
      <c r="H37" s="438"/>
      <c r="I37" s="438"/>
      <c r="J37" s="438"/>
      <c r="K37" s="438"/>
      <c r="L37" s="438"/>
      <c r="M37" s="438"/>
      <c r="N37" s="438"/>
      <c r="O37" s="438"/>
      <c r="P37" s="438"/>
      <c r="Q37" s="438"/>
      <c r="R37" s="438"/>
      <c r="S37" s="438"/>
      <c r="T37" s="438"/>
    </row>
    <row r="38" spans="1:20" x14ac:dyDescent="0.2">
      <c r="A38" s="2029"/>
      <c r="B38" s="2030"/>
      <c r="C38" s="2030"/>
      <c r="D38" s="2030"/>
      <c r="E38" s="438"/>
      <c r="F38" s="438"/>
      <c r="G38" s="438"/>
      <c r="H38" s="438"/>
      <c r="I38" s="438"/>
      <c r="J38" s="438"/>
      <c r="K38" s="438"/>
      <c r="L38" s="438"/>
      <c r="M38" s="438"/>
      <c r="N38" s="438"/>
      <c r="O38" s="438"/>
      <c r="P38" s="438"/>
      <c r="Q38" s="438"/>
      <c r="R38" s="438"/>
      <c r="S38" s="438"/>
      <c r="T38" s="438"/>
    </row>
    <row r="39" spans="1:20" ht="12.75" customHeight="1" x14ac:dyDescent="0.2">
      <c r="A39" s="134"/>
      <c r="B39" s="721"/>
      <c r="C39" s="721"/>
      <c r="D39" s="721"/>
      <c r="E39" s="438"/>
      <c r="F39" s="438"/>
      <c r="G39" s="438"/>
      <c r="H39" s="438"/>
      <c r="I39" s="438"/>
      <c r="J39" s="438"/>
      <c r="K39" s="438"/>
      <c r="L39" s="438"/>
      <c r="M39" s="438"/>
      <c r="N39" s="438"/>
      <c r="O39" s="438"/>
      <c r="P39" s="438"/>
      <c r="Q39" s="438"/>
      <c r="R39" s="438"/>
      <c r="S39" s="438"/>
      <c r="T39" s="438"/>
    </row>
    <row r="40" spans="1:20" x14ac:dyDescent="0.2">
      <c r="A40" s="2031"/>
      <c r="B40" s="2408"/>
      <c r="C40" s="2408"/>
      <c r="D40" s="2408"/>
      <c r="E40" s="438"/>
      <c r="F40" s="438"/>
      <c r="G40" s="438"/>
      <c r="H40" s="438"/>
      <c r="I40" s="438"/>
      <c r="J40" s="438"/>
      <c r="K40" s="438"/>
      <c r="L40" s="438"/>
      <c r="M40" s="438"/>
      <c r="N40" s="438"/>
      <c r="O40" s="438"/>
      <c r="P40" s="438"/>
      <c r="Q40" s="438"/>
      <c r="R40" s="438"/>
      <c r="S40" s="438"/>
      <c r="T40" s="438"/>
    </row>
    <row r="41" spans="1:20" x14ac:dyDescent="0.2">
      <c r="A41" s="2031"/>
      <c r="B41" s="2408"/>
      <c r="C41" s="2408"/>
      <c r="D41" s="2408"/>
      <c r="E41" s="438"/>
      <c r="F41" s="438"/>
      <c r="G41" s="438"/>
      <c r="H41" s="438"/>
      <c r="I41" s="438"/>
      <c r="J41" s="438"/>
      <c r="K41" s="438"/>
      <c r="L41" s="438"/>
      <c r="M41" s="438"/>
      <c r="N41" s="438"/>
      <c r="O41" s="438"/>
      <c r="P41" s="438"/>
      <c r="Q41" s="438"/>
      <c r="R41" s="438"/>
      <c r="S41" s="438"/>
      <c r="T41" s="438"/>
    </row>
    <row r="42" spans="1:20" x14ac:dyDescent="0.2">
      <c r="A42" s="2031"/>
      <c r="B42" s="2030"/>
      <c r="C42" s="2030"/>
      <c r="D42" s="2030"/>
      <c r="E42" s="438"/>
      <c r="F42" s="438"/>
      <c r="G42" s="438"/>
      <c r="H42" s="438"/>
      <c r="I42" s="438"/>
      <c r="J42" s="438"/>
      <c r="K42" s="438"/>
      <c r="L42" s="438"/>
      <c r="M42" s="438"/>
      <c r="N42" s="438"/>
      <c r="O42" s="438"/>
      <c r="P42" s="438"/>
      <c r="Q42" s="438"/>
      <c r="R42" s="438"/>
      <c r="S42" s="438"/>
      <c r="T42" s="438"/>
    </row>
    <row r="43" spans="1:20" x14ac:dyDescent="0.2">
      <c r="A43" s="2031"/>
      <c r="B43" s="2030"/>
      <c r="C43" s="2030"/>
      <c r="D43" s="2030"/>
      <c r="E43" s="438"/>
      <c r="F43" s="438"/>
      <c r="G43" s="438"/>
      <c r="H43" s="438"/>
      <c r="I43" s="438"/>
      <c r="J43" s="438"/>
      <c r="K43" s="438"/>
      <c r="L43" s="438"/>
      <c r="M43" s="438"/>
      <c r="N43" s="438"/>
      <c r="O43" s="438"/>
      <c r="P43" s="438"/>
      <c r="Q43" s="438"/>
      <c r="R43" s="438"/>
      <c r="S43" s="438"/>
      <c r="T43" s="438"/>
    </row>
    <row r="44" spans="1:20" x14ac:dyDescent="0.2">
      <c r="A44" s="134"/>
      <c r="B44" s="38"/>
      <c r="C44" s="38"/>
      <c r="D44" s="38"/>
    </row>
    <row r="45" spans="1:20" ht="12.75" customHeight="1" x14ac:dyDescent="0.2">
      <c r="A45" s="2029"/>
      <c r="B45" s="2408"/>
      <c r="C45" s="2408"/>
      <c r="D45" s="2408"/>
      <c r="E45" s="438"/>
      <c r="F45" s="438"/>
      <c r="G45" s="438"/>
      <c r="H45" s="438"/>
      <c r="I45" s="438"/>
      <c r="J45" s="438"/>
      <c r="K45" s="438"/>
      <c r="L45" s="438"/>
      <c r="M45" s="438"/>
      <c r="N45" s="438"/>
      <c r="O45" s="438"/>
      <c r="P45" s="438"/>
      <c r="Q45" s="438"/>
      <c r="R45" s="438"/>
      <c r="S45" s="438"/>
      <c r="T45" s="438"/>
    </row>
    <row r="46" spans="1:20" x14ac:dyDescent="0.2">
      <c r="A46" s="2029"/>
      <c r="B46" s="2408"/>
      <c r="C46" s="2408"/>
      <c r="D46" s="2408"/>
      <c r="E46" s="438"/>
      <c r="F46" s="438"/>
      <c r="G46" s="438"/>
      <c r="H46" s="438"/>
      <c r="I46" s="438"/>
      <c r="J46" s="438"/>
      <c r="K46" s="438"/>
      <c r="L46" s="438"/>
      <c r="M46" s="438"/>
      <c r="N46" s="438"/>
      <c r="O46" s="438"/>
      <c r="P46" s="438"/>
      <c r="Q46" s="438"/>
      <c r="R46" s="438"/>
      <c r="S46" s="438"/>
      <c r="T46" s="438"/>
    </row>
    <row r="48" spans="1:20" ht="12.75" customHeight="1" x14ac:dyDescent="0.2"/>
  </sheetData>
  <mergeCells count="33">
    <mergeCell ref="A17:C17"/>
    <mergeCell ref="A14:C16"/>
    <mergeCell ref="S14:S16"/>
    <mergeCell ref="P14:P15"/>
    <mergeCell ref="R14:R16"/>
    <mergeCell ref="A9:V9"/>
    <mergeCell ref="A10:V10"/>
    <mergeCell ref="A12:T12"/>
    <mergeCell ref="Q14:Q15"/>
    <mergeCell ref="T14:T16"/>
    <mergeCell ref="A29:C29"/>
    <mergeCell ref="A18:C18"/>
    <mergeCell ref="A19:C19"/>
    <mergeCell ref="A20:C20"/>
    <mergeCell ref="A21:C21"/>
    <mergeCell ref="A22:C22"/>
    <mergeCell ref="A23:C23"/>
    <mergeCell ref="A24:C24"/>
    <mergeCell ref="A25:C25"/>
    <mergeCell ref="A26:C26"/>
    <mergeCell ref="A27:C27"/>
    <mergeCell ref="A28:C28"/>
    <mergeCell ref="A45:A46"/>
    <mergeCell ref="B45:D46"/>
    <mergeCell ref="A34:A35"/>
    <mergeCell ref="A37:A38"/>
    <mergeCell ref="B37:D38"/>
    <mergeCell ref="B33:E33"/>
    <mergeCell ref="F33:G33"/>
    <mergeCell ref="B32:T32"/>
    <mergeCell ref="B34:T34"/>
    <mergeCell ref="A40:A43"/>
    <mergeCell ref="B40:D43"/>
  </mergeCells>
  <dataValidations count="1">
    <dataValidation allowBlank="1" showInputMessage="1" showErrorMessage="1" promptTitle="Date Format" prompt="E.g:  &quot;August 1, 2011&quot;" sqref="WVW983040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xr:uid="{00000000-0002-0000-3100-000000000000}"/>
  </dataValidations>
  <pageMargins left="0.74803149606299213" right="0.74803149606299213" top="0.98425196850393704" bottom="0.98425196850393704" header="0.51181102362204722" footer="0.51181102362204722"/>
  <pageSetup paperSize="5" scale="53" orientation="landscape" r:id="rId1"/>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V91"/>
  <sheetViews>
    <sheetView showGridLines="0" topLeftCell="A61" zoomScaleNormal="100" zoomScaleSheetLayoutView="25" workbookViewId="0">
      <selection activeCell="H71" sqref="H71:I82"/>
    </sheetView>
  </sheetViews>
  <sheetFormatPr defaultColWidth="8.5703125" defaultRowHeight="12.75" x14ac:dyDescent="0.2"/>
  <cols>
    <col min="1" max="1" width="10.5703125" style="1" customWidth="1"/>
    <col min="2" max="2" width="34.5703125" style="1" customWidth="1"/>
    <col min="3" max="3" width="10.28515625" style="1" customWidth="1"/>
    <col min="4" max="5" width="9.42578125" style="1" customWidth="1"/>
    <col min="6" max="7" width="14.42578125" style="1" customWidth="1"/>
    <col min="8" max="8" width="15" style="1" customWidth="1"/>
    <col min="9" max="9" width="16" style="1" bestFit="1" customWidth="1"/>
    <col min="10" max="12" width="14.42578125" style="1" customWidth="1"/>
    <col min="13" max="13" width="15.5703125" style="1" bestFit="1" customWidth="1"/>
    <col min="14" max="14" width="16" style="1" bestFit="1" customWidth="1"/>
    <col min="15" max="15" width="16" style="1" customWidth="1"/>
    <col min="16" max="16" width="12.5703125" style="1" customWidth="1"/>
    <col min="17" max="17" width="13.5703125" style="1" bestFit="1" customWidth="1"/>
    <col min="18" max="16384" width="8.5703125" style="1"/>
  </cols>
  <sheetData>
    <row r="1" spans="1:19" x14ac:dyDescent="0.2">
      <c r="B1" s="845"/>
      <c r="M1" s="993" t="s">
        <v>264</v>
      </c>
      <c r="N1" s="875" t="str">
        <f>'App.2-S_Stranded Meters'!H1</f>
        <v>EB-2019-0037</v>
      </c>
      <c r="O1" s="1256"/>
    </row>
    <row r="2" spans="1:19" ht="12.95" customHeight="1" x14ac:dyDescent="0.2">
      <c r="A2" s="1855" t="s">
        <v>1216</v>
      </c>
      <c r="B2" s="1855"/>
      <c r="C2" s="1855"/>
      <c r="D2" s="1855"/>
      <c r="E2" s="1855"/>
      <c r="F2" s="1855"/>
      <c r="M2" s="993" t="s">
        <v>265</v>
      </c>
      <c r="N2" s="41">
        <v>2</v>
      </c>
      <c r="O2" s="1257"/>
    </row>
    <row r="3" spans="1:19" ht="25.5" customHeight="1" x14ac:dyDescent="0.2">
      <c r="A3" s="1855"/>
      <c r="B3" s="1855"/>
      <c r="C3" s="1855"/>
      <c r="D3" s="1855"/>
      <c r="E3" s="1855"/>
      <c r="F3" s="1855"/>
      <c r="M3" s="993" t="s">
        <v>266</v>
      </c>
      <c r="N3" s="41">
        <v>1</v>
      </c>
      <c r="O3" s="1257"/>
    </row>
    <row r="4" spans="1:19" x14ac:dyDescent="0.2">
      <c r="B4" s="1258"/>
      <c r="M4" s="993" t="s">
        <v>267</v>
      </c>
      <c r="N4" s="41">
        <v>3</v>
      </c>
      <c r="O4" s="1257"/>
    </row>
    <row r="5" spans="1:19" x14ac:dyDescent="0.2">
      <c r="B5" s="1258"/>
      <c r="M5" s="993" t="s">
        <v>268</v>
      </c>
      <c r="N5" s="42">
        <v>1</v>
      </c>
      <c r="O5" s="1256"/>
    </row>
    <row r="6" spans="1:19" x14ac:dyDescent="0.2">
      <c r="B6" s="1258"/>
      <c r="M6" s="993"/>
      <c r="N6" s="875"/>
      <c r="O6" s="1029"/>
    </row>
    <row r="7" spans="1:19" x14ac:dyDescent="0.2">
      <c r="B7" s="1258"/>
      <c r="M7" s="993" t="s">
        <v>269</v>
      </c>
      <c r="N7" s="42"/>
      <c r="O7" s="1256"/>
    </row>
    <row r="8" spans="1:19" x14ac:dyDescent="0.2">
      <c r="B8" s="1258"/>
      <c r="M8" s="1237"/>
      <c r="O8" s="1237"/>
    </row>
    <row r="9" spans="1:19" ht="18" x14ac:dyDescent="0.2">
      <c r="B9" s="2472" t="s">
        <v>1072</v>
      </c>
      <c r="C9" s="2472"/>
      <c r="D9" s="2472"/>
      <c r="E9" s="2472"/>
      <c r="F9" s="2472"/>
      <c r="G9" s="2472"/>
      <c r="H9" s="2472"/>
      <c r="I9" s="2472"/>
      <c r="J9" s="2472"/>
      <c r="K9" s="2472"/>
      <c r="L9" s="2472"/>
      <c r="M9" s="2472"/>
      <c r="N9" s="2472"/>
      <c r="O9" s="2472"/>
      <c r="P9" s="2472"/>
      <c r="Q9" s="2472"/>
      <c r="R9" s="2472"/>
      <c r="S9" s="2472"/>
    </row>
    <row r="10" spans="1:19" ht="18" x14ac:dyDescent="0.2">
      <c r="A10" s="2472" t="s">
        <v>1187</v>
      </c>
      <c r="B10" s="2472"/>
      <c r="C10" s="2472"/>
      <c r="D10" s="2472"/>
      <c r="E10" s="2472"/>
      <c r="F10" s="2472"/>
      <c r="G10" s="2472"/>
      <c r="H10" s="2472"/>
      <c r="I10" s="2472"/>
      <c r="J10" s="2472"/>
      <c r="K10" s="2472"/>
      <c r="L10" s="2472"/>
      <c r="M10" s="2472"/>
      <c r="N10" s="2472"/>
      <c r="O10" s="2472"/>
      <c r="P10" s="1259"/>
      <c r="Q10" s="1259"/>
      <c r="R10" s="1259"/>
      <c r="S10" s="1259"/>
    </row>
    <row r="11" spans="1:19" ht="18" x14ac:dyDescent="0.2">
      <c r="B11" s="1352"/>
      <c r="C11" s="1352"/>
      <c r="D11" s="1352"/>
      <c r="E11" s="1352"/>
      <c r="F11" s="1352"/>
      <c r="G11" s="1352"/>
      <c r="H11" s="1352"/>
      <c r="I11" s="1352"/>
      <c r="J11" s="1352"/>
      <c r="K11" s="1352"/>
      <c r="L11" s="1352"/>
      <c r="M11" s="1352"/>
      <c r="N11" s="1352"/>
      <c r="O11" s="1352"/>
      <c r="P11" s="1352"/>
      <c r="Q11" s="1352"/>
      <c r="R11" s="1352"/>
      <c r="S11" s="1352"/>
    </row>
    <row r="12" spans="1:19" ht="18.75" thickBot="1" x14ac:dyDescent="0.25">
      <c r="B12" s="1352"/>
      <c r="C12" s="1352"/>
      <c r="D12" s="1352"/>
      <c r="E12" s="1352"/>
      <c r="F12" s="1352"/>
      <c r="G12" s="1352"/>
      <c r="H12" s="1352"/>
      <c r="I12" s="1352"/>
      <c r="J12" s="1352"/>
      <c r="K12" s="1352"/>
      <c r="L12" s="1352"/>
      <c r="M12" s="1352"/>
      <c r="N12" s="1352"/>
      <c r="O12" s="1352"/>
      <c r="P12" s="1352"/>
      <c r="Q12" s="1352"/>
      <c r="R12" s="1352"/>
      <c r="S12" s="1352"/>
    </row>
    <row r="13" spans="1:19" ht="16.5" thickBot="1" x14ac:dyDescent="0.3">
      <c r="A13" s="944" t="s">
        <v>1188</v>
      </c>
      <c r="B13" s="1260" t="s">
        <v>1189</v>
      </c>
      <c r="D13" s="2473" t="str">
        <f>TestYear-2 &amp; " Historical Actuals"</f>
        <v>2018 Historical Actuals</v>
      </c>
      <c r="E13" s="2474"/>
      <c r="F13" s="2474"/>
      <c r="G13" s="2474"/>
      <c r="H13" s="2474"/>
      <c r="I13" s="2474"/>
      <c r="J13" s="2474"/>
      <c r="K13" s="2474"/>
      <c r="L13" s="2474"/>
      <c r="M13" s="2474"/>
      <c r="N13" s="2474"/>
      <c r="O13" s="2475"/>
    </row>
    <row r="14" spans="1:19" ht="13.5" thickBot="1" x14ac:dyDescent="0.25">
      <c r="B14" s="1261"/>
    </row>
    <row r="15" spans="1:19" ht="13.5" thickBot="1" x14ac:dyDescent="0.25">
      <c r="B15" s="1261"/>
      <c r="I15" s="2054" t="s">
        <v>1155</v>
      </c>
      <c r="J15" s="2062"/>
      <c r="K15" s="2062"/>
      <c r="L15" s="2476" t="s">
        <v>1154</v>
      </c>
      <c r="M15" s="2054" t="s">
        <v>1190</v>
      </c>
      <c r="N15" s="2055"/>
    </row>
    <row r="16" spans="1:19" s="4" customFormat="1" ht="13.5" thickBot="1" x14ac:dyDescent="0.25">
      <c r="B16" s="1262" t="s">
        <v>1072</v>
      </c>
      <c r="C16" s="1263" t="s">
        <v>1150</v>
      </c>
      <c r="D16" s="2478"/>
      <c r="E16" s="2478"/>
      <c r="I16" s="846" t="s">
        <v>1151</v>
      </c>
      <c r="J16" s="846" t="s">
        <v>1152</v>
      </c>
      <c r="K16" s="847" t="s">
        <v>1153</v>
      </c>
      <c r="L16" s="2477"/>
      <c r="M16" s="848" t="s">
        <v>1155</v>
      </c>
      <c r="N16" s="849" t="s">
        <v>1154</v>
      </c>
    </row>
    <row r="17" spans="1:18" s="1264" customFormat="1" ht="15" customHeight="1" x14ac:dyDescent="0.2">
      <c r="B17" s="850" t="s">
        <v>1156</v>
      </c>
      <c r="C17" s="1265"/>
      <c r="D17" s="2481" t="s">
        <v>1157</v>
      </c>
      <c r="E17" s="2482"/>
      <c r="F17" s="1351" t="s">
        <v>1158</v>
      </c>
      <c r="G17" s="838" t="s">
        <v>1159</v>
      </c>
      <c r="I17" s="2494"/>
      <c r="J17" s="2495"/>
      <c r="K17" s="2496"/>
      <c r="L17" s="846"/>
      <c r="M17" s="836" t="s">
        <v>149</v>
      </c>
      <c r="N17" s="836" t="s">
        <v>149</v>
      </c>
    </row>
    <row r="18" spans="1:18" s="1264" customFormat="1" ht="15" customHeight="1" x14ac:dyDescent="0.2">
      <c r="B18" s="851" t="s">
        <v>71</v>
      </c>
      <c r="C18" s="851"/>
      <c r="D18" s="2467">
        <v>375723904.19999999</v>
      </c>
      <c r="E18" s="2467"/>
      <c r="F18" s="1338"/>
      <c r="G18" s="839">
        <f>+D18-F18</f>
        <v>375723904.19999999</v>
      </c>
      <c r="I18" s="1339">
        <f>9599008.3-J18</f>
        <v>-0.37999999895691872</v>
      </c>
      <c r="J18" s="1339">
        <f>9599539.68-531</f>
        <v>9599008.6799999997</v>
      </c>
      <c r="K18" s="840">
        <f>SUM(I18:J18)</f>
        <v>9599008.3000000007</v>
      </c>
      <c r="L18" s="841">
        <f t="shared" ref="L18:L26" si="0">G18-(I18+J18)</f>
        <v>366124895.89999998</v>
      </c>
      <c r="M18" s="1353">
        <f t="shared" ref="M18:M24" si="1">+K18/D18</f>
        <v>2.5548037249422367E-2</v>
      </c>
      <c r="N18" s="1353">
        <f t="shared" ref="N18:N24" si="2">+L18/D18</f>
        <v>0.97445196275057755</v>
      </c>
      <c r="O18" s="1266"/>
    </row>
    <row r="19" spans="1:18" s="1264" customFormat="1" ht="14.25" x14ac:dyDescent="0.2">
      <c r="B19" s="851" t="s">
        <v>1160</v>
      </c>
      <c r="C19" s="851"/>
      <c r="D19" s="2467">
        <v>137871409</v>
      </c>
      <c r="E19" s="2467"/>
      <c r="F19" s="1338"/>
      <c r="G19" s="839">
        <f t="shared" ref="G19:G27" si="3">+D19-F19</f>
        <v>137871409</v>
      </c>
      <c r="I19" s="1339">
        <f>181543.1+21825336.6-J19</f>
        <v>0.42000000178813934</v>
      </c>
      <c r="J19" s="1339">
        <f>22007196.28-317</f>
        <v>22006879.280000001</v>
      </c>
      <c r="K19" s="840">
        <f t="shared" ref="K19:K24" si="4">SUM(I19:J19)</f>
        <v>22006879.700000003</v>
      </c>
      <c r="L19" s="841">
        <f t="shared" si="0"/>
        <v>115864529.3</v>
      </c>
      <c r="M19" s="1353">
        <f t="shared" si="1"/>
        <v>0.15961887863204474</v>
      </c>
      <c r="N19" s="1353">
        <f t="shared" si="2"/>
        <v>0.84038112136795529</v>
      </c>
    </row>
    <row r="20" spans="1:18" s="1264" customFormat="1" ht="12.75" customHeight="1" x14ac:dyDescent="0.2">
      <c r="B20" s="851" t="s">
        <v>1161</v>
      </c>
      <c r="C20" s="851"/>
      <c r="D20" s="2467">
        <f>360043485.1</f>
        <v>360043485.10000002</v>
      </c>
      <c r="E20" s="2467"/>
      <c r="F20" s="1338">
        <v>68034782.799999997</v>
      </c>
      <c r="G20" s="839">
        <f t="shared" si="3"/>
        <v>292008702.30000001</v>
      </c>
      <c r="I20" s="1339">
        <f>238170228.7+55121359.1-47384587.63-J20</f>
        <v>229987066.07000002</v>
      </c>
      <c r="J20" s="1339">
        <f>63754521.73-47834587.63</f>
        <v>15919934.099999994</v>
      </c>
      <c r="K20" s="840">
        <f t="shared" si="4"/>
        <v>245907000.17000002</v>
      </c>
      <c r="L20" s="841">
        <f t="shared" si="0"/>
        <v>46101702.129999995</v>
      </c>
      <c r="M20" s="1353">
        <f t="shared" si="1"/>
        <v>0.68299250048004823</v>
      </c>
      <c r="N20" s="1353">
        <f t="shared" si="2"/>
        <v>0.12804481691203359</v>
      </c>
      <c r="O20" s="1266"/>
    </row>
    <row r="21" spans="1:18" s="1264" customFormat="1" ht="12.75" customHeight="1" x14ac:dyDescent="0.2">
      <c r="B21" s="851" t="s">
        <v>1162</v>
      </c>
      <c r="C21" s="851"/>
      <c r="D21" s="2467"/>
      <c r="E21" s="2467"/>
      <c r="F21" s="1338"/>
      <c r="G21" s="839">
        <f t="shared" si="3"/>
        <v>0</v>
      </c>
      <c r="I21" s="1339"/>
      <c r="J21" s="1339"/>
      <c r="K21" s="840">
        <f t="shared" si="4"/>
        <v>0</v>
      </c>
      <c r="L21" s="841">
        <f t="shared" si="0"/>
        <v>0</v>
      </c>
      <c r="M21" s="1353" t="e">
        <f t="shared" si="1"/>
        <v>#DIV/0!</v>
      </c>
      <c r="N21" s="1353" t="e">
        <f t="shared" si="2"/>
        <v>#DIV/0!</v>
      </c>
      <c r="O21" s="1266"/>
    </row>
    <row r="22" spans="1:18" s="1264" customFormat="1" ht="12.75" customHeight="1" x14ac:dyDescent="0.2">
      <c r="B22" s="851" t="s">
        <v>1006</v>
      </c>
      <c r="C22" s="851"/>
      <c r="D22" s="2467">
        <v>1134622.2</v>
      </c>
      <c r="E22" s="2467"/>
      <c r="F22" s="1338"/>
      <c r="G22" s="839">
        <f t="shared" si="3"/>
        <v>1134622.2</v>
      </c>
      <c r="I22" s="1339">
        <f>10074-J22</f>
        <v>0</v>
      </c>
      <c r="J22" s="1339">
        <v>10074</v>
      </c>
      <c r="K22" s="840">
        <f t="shared" si="4"/>
        <v>10074</v>
      </c>
      <c r="L22" s="841">
        <f t="shared" si="0"/>
        <v>1124548.2</v>
      </c>
      <c r="M22" s="1353">
        <f t="shared" si="1"/>
        <v>8.8787263284642245E-3</v>
      </c>
      <c r="N22" s="1353">
        <f t="shared" si="2"/>
        <v>0.9911212736715358</v>
      </c>
      <c r="O22" s="1266"/>
    </row>
    <row r="23" spans="1:18" s="1264" customFormat="1" ht="12.75" customHeight="1" x14ac:dyDescent="0.2">
      <c r="B23" s="851" t="s">
        <v>1163</v>
      </c>
      <c r="C23" s="851"/>
      <c r="D23" s="2467">
        <v>403669.8</v>
      </c>
      <c r="E23" s="2467"/>
      <c r="F23" s="1338"/>
      <c r="G23" s="839">
        <f t="shared" si="3"/>
        <v>403669.8</v>
      </c>
      <c r="I23" s="1339">
        <f>33935.5-J23</f>
        <v>4.0000000000873115E-2</v>
      </c>
      <c r="J23" s="1339">
        <v>33935.46</v>
      </c>
      <c r="K23" s="840">
        <f t="shared" si="4"/>
        <v>33935.5</v>
      </c>
      <c r="L23" s="841">
        <f t="shared" si="0"/>
        <v>369734.3</v>
      </c>
      <c r="M23" s="1353">
        <f t="shared" si="1"/>
        <v>8.4067472969243676E-2</v>
      </c>
      <c r="N23" s="1353">
        <f t="shared" si="2"/>
        <v>0.91593252703075634</v>
      </c>
      <c r="O23" s="1266"/>
    </row>
    <row r="24" spans="1:18" s="1264" customFormat="1" ht="12.75" customHeight="1" x14ac:dyDescent="0.2">
      <c r="B24" s="851" t="s">
        <v>1164</v>
      </c>
      <c r="C24" s="851"/>
      <c r="D24" s="2467">
        <v>7471085</v>
      </c>
      <c r="E24" s="2467"/>
      <c r="F24" s="1338"/>
      <c r="G24" s="839">
        <f t="shared" si="3"/>
        <v>7471085</v>
      </c>
      <c r="I24" s="1339">
        <f>7471085</f>
        <v>7471085</v>
      </c>
      <c r="J24" s="1339"/>
      <c r="K24" s="840">
        <f t="shared" si="4"/>
        <v>7471085</v>
      </c>
      <c r="L24" s="841">
        <f t="shared" si="0"/>
        <v>0</v>
      </c>
      <c r="M24" s="1353">
        <f t="shared" si="1"/>
        <v>1</v>
      </c>
      <c r="N24" s="1353">
        <f t="shared" si="2"/>
        <v>0</v>
      </c>
      <c r="O24" s="1266"/>
    </row>
    <row r="25" spans="1:18" s="1264" customFormat="1" ht="12.75" customHeight="1" x14ac:dyDescent="0.2">
      <c r="B25" s="851" t="s">
        <v>1165</v>
      </c>
      <c r="C25" s="851"/>
      <c r="D25" s="2467"/>
      <c r="E25" s="2467"/>
      <c r="F25" s="1338"/>
      <c r="G25" s="839">
        <f t="shared" si="3"/>
        <v>0</v>
      </c>
      <c r="I25" s="1339"/>
      <c r="J25" s="1339"/>
      <c r="K25" s="840"/>
      <c r="L25" s="841">
        <f t="shared" si="0"/>
        <v>0</v>
      </c>
      <c r="M25" s="1353"/>
      <c r="N25" s="1353"/>
      <c r="O25" s="1266"/>
    </row>
    <row r="26" spans="1:18" s="1264" customFormat="1" ht="12.75" customHeight="1" x14ac:dyDescent="0.2">
      <c r="B26" s="851" t="s">
        <v>1165</v>
      </c>
      <c r="C26" s="851"/>
      <c r="D26" s="2467"/>
      <c r="E26" s="2467"/>
      <c r="F26" s="1338"/>
      <c r="G26" s="839">
        <f t="shared" si="3"/>
        <v>0</v>
      </c>
      <c r="I26" s="1339"/>
      <c r="J26" s="1339"/>
      <c r="K26" s="840"/>
      <c r="L26" s="841">
        <f t="shared" si="0"/>
        <v>0</v>
      </c>
      <c r="M26" s="1353"/>
      <c r="N26" s="1353"/>
      <c r="O26" s="1266"/>
    </row>
    <row r="27" spans="1:18" s="1264" customFormat="1" ht="12.75" customHeight="1" x14ac:dyDescent="0.2">
      <c r="B27" s="852" t="s">
        <v>1166</v>
      </c>
      <c r="C27" s="1267" t="s">
        <v>1150</v>
      </c>
      <c r="D27" s="2468">
        <f>SUM(D18:E26)</f>
        <v>882648175.29999995</v>
      </c>
      <c r="E27" s="2468"/>
      <c r="F27" s="842">
        <f>SUM(F18:F26)</f>
        <v>68034782.799999997</v>
      </c>
      <c r="G27" s="842">
        <f t="shared" si="3"/>
        <v>814613392.5</v>
      </c>
      <c r="I27" s="842">
        <f>SUM(I18:I26)</f>
        <v>237458151.15000001</v>
      </c>
      <c r="J27" s="842">
        <f>SUM(J18:J26)</f>
        <v>47569831.519999996</v>
      </c>
      <c r="K27" s="843">
        <f>SUM(K18:K26)</f>
        <v>285027982.67000002</v>
      </c>
      <c r="L27" s="842">
        <f>SUM(L18:L26)</f>
        <v>529585409.82999998</v>
      </c>
      <c r="M27" s="837"/>
      <c r="N27" s="837"/>
      <c r="O27" s="1268"/>
    </row>
    <row r="28" spans="1:18" s="1264" customFormat="1" ht="12.75" customHeight="1" x14ac:dyDescent="0.2">
      <c r="B28" s="1269" t="s">
        <v>149</v>
      </c>
      <c r="C28" s="1270" t="s">
        <v>1150</v>
      </c>
      <c r="D28" s="2469">
        <f>$D$27/$D$27</f>
        <v>1</v>
      </c>
      <c r="E28" s="2469"/>
      <c r="F28" s="1353"/>
      <c r="G28" s="1353">
        <v>1</v>
      </c>
      <c r="I28" s="1353">
        <f>$I$27/$G$27</f>
        <v>0.29149797110658232</v>
      </c>
      <c r="J28" s="1353">
        <f>$J$27/$G$27</f>
        <v>5.8395592262497693E-2</v>
      </c>
      <c r="L28" s="1353">
        <f>$L$27/$G$27</f>
        <v>0.65010643663091994</v>
      </c>
      <c r="M28" s="1353">
        <f>I28+J28</f>
        <v>0.34989356336908001</v>
      </c>
      <c r="N28" s="853">
        <f>L28</f>
        <v>0.65010643663091994</v>
      </c>
      <c r="O28" s="1271">
        <f>M28+N28</f>
        <v>1</v>
      </c>
    </row>
    <row r="29" spans="1:18" s="1264" customFormat="1" ht="12.75" customHeight="1" thickBot="1" x14ac:dyDescent="0.25">
      <c r="A29" s="1272"/>
      <c r="B29" s="1273"/>
      <c r="C29" s="1274"/>
      <c r="D29" s="854"/>
      <c r="E29" s="854"/>
      <c r="F29" s="854"/>
      <c r="G29" s="854"/>
      <c r="H29" s="1272"/>
      <c r="I29" s="854"/>
      <c r="J29" s="854"/>
      <c r="K29" s="1272"/>
      <c r="L29" s="854"/>
      <c r="M29" s="854"/>
      <c r="N29" s="854"/>
      <c r="O29" s="1275"/>
    </row>
    <row r="30" spans="1:18" s="1264" customFormat="1" ht="12.95" customHeight="1" x14ac:dyDescent="0.2">
      <c r="B30" s="1276"/>
      <c r="C30" s="1277"/>
      <c r="D30" s="855"/>
      <c r="E30" s="855"/>
      <c r="F30" s="855"/>
      <c r="G30" s="855"/>
      <c r="I30" s="855"/>
      <c r="J30" s="855"/>
      <c r="L30" s="855"/>
      <c r="M30" s="855"/>
      <c r="N30" s="855"/>
      <c r="O30" s="1278"/>
    </row>
    <row r="31" spans="1:18" s="1264" customFormat="1" ht="21" customHeight="1" thickBot="1" x14ac:dyDescent="0.3">
      <c r="A31" s="1279" t="s">
        <v>1191</v>
      </c>
      <c r="B31" s="1260" t="str">
        <f xml:space="preserve"> TestYear &amp; " Forecasted Commodity Prices"</f>
        <v>2020 Forecasted Commodity Prices</v>
      </c>
      <c r="C31" s="1277"/>
      <c r="D31" s="855"/>
      <c r="E31" s="855"/>
      <c r="F31" s="855"/>
      <c r="G31" s="855"/>
      <c r="I31" s="855"/>
      <c r="J31" s="855"/>
      <c r="L31" s="855"/>
      <c r="M31" s="855"/>
      <c r="N31" s="855"/>
      <c r="O31" s="1278"/>
    </row>
    <row r="32" spans="1:18" s="1264" customFormat="1" ht="12.75" customHeight="1" thickBot="1" x14ac:dyDescent="0.25">
      <c r="B32" s="1280" t="s">
        <v>1150</v>
      </c>
      <c r="C32" s="1280"/>
      <c r="D32" s="1280"/>
      <c r="E32" s="1280"/>
      <c r="F32" s="1281"/>
      <c r="I32" s="2470" t="s">
        <v>1155</v>
      </c>
      <c r="J32" s="2471"/>
      <c r="M32" s="1280"/>
      <c r="N32" s="1280"/>
      <c r="O32" s="1280"/>
      <c r="P32" s="1282"/>
      <c r="Q32" s="1282"/>
      <c r="R32" s="1282"/>
    </row>
    <row r="33" spans="1:22" s="1264" customFormat="1" ht="12.75" customHeight="1" thickBot="1" x14ac:dyDescent="0.3">
      <c r="A33" s="1279" t="s">
        <v>1193</v>
      </c>
      <c r="B33" s="1283" t="s">
        <v>1194</v>
      </c>
      <c r="C33" s="2483" t="s">
        <v>1195</v>
      </c>
      <c r="D33" s="2484"/>
      <c r="E33" s="2484"/>
      <c r="F33" s="2485"/>
      <c r="G33" s="2486"/>
      <c r="H33" s="2487"/>
      <c r="I33" s="2488">
        <v>-41.49</v>
      </c>
      <c r="J33" s="2489"/>
      <c r="K33" s="1284" t="s">
        <v>1196</v>
      </c>
      <c r="L33" s="1280" t="s">
        <v>1386</v>
      </c>
      <c r="O33" s="1280"/>
      <c r="P33" s="1280"/>
      <c r="Q33" s="1280"/>
      <c r="R33" s="1282"/>
      <c r="S33" s="1282"/>
      <c r="T33" s="1282"/>
    </row>
    <row r="34" spans="1:22" s="1264" customFormat="1" ht="12.75" customHeight="1" thickBot="1" x14ac:dyDescent="0.25">
      <c r="B34" s="1285"/>
      <c r="C34" s="1280"/>
      <c r="D34" s="1280"/>
      <c r="E34" s="1280"/>
      <c r="F34" s="1286"/>
      <c r="G34" s="1287"/>
      <c r="H34" s="1287"/>
      <c r="I34" s="1284"/>
      <c r="J34" s="1280"/>
      <c r="M34" s="1280"/>
      <c r="N34" s="1280"/>
      <c r="O34" s="1280"/>
      <c r="P34" s="1282"/>
      <c r="Q34" s="1282"/>
      <c r="R34" s="1282"/>
    </row>
    <row r="35" spans="1:22" s="1264" customFormat="1" ht="12.75" customHeight="1" thickBot="1" x14ac:dyDescent="0.3">
      <c r="A35" s="1279" t="s">
        <v>1197</v>
      </c>
      <c r="B35" s="1288" t="s">
        <v>1192</v>
      </c>
      <c r="C35" s="1280" t="s">
        <v>1198</v>
      </c>
      <c r="D35" s="1280"/>
      <c r="E35" s="1280"/>
      <c r="G35" s="1287"/>
      <c r="I35" s="2490" t="s">
        <v>1155</v>
      </c>
      <c r="J35" s="2491"/>
      <c r="K35" s="1289"/>
      <c r="L35" s="2492" t="s">
        <v>1154</v>
      </c>
      <c r="M35" s="1280"/>
      <c r="N35" s="1280"/>
      <c r="O35" s="1280"/>
      <c r="P35" s="1282"/>
      <c r="Q35" s="1282"/>
      <c r="R35" s="1282"/>
    </row>
    <row r="36" spans="1:22" s="1264" customFormat="1" ht="12.75" customHeight="1" thickBot="1" x14ac:dyDescent="0.3">
      <c r="B36" s="1285"/>
      <c r="D36" s="1280"/>
      <c r="E36" s="1280"/>
      <c r="I36" s="1290" t="s">
        <v>1151</v>
      </c>
      <c r="J36" s="1290" t="s">
        <v>1152</v>
      </c>
      <c r="K36" s="1289"/>
      <c r="L36" s="2493"/>
      <c r="M36" s="1280"/>
      <c r="N36" s="1280"/>
      <c r="O36" s="1280"/>
      <c r="P36" s="1282"/>
      <c r="Q36" s="1282"/>
      <c r="R36" s="1282"/>
    </row>
    <row r="37" spans="1:22" s="1264" customFormat="1" ht="12.75" customHeight="1" x14ac:dyDescent="0.2">
      <c r="B37" s="1291" t="s">
        <v>1167</v>
      </c>
      <c r="C37" s="2462" t="s">
        <v>1199</v>
      </c>
      <c r="D37" s="2462"/>
      <c r="E37" s="2462"/>
      <c r="F37" s="2462"/>
      <c r="G37" s="2463"/>
      <c r="H37" s="1292"/>
      <c r="I37" s="1340">
        <v>18.63</v>
      </c>
      <c r="J37" s="856">
        <f>+I37</f>
        <v>18.63</v>
      </c>
      <c r="K37" s="1293"/>
      <c r="L37" s="2479"/>
      <c r="M37" s="1294"/>
      <c r="N37" s="1294"/>
    </row>
    <row r="38" spans="1:22" s="1264" customFormat="1" ht="12.75" customHeight="1" x14ac:dyDescent="0.2">
      <c r="B38" s="1291" t="s">
        <v>1168</v>
      </c>
      <c r="C38" s="2462" t="s">
        <v>1200</v>
      </c>
      <c r="D38" s="2462"/>
      <c r="E38" s="2462"/>
      <c r="F38" s="2462"/>
      <c r="G38" s="2464"/>
      <c r="H38" s="1295"/>
      <c r="I38" s="1340">
        <v>107.33</v>
      </c>
      <c r="J38" s="856">
        <f>+I38+I33</f>
        <v>65.84</v>
      </c>
      <c r="K38" s="1293"/>
      <c r="L38" s="2480"/>
      <c r="M38" s="1294"/>
      <c r="N38" s="1294"/>
    </row>
    <row r="39" spans="1:22" s="1264" customFormat="1" ht="12.75" customHeight="1" x14ac:dyDescent="0.2">
      <c r="B39" s="1291" t="s">
        <v>1201</v>
      </c>
      <c r="C39" s="2460"/>
      <c r="D39" s="2460"/>
      <c r="E39" s="2460"/>
      <c r="F39" s="2460"/>
      <c r="G39" s="2464"/>
      <c r="H39" s="1295"/>
      <c r="I39" s="1341"/>
      <c r="J39" s="856">
        <f>+I39</f>
        <v>0</v>
      </c>
      <c r="K39" s="1293"/>
      <c r="L39" s="2480"/>
    </row>
    <row r="40" spans="1:22" s="1264" customFormat="1" ht="12.75" customHeight="1" x14ac:dyDescent="0.2">
      <c r="B40" s="1296" t="s">
        <v>1169</v>
      </c>
      <c r="C40" s="2460" t="s">
        <v>1202</v>
      </c>
      <c r="D40" s="2460"/>
      <c r="E40" s="2460"/>
      <c r="F40" s="2460"/>
      <c r="G40" s="2464"/>
      <c r="H40" s="1354"/>
      <c r="I40" s="1297">
        <f>SUM(I37:I39)</f>
        <v>125.96</v>
      </c>
      <c r="J40" s="1297">
        <f>SUM(J37:J39)</f>
        <v>84.47</v>
      </c>
      <c r="K40" s="1298"/>
      <c r="L40" s="1297">
        <f>J40</f>
        <v>84.47</v>
      </c>
      <c r="M40" s="1294"/>
      <c r="N40" s="1294"/>
      <c r="V40" s="1264" t="s">
        <v>1072</v>
      </c>
    </row>
    <row r="41" spans="1:22" s="1264" customFormat="1" ht="12.75" customHeight="1" x14ac:dyDescent="0.2">
      <c r="B41" s="1299" t="s">
        <v>1170</v>
      </c>
      <c r="C41" s="2461"/>
      <c r="D41" s="2461"/>
      <c r="E41" s="2461"/>
      <c r="F41" s="2461"/>
      <c r="G41" s="2464"/>
      <c r="H41" s="1300"/>
      <c r="I41" s="1301">
        <f>I40/1000</f>
        <v>0.12595999999999999</v>
      </c>
      <c r="J41" s="1301">
        <f>J40/1000</f>
        <v>8.4470000000000003E-2</v>
      </c>
      <c r="K41" s="1298"/>
      <c r="L41" s="1355">
        <f>L40/1000</f>
        <v>8.4470000000000003E-2</v>
      </c>
      <c r="M41" s="1282"/>
      <c r="N41" s="1282"/>
    </row>
    <row r="42" spans="1:22" s="1264" customFormat="1" ht="12.75" customHeight="1" x14ac:dyDescent="0.2">
      <c r="B42" s="1302" t="s">
        <v>1203</v>
      </c>
      <c r="C42" s="2466" t="s">
        <v>1204</v>
      </c>
      <c r="D42" s="2466"/>
      <c r="E42" s="2466"/>
      <c r="F42" s="2466"/>
      <c r="G42" s="2465"/>
      <c r="H42" s="1300"/>
      <c r="I42" s="1303">
        <f>I28</f>
        <v>0.29149797110658232</v>
      </c>
      <c r="J42" s="1303">
        <f>J28</f>
        <v>5.8395592262497693E-2</v>
      </c>
      <c r="K42" s="1298"/>
      <c r="L42" s="1304">
        <f>L28</f>
        <v>0.65010643663091994</v>
      </c>
      <c r="M42" s="1282"/>
      <c r="N42" s="1282"/>
    </row>
    <row r="43" spans="1:22" s="1264" customFormat="1" ht="12.75" customHeight="1" x14ac:dyDescent="0.2">
      <c r="B43" s="1296" t="s">
        <v>1205</v>
      </c>
      <c r="C43" s="2457" t="s">
        <v>1206</v>
      </c>
      <c r="D43" s="2457"/>
      <c r="E43" s="2457"/>
      <c r="F43" s="2457"/>
      <c r="G43" s="1305">
        <f>I43+J43+L43</f>
        <v>9.6564250821212103E-2</v>
      </c>
      <c r="H43" s="1306"/>
      <c r="I43" s="1307">
        <f>I41*I42</f>
        <v>3.6717084440585107E-2</v>
      </c>
      <c r="J43" s="1308">
        <f>J41*J42</f>
        <v>4.9326756784131807E-3</v>
      </c>
      <c r="K43" s="1298"/>
      <c r="L43" s="1309">
        <f>L41*L42</f>
        <v>5.4914490702213811E-2</v>
      </c>
      <c r="M43" s="1282"/>
      <c r="N43" s="1282"/>
    </row>
    <row r="44" spans="1:22" s="1264" customFormat="1" ht="15" thickBot="1" x14ac:dyDescent="0.25">
      <c r="A44" s="1272"/>
      <c r="B44" s="1272"/>
      <c r="C44" s="1272"/>
      <c r="D44" s="1272"/>
      <c r="E44" s="1272"/>
      <c r="F44" s="1272"/>
      <c r="G44" s="1272"/>
      <c r="H44" s="1272"/>
      <c r="I44" s="1272"/>
      <c r="J44" s="1272"/>
      <c r="K44" s="1272"/>
      <c r="L44" s="1272"/>
      <c r="M44" s="1272"/>
      <c r="N44" s="1272"/>
      <c r="O44" s="1272"/>
    </row>
    <row r="45" spans="1:22" s="1264" customFormat="1" ht="14.25" x14ac:dyDescent="0.2"/>
    <row r="46" spans="1:22" s="1264" customFormat="1" ht="15.75" x14ac:dyDescent="0.25">
      <c r="A46" s="1279" t="s">
        <v>1207</v>
      </c>
      <c r="B46" s="1260" t="s">
        <v>1208</v>
      </c>
    </row>
    <row r="47" spans="1:22" s="1264" customFormat="1" ht="14.25" x14ac:dyDescent="0.2">
      <c r="B47" s="1310" t="s">
        <v>1171</v>
      </c>
    </row>
    <row r="48" spans="1:22" s="1264" customFormat="1" ht="14.25" x14ac:dyDescent="0.2">
      <c r="B48" s="1261"/>
    </row>
    <row r="49" spans="2:15" s="1264" customFormat="1" ht="15.75" x14ac:dyDescent="0.25">
      <c r="B49" s="1083" t="s">
        <v>1172</v>
      </c>
      <c r="C49" s="1"/>
      <c r="D49" s="1"/>
      <c r="E49" s="1"/>
      <c r="F49" s="2458">
        <f>TestYear-1</f>
        <v>2019</v>
      </c>
      <c r="G49" s="2459"/>
      <c r="H49" s="2459"/>
      <c r="I49" s="2459"/>
      <c r="J49" s="2459"/>
      <c r="K49" s="2458">
        <f>TestYear</f>
        <v>2020</v>
      </c>
      <c r="L49" s="2459"/>
      <c r="M49" s="2459"/>
      <c r="N49" s="2459"/>
      <c r="O49" s="2459"/>
    </row>
    <row r="50" spans="2:15" s="1264" customFormat="1" ht="14.25" x14ac:dyDescent="0.2">
      <c r="B50" s="1311" t="s">
        <v>1173</v>
      </c>
      <c r="C50" s="1312"/>
      <c r="D50" s="1313" t="s">
        <v>1174</v>
      </c>
      <c r="E50" s="1313" t="s">
        <v>1175</v>
      </c>
      <c r="F50" s="1313" t="s">
        <v>1176</v>
      </c>
      <c r="G50" s="1313" t="s">
        <v>1177</v>
      </c>
      <c r="H50" s="1313" t="s">
        <v>1178</v>
      </c>
      <c r="I50" s="1313" t="s">
        <v>1179</v>
      </c>
      <c r="J50" s="1313" t="s">
        <v>1084</v>
      </c>
      <c r="K50" s="1313" t="s">
        <v>1176</v>
      </c>
      <c r="L50" s="1313" t="s">
        <v>1177</v>
      </c>
      <c r="M50" s="1313" t="s">
        <v>1178</v>
      </c>
      <c r="N50" s="1313" t="s">
        <v>1179</v>
      </c>
      <c r="O50" s="1313" t="s">
        <v>1084</v>
      </c>
    </row>
    <row r="51" spans="2:15" s="1264" customFormat="1" ht="21" x14ac:dyDescent="0.55000000000000004">
      <c r="B51" s="851" t="str">
        <f>+B20</f>
        <v>General Service 50 to 2999 kW</v>
      </c>
      <c r="C51" s="1345"/>
      <c r="D51" s="1345">
        <v>4035</v>
      </c>
      <c r="E51" s="1345">
        <v>4705</v>
      </c>
      <c r="F51" s="1342">
        <v>68034782.799999997</v>
      </c>
      <c r="G51" s="1787">
        <v>145313</v>
      </c>
      <c r="H51" s="844">
        <f>+I37/1000</f>
        <v>1.8630000000000001E-2</v>
      </c>
      <c r="I51" s="1520">
        <f>3463334/G51</f>
        <v>23.833614335950671</v>
      </c>
      <c r="J51" s="1314">
        <f>(+F51*H51)+(G51*I51)</f>
        <v>4730822.0035640001</v>
      </c>
      <c r="K51" s="1342">
        <f>F51</f>
        <v>68034782.799999997</v>
      </c>
      <c r="L51" s="1789">
        <f>G51</f>
        <v>145313</v>
      </c>
      <c r="M51" s="844">
        <f>+I37/1000</f>
        <v>1.8630000000000001E-2</v>
      </c>
      <c r="N51" s="1520">
        <f>3463334/L51</f>
        <v>23.833614335950671</v>
      </c>
      <c r="O51" s="1314">
        <f>(+K51*M51)+(L51*N51)</f>
        <v>4730822.0035640001</v>
      </c>
    </row>
    <row r="52" spans="2:15" s="1264" customFormat="1" ht="21" x14ac:dyDescent="0.55000000000000004">
      <c r="B52" s="851" t="str">
        <f>+B21</f>
        <v>General Service 3000-4999 kW</v>
      </c>
      <c r="C52" s="1345"/>
      <c r="D52" s="1345">
        <v>4010</v>
      </c>
      <c r="E52" s="1345">
        <v>4705</v>
      </c>
      <c r="F52" s="1342"/>
      <c r="G52" s="1343"/>
      <c r="H52" s="844">
        <f>+I37/1000</f>
        <v>1.8630000000000001E-2</v>
      </c>
      <c r="I52" s="1520"/>
      <c r="J52" s="1314">
        <f>(+F52*H52)+(G52*I52)</f>
        <v>0</v>
      </c>
      <c r="K52" s="1342"/>
      <c r="L52" s="1343"/>
      <c r="M52" s="844">
        <f>+I37/1000</f>
        <v>1.8630000000000001E-2</v>
      </c>
      <c r="N52" s="1343"/>
      <c r="O52" s="1314">
        <f>(+K52*M52)+(L52*N52)</f>
        <v>0</v>
      </c>
    </row>
    <row r="53" spans="2:15" s="1264" customFormat="1" ht="14.25" x14ac:dyDescent="0.2">
      <c r="B53" s="1"/>
      <c r="C53" s="1"/>
      <c r="D53" s="1"/>
      <c r="E53" s="1"/>
      <c r="F53" s="1346">
        <f>+F51+F52</f>
        <v>68034782.799999997</v>
      </c>
      <c r="G53" s="1788">
        <f>+G51+G52</f>
        <v>145313</v>
      </c>
      <c r="H53" s="1345"/>
      <c r="I53" s="1345"/>
      <c r="J53" s="1314">
        <f>+J51+J52</f>
        <v>4730822.0035640001</v>
      </c>
      <c r="K53" s="1346"/>
      <c r="L53" s="1345"/>
      <c r="M53" s="1345"/>
      <c r="N53" s="1345"/>
      <c r="O53" s="1314">
        <f>+O51+O52</f>
        <v>4730822.0035640001</v>
      </c>
    </row>
    <row r="54" spans="2:15" s="1264" customFormat="1" ht="14.25" x14ac:dyDescent="0.2"/>
    <row r="55" spans="2:15" ht="15.75" x14ac:dyDescent="0.25">
      <c r="B55" s="1083" t="s">
        <v>1180</v>
      </c>
      <c r="F55" s="2450">
        <f>F49</f>
        <v>2019</v>
      </c>
      <c r="G55" s="2450"/>
      <c r="H55" s="2450"/>
      <c r="I55" s="2450"/>
      <c r="J55" s="2450"/>
      <c r="K55" s="2450">
        <f>K49</f>
        <v>2020</v>
      </c>
      <c r="L55" s="2450"/>
      <c r="M55" s="2450"/>
      <c r="N55" s="2450"/>
      <c r="O55" s="2450"/>
    </row>
    <row r="56" spans="2:15" s="1317" customFormat="1" x14ac:dyDescent="0.2">
      <c r="B56" s="1311" t="s">
        <v>1173</v>
      </c>
      <c r="C56" s="1313"/>
      <c r="D56" s="1313" t="s">
        <v>1174</v>
      </c>
      <c r="E56" s="1315" t="s">
        <v>1175</v>
      </c>
      <c r="F56" s="1316" t="s">
        <v>1072</v>
      </c>
      <c r="G56" s="1316"/>
      <c r="H56" s="1316"/>
      <c r="I56" s="1316"/>
      <c r="J56" s="1316"/>
      <c r="K56" s="1316"/>
      <c r="L56" s="1316"/>
      <c r="M56" s="1316"/>
      <c r="N56" s="1316"/>
      <c r="O56" s="1316"/>
    </row>
    <row r="57" spans="2:15" x14ac:dyDescent="0.2">
      <c r="B57" s="1318" t="s">
        <v>1181</v>
      </c>
      <c r="C57" s="1312" t="s">
        <v>1182</v>
      </c>
      <c r="D57" s="1312" t="s">
        <v>1183</v>
      </c>
      <c r="E57" s="1319" t="s">
        <v>1183</v>
      </c>
      <c r="F57" s="1320" t="s">
        <v>1184</v>
      </c>
      <c r="G57" s="1321" t="s">
        <v>1185</v>
      </c>
      <c r="H57" s="2444"/>
      <c r="I57" s="2445"/>
      <c r="J57" s="1321" t="s">
        <v>1084</v>
      </c>
      <c r="K57" s="1321" t="s">
        <v>1184</v>
      </c>
      <c r="L57" s="1321" t="s">
        <v>1185</v>
      </c>
      <c r="M57" s="2444"/>
      <c r="N57" s="2445"/>
      <c r="O57" s="1320" t="s">
        <v>1084</v>
      </c>
    </row>
    <row r="58" spans="2:15" x14ac:dyDescent="0.2">
      <c r="B58" s="851" t="str">
        <f t="shared" ref="B58:B66" si="5">B18</f>
        <v>Residential</v>
      </c>
      <c r="C58" s="1345" t="s">
        <v>70</v>
      </c>
      <c r="D58" s="1345">
        <v>4006</v>
      </c>
      <c r="E58" s="1347">
        <v>4705</v>
      </c>
      <c r="F58" s="1344">
        <v>383750973.82588089</v>
      </c>
      <c r="G58" s="1521">
        <f>G43</f>
        <v>9.6564250821212103E-2</v>
      </c>
      <c r="H58" s="2446"/>
      <c r="I58" s="2447"/>
      <c r="J58" s="1322">
        <f t="shared" ref="J58:J66" si="6">F58*G58</f>
        <v>37056625.289406762</v>
      </c>
      <c r="K58" s="1344">
        <v>378384518.16266799</v>
      </c>
      <c r="L58" s="1324">
        <f>IFERROR(G43,0)</f>
        <v>9.6564250821212103E-2</v>
      </c>
      <c r="M58" s="2446"/>
      <c r="N58" s="2447"/>
      <c r="O58" s="1322">
        <f t="shared" ref="O58:O66" si="7">ROUND(K58*L58,0)</f>
        <v>36538418</v>
      </c>
    </row>
    <row r="59" spans="2:15" x14ac:dyDescent="0.2">
      <c r="B59" s="851" t="str">
        <f t="shared" si="5"/>
        <v>General Service &lt; 50 kW</v>
      </c>
      <c r="C59" s="1345" t="s">
        <v>70</v>
      </c>
      <c r="D59" s="1345">
        <v>4010</v>
      </c>
      <c r="E59" s="1347">
        <v>4705</v>
      </c>
      <c r="F59" s="1344">
        <v>141665449.01811445</v>
      </c>
      <c r="G59" s="1332">
        <f>+$G$58</f>
        <v>9.6564250821212103E-2</v>
      </c>
      <c r="H59" s="2446"/>
      <c r="I59" s="2447"/>
      <c r="J59" s="1322">
        <f t="shared" si="6"/>
        <v>13679817.95168484</v>
      </c>
      <c r="K59" s="1344">
        <v>140765650.3914775</v>
      </c>
      <c r="L59" s="1324">
        <f>L58</f>
        <v>9.6564250821212103E-2</v>
      </c>
      <c r="M59" s="2446"/>
      <c r="N59" s="2447"/>
      <c r="O59" s="1322">
        <f t="shared" si="7"/>
        <v>13592930</v>
      </c>
    </row>
    <row r="60" spans="2:15" x14ac:dyDescent="0.2">
      <c r="B60" s="851" t="str">
        <f t="shared" si="5"/>
        <v>General Service 50 to 2999 kW</v>
      </c>
      <c r="C60" s="1345" t="s">
        <v>70</v>
      </c>
      <c r="D60" s="1345">
        <v>4035</v>
      </c>
      <c r="E60" s="1347">
        <v>4705</v>
      </c>
      <c r="F60" s="1344">
        <v>363530838.05531651</v>
      </c>
      <c r="G60" s="1332">
        <f t="shared" ref="G60:G66" si="8">+$G$58</f>
        <v>9.6564250821212103E-2</v>
      </c>
      <c r="H60" s="2446"/>
      <c r="I60" s="2447"/>
      <c r="J60" s="1322">
        <f t="shared" si="6"/>
        <v>35104083.02721902</v>
      </c>
      <c r="K60" s="1344">
        <v>359673597.82381731</v>
      </c>
      <c r="L60" s="1324">
        <f t="shared" ref="L60:L66" si="9">L59</f>
        <v>9.6564250821212103E-2</v>
      </c>
      <c r="M60" s="2446"/>
      <c r="N60" s="2447"/>
      <c r="O60" s="1322">
        <f t="shared" si="7"/>
        <v>34731612</v>
      </c>
    </row>
    <row r="61" spans="2:15" x14ac:dyDescent="0.2">
      <c r="B61" s="851" t="str">
        <f t="shared" si="5"/>
        <v>General Service 3000-4999 kW</v>
      </c>
      <c r="C61" s="1345" t="s">
        <v>70</v>
      </c>
      <c r="D61" s="1345">
        <v>4010</v>
      </c>
      <c r="E61" s="1347">
        <v>4705</v>
      </c>
      <c r="F61" s="1344"/>
      <c r="G61" s="1332">
        <f t="shared" si="8"/>
        <v>9.6564250821212103E-2</v>
      </c>
      <c r="H61" s="2446"/>
      <c r="I61" s="2447"/>
      <c r="J61" s="1322">
        <f t="shared" si="6"/>
        <v>0</v>
      </c>
      <c r="K61" s="1344"/>
      <c r="L61" s="1324">
        <f t="shared" si="9"/>
        <v>9.6564250821212103E-2</v>
      </c>
      <c r="M61" s="2446"/>
      <c r="N61" s="2447"/>
      <c r="O61" s="1322">
        <f t="shared" si="7"/>
        <v>0</v>
      </c>
    </row>
    <row r="62" spans="2:15" x14ac:dyDescent="0.2">
      <c r="B62" s="851" t="str">
        <f t="shared" si="5"/>
        <v>Unmetered Scattered Load</v>
      </c>
      <c r="C62" s="1345" t="s">
        <v>70</v>
      </c>
      <c r="D62" s="1345">
        <v>4025</v>
      </c>
      <c r="E62" s="1347">
        <v>4705</v>
      </c>
      <c r="F62" s="1344">
        <v>1159759.4682701419</v>
      </c>
      <c r="G62" s="1332">
        <f t="shared" si="8"/>
        <v>9.6564250821212103E-2</v>
      </c>
      <c r="H62" s="2446"/>
      <c r="I62" s="2447"/>
      <c r="J62" s="1322">
        <f t="shared" si="6"/>
        <v>111991.30418631356</v>
      </c>
      <c r="K62" s="1344">
        <v>1133248.6666793157</v>
      </c>
      <c r="L62" s="1324">
        <f t="shared" si="9"/>
        <v>9.6564250821212103E-2</v>
      </c>
      <c r="M62" s="2446"/>
      <c r="N62" s="2447"/>
      <c r="O62" s="1322">
        <f t="shared" si="7"/>
        <v>109431</v>
      </c>
    </row>
    <row r="63" spans="2:15" x14ac:dyDescent="0.2">
      <c r="B63" s="851" t="str">
        <f t="shared" si="5"/>
        <v>Sentinel Lighting</v>
      </c>
      <c r="C63" s="1345" t="s">
        <v>70</v>
      </c>
      <c r="D63" s="1345">
        <v>4025</v>
      </c>
      <c r="E63" s="1347">
        <v>4705</v>
      </c>
      <c r="F63" s="1344">
        <v>415339.4146197603</v>
      </c>
      <c r="G63" s="1332">
        <f t="shared" si="8"/>
        <v>9.6564250821212103E-2</v>
      </c>
      <c r="H63" s="2446"/>
      <c r="I63" s="2447"/>
      <c r="J63" s="1322">
        <f t="shared" si="6"/>
        <v>40106.93940927794</v>
      </c>
      <c r="K63" s="1344">
        <v>407806.86316458083</v>
      </c>
      <c r="L63" s="1324">
        <f t="shared" si="9"/>
        <v>9.6564250821212103E-2</v>
      </c>
      <c r="M63" s="2446"/>
      <c r="N63" s="2447"/>
      <c r="O63" s="1322">
        <f t="shared" si="7"/>
        <v>39380</v>
      </c>
    </row>
    <row r="64" spans="2:15" x14ac:dyDescent="0.2">
      <c r="B64" s="851" t="str">
        <f t="shared" si="5"/>
        <v xml:space="preserve">Street Lighting </v>
      </c>
      <c r="C64" s="1345" t="s">
        <v>70</v>
      </c>
      <c r="D64" s="1345">
        <v>4025</v>
      </c>
      <c r="E64" s="1347">
        <v>4705</v>
      </c>
      <c r="F64" s="1344">
        <v>7745778.5462400438</v>
      </c>
      <c r="G64" s="1332">
        <f t="shared" si="8"/>
        <v>9.6564250821212103E-2</v>
      </c>
      <c r="H64" s="2446"/>
      <c r="I64" s="2447"/>
      <c r="J64" s="1322">
        <f t="shared" si="6"/>
        <v>747965.30234468728</v>
      </c>
      <c r="K64" s="1344">
        <v>7694294.2124446593</v>
      </c>
      <c r="L64" s="1324">
        <f t="shared" si="9"/>
        <v>9.6564250821212103E-2</v>
      </c>
      <c r="M64" s="2446"/>
      <c r="N64" s="2447"/>
      <c r="O64" s="1322">
        <f t="shared" si="7"/>
        <v>742994</v>
      </c>
    </row>
    <row r="65" spans="2:19" x14ac:dyDescent="0.2">
      <c r="B65" s="851" t="str">
        <f t="shared" si="5"/>
        <v>other</v>
      </c>
      <c r="C65" s="1345" t="s">
        <v>70</v>
      </c>
      <c r="D65" s="1345">
        <v>4025</v>
      </c>
      <c r="E65" s="1347">
        <v>4705</v>
      </c>
      <c r="F65" s="1344"/>
      <c r="G65" s="1332">
        <f t="shared" si="8"/>
        <v>9.6564250821212103E-2</v>
      </c>
      <c r="H65" s="2446"/>
      <c r="I65" s="2447"/>
      <c r="J65" s="1322">
        <f t="shared" si="6"/>
        <v>0</v>
      </c>
      <c r="K65" s="1344"/>
      <c r="L65" s="1324">
        <f t="shared" si="9"/>
        <v>9.6564250821212103E-2</v>
      </c>
      <c r="M65" s="2446"/>
      <c r="N65" s="2447"/>
      <c r="O65" s="1322">
        <f t="shared" si="7"/>
        <v>0</v>
      </c>
    </row>
    <row r="66" spans="2:19" x14ac:dyDescent="0.2">
      <c r="B66" s="851" t="str">
        <f t="shared" si="5"/>
        <v>other</v>
      </c>
      <c r="C66" s="1345" t="s">
        <v>70</v>
      </c>
      <c r="D66" s="1345">
        <v>4025</v>
      </c>
      <c r="E66" s="1347">
        <v>4705</v>
      </c>
      <c r="F66" s="1344"/>
      <c r="G66" s="1332">
        <f t="shared" si="8"/>
        <v>9.6564250821212103E-2</v>
      </c>
      <c r="H66" s="2446"/>
      <c r="I66" s="2447"/>
      <c r="J66" s="1322">
        <f t="shared" si="6"/>
        <v>0</v>
      </c>
      <c r="K66" s="1344"/>
      <c r="L66" s="1324">
        <f t="shared" si="9"/>
        <v>9.6564250821212103E-2</v>
      </c>
      <c r="M66" s="2446"/>
      <c r="N66" s="2447"/>
      <c r="O66" s="1322">
        <f t="shared" si="7"/>
        <v>0</v>
      </c>
      <c r="S66" s="1325"/>
    </row>
    <row r="67" spans="2:19" x14ac:dyDescent="0.2">
      <c r="B67" s="1311" t="s">
        <v>1166</v>
      </c>
      <c r="C67" s="1348"/>
      <c r="D67" s="1349"/>
      <c r="E67" s="1350"/>
      <c r="F67" s="1326">
        <f>SUM(F58:F66)</f>
        <v>898268138.32844186</v>
      </c>
      <c r="G67" s="1327"/>
      <c r="H67" s="2448"/>
      <c r="I67" s="2449"/>
      <c r="J67" s="1328">
        <f>SUM(J58:J66)</f>
        <v>86740589.814250886</v>
      </c>
      <c r="K67" s="1326">
        <f>SUM(K58:K66)</f>
        <v>888059116.1202513</v>
      </c>
      <c r="L67" s="1329"/>
      <c r="M67" s="2448"/>
      <c r="N67" s="2449"/>
      <c r="O67" s="1328">
        <f>SUM(O58:O66)</f>
        <v>85754765</v>
      </c>
    </row>
    <row r="68" spans="2:19" x14ac:dyDescent="0.2">
      <c r="B68" s="1237"/>
      <c r="C68" s="1330"/>
      <c r="D68" s="1330"/>
      <c r="E68" s="1330"/>
      <c r="F68" s="1330"/>
      <c r="G68" s="1330"/>
      <c r="H68" s="1330"/>
      <c r="I68" s="1330"/>
      <c r="J68" s="1330"/>
      <c r="K68" s="1330"/>
      <c r="L68" s="1330"/>
      <c r="M68" s="1330"/>
      <c r="N68" s="1330"/>
      <c r="O68" s="1330"/>
    </row>
    <row r="69" spans="2:19" x14ac:dyDescent="0.2">
      <c r="I69" s="1237"/>
      <c r="J69" s="1237"/>
    </row>
    <row r="70" spans="2:19" ht="15.75" x14ac:dyDescent="0.25">
      <c r="B70" s="1083" t="s">
        <v>259</v>
      </c>
      <c r="F70" s="2450">
        <f>F55</f>
        <v>2019</v>
      </c>
      <c r="G70" s="2450"/>
      <c r="H70" s="2450"/>
      <c r="I70" s="2450"/>
      <c r="J70" s="2450"/>
      <c r="K70" s="2450">
        <f>K55</f>
        <v>2020</v>
      </c>
      <c r="L70" s="2450"/>
      <c r="M70" s="2450"/>
      <c r="N70" s="2450"/>
      <c r="O70" s="2450"/>
    </row>
    <row r="71" spans="2:19" x14ac:dyDescent="0.2">
      <c r="B71" s="1311" t="s">
        <v>1173</v>
      </c>
      <c r="C71" s="1313"/>
      <c r="D71" s="1313" t="s">
        <v>1174</v>
      </c>
      <c r="E71" s="1315" t="s">
        <v>1175</v>
      </c>
      <c r="F71" s="1316" t="s">
        <v>1072</v>
      </c>
      <c r="G71" s="1316"/>
      <c r="H71" s="2451"/>
      <c r="I71" s="2452"/>
      <c r="J71" s="1316"/>
      <c r="K71" s="1316"/>
      <c r="L71" s="1316"/>
      <c r="M71" s="2451"/>
      <c r="N71" s="2452"/>
      <c r="O71" s="1316"/>
    </row>
    <row r="72" spans="2:19" x14ac:dyDescent="0.2">
      <c r="B72" s="1318" t="s">
        <v>1181</v>
      </c>
      <c r="C72" s="1312" t="s">
        <v>1182</v>
      </c>
      <c r="D72" s="1312" t="s">
        <v>1183</v>
      </c>
      <c r="E72" s="1319" t="s">
        <v>1183</v>
      </c>
      <c r="F72" s="1320" t="s">
        <v>1184</v>
      </c>
      <c r="G72" s="1321" t="s">
        <v>1186</v>
      </c>
      <c r="H72" s="2453"/>
      <c r="I72" s="2454"/>
      <c r="J72" s="1321" t="s">
        <v>1084</v>
      </c>
      <c r="K72" s="1321" t="s">
        <v>1184</v>
      </c>
      <c r="L72" s="1321" t="s">
        <v>1186</v>
      </c>
      <c r="M72" s="2453"/>
      <c r="N72" s="2454"/>
      <c r="O72" s="1320" t="s">
        <v>1084</v>
      </c>
    </row>
    <row r="73" spans="2:19" ht="21" x14ac:dyDescent="0.55000000000000004">
      <c r="B73" s="851" t="str">
        <f t="shared" ref="B73:B81" si="10">+B18</f>
        <v>Residential</v>
      </c>
      <c r="C73" s="1345" t="s">
        <v>70</v>
      </c>
      <c r="D73" s="1345">
        <v>4006</v>
      </c>
      <c r="E73" s="1347">
        <v>4705</v>
      </c>
      <c r="F73" s="1331">
        <f>+F58</f>
        <v>383750973.82588089</v>
      </c>
      <c r="G73" s="1323">
        <f t="shared" ref="G73:G79" si="11">+J73/F73</f>
        <v>9.6564250821212103E-2</v>
      </c>
      <c r="H73" s="2453"/>
      <c r="I73" s="2454"/>
      <c r="J73" s="1322">
        <f>+J58</f>
        <v>37056625.289406762</v>
      </c>
      <c r="K73" s="1331">
        <f>+K58</f>
        <v>378384518.16266799</v>
      </c>
      <c r="L73" s="1332">
        <f t="shared" ref="L73:L79" si="12">+O73/K73</f>
        <v>9.6564252093136876E-2</v>
      </c>
      <c r="M73" s="2453"/>
      <c r="N73" s="2454"/>
      <c r="O73" s="1322">
        <f>+O58</f>
        <v>36538418</v>
      </c>
      <c r="Q73" s="1333"/>
      <c r="R73" s="1333"/>
    </row>
    <row r="74" spans="2:19" ht="21" x14ac:dyDescent="0.55000000000000004">
      <c r="B74" s="851" t="str">
        <f t="shared" si="10"/>
        <v>General Service &lt; 50 kW</v>
      </c>
      <c r="C74" s="1345" t="s">
        <v>70</v>
      </c>
      <c r="D74" s="1345">
        <v>4010</v>
      </c>
      <c r="E74" s="1347">
        <v>4705</v>
      </c>
      <c r="F74" s="1331">
        <f t="shared" ref="F74:F81" si="13">+F59</f>
        <v>141665449.01811445</v>
      </c>
      <c r="G74" s="1323">
        <f t="shared" si="11"/>
        <v>9.6564250821212103E-2</v>
      </c>
      <c r="H74" s="2453"/>
      <c r="I74" s="2454"/>
      <c r="J74" s="1322">
        <f>+J59</f>
        <v>13679817.95168484</v>
      </c>
      <c r="K74" s="1331">
        <f>+K59</f>
        <v>140765650.3914775</v>
      </c>
      <c r="L74" s="1332">
        <f t="shared" si="12"/>
        <v>9.6564253865891764E-2</v>
      </c>
      <c r="M74" s="2453"/>
      <c r="N74" s="2454"/>
      <c r="O74" s="1322">
        <f t="shared" ref="O74:O81" si="14">+O59</f>
        <v>13592930</v>
      </c>
      <c r="Q74" s="1333"/>
      <c r="R74" s="1333"/>
    </row>
    <row r="75" spans="2:19" ht="21" x14ac:dyDescent="0.55000000000000004">
      <c r="B75" s="851" t="str">
        <f t="shared" si="10"/>
        <v>General Service 50 to 2999 kW</v>
      </c>
      <c r="C75" s="1345" t="s">
        <v>70</v>
      </c>
      <c r="D75" s="1345">
        <v>4035</v>
      </c>
      <c r="E75" s="1347">
        <v>4705</v>
      </c>
      <c r="F75" s="1331">
        <f>+F60+F51</f>
        <v>431565620.85531652</v>
      </c>
      <c r="G75" s="1332">
        <f t="shared" si="11"/>
        <v>9.2303239891617261E-2</v>
      </c>
      <c r="H75" s="2453"/>
      <c r="I75" s="2454"/>
      <c r="J75" s="1322">
        <f>+J60+J51</f>
        <v>39834905.03078302</v>
      </c>
      <c r="K75" s="1331">
        <f>+K60+K51</f>
        <v>427708380.62381732</v>
      </c>
      <c r="L75" s="1332">
        <f t="shared" si="12"/>
        <v>9.2264813576969459E-2</v>
      </c>
      <c r="M75" s="2453"/>
      <c r="N75" s="2454"/>
      <c r="O75" s="1322">
        <f>+O60+O51</f>
        <v>39462434.003564</v>
      </c>
      <c r="Q75" s="1333"/>
      <c r="R75" s="1333"/>
    </row>
    <row r="76" spans="2:19" ht="21" x14ac:dyDescent="0.55000000000000004">
      <c r="B76" s="851" t="str">
        <f t="shared" si="10"/>
        <v>General Service 3000-4999 kW</v>
      </c>
      <c r="C76" s="1345" t="s">
        <v>70</v>
      </c>
      <c r="D76" s="1345">
        <v>4010</v>
      </c>
      <c r="E76" s="1347">
        <v>4705</v>
      </c>
      <c r="F76" s="1331">
        <f>+F61+F52</f>
        <v>0</v>
      </c>
      <c r="G76" s="1332" t="e">
        <f t="shared" si="11"/>
        <v>#DIV/0!</v>
      </c>
      <c r="H76" s="2453"/>
      <c r="I76" s="2454"/>
      <c r="J76" s="1322">
        <f>+J61+J52</f>
        <v>0</v>
      </c>
      <c r="K76" s="1331">
        <f>+K61+K52</f>
        <v>0</v>
      </c>
      <c r="L76" s="1332" t="e">
        <f t="shared" si="12"/>
        <v>#DIV/0!</v>
      </c>
      <c r="M76" s="2453"/>
      <c r="N76" s="2454"/>
      <c r="O76" s="1322">
        <f>+O61+O52</f>
        <v>0</v>
      </c>
      <c r="Q76" s="1333"/>
      <c r="R76" s="1333"/>
    </row>
    <row r="77" spans="2:19" ht="21" x14ac:dyDescent="0.55000000000000004">
      <c r="B77" s="851" t="str">
        <f t="shared" si="10"/>
        <v>Unmetered Scattered Load</v>
      </c>
      <c r="C77" s="1345" t="s">
        <v>70</v>
      </c>
      <c r="D77" s="1345">
        <v>4025</v>
      </c>
      <c r="E77" s="1347">
        <v>4705</v>
      </c>
      <c r="F77" s="1331">
        <f t="shared" si="13"/>
        <v>1159759.4682701419</v>
      </c>
      <c r="G77" s="1323">
        <f t="shared" si="11"/>
        <v>9.6564250821212103E-2</v>
      </c>
      <c r="H77" s="2453"/>
      <c r="I77" s="2454"/>
      <c r="J77" s="1322">
        <f t="shared" ref="J77:K81" si="15">+J62</f>
        <v>111991.30418631356</v>
      </c>
      <c r="K77" s="1331">
        <f t="shared" si="15"/>
        <v>1133248.6666793157</v>
      </c>
      <c r="L77" s="1332">
        <f t="shared" si="12"/>
        <v>9.6563978602029588E-2</v>
      </c>
      <c r="M77" s="2453"/>
      <c r="N77" s="2454"/>
      <c r="O77" s="1322">
        <f t="shared" si="14"/>
        <v>109431</v>
      </c>
      <c r="Q77" s="1333"/>
      <c r="R77" s="1333"/>
    </row>
    <row r="78" spans="2:19" ht="21" x14ac:dyDescent="0.55000000000000004">
      <c r="B78" s="851" t="str">
        <f t="shared" si="10"/>
        <v>Sentinel Lighting</v>
      </c>
      <c r="C78" s="1345" t="s">
        <v>70</v>
      </c>
      <c r="D78" s="1345">
        <v>4025</v>
      </c>
      <c r="E78" s="1347">
        <v>4705</v>
      </c>
      <c r="F78" s="1331">
        <f t="shared" si="13"/>
        <v>415339.4146197603</v>
      </c>
      <c r="G78" s="1323">
        <f t="shared" si="11"/>
        <v>9.6564250821212103E-2</v>
      </c>
      <c r="H78" s="2453"/>
      <c r="I78" s="2454"/>
      <c r="J78" s="1322">
        <f t="shared" si="15"/>
        <v>40106.93940927794</v>
      </c>
      <c r="K78" s="1331">
        <f t="shared" si="15"/>
        <v>407806.86316458083</v>
      </c>
      <c r="L78" s="1332">
        <f t="shared" si="12"/>
        <v>9.6565319412261097E-2</v>
      </c>
      <c r="M78" s="2453"/>
      <c r="N78" s="2454"/>
      <c r="O78" s="1322">
        <f t="shared" si="14"/>
        <v>39380</v>
      </c>
      <c r="Q78" s="1333"/>
      <c r="R78" s="1333"/>
    </row>
    <row r="79" spans="2:19" ht="21" x14ac:dyDescent="0.55000000000000004">
      <c r="B79" s="851" t="str">
        <f t="shared" si="10"/>
        <v xml:space="preserve">Street Lighting </v>
      </c>
      <c r="C79" s="1345" t="s">
        <v>70</v>
      </c>
      <c r="D79" s="1345">
        <v>4025</v>
      </c>
      <c r="E79" s="1347">
        <v>4705</v>
      </c>
      <c r="F79" s="1331">
        <f t="shared" si="13"/>
        <v>7745778.5462400438</v>
      </c>
      <c r="G79" s="1323">
        <f t="shared" si="11"/>
        <v>9.6564250821212103E-2</v>
      </c>
      <c r="H79" s="2453"/>
      <c r="I79" s="2454"/>
      <c r="J79" s="1322">
        <f t="shared" si="15"/>
        <v>747965.30234468728</v>
      </c>
      <c r="K79" s="1331">
        <f t="shared" si="15"/>
        <v>7694294.2124446593</v>
      </c>
      <c r="L79" s="1332">
        <f t="shared" si="12"/>
        <v>9.6564282504078197E-2</v>
      </c>
      <c r="M79" s="2453"/>
      <c r="N79" s="2454"/>
      <c r="O79" s="1322">
        <f t="shared" si="14"/>
        <v>742994</v>
      </c>
      <c r="Q79" s="1333"/>
      <c r="R79" s="1333"/>
    </row>
    <row r="80" spans="2:19" ht="21" x14ac:dyDescent="0.55000000000000004">
      <c r="B80" s="851" t="str">
        <f t="shared" si="10"/>
        <v>other</v>
      </c>
      <c r="C80" s="1345" t="s">
        <v>70</v>
      </c>
      <c r="D80" s="1345">
        <v>4025</v>
      </c>
      <c r="E80" s="1347">
        <v>4705</v>
      </c>
      <c r="F80" s="1331">
        <f t="shared" si="13"/>
        <v>0</v>
      </c>
      <c r="G80" s="1323">
        <v>0</v>
      </c>
      <c r="H80" s="2453"/>
      <c r="I80" s="2454"/>
      <c r="J80" s="1322">
        <f t="shared" si="15"/>
        <v>0</v>
      </c>
      <c r="K80" s="1331">
        <f t="shared" si="15"/>
        <v>0</v>
      </c>
      <c r="L80" s="1332">
        <v>0</v>
      </c>
      <c r="M80" s="2453"/>
      <c r="N80" s="2454"/>
      <c r="O80" s="1322">
        <f t="shared" si="14"/>
        <v>0</v>
      </c>
      <c r="Q80" s="1333"/>
      <c r="R80" s="1333"/>
    </row>
    <row r="81" spans="1:18" ht="21" x14ac:dyDescent="0.55000000000000004">
      <c r="B81" s="851" t="str">
        <f t="shared" si="10"/>
        <v>other</v>
      </c>
      <c r="C81" s="1345" t="s">
        <v>70</v>
      </c>
      <c r="D81" s="1345">
        <v>4025</v>
      </c>
      <c r="E81" s="1347">
        <v>4705</v>
      </c>
      <c r="F81" s="1331">
        <f t="shared" si="13"/>
        <v>0</v>
      </c>
      <c r="G81" s="1323">
        <v>0</v>
      </c>
      <c r="H81" s="2453"/>
      <c r="I81" s="2454"/>
      <c r="J81" s="1322">
        <f t="shared" si="15"/>
        <v>0</v>
      </c>
      <c r="K81" s="1331">
        <f t="shared" si="15"/>
        <v>0</v>
      </c>
      <c r="L81" s="1332">
        <v>0</v>
      </c>
      <c r="M81" s="2453"/>
      <c r="N81" s="2454"/>
      <c r="O81" s="1322">
        <f t="shared" si="14"/>
        <v>0</v>
      </c>
      <c r="Q81" s="1333"/>
      <c r="R81" s="1333"/>
    </row>
    <row r="82" spans="1:18" ht="21" x14ac:dyDescent="0.55000000000000004">
      <c r="B82" s="1311" t="s">
        <v>1166</v>
      </c>
      <c r="C82" s="1334"/>
      <c r="D82" s="1313"/>
      <c r="E82" s="1315"/>
      <c r="F82" s="1326">
        <f>SUM(F73:F81)</f>
        <v>966302921.12844193</v>
      </c>
      <c r="G82" s="1327"/>
      <c r="H82" s="2455"/>
      <c r="I82" s="2456"/>
      <c r="J82" s="1328">
        <f>SUM(J73:J81)</f>
        <v>91471411.817814887</v>
      </c>
      <c r="K82" s="1326">
        <f>SUM(K73:K81)</f>
        <v>956093898.92025125</v>
      </c>
      <c r="L82" s="1329"/>
      <c r="M82" s="2455"/>
      <c r="N82" s="2456"/>
      <c r="O82" s="1328">
        <f>SUM(O73:O81)</f>
        <v>90485587.003564</v>
      </c>
      <c r="Q82" s="1333"/>
      <c r="R82" s="1333"/>
    </row>
    <row r="83" spans="1:18" x14ac:dyDescent="0.2">
      <c r="H83" s="1335"/>
    </row>
    <row r="84" spans="1:18" ht="21" x14ac:dyDescent="0.55000000000000004">
      <c r="A84" s="1" t="s">
        <v>1335</v>
      </c>
      <c r="G84" s="1333"/>
      <c r="H84" s="1333"/>
      <c r="I84" s="1333"/>
      <c r="J84" s="1333"/>
      <c r="K84" s="1333"/>
    </row>
    <row r="85" spans="1:18" x14ac:dyDescent="0.2">
      <c r="A85" s="1" t="s">
        <v>1336</v>
      </c>
      <c r="G85" s="1336"/>
      <c r="H85" s="1336"/>
      <c r="K85" s="1336"/>
    </row>
    <row r="87" spans="1:18" ht="21" x14ac:dyDescent="0.55000000000000004">
      <c r="K87" s="1333"/>
    </row>
    <row r="88" spans="1:18" ht="21" x14ac:dyDescent="0.55000000000000004">
      <c r="K88" s="1333"/>
    </row>
    <row r="89" spans="1:18" x14ac:dyDescent="0.2">
      <c r="K89" s="1337"/>
    </row>
    <row r="91" spans="1:18" x14ac:dyDescent="0.2">
      <c r="K91" s="1335"/>
    </row>
  </sheetData>
  <mergeCells count="46">
    <mergeCell ref="L37:L39"/>
    <mergeCell ref="D17:E17"/>
    <mergeCell ref="D22:E22"/>
    <mergeCell ref="D23:E23"/>
    <mergeCell ref="D24:E24"/>
    <mergeCell ref="C33:F33"/>
    <mergeCell ref="G33:H33"/>
    <mergeCell ref="I33:J33"/>
    <mergeCell ref="I35:J35"/>
    <mergeCell ref="L35:L36"/>
    <mergeCell ref="I17:K17"/>
    <mergeCell ref="D18:E18"/>
    <mergeCell ref="D19:E19"/>
    <mergeCell ref="D20:E20"/>
    <mergeCell ref="D21:E21"/>
    <mergeCell ref="D25:E25"/>
    <mergeCell ref="A2:F3"/>
    <mergeCell ref="B9:S9"/>
    <mergeCell ref="D13:O13"/>
    <mergeCell ref="I15:K15"/>
    <mergeCell ref="L15:L16"/>
    <mergeCell ref="M15:N15"/>
    <mergeCell ref="D16:E16"/>
    <mergeCell ref="A10:O10"/>
    <mergeCell ref="D26:E26"/>
    <mergeCell ref="D27:E27"/>
    <mergeCell ref="D28:E28"/>
    <mergeCell ref="I32:J32"/>
    <mergeCell ref="C38:F38"/>
    <mergeCell ref="C39:F39"/>
    <mergeCell ref="C40:F40"/>
    <mergeCell ref="C41:F41"/>
    <mergeCell ref="C37:F37"/>
    <mergeCell ref="G37:G42"/>
    <mergeCell ref="C42:F42"/>
    <mergeCell ref="C43:F43"/>
    <mergeCell ref="F49:J49"/>
    <mergeCell ref="K49:O49"/>
    <mergeCell ref="F55:J55"/>
    <mergeCell ref="K55:O55"/>
    <mergeCell ref="H57:I67"/>
    <mergeCell ref="M57:N67"/>
    <mergeCell ref="F70:J70"/>
    <mergeCell ref="K70:O70"/>
    <mergeCell ref="H71:I82"/>
    <mergeCell ref="M71:N82"/>
  </mergeCells>
  <conditionalFormatting sqref="B1">
    <cfRule type="expression" dxfId="0" priority="1" stopIfTrue="1">
      <formula>LEFT($C1,6)="Macros"</formula>
    </cfRule>
  </conditionalFormatting>
  <dataValidations count="2">
    <dataValidation type="list" allowBlank="1" showInputMessage="1" showErrorMessage="1" sqref="C58:C66 C73:C81" xr:uid="{00000000-0002-0000-3200-000000000000}">
      <formula1>"kWh, kW,Customer"</formula1>
    </dataValidation>
    <dataValidation allowBlank="1" showInputMessage="1" showErrorMessage="1" promptTitle="Date Format" prompt="E.g:  &quot;August 1, 2011&quot;" sqref="N7" xr:uid="{00000000-0002-0000-3200-000001000000}"/>
  </dataValidations>
  <pageMargins left="0.7" right="0.7" top="0.75" bottom="0.75" header="0.51180555555555551" footer="0.51180555555555551"/>
  <pageSetup scale="53" firstPageNumber="0" fitToHeight="0" orientation="landscape" horizontalDpi="300" verticalDpi="300" r:id="rId1"/>
  <headerFooter alignWithMargins="0"/>
  <rowBreaks count="1" manualBreakCount="1">
    <brk id="44" max="14" man="1"/>
  </rowBreaks>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7"/>
  <dimension ref="A1"/>
  <sheetViews>
    <sheetView showGridLines="0" workbookViewId="0">
      <selection activeCell="G7" sqref="A1:G7"/>
    </sheetView>
  </sheetViews>
  <sheetFormatPr defaultRowHeight="12.75" x14ac:dyDescent="0.2"/>
  <sheetData/>
  <sheetProtection algorithmName="SHA-512" hashValue="xWBUlK4w6xeWUGiPkGFa6vZ8WXQLqiLX1LJJoSwe6sJaMvzCxtoDdWMWnoL79W6voOImpkOusAyvUw0ef0jdCA==" saltValue="cnS9XXBGQkgv2atuzLFChQ==" spinCount="100000" sheet="1" objects="1" scenarios="1"/>
  <pageMargins left="0.7" right="0.7" top="0.75" bottom="0.75" header="0.3" footer="0.3"/>
  <pageSetup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K146"/>
  <sheetViews>
    <sheetView showGridLines="0" zoomScaleNormal="100" workbookViewId="0">
      <selection activeCell="B132" sqref="B132:I132"/>
    </sheetView>
  </sheetViews>
  <sheetFormatPr defaultColWidth="9.28515625" defaultRowHeight="12.75" x14ac:dyDescent="0.2"/>
  <cols>
    <col min="1" max="1" width="58.28515625" style="27" customWidth="1"/>
    <col min="2" max="2" width="13.7109375" style="27" customWidth="1"/>
    <col min="3" max="3" width="14.28515625" style="27" customWidth="1"/>
    <col min="4" max="7" width="13.7109375" style="27" customWidth="1"/>
    <col min="8" max="8" width="15" style="27" customWidth="1"/>
    <col min="9" max="10" width="13.7109375" style="27" customWidth="1"/>
    <col min="11" max="16384" width="9.28515625" style="27"/>
  </cols>
  <sheetData>
    <row r="1" spans="1:11" x14ac:dyDescent="0.2">
      <c r="I1" s="39" t="s">
        <v>264</v>
      </c>
      <c r="J1" s="875" t="str">
        <f>EBNUMBER</f>
        <v>EB-2019-0037</v>
      </c>
    </row>
    <row r="2" spans="1:11" x14ac:dyDescent="0.2">
      <c r="I2" s="39" t="s">
        <v>265</v>
      </c>
      <c r="J2" s="41"/>
    </row>
    <row r="3" spans="1:11" x14ac:dyDescent="0.2">
      <c r="I3" s="39" t="s">
        <v>266</v>
      </c>
      <c r="J3" s="41"/>
    </row>
    <row r="4" spans="1:11" x14ac:dyDescent="0.2">
      <c r="I4" s="39" t="s">
        <v>267</v>
      </c>
      <c r="J4" s="41"/>
    </row>
    <row r="5" spans="1:11" x14ac:dyDescent="0.2">
      <c r="I5" s="39" t="s">
        <v>268</v>
      </c>
      <c r="J5" s="42"/>
    </row>
    <row r="6" spans="1:11" x14ac:dyDescent="0.2">
      <c r="I6" s="39"/>
      <c r="J6" s="40"/>
    </row>
    <row r="7" spans="1:11" x14ac:dyDescent="0.2">
      <c r="I7" s="39" t="s">
        <v>269</v>
      </c>
      <c r="J7" s="1448"/>
    </row>
    <row r="9" spans="1:11" ht="18" x14ac:dyDescent="0.25">
      <c r="A9" s="1867" t="s">
        <v>607</v>
      </c>
      <c r="B9" s="1867"/>
      <c r="C9" s="1867"/>
      <c r="D9" s="1867"/>
      <c r="E9" s="1867"/>
      <c r="F9" s="1867"/>
      <c r="G9" s="1867"/>
      <c r="H9" s="1867"/>
      <c r="I9" s="1867"/>
      <c r="J9" s="1867"/>
      <c r="K9" s="43"/>
    </row>
    <row r="10" spans="1:11" ht="18" x14ac:dyDescent="0.25">
      <c r="A10" s="1867" t="s">
        <v>20</v>
      </c>
      <c r="B10" s="1867"/>
      <c r="C10" s="1867"/>
      <c r="D10" s="1867"/>
      <c r="E10" s="1867"/>
      <c r="F10" s="1867"/>
      <c r="G10" s="1867"/>
      <c r="H10" s="1867"/>
      <c r="I10" s="1867"/>
      <c r="J10" s="1867"/>
      <c r="K10" s="43"/>
    </row>
    <row r="12" spans="1:11" ht="13.5" thickBot="1" x14ac:dyDescent="0.25">
      <c r="A12" s="1865"/>
      <c r="B12" s="1865"/>
      <c r="C12" s="1865"/>
      <c r="D12" s="1865"/>
      <c r="E12" s="1865"/>
      <c r="F12" s="1865"/>
      <c r="G12" s="1865"/>
      <c r="H12" s="1865"/>
      <c r="I12" s="1865"/>
      <c r="J12" s="1865"/>
    </row>
    <row r="13" spans="1:11" ht="25.5" x14ac:dyDescent="0.2">
      <c r="A13" s="44" t="s">
        <v>173</v>
      </c>
      <c r="B13" s="1775">
        <v>2013</v>
      </c>
      <c r="C13" s="1775">
        <v>2014</v>
      </c>
      <c r="D13" s="1194">
        <f>E13-1</f>
        <v>2015</v>
      </c>
      <c r="E13" s="1194">
        <f>F13-1</f>
        <v>2016</v>
      </c>
      <c r="F13" s="1194">
        <f>G13-1</f>
        <v>2017</v>
      </c>
      <c r="G13" s="1194">
        <f>BridgeYear - 1</f>
        <v>2018</v>
      </c>
      <c r="H13" s="1194" t="str">
        <f>BridgeYear &amp; " Bridge Year"</f>
        <v>2019 Bridge Year</v>
      </c>
      <c r="I13" s="1194" t="str">
        <f>TestYear &amp; " Test Year"</f>
        <v>2020 Test Year</v>
      </c>
    </row>
    <row r="14" spans="1:11" x14ac:dyDescent="0.2">
      <c r="A14" s="46" t="s">
        <v>90</v>
      </c>
      <c r="B14" s="47" t="s">
        <v>91</v>
      </c>
      <c r="C14" s="47" t="s">
        <v>91</v>
      </c>
      <c r="D14" s="47" t="s">
        <v>92</v>
      </c>
      <c r="E14" s="47" t="s">
        <v>92</v>
      </c>
      <c r="F14" s="47" t="s">
        <v>92</v>
      </c>
      <c r="G14" s="47" t="s">
        <v>92</v>
      </c>
      <c r="H14" s="47" t="s">
        <v>92</v>
      </c>
      <c r="I14" s="47" t="s">
        <v>92</v>
      </c>
    </row>
    <row r="15" spans="1:11" x14ac:dyDescent="0.2">
      <c r="A15" s="1553" t="s">
        <v>613</v>
      </c>
      <c r="B15" s="1553"/>
      <c r="C15" s="1553"/>
      <c r="D15" s="49"/>
      <c r="E15" s="49"/>
      <c r="F15" s="49"/>
      <c r="G15" s="49"/>
      <c r="H15" s="49"/>
      <c r="I15" s="49"/>
    </row>
    <row r="16" spans="1:11" x14ac:dyDescent="0.2">
      <c r="A16" s="1554" t="s">
        <v>1390</v>
      </c>
      <c r="B16" s="1699"/>
      <c r="C16" s="1699">
        <v>117774.81999999999</v>
      </c>
      <c r="D16" s="1701">
        <v>152796.29</v>
      </c>
      <c r="E16" s="51">
        <v>176066.88</v>
      </c>
      <c r="F16" s="51"/>
      <c r="G16" s="51">
        <v>120023.62000000001</v>
      </c>
      <c r="H16" s="51">
        <v>147710.82</v>
      </c>
      <c r="I16" s="51">
        <v>174862</v>
      </c>
    </row>
    <row r="17" spans="1:9" x14ac:dyDescent="0.2">
      <c r="A17" s="1554" t="s">
        <v>1391</v>
      </c>
      <c r="B17" s="1699"/>
      <c r="C17" s="1699">
        <v>138646.16999999998</v>
      </c>
      <c r="D17" s="1701">
        <v>129536.86000000002</v>
      </c>
      <c r="E17" s="51">
        <v>170918.58</v>
      </c>
      <c r="F17" s="51">
        <v>133408.60369080331</v>
      </c>
      <c r="G17" s="51">
        <v>140168.22999999998</v>
      </c>
      <c r="H17" s="51">
        <v>181239.3</v>
      </c>
      <c r="I17" s="51">
        <v>150500</v>
      </c>
    </row>
    <row r="18" spans="1:9" x14ac:dyDescent="0.2">
      <c r="A18" s="1554" t="s">
        <v>1392</v>
      </c>
      <c r="B18" s="1699">
        <v>150947.91666666666</v>
      </c>
      <c r="C18" s="1699">
        <v>50576.714000000022</v>
      </c>
      <c r="D18" s="1701">
        <v>252250.99000000011</v>
      </c>
      <c r="E18" s="51">
        <v>177298.53999999995</v>
      </c>
      <c r="F18" s="51">
        <v>326146.0758306167</v>
      </c>
      <c r="G18" s="51">
        <v>158156.09999999998</v>
      </c>
      <c r="H18" s="51">
        <v>207517.04500000007</v>
      </c>
      <c r="I18" s="51">
        <v>114911</v>
      </c>
    </row>
    <row r="19" spans="1:9" x14ac:dyDescent="0.2">
      <c r="A19" s="1554" t="s">
        <v>1393</v>
      </c>
      <c r="B19" s="1699"/>
      <c r="C19" s="1699">
        <v>119099.43000000002</v>
      </c>
      <c r="D19" s="1701"/>
      <c r="E19" s="51">
        <v>146179.19000000003</v>
      </c>
      <c r="F19" s="51">
        <v>117965.02897178997</v>
      </c>
      <c r="G19" s="51"/>
      <c r="H19" s="51">
        <v>115583.90999999997</v>
      </c>
      <c r="I19" s="51">
        <v>122400</v>
      </c>
    </row>
    <row r="20" spans="1:9" ht="13.15" customHeight="1" x14ac:dyDescent="0.2">
      <c r="A20" s="1554" t="s">
        <v>1394</v>
      </c>
      <c r="B20" s="1699">
        <v>484101.30000000005</v>
      </c>
      <c r="C20" s="1699">
        <v>360001.58999999985</v>
      </c>
      <c r="D20" s="1555"/>
      <c r="E20" s="51">
        <v>153024.37</v>
      </c>
      <c r="F20" s="51">
        <v>159247.48266570689</v>
      </c>
      <c r="G20" s="51">
        <v>172057.87000000034</v>
      </c>
      <c r="H20" s="51">
        <v>311204.33999999991</v>
      </c>
      <c r="I20" s="51">
        <v>275000</v>
      </c>
    </row>
    <row r="21" spans="1:9" ht="15" customHeight="1" x14ac:dyDescent="0.2">
      <c r="A21" s="1554" t="s">
        <v>1618</v>
      </c>
      <c r="B21" s="1774">
        <v>135831.69</v>
      </c>
      <c r="C21" s="1778"/>
      <c r="D21" s="52"/>
      <c r="E21" s="52"/>
      <c r="F21" s="52"/>
      <c r="G21" s="52"/>
      <c r="H21" s="52"/>
      <c r="I21" s="52"/>
    </row>
    <row r="22" spans="1:9" x14ac:dyDescent="0.2">
      <c r="A22" s="53" t="s">
        <v>175</v>
      </c>
      <c r="B22" s="1363">
        <f t="shared" ref="B22:I22" si="0">SUM(B16:B21)</f>
        <v>770880.90666666673</v>
      </c>
      <c r="C22" s="1363">
        <f t="shared" si="0"/>
        <v>786098.72399999993</v>
      </c>
      <c r="D22" s="1363">
        <f t="shared" si="0"/>
        <v>534584.14000000013</v>
      </c>
      <c r="E22" s="1363">
        <f t="shared" si="0"/>
        <v>823487.55999999994</v>
      </c>
      <c r="F22" s="1363">
        <f t="shared" si="0"/>
        <v>736767.19115891692</v>
      </c>
      <c r="G22" s="1363">
        <f t="shared" si="0"/>
        <v>590405.8200000003</v>
      </c>
      <c r="H22" s="1363">
        <f t="shared" si="0"/>
        <v>963255.4149999998</v>
      </c>
      <c r="I22" s="1363">
        <f t="shared" si="0"/>
        <v>837673</v>
      </c>
    </row>
    <row r="23" spans="1:9" x14ac:dyDescent="0.2">
      <c r="A23" s="1556" t="s">
        <v>614</v>
      </c>
      <c r="B23" s="1556"/>
      <c r="C23" s="1556"/>
      <c r="D23" s="49"/>
      <c r="E23" s="49"/>
      <c r="F23" s="49"/>
      <c r="G23" s="49"/>
      <c r="H23" s="49"/>
      <c r="I23" s="49"/>
    </row>
    <row r="24" spans="1:9" x14ac:dyDescent="0.2">
      <c r="A24" s="1554" t="s">
        <v>1395</v>
      </c>
      <c r="B24" s="1699">
        <v>207883.85</v>
      </c>
      <c r="C24" s="1699">
        <v>173492.06</v>
      </c>
      <c r="D24" s="1701">
        <v>552324.97</v>
      </c>
      <c r="E24" s="50">
        <v>438521.67</v>
      </c>
      <c r="F24" s="50">
        <v>230948.62999999998</v>
      </c>
      <c r="G24" s="50">
        <v>533204</v>
      </c>
      <c r="H24" s="50">
        <v>180300.85</v>
      </c>
      <c r="I24" s="51">
        <v>350000</v>
      </c>
    </row>
    <row r="25" spans="1:9" ht="16.149999999999999" customHeight="1" x14ac:dyDescent="0.2">
      <c r="A25" s="1554" t="s">
        <v>1392</v>
      </c>
      <c r="B25" s="1699">
        <v>150947.91666666666</v>
      </c>
      <c r="C25" s="1699">
        <v>177018.49900000007</v>
      </c>
      <c r="D25" s="1701">
        <v>252250.99000000011</v>
      </c>
      <c r="E25" s="51">
        <v>177298.53999999995</v>
      </c>
      <c r="F25" s="51">
        <v>326146.0758306167</v>
      </c>
      <c r="G25" s="51">
        <v>158156.09999999998</v>
      </c>
      <c r="H25" s="51">
        <v>207517.04500000007</v>
      </c>
      <c r="I25" s="51">
        <v>402188.5</v>
      </c>
    </row>
    <row r="26" spans="1:9" x14ac:dyDescent="0.2">
      <c r="A26" s="1554" t="s">
        <v>1653</v>
      </c>
      <c r="B26" s="1699">
        <v>332235.78000000003</v>
      </c>
      <c r="C26" s="1699">
        <v>639556.46</v>
      </c>
      <c r="D26" s="1701">
        <v>302638.19</v>
      </c>
      <c r="E26" s="51">
        <v>760378.77</v>
      </c>
      <c r="F26" s="51"/>
      <c r="G26" s="51"/>
      <c r="H26" s="51" t="s" vm="1">
        <v>1780</v>
      </c>
      <c r="I26" s="51">
        <v>180000</v>
      </c>
    </row>
    <row r="27" spans="1:9" x14ac:dyDescent="0.2">
      <c r="A27" s="1554" t="s">
        <v>1654</v>
      </c>
      <c r="B27" s="1774"/>
      <c r="C27" s="1774">
        <v>279054.34000000003</v>
      </c>
      <c r="D27" s="1772"/>
      <c r="E27" s="52">
        <v>234113.96</v>
      </c>
      <c r="F27" s="52">
        <v>509595.07999999996</v>
      </c>
      <c r="G27" s="52">
        <v>577726.27000000025</v>
      </c>
      <c r="H27" s="52"/>
      <c r="I27" s="51">
        <v>326547</v>
      </c>
    </row>
    <row r="28" spans="1:9" x14ac:dyDescent="0.2">
      <c r="A28" s="1554" t="s">
        <v>1608</v>
      </c>
      <c r="B28" s="1774">
        <v>458279.94</v>
      </c>
      <c r="C28" s="1774"/>
      <c r="D28" s="1772"/>
      <c r="E28" s="52"/>
      <c r="F28" s="52"/>
      <c r="G28" s="52"/>
      <c r="H28" s="52"/>
      <c r="I28" s="51"/>
    </row>
    <row r="29" spans="1:9" x14ac:dyDescent="0.2">
      <c r="A29" s="1554" t="s">
        <v>1609</v>
      </c>
      <c r="B29" s="1774">
        <v>150049.67000000001</v>
      </c>
      <c r="C29" s="1774"/>
      <c r="D29" s="1772"/>
      <c r="E29" s="52"/>
      <c r="F29" s="52"/>
      <c r="G29" s="52"/>
      <c r="H29" s="52"/>
      <c r="I29" s="51"/>
    </row>
    <row r="30" spans="1:9" x14ac:dyDescent="0.2">
      <c r="A30" s="1554" t="s">
        <v>1610</v>
      </c>
      <c r="B30" s="1774">
        <v>402030.86</v>
      </c>
      <c r="C30" s="1774"/>
      <c r="D30" s="1772"/>
      <c r="E30" s="52"/>
      <c r="F30" s="52"/>
      <c r="G30" s="52"/>
      <c r="H30" s="52"/>
      <c r="I30" s="1776"/>
    </row>
    <row r="31" spans="1:9" x14ac:dyDescent="0.2">
      <c r="A31" s="1554" t="s">
        <v>1611</v>
      </c>
      <c r="B31" s="1774">
        <v>178744.72999999998</v>
      </c>
      <c r="C31" s="1774"/>
      <c r="D31" s="1772"/>
      <c r="E31" s="52"/>
      <c r="F31" s="52"/>
      <c r="G31" s="52"/>
      <c r="H31" s="52"/>
      <c r="I31" s="1776"/>
    </row>
    <row r="32" spans="1:9" x14ac:dyDescent="0.2">
      <c r="A32" s="1554" t="s">
        <v>1612</v>
      </c>
      <c r="B32" s="1774">
        <v>136290.68000000002</v>
      </c>
      <c r="C32" s="1774"/>
      <c r="D32" s="1772"/>
      <c r="E32" s="52"/>
      <c r="F32" s="52"/>
      <c r="G32" s="52"/>
      <c r="H32" s="52"/>
      <c r="I32" s="1776"/>
    </row>
    <row r="33" spans="1:9" x14ac:dyDescent="0.2">
      <c r="A33" s="1554" t="s">
        <v>1613</v>
      </c>
      <c r="B33" s="1774">
        <v>173084.86000000002</v>
      </c>
      <c r="C33" s="1774"/>
      <c r="D33" s="1772"/>
      <c r="E33" s="52"/>
      <c r="F33" s="52"/>
      <c r="G33" s="52"/>
      <c r="H33" s="52"/>
      <c r="I33" s="1776"/>
    </row>
    <row r="34" spans="1:9" x14ac:dyDescent="0.2">
      <c r="A34" s="1554" t="s">
        <v>1614</v>
      </c>
      <c r="B34" s="1774">
        <v>354547.17</v>
      </c>
      <c r="C34" s="1774"/>
      <c r="D34" s="1772"/>
      <c r="E34" s="52"/>
      <c r="F34" s="52"/>
      <c r="G34" s="52"/>
      <c r="H34" s="52"/>
      <c r="I34" s="1776"/>
    </row>
    <row r="35" spans="1:9" x14ac:dyDescent="0.2">
      <c r="A35" s="1554" t="s">
        <v>1615</v>
      </c>
      <c r="B35" s="1774">
        <v>167470.53</v>
      </c>
      <c r="C35" s="1774"/>
      <c r="D35" s="1772"/>
      <c r="E35" s="52"/>
      <c r="F35" s="52"/>
      <c r="G35" s="52"/>
      <c r="H35" s="52"/>
      <c r="I35" s="1776"/>
    </row>
    <row r="36" spans="1:9" x14ac:dyDescent="0.2">
      <c r="A36" s="1554" t="s">
        <v>1620</v>
      </c>
      <c r="B36" s="1774"/>
      <c r="C36" s="1774">
        <v>126563.42</v>
      </c>
      <c r="D36" s="1772"/>
      <c r="E36" s="52"/>
      <c r="F36" s="52"/>
      <c r="G36" s="52"/>
      <c r="H36" s="52"/>
      <c r="I36" s="1776"/>
    </row>
    <row r="37" spans="1:9" x14ac:dyDescent="0.2">
      <c r="A37" s="1554" t="s">
        <v>1621</v>
      </c>
      <c r="B37" s="1774"/>
      <c r="C37" s="1774">
        <v>121589.28</v>
      </c>
      <c r="D37" s="1772"/>
      <c r="E37" s="52"/>
      <c r="F37" s="52"/>
      <c r="G37" s="52"/>
      <c r="H37" s="52"/>
      <c r="I37" s="1776"/>
    </row>
    <row r="38" spans="1:9" x14ac:dyDescent="0.2">
      <c r="A38" s="1554" t="s">
        <v>1622</v>
      </c>
      <c r="B38" s="1774"/>
      <c r="C38" s="1774">
        <v>116006.36999999998</v>
      </c>
      <c r="D38" s="1772"/>
      <c r="E38" s="52"/>
      <c r="F38" s="52"/>
      <c r="G38" s="52"/>
      <c r="H38" s="52"/>
      <c r="I38" s="1776"/>
    </row>
    <row r="39" spans="1:9" x14ac:dyDescent="0.2">
      <c r="A39" s="1554" t="s">
        <v>1623</v>
      </c>
      <c r="B39" s="1774"/>
      <c r="C39" s="1774">
        <v>296054.86</v>
      </c>
      <c r="D39" s="1772"/>
      <c r="E39" s="52"/>
      <c r="F39" s="52"/>
      <c r="G39" s="52"/>
      <c r="H39" s="52"/>
      <c r="I39" s="1776"/>
    </row>
    <row r="40" spans="1:9" x14ac:dyDescent="0.2">
      <c r="A40" s="1554" t="s">
        <v>1624</v>
      </c>
      <c r="B40" s="1774"/>
      <c r="C40" s="1774">
        <v>546967.16</v>
      </c>
      <c r="D40" s="1772"/>
      <c r="E40" s="52"/>
      <c r="F40" s="52"/>
      <c r="G40" s="52"/>
      <c r="H40" s="52"/>
      <c r="I40" s="1776"/>
    </row>
    <row r="41" spans="1:9" x14ac:dyDescent="0.2">
      <c r="A41" s="1554" t="s">
        <v>1625</v>
      </c>
      <c r="B41" s="1774"/>
      <c r="C41" s="1774">
        <v>151066.13999999998</v>
      </c>
      <c r="D41" s="1772"/>
      <c r="E41" s="52"/>
      <c r="F41" s="52"/>
      <c r="G41" s="52"/>
      <c r="H41" s="52"/>
      <c r="I41" s="1776"/>
    </row>
    <row r="42" spans="1:9" x14ac:dyDescent="0.2">
      <c r="A42" s="1554" t="s">
        <v>1611</v>
      </c>
      <c r="B42" s="1774"/>
      <c r="C42" s="1774">
        <v>476225.63</v>
      </c>
      <c r="D42" s="1772"/>
      <c r="E42" s="52"/>
      <c r="F42" s="52"/>
      <c r="G42" s="52"/>
      <c r="H42" s="52"/>
      <c r="I42" s="1776"/>
    </row>
    <row r="43" spans="1:9" x14ac:dyDescent="0.2">
      <c r="A43" s="1554" t="s">
        <v>1626</v>
      </c>
      <c r="B43" s="1774"/>
      <c r="C43" s="1774">
        <v>140240.79</v>
      </c>
      <c r="D43" s="1772"/>
      <c r="E43" s="52"/>
      <c r="F43" s="52"/>
      <c r="G43" s="52"/>
      <c r="H43" s="52"/>
      <c r="I43" s="1776"/>
    </row>
    <row r="44" spans="1:9" x14ac:dyDescent="0.2">
      <c r="A44" s="1554" t="s">
        <v>1396</v>
      </c>
      <c r="B44" s="1699"/>
      <c r="C44" s="1699"/>
      <c r="D44" s="1701">
        <v>133235.28</v>
      </c>
      <c r="E44" s="51"/>
      <c r="F44" s="51"/>
      <c r="G44" s="51"/>
      <c r="H44" s="51"/>
      <c r="I44" s="1776"/>
    </row>
    <row r="45" spans="1:9" x14ac:dyDescent="0.2">
      <c r="A45" s="1554" t="s">
        <v>1397</v>
      </c>
      <c r="B45" s="1554"/>
      <c r="C45" s="1699"/>
      <c r="D45" s="1701">
        <v>172245.34</v>
      </c>
      <c r="E45" s="51"/>
      <c r="F45" s="51"/>
      <c r="G45" s="51"/>
      <c r="H45" s="51"/>
      <c r="I45" s="1776"/>
    </row>
    <row r="46" spans="1:9" x14ac:dyDescent="0.2">
      <c r="A46" s="1554" t="s">
        <v>1398</v>
      </c>
      <c r="B46" s="1554"/>
      <c r="C46" s="1699"/>
      <c r="D46" s="1701">
        <v>117525.96</v>
      </c>
      <c r="E46" s="51"/>
      <c r="F46" s="51"/>
      <c r="G46" s="51"/>
      <c r="H46" s="51"/>
      <c r="I46" s="1776"/>
    </row>
    <row r="47" spans="1:9" x14ac:dyDescent="0.2">
      <c r="A47" s="1557" t="s">
        <v>1399</v>
      </c>
      <c r="B47" s="1557"/>
      <c r="C47" s="1700"/>
      <c r="D47" s="1701">
        <v>178424.81</v>
      </c>
      <c r="E47" s="51"/>
      <c r="F47" s="51"/>
      <c r="G47" s="51"/>
      <c r="H47" s="51"/>
      <c r="I47" s="1776"/>
    </row>
    <row r="48" spans="1:9" x14ac:dyDescent="0.2">
      <c r="A48" s="1557" t="s">
        <v>1400</v>
      </c>
      <c r="B48" s="1557"/>
      <c r="C48" s="1700"/>
      <c r="D48" s="1701">
        <v>368772.97</v>
      </c>
      <c r="E48" s="51"/>
      <c r="F48" s="51"/>
      <c r="G48" s="51"/>
      <c r="H48" s="51"/>
      <c r="I48" s="1776"/>
    </row>
    <row r="49" spans="1:9" x14ac:dyDescent="0.2">
      <c r="A49" s="1557" t="s">
        <v>1401</v>
      </c>
      <c r="B49" s="1557"/>
      <c r="C49" s="1700"/>
      <c r="D49" s="1701">
        <v>155287.84</v>
      </c>
      <c r="E49" s="51"/>
      <c r="F49" s="51"/>
      <c r="G49" s="51"/>
      <c r="H49" s="51"/>
      <c r="I49" s="1776"/>
    </row>
    <row r="50" spans="1:9" x14ac:dyDescent="0.2">
      <c r="A50" s="1557" t="s">
        <v>1402</v>
      </c>
      <c r="B50" s="1557"/>
      <c r="C50" s="1700"/>
      <c r="D50" s="1701">
        <v>352628.43</v>
      </c>
      <c r="E50" s="51"/>
      <c r="F50" s="51"/>
      <c r="G50" s="51"/>
      <c r="H50" s="51"/>
      <c r="I50" s="1776"/>
    </row>
    <row r="51" spans="1:9" x14ac:dyDescent="0.2">
      <c r="A51" s="1554" t="s">
        <v>1403</v>
      </c>
      <c r="B51" s="1766"/>
      <c r="C51" s="1774"/>
      <c r="D51" s="1772"/>
      <c r="E51" s="52">
        <v>162575.59</v>
      </c>
      <c r="F51" s="52"/>
      <c r="G51" s="52"/>
      <c r="H51" s="52"/>
      <c r="I51" s="1776"/>
    </row>
    <row r="52" spans="1:9" x14ac:dyDescent="0.2">
      <c r="A52" s="1554" t="s">
        <v>1404</v>
      </c>
      <c r="B52" s="1766"/>
      <c r="C52" s="1774"/>
      <c r="D52" s="1772"/>
      <c r="E52" s="52">
        <v>154002.60999999999</v>
      </c>
      <c r="F52" s="52"/>
      <c r="G52" s="52"/>
      <c r="H52" s="52"/>
      <c r="I52" s="1776"/>
    </row>
    <row r="53" spans="1:9" x14ac:dyDescent="0.2">
      <c r="A53" s="1554" t="s">
        <v>1405</v>
      </c>
      <c r="B53" s="1766"/>
      <c r="C53" s="1774"/>
      <c r="D53" s="1558"/>
      <c r="E53" s="52">
        <v>221473.47999999998</v>
      </c>
      <c r="F53" s="52"/>
      <c r="G53" s="52"/>
      <c r="H53" s="52"/>
      <c r="I53" s="1776"/>
    </row>
    <row r="54" spans="1:9" x14ac:dyDescent="0.2">
      <c r="A54" s="1554" t="s">
        <v>1406</v>
      </c>
      <c r="B54" s="1766"/>
      <c r="C54" s="1774"/>
      <c r="D54" s="1558"/>
      <c r="E54" s="52">
        <v>130207.97</v>
      </c>
      <c r="F54" s="52"/>
      <c r="G54" s="52"/>
      <c r="H54" s="52"/>
      <c r="I54" s="1776"/>
    </row>
    <row r="55" spans="1:9" x14ac:dyDescent="0.2">
      <c r="A55" s="1554" t="s">
        <v>1407</v>
      </c>
      <c r="B55" s="1766"/>
      <c r="C55" s="1774"/>
      <c r="D55" s="1558"/>
      <c r="E55" s="52">
        <v>245046.89</v>
      </c>
      <c r="F55" s="52"/>
      <c r="G55" s="52"/>
      <c r="H55" s="52"/>
      <c r="I55" s="1777"/>
    </row>
    <row r="56" spans="1:9" x14ac:dyDescent="0.2">
      <c r="A56" s="1554" t="s">
        <v>1408</v>
      </c>
      <c r="B56" s="1766"/>
      <c r="C56" s="1774"/>
      <c r="D56" s="1558"/>
      <c r="E56" s="52">
        <v>139340.31</v>
      </c>
      <c r="F56" s="52"/>
      <c r="G56" s="52"/>
      <c r="H56" s="52"/>
      <c r="I56" s="1777"/>
    </row>
    <row r="57" spans="1:9" x14ac:dyDescent="0.2">
      <c r="A57" s="1554" t="s">
        <v>1409</v>
      </c>
      <c r="B57" s="1766"/>
      <c r="C57" s="1774"/>
      <c r="D57" s="1558"/>
      <c r="E57" s="52">
        <v>166650.66</v>
      </c>
      <c r="F57" s="52"/>
      <c r="G57" s="52"/>
      <c r="H57" s="52"/>
      <c r="I57" s="1777"/>
    </row>
    <row r="58" spans="1:9" x14ac:dyDescent="0.2">
      <c r="A58" s="1554" t="s">
        <v>1410</v>
      </c>
      <c r="B58" s="1766"/>
      <c r="C58" s="1774"/>
      <c r="D58" s="1558"/>
      <c r="E58" s="52">
        <v>116572.40000000001</v>
      </c>
      <c r="F58" s="52"/>
      <c r="G58" s="52"/>
      <c r="H58" s="52"/>
      <c r="I58" s="1777"/>
    </row>
    <row r="59" spans="1:9" x14ac:dyDescent="0.2">
      <c r="A59" s="1554" t="s">
        <v>1411</v>
      </c>
      <c r="B59" s="1766"/>
      <c r="C59" s="1774"/>
      <c r="D59" s="1558"/>
      <c r="E59" s="52">
        <v>199933.8</v>
      </c>
      <c r="F59" s="52"/>
      <c r="G59" s="52"/>
      <c r="H59" s="52"/>
      <c r="I59" s="1777"/>
    </row>
    <row r="60" spans="1:9" x14ac:dyDescent="0.2">
      <c r="A60" s="1554" t="s">
        <v>1412</v>
      </c>
      <c r="B60" s="1766"/>
      <c r="C60" s="1774"/>
      <c r="D60" s="1558"/>
      <c r="E60" s="52">
        <v>176165.67</v>
      </c>
      <c r="F60" s="52"/>
      <c r="G60" s="52"/>
      <c r="H60" s="52"/>
      <c r="I60" s="1777"/>
    </row>
    <row r="61" spans="1:9" x14ac:dyDescent="0.2">
      <c r="A61" s="1554" t="s">
        <v>1413</v>
      </c>
      <c r="B61" s="1766"/>
      <c r="C61" s="1774"/>
      <c r="D61" s="1558"/>
      <c r="E61" s="52">
        <v>118303.61</v>
      </c>
      <c r="F61" s="52"/>
      <c r="G61" s="52"/>
      <c r="H61" s="52"/>
      <c r="I61" s="1777"/>
    </row>
    <row r="62" spans="1:9" x14ac:dyDescent="0.2">
      <c r="A62" s="1554" t="s">
        <v>1502</v>
      </c>
      <c r="B62" s="1766"/>
      <c r="C62" s="1774"/>
      <c r="D62" s="1558"/>
      <c r="E62" s="52">
        <v>115207.49</v>
      </c>
      <c r="F62" s="52"/>
      <c r="G62" s="52"/>
      <c r="H62" s="52"/>
      <c r="I62" s="1777"/>
    </row>
    <row r="63" spans="1:9" x14ac:dyDescent="0.2">
      <c r="A63" s="1554" t="s">
        <v>1414</v>
      </c>
      <c r="B63" s="1766"/>
      <c r="C63" s="1774"/>
      <c r="D63" s="1558"/>
      <c r="E63" s="52">
        <v>187907.23</v>
      </c>
      <c r="F63" s="52"/>
      <c r="G63" s="52"/>
      <c r="H63" s="52"/>
      <c r="I63" s="1777"/>
    </row>
    <row r="64" spans="1:9" x14ac:dyDescent="0.2">
      <c r="A64" s="1554" t="s">
        <v>1415</v>
      </c>
      <c r="B64" s="1766"/>
      <c r="C64" s="1774"/>
      <c r="D64" s="1558"/>
      <c r="E64" s="52">
        <v>138065.5</v>
      </c>
      <c r="F64" s="52"/>
      <c r="G64" s="52"/>
      <c r="H64" s="52"/>
      <c r="I64" s="1777"/>
    </row>
    <row r="65" spans="1:9" x14ac:dyDescent="0.2">
      <c r="A65" s="1554" t="s">
        <v>1416</v>
      </c>
      <c r="B65" s="1766"/>
      <c r="C65" s="1774"/>
      <c r="D65" s="1558"/>
      <c r="E65" s="52"/>
      <c r="F65" s="52">
        <v>293714.97000000003</v>
      </c>
      <c r="G65" s="52"/>
      <c r="H65" s="52"/>
      <c r="I65" s="1777"/>
    </row>
    <row r="66" spans="1:9" x14ac:dyDescent="0.2">
      <c r="A66" s="1554" t="s">
        <v>1419</v>
      </c>
      <c r="B66" s="1766"/>
      <c r="C66" s="1774"/>
      <c r="D66" s="1558"/>
      <c r="E66" s="52"/>
      <c r="F66" s="52">
        <v>122682.01905691711</v>
      </c>
      <c r="G66" s="52"/>
      <c r="H66" s="52"/>
      <c r="I66" s="1777"/>
    </row>
    <row r="67" spans="1:9" x14ac:dyDescent="0.2">
      <c r="A67" s="1554" t="s">
        <v>1420</v>
      </c>
      <c r="B67" s="1766"/>
      <c r="C67" s="1774"/>
      <c r="D67" s="1558"/>
      <c r="E67" s="52"/>
      <c r="F67" s="52">
        <v>354269.76021296828</v>
      </c>
      <c r="G67" s="52"/>
      <c r="H67" s="52"/>
      <c r="I67" s="1777"/>
    </row>
    <row r="68" spans="1:9" x14ac:dyDescent="0.2">
      <c r="A68" s="1554" t="s">
        <v>1421</v>
      </c>
      <c r="B68" s="1766"/>
      <c r="C68" s="1774"/>
      <c r="D68" s="1558"/>
      <c r="E68" s="52"/>
      <c r="F68" s="52">
        <v>174998.43024075055</v>
      </c>
      <c r="G68" s="52"/>
      <c r="H68" s="52"/>
      <c r="I68" s="1777"/>
    </row>
    <row r="69" spans="1:9" x14ac:dyDescent="0.2">
      <c r="A69" s="1554" t="s">
        <v>1422</v>
      </c>
      <c r="B69" s="1766"/>
      <c r="C69" s="1774"/>
      <c r="D69" s="1558"/>
      <c r="E69" s="52"/>
      <c r="F69" s="52">
        <v>366948.53547049785</v>
      </c>
      <c r="G69" s="52"/>
      <c r="H69" s="52"/>
      <c r="I69" s="1777"/>
    </row>
    <row r="70" spans="1:9" x14ac:dyDescent="0.2">
      <c r="A70" s="1554" t="s">
        <v>1423</v>
      </c>
      <c r="B70" s="1766"/>
      <c r="C70" s="1774"/>
      <c r="D70" s="1558"/>
      <c r="E70" s="52"/>
      <c r="F70" s="52">
        <v>140045.49988339402</v>
      </c>
      <c r="G70" s="52"/>
      <c r="H70" s="52"/>
      <c r="I70" s="1777"/>
    </row>
    <row r="71" spans="1:9" x14ac:dyDescent="0.2">
      <c r="A71" s="1554" t="s">
        <v>1425</v>
      </c>
      <c r="B71" s="1766"/>
      <c r="C71" s="1774"/>
      <c r="D71" s="1558"/>
      <c r="E71" s="52"/>
      <c r="F71" s="52">
        <v>395943.16341251036</v>
      </c>
      <c r="G71" s="52"/>
      <c r="H71" s="52"/>
      <c r="I71" s="1777"/>
    </row>
    <row r="72" spans="1:9" x14ac:dyDescent="0.2">
      <c r="A72" s="1554" t="s">
        <v>1426</v>
      </c>
      <c r="B72" s="1766"/>
      <c r="C72" s="1774"/>
      <c r="D72" s="1558"/>
      <c r="E72" s="52"/>
      <c r="F72" s="52">
        <v>204197.13490607592</v>
      </c>
      <c r="G72" s="52"/>
      <c r="H72" s="52"/>
      <c r="I72" s="1777"/>
    </row>
    <row r="73" spans="1:9" x14ac:dyDescent="0.2">
      <c r="A73" s="1554" t="s">
        <v>1427</v>
      </c>
      <c r="B73" s="1766"/>
      <c r="C73" s="1774"/>
      <c r="D73" s="1558"/>
      <c r="E73" s="52"/>
      <c r="F73" s="52">
        <v>134536.75965076772</v>
      </c>
      <c r="G73" s="52"/>
      <c r="H73" s="52"/>
      <c r="I73" s="1777"/>
    </row>
    <row r="74" spans="1:9" x14ac:dyDescent="0.2">
      <c r="A74" s="1554" t="s">
        <v>1535</v>
      </c>
      <c r="B74" s="1766"/>
      <c r="C74" s="1774"/>
      <c r="D74" s="1558"/>
      <c r="E74" s="52"/>
      <c r="F74" s="52">
        <v>175290.11160068261</v>
      </c>
      <c r="G74" s="52"/>
      <c r="H74" s="52"/>
      <c r="I74" s="1777"/>
    </row>
    <row r="75" spans="1:9" x14ac:dyDescent="0.2">
      <c r="A75" s="1554" t="s">
        <v>1424</v>
      </c>
      <c r="B75" s="1766"/>
      <c r="C75" s="1774"/>
      <c r="D75" s="1558"/>
      <c r="E75" s="52"/>
      <c r="F75" s="52"/>
      <c r="G75" s="52">
        <v>470104.15</v>
      </c>
      <c r="H75" s="52"/>
      <c r="I75" s="1777"/>
    </row>
    <row r="76" spans="1:9" x14ac:dyDescent="0.2">
      <c r="A76" s="1554" t="s">
        <v>1418</v>
      </c>
      <c r="B76" s="1766"/>
      <c r="C76" s="1774"/>
      <c r="D76" s="1558"/>
      <c r="E76" s="52"/>
      <c r="F76" s="52"/>
      <c r="G76" s="52">
        <v>515434.16999999987</v>
      </c>
      <c r="H76" s="52"/>
      <c r="I76" s="1777"/>
    </row>
    <row r="77" spans="1:9" x14ac:dyDescent="0.2">
      <c r="A77" s="1554" t="s">
        <v>1428</v>
      </c>
      <c r="B77" s="1766"/>
      <c r="C77" s="1774"/>
      <c r="D77" s="1558"/>
      <c r="E77" s="52"/>
      <c r="F77" s="52"/>
      <c r="G77" s="52">
        <v>295360.01</v>
      </c>
      <c r="H77" s="52"/>
      <c r="I77" s="1777"/>
    </row>
    <row r="78" spans="1:9" x14ac:dyDescent="0.2">
      <c r="A78" s="1554" t="s">
        <v>1429</v>
      </c>
      <c r="B78" s="1766"/>
      <c r="C78" s="1774"/>
      <c r="D78" s="1558"/>
      <c r="E78" s="52"/>
      <c r="F78" s="52"/>
      <c r="G78" s="52">
        <v>925622.24999999977</v>
      </c>
      <c r="H78" s="52"/>
      <c r="I78" s="1777"/>
    </row>
    <row r="79" spans="1:9" x14ac:dyDescent="0.2">
      <c r="A79" s="1554" t="s">
        <v>1431</v>
      </c>
      <c r="B79" s="1766"/>
      <c r="C79" s="1774"/>
      <c r="D79" s="1558"/>
      <c r="E79" s="52"/>
      <c r="F79" s="52"/>
      <c r="G79" s="52">
        <v>234908.54999999978</v>
      </c>
      <c r="H79" s="52"/>
      <c r="I79" s="1777"/>
    </row>
    <row r="80" spans="1:9" x14ac:dyDescent="0.2">
      <c r="A80" s="1554" t="s">
        <v>1432</v>
      </c>
      <c r="B80" s="1766"/>
      <c r="C80" s="1774"/>
      <c r="D80" s="1558"/>
      <c r="E80" s="52"/>
      <c r="F80" s="52"/>
      <c r="G80" s="52">
        <v>3324675.6199999996</v>
      </c>
      <c r="H80" s="52"/>
      <c r="I80" s="1777"/>
    </row>
    <row r="81" spans="1:9" x14ac:dyDescent="0.2">
      <c r="A81" s="1554" t="s">
        <v>1501</v>
      </c>
      <c r="B81" s="1766"/>
      <c r="C81" s="1774"/>
      <c r="D81" s="1558"/>
      <c r="E81" s="52"/>
      <c r="F81" s="52"/>
      <c r="G81" s="52">
        <v>119794.78</v>
      </c>
      <c r="H81" s="52">
        <v>140855.01999999999</v>
      </c>
      <c r="I81" s="1777"/>
    </row>
    <row r="82" spans="1:9" x14ac:dyDescent="0.2">
      <c r="A82" s="1554" t="s">
        <v>1430</v>
      </c>
      <c r="B82" s="1766"/>
      <c r="C82" s="1774"/>
      <c r="D82" s="1558"/>
      <c r="E82" s="52"/>
      <c r="F82" s="52"/>
      <c r="G82" s="52"/>
      <c r="H82" s="52">
        <v>333294.90000000002</v>
      </c>
      <c r="I82" s="1777"/>
    </row>
    <row r="83" spans="1:9" x14ac:dyDescent="0.2">
      <c r="A83" s="1554" t="s">
        <v>1534</v>
      </c>
      <c r="B83" s="1766"/>
      <c r="C83" s="1774"/>
      <c r="D83" s="1558"/>
      <c r="E83" s="52"/>
      <c r="F83" s="52"/>
      <c r="G83" s="52"/>
      <c r="H83" s="52">
        <v>1542314.2999999998</v>
      </c>
      <c r="I83" s="1777"/>
    </row>
    <row r="84" spans="1:9" x14ac:dyDescent="0.2">
      <c r="A84" s="1554" t="s">
        <v>1494</v>
      </c>
      <c r="B84" s="1766"/>
      <c r="C84" s="1774"/>
      <c r="D84" s="1558"/>
      <c r="E84" s="52"/>
      <c r="F84" s="52"/>
      <c r="G84" s="52"/>
      <c r="H84" s="52">
        <v>435560.61</v>
      </c>
      <c r="I84" s="1777"/>
    </row>
    <row r="85" spans="1:9" x14ac:dyDescent="0.2">
      <c r="A85" s="1554" t="s">
        <v>1754</v>
      </c>
      <c r="B85" s="1766"/>
      <c r="C85" s="1774"/>
      <c r="D85" s="1558"/>
      <c r="E85" s="52"/>
      <c r="F85" s="52"/>
      <c r="G85" s="52"/>
      <c r="H85" s="52">
        <v>346117.96</v>
      </c>
      <c r="I85" s="1777"/>
    </row>
    <row r="86" spans="1:9" x14ac:dyDescent="0.2">
      <c r="A86" s="1554" t="s">
        <v>1495</v>
      </c>
      <c r="B86" s="1766"/>
      <c r="C86" s="1774"/>
      <c r="D86" s="1635"/>
      <c r="E86" s="1636"/>
      <c r="F86" s="1636"/>
      <c r="G86" s="1636"/>
      <c r="H86" s="1636">
        <v>157569.72999999998</v>
      </c>
      <c r="I86" s="1777"/>
    </row>
    <row r="87" spans="1:9" x14ac:dyDescent="0.2">
      <c r="A87" s="1554" t="s">
        <v>1496</v>
      </c>
      <c r="B87" s="1766"/>
      <c r="C87" s="1774"/>
      <c r="D87" s="1635"/>
      <c r="E87" s="1636"/>
      <c r="F87" s="1636"/>
      <c r="G87" s="1636"/>
      <c r="H87" s="1636">
        <v>268237.69</v>
      </c>
      <c r="I87" s="1777"/>
    </row>
    <row r="88" spans="1:9" x14ac:dyDescent="0.2">
      <c r="A88" s="1554" t="s">
        <v>1755</v>
      </c>
      <c r="B88" s="1766"/>
      <c r="C88" s="1774"/>
      <c r="D88" s="1635"/>
      <c r="E88" s="1636"/>
      <c r="F88" s="1636"/>
      <c r="G88" s="1636"/>
      <c r="H88" s="1636">
        <v>128294.34</v>
      </c>
      <c r="I88" s="1777"/>
    </row>
    <row r="89" spans="1:9" x14ac:dyDescent="0.2">
      <c r="A89" s="1554" t="s">
        <v>1756</v>
      </c>
      <c r="B89" s="1766"/>
      <c r="C89" s="1774"/>
      <c r="D89" s="1635"/>
      <c r="E89" s="1636"/>
      <c r="F89" s="1636"/>
      <c r="G89" s="1636"/>
      <c r="H89" s="1636">
        <v>133846.29</v>
      </c>
      <c r="I89" s="1777"/>
    </row>
    <row r="90" spans="1:9" x14ac:dyDescent="0.2">
      <c r="A90" s="1554" t="s">
        <v>1417</v>
      </c>
      <c r="B90" s="1766"/>
      <c r="C90" s="1774"/>
      <c r="D90" s="1558"/>
      <c r="E90" s="52"/>
      <c r="F90" s="52"/>
      <c r="G90" s="52"/>
      <c r="H90" s="52">
        <v>511674.96</v>
      </c>
      <c r="I90" s="1777"/>
    </row>
    <row r="91" spans="1:9" x14ac:dyDescent="0.2">
      <c r="A91" s="1554" t="s">
        <v>1651</v>
      </c>
      <c r="B91" s="1766"/>
      <c r="C91" s="1774"/>
      <c r="D91" s="1635"/>
      <c r="E91" s="1636"/>
      <c r="F91" s="1636"/>
      <c r="G91" s="1636"/>
      <c r="H91" s="1636"/>
      <c r="I91" s="1777">
        <v>2333837</v>
      </c>
    </row>
    <row r="92" spans="1:9" x14ac:dyDescent="0.2">
      <c r="A92" s="1554" t="s">
        <v>1659</v>
      </c>
      <c r="B92" s="1766"/>
      <c r="C92" s="1774"/>
      <c r="D92" s="1635"/>
      <c r="E92" s="1636"/>
      <c r="F92" s="1636"/>
      <c r="G92" s="1636"/>
      <c r="H92" s="1636"/>
      <c r="I92" s="1777">
        <v>1205701</v>
      </c>
    </row>
    <row r="93" spans="1:9" x14ac:dyDescent="0.2">
      <c r="A93" s="1554" t="s">
        <v>1500</v>
      </c>
      <c r="B93" s="1554"/>
      <c r="C93" s="1699"/>
      <c r="D93" s="55"/>
      <c r="E93" s="55"/>
      <c r="F93" s="55"/>
      <c r="G93" s="55"/>
      <c r="H93" s="1636"/>
      <c r="I93" s="1777">
        <v>120000</v>
      </c>
    </row>
    <row r="94" spans="1:9" x14ac:dyDescent="0.2">
      <c r="A94" s="1554" t="s">
        <v>1657</v>
      </c>
      <c r="B94" s="1554"/>
      <c r="C94" s="1699"/>
      <c r="D94" s="55"/>
      <c r="E94" s="55"/>
      <c r="F94" s="55"/>
      <c r="G94" s="55"/>
      <c r="H94" s="1636"/>
      <c r="I94" s="1777">
        <v>494292</v>
      </c>
    </row>
    <row r="95" spans="1:9" x14ac:dyDescent="0.2">
      <c r="A95" s="1554" t="s">
        <v>1528</v>
      </c>
      <c r="B95" s="1554"/>
      <c r="C95" s="1554"/>
      <c r="D95" s="55"/>
      <c r="E95" s="55"/>
      <c r="F95" s="55"/>
      <c r="G95" s="55"/>
      <c r="H95" s="55"/>
      <c r="I95" s="1777">
        <v>0</v>
      </c>
    </row>
    <row r="96" spans="1:9" hidden="1" x14ac:dyDescent="0.2">
      <c r="A96" s="1554"/>
      <c r="B96" s="1554"/>
      <c r="C96" s="1554"/>
      <c r="D96" s="55"/>
      <c r="E96" s="55"/>
      <c r="F96" s="55"/>
      <c r="G96" s="55"/>
      <c r="H96" s="55"/>
      <c r="I96" s="1637"/>
    </row>
    <row r="97" spans="1:9" x14ac:dyDescent="0.2">
      <c r="A97" s="53" t="s">
        <v>175</v>
      </c>
      <c r="B97" s="1363">
        <f t="shared" ref="B97:I97" si="1">SUM(B24:B96)</f>
        <v>2711565.9866666663</v>
      </c>
      <c r="C97" s="1363">
        <f t="shared" si="1"/>
        <v>3243835.0090000001</v>
      </c>
      <c r="D97" s="1363">
        <f t="shared" si="1"/>
        <v>2585334.7800000003</v>
      </c>
      <c r="E97" s="1363">
        <f t="shared" si="1"/>
        <v>3881766.1500000004</v>
      </c>
      <c r="F97" s="1363">
        <f t="shared" si="1"/>
        <v>3429316.1702651815</v>
      </c>
      <c r="G97" s="1363">
        <f t="shared" si="1"/>
        <v>7154985.8999999994</v>
      </c>
      <c r="H97" s="1363">
        <f t="shared" si="1"/>
        <v>4385583.6949999994</v>
      </c>
      <c r="I97" s="1363">
        <f t="shared" si="1"/>
        <v>5412565.5</v>
      </c>
    </row>
    <row r="98" spans="1:9" x14ac:dyDescent="0.2">
      <c r="A98" s="1556" t="s">
        <v>615</v>
      </c>
      <c r="B98" s="1556"/>
      <c r="C98" s="1556"/>
      <c r="D98" s="49"/>
      <c r="E98" s="49"/>
      <c r="F98" s="49"/>
      <c r="G98" s="49"/>
      <c r="H98" s="49"/>
      <c r="I98" s="49"/>
    </row>
    <row r="99" spans="1:9" x14ac:dyDescent="0.2">
      <c r="A99" s="1554" t="s">
        <v>1392</v>
      </c>
      <c r="B99" s="1699">
        <v>150947.91666666666</v>
      </c>
      <c r="C99" s="1699">
        <v>25288.357000000011</v>
      </c>
      <c r="D99" s="1701">
        <v>252250.99000000011</v>
      </c>
      <c r="E99" s="51">
        <v>177298.53999999995</v>
      </c>
      <c r="F99" s="51">
        <v>326146.0758306167</v>
      </c>
      <c r="G99" s="51">
        <v>158156.09999999998</v>
      </c>
      <c r="H99" s="51">
        <v>207517.04500000007</v>
      </c>
      <c r="I99" s="51">
        <v>57455.5</v>
      </c>
    </row>
    <row r="100" spans="1:9" x14ac:dyDescent="0.2">
      <c r="A100" s="1554" t="s">
        <v>1616</v>
      </c>
      <c r="B100" s="1699">
        <v>332002.34999999998</v>
      </c>
      <c r="C100" s="1699"/>
      <c r="D100" s="1701"/>
      <c r="E100" s="51"/>
      <c r="F100" s="51"/>
      <c r="G100" s="51"/>
      <c r="H100" s="51"/>
      <c r="I100" s="51"/>
    </row>
    <row r="101" spans="1:9" x14ac:dyDescent="0.2">
      <c r="A101" s="1554" t="s">
        <v>1617</v>
      </c>
      <c r="B101" s="1699">
        <v>508534.83</v>
      </c>
      <c r="C101" s="1699"/>
      <c r="D101" s="1701"/>
      <c r="E101" s="51"/>
      <c r="F101" s="51"/>
      <c r="G101" s="51"/>
      <c r="H101" s="51"/>
      <c r="I101" s="51"/>
    </row>
    <row r="102" spans="1:9" x14ac:dyDescent="0.2">
      <c r="A102" s="1554" t="s">
        <v>1627</v>
      </c>
      <c r="B102" s="1699"/>
      <c r="C102" s="1699">
        <v>166093.87000000002</v>
      </c>
      <c r="D102" s="1701"/>
      <c r="E102" s="51"/>
      <c r="F102" s="51"/>
      <c r="G102" s="51"/>
      <c r="H102" s="51"/>
      <c r="I102" s="51"/>
    </row>
    <row r="103" spans="1:9" x14ac:dyDescent="0.2">
      <c r="A103" s="1554" t="s">
        <v>1628</v>
      </c>
      <c r="B103" s="1699"/>
      <c r="C103" s="1699">
        <v>330211.81999999995</v>
      </c>
      <c r="D103" s="1701"/>
      <c r="E103" s="51"/>
      <c r="F103" s="51"/>
      <c r="G103" s="51"/>
      <c r="H103" s="51"/>
      <c r="I103" s="51"/>
    </row>
    <row r="104" spans="1:9" x14ac:dyDescent="0.2">
      <c r="A104" s="1554" t="s">
        <v>1403</v>
      </c>
      <c r="B104" s="1554"/>
      <c r="C104" s="1699"/>
      <c r="D104" s="1701">
        <v>188459.51999999999</v>
      </c>
      <c r="E104" s="51"/>
      <c r="F104" s="51"/>
      <c r="G104" s="51"/>
      <c r="H104" s="51"/>
      <c r="I104" s="51"/>
    </row>
    <row r="105" spans="1:9" x14ac:dyDescent="0.2">
      <c r="A105" s="1554" t="s">
        <v>1433</v>
      </c>
      <c r="B105" s="1554"/>
      <c r="C105" s="1699"/>
      <c r="D105" s="1701">
        <v>450885.82</v>
      </c>
      <c r="E105" s="51"/>
      <c r="F105" s="51"/>
      <c r="G105" s="51"/>
      <c r="H105" s="51"/>
      <c r="I105" s="51"/>
    </row>
    <row r="106" spans="1:9" x14ac:dyDescent="0.2">
      <c r="A106" s="1554" t="s">
        <v>1434</v>
      </c>
      <c r="B106" s="1767"/>
      <c r="C106" s="1773"/>
      <c r="D106" s="1702"/>
      <c r="E106" s="52"/>
      <c r="F106" s="52">
        <v>155748.15000000002</v>
      </c>
      <c r="G106" s="52"/>
      <c r="H106" s="52"/>
      <c r="I106" s="52"/>
    </row>
    <row r="107" spans="1:9" x14ac:dyDescent="0.2">
      <c r="A107" s="1554" t="s">
        <v>1435</v>
      </c>
      <c r="B107" s="1766"/>
      <c r="C107" s="1774"/>
      <c r="D107" s="1772"/>
      <c r="E107" s="52"/>
      <c r="F107" s="52">
        <v>138081.03250467335</v>
      </c>
      <c r="G107" s="52"/>
      <c r="H107" s="52"/>
      <c r="I107" s="52"/>
    </row>
    <row r="108" spans="1:9" x14ac:dyDescent="0.2">
      <c r="A108" s="1554" t="s">
        <v>1436</v>
      </c>
      <c r="B108" s="1766"/>
      <c r="C108" s="1774"/>
      <c r="D108" s="1772"/>
      <c r="E108" s="52"/>
      <c r="F108" s="52">
        <v>130188.89047169157</v>
      </c>
      <c r="G108" s="52"/>
      <c r="H108" s="52"/>
      <c r="I108" s="52"/>
    </row>
    <row r="109" spans="1:9" x14ac:dyDescent="0.2">
      <c r="A109" s="1554" t="s">
        <v>1437</v>
      </c>
      <c r="B109" s="1766"/>
      <c r="C109" s="1774"/>
      <c r="D109" s="1772"/>
      <c r="E109" s="52"/>
      <c r="F109" s="52">
        <v>563481.02808447741</v>
      </c>
      <c r="G109" s="52"/>
      <c r="H109" s="52"/>
      <c r="I109" s="52"/>
    </row>
    <row r="110" spans="1:9" x14ac:dyDescent="0.2">
      <c r="A110" s="1554" t="s">
        <v>1438</v>
      </c>
      <c r="B110" s="1766"/>
      <c r="C110" s="1774"/>
      <c r="D110" s="1772"/>
      <c r="E110" s="52"/>
      <c r="F110" s="52">
        <v>1051713.476534232</v>
      </c>
      <c r="G110" s="52"/>
      <c r="H110" s="52"/>
      <c r="I110" s="52"/>
    </row>
    <row r="111" spans="1:9" x14ac:dyDescent="0.2">
      <c r="A111" s="1554" t="s">
        <v>1439</v>
      </c>
      <c r="B111" s="1766"/>
      <c r="C111" s="1774"/>
      <c r="D111" s="1772"/>
      <c r="E111" s="52"/>
      <c r="F111" s="52"/>
      <c r="G111" s="52">
        <v>526832.9</v>
      </c>
      <c r="H111" s="52"/>
      <c r="I111" s="52"/>
    </row>
    <row r="112" spans="1:9" x14ac:dyDescent="0.2">
      <c r="A112" s="1554" t="s">
        <v>1497</v>
      </c>
      <c r="B112" s="1766"/>
      <c r="C112" s="1774"/>
      <c r="D112" s="1772"/>
      <c r="E112" s="52"/>
      <c r="F112" s="52"/>
      <c r="G112" s="52"/>
      <c r="H112" s="52">
        <v>419589.52999999997</v>
      </c>
      <c r="I112" s="52"/>
    </row>
    <row r="113" spans="1:9" x14ac:dyDescent="0.2">
      <c r="A113" s="1554" t="s">
        <v>1498</v>
      </c>
      <c r="B113" s="1766"/>
      <c r="C113" s="1774"/>
      <c r="D113" s="1772"/>
      <c r="E113" s="52"/>
      <c r="F113" s="52"/>
      <c r="G113" s="52"/>
      <c r="H113" s="52">
        <v>802524.78</v>
      </c>
      <c r="I113" s="52"/>
    </row>
    <row r="114" spans="1:9" x14ac:dyDescent="0.2">
      <c r="A114" s="1554" t="s">
        <v>1764</v>
      </c>
      <c r="B114" s="1766"/>
      <c r="C114" s="1774"/>
      <c r="D114" s="1772"/>
      <c r="E114" s="52"/>
      <c r="F114" s="52"/>
      <c r="G114" s="52"/>
      <c r="H114" s="52">
        <v>553972.18000000028</v>
      </c>
      <c r="I114" s="52"/>
    </row>
    <row r="115" spans="1:9" x14ac:dyDescent="0.2">
      <c r="A115" s="1554" t="s">
        <v>1423</v>
      </c>
      <c r="B115" s="1766"/>
      <c r="C115" s="1774"/>
      <c r="D115" s="1772"/>
      <c r="E115" s="52"/>
      <c r="F115" s="52"/>
      <c r="G115" s="52"/>
      <c r="H115" s="52"/>
      <c r="I115" s="52">
        <v>89177</v>
      </c>
    </row>
    <row r="116" spans="1:9" x14ac:dyDescent="0.2">
      <c r="A116" s="1554" t="s">
        <v>1659</v>
      </c>
      <c r="B116" s="1766"/>
      <c r="C116" s="1774"/>
      <c r="D116" s="1772"/>
      <c r="E116" s="52"/>
      <c r="F116" s="52"/>
      <c r="G116" s="52"/>
      <c r="H116" s="52"/>
      <c r="I116" s="52">
        <v>191285</v>
      </c>
    </row>
    <row r="117" spans="1:9" ht="13.9" customHeight="1" x14ac:dyDescent="0.2">
      <c r="A117" s="1554" t="s">
        <v>1658</v>
      </c>
      <c r="B117" s="1766"/>
      <c r="C117" s="1774"/>
      <c r="D117" s="1772"/>
      <c r="E117" s="52"/>
      <c r="F117" s="52"/>
      <c r="G117" s="52"/>
      <c r="H117" s="52"/>
      <c r="I117" s="52">
        <v>532440</v>
      </c>
    </row>
    <row r="118" spans="1:9" x14ac:dyDescent="0.2">
      <c r="A118" s="1554" t="s">
        <v>1650</v>
      </c>
      <c r="B118" s="1766"/>
      <c r="C118" s="1774"/>
      <c r="D118" s="1558"/>
      <c r="E118" s="52"/>
      <c r="F118" s="52"/>
      <c r="G118" s="52"/>
      <c r="H118" s="52"/>
      <c r="I118" s="52">
        <v>384600</v>
      </c>
    </row>
    <row r="119" spans="1:9" x14ac:dyDescent="0.2">
      <c r="A119" s="1554" t="s">
        <v>1652</v>
      </c>
      <c r="B119" s="1766"/>
      <c r="C119" s="1774"/>
      <c r="D119" s="1558"/>
      <c r="E119" s="52"/>
      <c r="F119" s="52"/>
      <c r="G119" s="52"/>
      <c r="H119" s="52"/>
      <c r="I119" s="52">
        <v>346811</v>
      </c>
    </row>
    <row r="120" spans="1:9" hidden="1" x14ac:dyDescent="0.2">
      <c r="A120" s="48"/>
      <c r="B120" s="1765"/>
      <c r="C120" s="1778"/>
      <c r="D120" s="52"/>
      <c r="E120" s="52"/>
      <c r="F120" s="52"/>
      <c r="G120" s="52"/>
      <c r="H120" s="52"/>
      <c r="I120" s="52"/>
    </row>
    <row r="121" spans="1:9" x14ac:dyDescent="0.2">
      <c r="A121" s="53" t="s">
        <v>175</v>
      </c>
      <c r="B121" s="1363">
        <f t="shared" ref="B121:I121" si="2">SUM(B99:B120)</f>
        <v>991485.09666666668</v>
      </c>
      <c r="C121" s="1779">
        <f t="shared" si="2"/>
        <v>521594.04700000002</v>
      </c>
      <c r="D121" s="1363">
        <f t="shared" si="2"/>
        <v>891596.33000000007</v>
      </c>
      <c r="E121" s="1363">
        <f t="shared" si="2"/>
        <v>177298.53999999995</v>
      </c>
      <c r="F121" s="1363">
        <f t="shared" si="2"/>
        <v>2365358.6534256912</v>
      </c>
      <c r="G121" s="1363">
        <f t="shared" si="2"/>
        <v>684989</v>
      </c>
      <c r="H121" s="1363">
        <f t="shared" si="2"/>
        <v>1983603.5350000001</v>
      </c>
      <c r="I121" s="1363">
        <f t="shared" si="2"/>
        <v>1601768.5</v>
      </c>
    </row>
    <row r="122" spans="1:9" x14ac:dyDescent="0.2">
      <c r="A122" s="1556" t="s">
        <v>616</v>
      </c>
      <c r="B122" s="1768"/>
      <c r="C122" s="1768"/>
      <c r="D122" s="56"/>
      <c r="E122" s="56"/>
      <c r="F122" s="56"/>
      <c r="G122" s="56"/>
      <c r="H122" s="56"/>
      <c r="I122" s="56"/>
    </row>
    <row r="123" spans="1:9" x14ac:dyDescent="0.2">
      <c r="A123" s="1554" t="s">
        <v>733</v>
      </c>
      <c r="B123" s="1773">
        <v>533800</v>
      </c>
      <c r="C123" s="1773">
        <v>225666.97000000003</v>
      </c>
      <c r="D123" s="1702">
        <v>756834.45</v>
      </c>
      <c r="E123" s="51">
        <v>202408.42</v>
      </c>
      <c r="F123" s="51">
        <v>743656.04</v>
      </c>
      <c r="G123" s="51">
        <v>212220.07</v>
      </c>
      <c r="H123" s="51">
        <v>144362</v>
      </c>
      <c r="I123" s="51">
        <v>450000</v>
      </c>
    </row>
    <row r="124" spans="1:9" x14ac:dyDescent="0.2">
      <c r="A124" s="1554" t="s">
        <v>1655</v>
      </c>
      <c r="B124" s="1699">
        <v>176905.89</v>
      </c>
      <c r="C124" s="1699">
        <v>1364322.62</v>
      </c>
      <c r="D124" s="1701">
        <v>1312438.19</v>
      </c>
      <c r="E124" s="50">
        <v>1342565.08</v>
      </c>
      <c r="F124" s="51"/>
      <c r="G124" s="51"/>
      <c r="H124" s="51">
        <v>242328.53</v>
      </c>
      <c r="I124" s="51">
        <v>500000</v>
      </c>
    </row>
    <row r="125" spans="1:9" x14ac:dyDescent="0.2">
      <c r="A125" s="1554" t="s">
        <v>1619</v>
      </c>
      <c r="B125" s="1699">
        <v>367398.68</v>
      </c>
      <c r="C125" s="1699"/>
      <c r="D125" s="1701"/>
      <c r="E125" s="51"/>
      <c r="F125" s="51"/>
      <c r="G125" s="51"/>
      <c r="H125" s="51"/>
      <c r="I125" s="51"/>
    </row>
    <row r="126" spans="1:9" x14ac:dyDescent="0.2">
      <c r="A126" s="1554" t="s">
        <v>1440</v>
      </c>
      <c r="B126" s="1699"/>
      <c r="C126" s="1699"/>
      <c r="D126" s="1555"/>
      <c r="E126" s="51">
        <v>116135.34</v>
      </c>
      <c r="F126" s="51"/>
      <c r="G126" s="51"/>
      <c r="H126" s="51"/>
      <c r="I126" s="51"/>
    </row>
    <row r="127" spans="1:9" x14ac:dyDescent="0.2">
      <c r="A127" s="1554" t="s">
        <v>1499</v>
      </c>
      <c r="B127" s="1766"/>
      <c r="C127" s="1774"/>
      <c r="D127" s="1645"/>
      <c r="E127" s="52"/>
      <c r="F127" s="52"/>
      <c r="G127" s="52"/>
      <c r="H127" s="52"/>
      <c r="I127" s="52">
        <v>150000</v>
      </c>
    </row>
    <row r="128" spans="1:9" x14ac:dyDescent="0.2">
      <c r="A128" s="1554" t="s">
        <v>1656</v>
      </c>
      <c r="B128" s="1766"/>
      <c r="C128" s="1774"/>
      <c r="D128" s="1558"/>
      <c r="E128" s="52"/>
      <c r="F128" s="52"/>
      <c r="G128" s="52"/>
      <c r="H128" s="52"/>
      <c r="I128" s="52">
        <v>0</v>
      </c>
    </row>
    <row r="129" spans="1:11" hidden="1" x14ac:dyDescent="0.2">
      <c r="A129" s="1554"/>
      <c r="B129" s="1766"/>
      <c r="C129" s="1766"/>
      <c r="D129" s="1558"/>
      <c r="E129" s="52"/>
      <c r="F129" s="52"/>
      <c r="G129" s="52"/>
      <c r="H129" s="52"/>
      <c r="I129" s="52"/>
    </row>
    <row r="130" spans="1:11" hidden="1" x14ac:dyDescent="0.2">
      <c r="A130" s="48"/>
      <c r="B130" s="1765"/>
      <c r="C130" s="1765"/>
      <c r="D130" s="52"/>
      <c r="E130" s="52"/>
      <c r="F130" s="52"/>
      <c r="G130" s="52"/>
      <c r="H130" s="52"/>
      <c r="I130" s="52"/>
    </row>
    <row r="131" spans="1:11" x14ac:dyDescent="0.2">
      <c r="A131" s="53" t="s">
        <v>175</v>
      </c>
      <c r="B131" s="1363">
        <f t="shared" ref="B131:I131" si="3">SUM(B123:B130)</f>
        <v>1078104.57</v>
      </c>
      <c r="C131" s="1363">
        <f t="shared" si="3"/>
        <v>1589989.59</v>
      </c>
      <c r="D131" s="1363">
        <f t="shared" si="3"/>
        <v>2069272.64</v>
      </c>
      <c r="E131" s="1363">
        <f t="shared" si="3"/>
        <v>1661108.84</v>
      </c>
      <c r="F131" s="1363">
        <f t="shared" si="3"/>
        <v>743656.04</v>
      </c>
      <c r="G131" s="1363">
        <f t="shared" si="3"/>
        <v>212220.07</v>
      </c>
      <c r="H131" s="1363">
        <f t="shared" si="3"/>
        <v>386690.53</v>
      </c>
      <c r="I131" s="1363">
        <f t="shared" si="3"/>
        <v>1100000</v>
      </c>
    </row>
    <row r="132" spans="1:11" ht="13.5" thickBot="1" x14ac:dyDescent="0.25">
      <c r="A132" s="55" t="s">
        <v>174</v>
      </c>
      <c r="B132" s="1777">
        <v>673596.28</v>
      </c>
      <c r="C132" s="1777">
        <v>1250069</v>
      </c>
      <c r="D132" s="352">
        <v>1554539.3219999999</v>
      </c>
      <c r="E132" s="51">
        <v>1199430.06</v>
      </c>
      <c r="F132" s="51">
        <v>1439848.3727417053</v>
      </c>
      <c r="G132" s="51">
        <v>1007375.4900000006</v>
      </c>
      <c r="H132" s="51">
        <v>784135.29500000016</v>
      </c>
      <c r="I132" s="51">
        <v>133000</v>
      </c>
    </row>
    <row r="133" spans="1:11" ht="14.25" thickTop="1" thickBot="1" x14ac:dyDescent="0.25">
      <c r="A133" s="57" t="s">
        <v>259</v>
      </c>
      <c r="B133" s="1364">
        <f t="shared" ref="B133:I133" si="4">SUMPRODUCT(--($A15:$A132="Sub-Total"), B$15:B$132)+B132</f>
        <v>6225632.8400000008</v>
      </c>
      <c r="C133" s="1364">
        <f t="shared" si="4"/>
        <v>7391586.3700000001</v>
      </c>
      <c r="D133" s="1364">
        <f t="shared" si="4"/>
        <v>7635327.2120000003</v>
      </c>
      <c r="E133" s="1364">
        <f t="shared" si="4"/>
        <v>7743091.1500000004</v>
      </c>
      <c r="F133" s="1364">
        <f t="shared" si="4"/>
        <v>8714946.4275914952</v>
      </c>
      <c r="G133" s="1364">
        <f t="shared" si="4"/>
        <v>9649976.2799999993</v>
      </c>
      <c r="H133" s="1364">
        <f t="shared" si="4"/>
        <v>8503268.4700000007</v>
      </c>
      <c r="I133" s="1364">
        <f t="shared" si="4"/>
        <v>9085007</v>
      </c>
    </row>
    <row r="134" spans="1:11" ht="26.25" thickBot="1" x14ac:dyDescent="0.25">
      <c r="A134" s="59" t="s">
        <v>865</v>
      </c>
      <c r="B134" s="51"/>
      <c r="C134" s="51"/>
      <c r="D134" s="51"/>
      <c r="E134" s="51"/>
      <c r="F134" s="51"/>
      <c r="G134" s="51"/>
      <c r="H134" s="51"/>
      <c r="I134" s="51"/>
    </row>
    <row r="135" spans="1:11" ht="14.25" thickTop="1" thickBot="1" x14ac:dyDescent="0.25">
      <c r="A135" s="60" t="s">
        <v>259</v>
      </c>
      <c r="B135" s="1364">
        <f t="shared" ref="B135:I135" si="5">B133+B134</f>
        <v>6225632.8400000008</v>
      </c>
      <c r="C135" s="1364">
        <f t="shared" si="5"/>
        <v>7391586.3700000001</v>
      </c>
      <c r="D135" s="1364">
        <f t="shared" si="5"/>
        <v>7635327.2120000003</v>
      </c>
      <c r="E135" s="1364">
        <f t="shared" si="5"/>
        <v>7743091.1500000004</v>
      </c>
      <c r="F135" s="1364">
        <f t="shared" si="5"/>
        <v>8714946.4275914952</v>
      </c>
      <c r="G135" s="1364">
        <f t="shared" si="5"/>
        <v>9649976.2799999993</v>
      </c>
      <c r="H135" s="1364">
        <f t="shared" si="5"/>
        <v>8503268.4700000007</v>
      </c>
      <c r="I135" s="1364">
        <f t="shared" si="5"/>
        <v>9085007</v>
      </c>
    </row>
    <row r="136" spans="1:11" x14ac:dyDescent="0.2">
      <c r="I136" s="1486"/>
    </row>
    <row r="137" spans="1:11" x14ac:dyDescent="0.2">
      <c r="A137" s="61" t="s">
        <v>6</v>
      </c>
      <c r="B137" s="61"/>
      <c r="C137" s="61"/>
      <c r="I137" s="1493"/>
    </row>
    <row r="138" spans="1:11" x14ac:dyDescent="0.2">
      <c r="H138" s="1486"/>
    </row>
    <row r="139" spans="1:11" ht="27.75" customHeight="1" x14ac:dyDescent="0.2">
      <c r="A139" s="1868" t="s">
        <v>393</v>
      </c>
      <c r="B139" s="1868"/>
      <c r="C139" s="1868"/>
      <c r="D139" s="1869"/>
      <c r="E139" s="1869"/>
      <c r="F139" s="1869"/>
      <c r="G139" s="1869"/>
      <c r="H139" s="1869"/>
      <c r="I139" s="1869"/>
      <c r="J139" s="1869"/>
    </row>
    <row r="140" spans="1:11" ht="28.5" customHeight="1" x14ac:dyDescent="0.2">
      <c r="A140" s="1868" t="s">
        <v>799</v>
      </c>
      <c r="B140" s="1868"/>
      <c r="C140" s="1868"/>
      <c r="D140" s="1869"/>
      <c r="E140" s="1869"/>
      <c r="F140" s="1869"/>
      <c r="G140" s="1869"/>
      <c r="H140" s="1869"/>
      <c r="I140" s="1869"/>
      <c r="J140" s="1869"/>
      <c r="K140" s="429"/>
    </row>
    <row r="141" spans="1:11" ht="27" customHeight="1" x14ac:dyDescent="0.2">
      <c r="A141" s="1868"/>
      <c r="B141" s="1868"/>
      <c r="C141" s="1868"/>
      <c r="D141" s="1869"/>
      <c r="E141" s="1869"/>
      <c r="F141" s="1869"/>
      <c r="G141" s="1869"/>
      <c r="H141" s="1869"/>
      <c r="I141" s="1869"/>
      <c r="J141" s="1869"/>
    </row>
    <row r="143" spans="1:11" x14ac:dyDescent="0.2">
      <c r="A143" s="1866"/>
      <c r="B143" s="1866"/>
      <c r="C143" s="1866"/>
      <c r="D143" s="1866"/>
      <c r="E143" s="1866"/>
      <c r="F143" s="1866"/>
      <c r="G143" s="1866"/>
      <c r="H143" s="1866"/>
      <c r="I143" s="1866"/>
      <c r="J143" s="1866"/>
      <c r="K143" s="1866"/>
    </row>
    <row r="144" spans="1:11" x14ac:dyDescent="0.2">
      <c r="A144" s="1866"/>
      <c r="B144" s="1866"/>
      <c r="C144" s="1866"/>
      <c r="D144" s="1866"/>
      <c r="E144" s="1866"/>
      <c r="F144" s="1866"/>
      <c r="G144" s="1866"/>
      <c r="H144" s="1866"/>
      <c r="I144" s="1866"/>
      <c r="J144" s="1866"/>
      <c r="K144" s="1866"/>
    </row>
    <row r="146" spans="1:3" x14ac:dyDescent="0.2">
      <c r="A146" s="39"/>
      <c r="B146" s="39"/>
      <c r="C146" s="39"/>
    </row>
  </sheetData>
  <mergeCells count="7">
    <mergeCell ref="A12:J12"/>
    <mergeCell ref="A143:K144"/>
    <mergeCell ref="A10:J10"/>
    <mergeCell ref="A9:J9"/>
    <mergeCell ref="A139:J139"/>
    <mergeCell ref="A141:J141"/>
    <mergeCell ref="A140:J140"/>
  </mergeCells>
  <phoneticPr fontId="13" type="noConversion"/>
  <dataValidations disablePrompts="1" count="1">
    <dataValidation type="list" allowBlank="1" showInputMessage="1" showErrorMessage="1" sqref="B14:I14" xr:uid="{00000000-0002-0000-0500-000000000000}">
      <formula1>"CGAAP, MIFRS, USGAAP, ASPE"</formula1>
    </dataValidation>
  </dataValidations>
  <pageMargins left="0.74803149606299213" right="0.74803149606299213" top="0.98425196850393704" bottom="0.98425196850393704" header="0.51181102362204722" footer="0.51181102362204722"/>
  <pageSetup scale="48" fitToHeight="2" orientation="portrait" r:id="rId1"/>
  <headerFooter alignWithMargins="0"/>
  <rowBreaks count="2" manualBreakCount="2">
    <brk id="95" max="16383" man="1"/>
    <brk id="9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9">
    <tabColor rgb="FF00B0F0"/>
  </sheetPr>
  <dimension ref="A1:AG39"/>
  <sheetViews>
    <sheetView showGridLines="0" topLeftCell="I1" zoomScaleNormal="100" zoomScaleSheetLayoutView="40" workbookViewId="0">
      <selection activeCell="AC24" sqref="AC24:AG24"/>
    </sheetView>
  </sheetViews>
  <sheetFormatPr defaultColWidth="9.28515625" defaultRowHeight="12.75" x14ac:dyDescent="0.2"/>
  <cols>
    <col min="1" max="1" width="28.28515625" style="1" customWidth="1"/>
    <col min="2" max="7" width="9.28515625" style="1" hidden="1" customWidth="1"/>
    <col min="8" max="13" width="12.42578125" style="1" customWidth="1"/>
    <col min="14" max="14" width="10.28515625" style="1" bestFit="1" customWidth="1"/>
    <col min="15" max="15" width="11" style="1" bestFit="1" customWidth="1"/>
    <col min="16" max="16" width="6.7109375" style="1" bestFit="1" customWidth="1"/>
    <col min="17" max="17" width="10" style="1" bestFit="1" customWidth="1"/>
    <col min="18" max="18" width="11" style="1" bestFit="1" customWidth="1"/>
    <col min="19" max="19" width="6.7109375" style="1" bestFit="1" customWidth="1"/>
    <col min="20" max="20" width="10" style="1" bestFit="1" customWidth="1"/>
    <col min="21" max="21" width="11" style="1" bestFit="1" customWidth="1"/>
    <col min="22" max="22" width="6.7109375" style="1" bestFit="1" customWidth="1"/>
    <col min="23" max="24" width="11" style="1" bestFit="1" customWidth="1"/>
    <col min="25" max="25" width="6.7109375" style="1" bestFit="1" customWidth="1"/>
    <col min="26" max="26" width="11" style="1" bestFit="1" customWidth="1"/>
    <col min="27" max="27" width="10.28515625" style="1" bestFit="1" customWidth="1"/>
    <col min="28" max="28" width="7.7109375" style="1" bestFit="1" customWidth="1"/>
    <col min="29" max="29" width="11.28515625" style="1" bestFit="1" customWidth="1"/>
    <col min="30" max="30" width="11" style="1" bestFit="1" customWidth="1"/>
    <col min="31" max="31" width="11.7109375" style="1" bestFit="1" customWidth="1"/>
    <col min="32" max="33" width="11" style="1" bestFit="1" customWidth="1"/>
    <col min="34" max="16384" width="9.28515625" style="1"/>
  </cols>
  <sheetData>
    <row r="1" spans="1:33" x14ac:dyDescent="0.2">
      <c r="AE1" s="874" t="s">
        <v>264</v>
      </c>
      <c r="AG1" s="875" t="str">
        <f>EBNUMBER</f>
        <v>EB-2019-0037</v>
      </c>
    </row>
    <row r="2" spans="1:33" x14ac:dyDescent="0.2">
      <c r="AE2" s="874" t="s">
        <v>265</v>
      </c>
      <c r="AG2" s="41"/>
    </row>
    <row r="3" spans="1:33" x14ac:dyDescent="0.2">
      <c r="AE3" s="874" t="s">
        <v>266</v>
      </c>
      <c r="AG3" s="41"/>
    </row>
    <row r="4" spans="1:33" x14ac:dyDescent="0.2">
      <c r="AE4" s="874" t="s">
        <v>267</v>
      </c>
      <c r="AG4" s="41"/>
    </row>
    <row r="5" spans="1:33" ht="15" x14ac:dyDescent="0.25">
      <c r="A5" s="876" t="s">
        <v>1143</v>
      </c>
      <c r="AE5" s="874" t="s">
        <v>268</v>
      </c>
      <c r="AG5" s="42"/>
    </row>
    <row r="6" spans="1:33" x14ac:dyDescent="0.2">
      <c r="AE6" s="874"/>
      <c r="AG6" s="875"/>
    </row>
    <row r="7" spans="1:33" x14ac:dyDescent="0.2">
      <c r="AE7" s="874" t="s">
        <v>269</v>
      </c>
      <c r="AG7" s="1448"/>
    </row>
    <row r="9" spans="1:33" ht="18" x14ac:dyDescent="0.2">
      <c r="A9" s="1867" t="s">
        <v>623</v>
      </c>
      <c r="B9" s="1867"/>
      <c r="C9" s="1867"/>
      <c r="D9" s="1867"/>
      <c r="E9" s="1867"/>
      <c r="F9" s="1867"/>
      <c r="G9" s="1867"/>
      <c r="H9" s="1867"/>
      <c r="I9" s="1867"/>
      <c r="J9" s="1867"/>
      <c r="K9" s="1867"/>
      <c r="L9" s="1867"/>
      <c r="M9" s="1867"/>
      <c r="N9" s="1867"/>
      <c r="O9" s="1867"/>
      <c r="P9" s="1867"/>
      <c r="Q9" s="1867"/>
      <c r="R9" s="1867"/>
      <c r="S9" s="1867"/>
      <c r="T9" s="1867"/>
      <c r="U9" s="1867"/>
      <c r="V9" s="1867"/>
      <c r="W9" s="1867"/>
      <c r="X9" s="1867"/>
      <c r="Y9" s="1867"/>
      <c r="Z9" s="1867"/>
      <c r="AA9" s="1867"/>
      <c r="AB9" s="1867"/>
      <c r="AC9" s="1867"/>
      <c r="AD9" s="1867"/>
      <c r="AE9" s="1867"/>
      <c r="AF9" s="1867"/>
      <c r="AG9" s="1867"/>
    </row>
    <row r="10" spans="1:33" ht="57.6" customHeight="1" x14ac:dyDescent="0.2">
      <c r="A10" s="1882" t="s">
        <v>624</v>
      </c>
      <c r="B10" s="1882"/>
      <c r="C10" s="1882"/>
      <c r="D10" s="1882"/>
      <c r="E10" s="1882"/>
      <c r="F10" s="1882"/>
      <c r="G10" s="1882"/>
      <c r="H10" s="1882"/>
      <c r="I10" s="1882"/>
      <c r="J10" s="1882"/>
      <c r="K10" s="1882"/>
      <c r="L10" s="1882"/>
      <c r="M10" s="1882"/>
      <c r="N10" s="1882"/>
      <c r="O10" s="1882"/>
      <c r="P10" s="1882"/>
      <c r="Q10" s="1882"/>
      <c r="R10" s="1882"/>
      <c r="S10" s="1882"/>
      <c r="T10" s="1882"/>
      <c r="U10" s="1882"/>
      <c r="V10" s="1882"/>
      <c r="W10" s="1882"/>
      <c r="X10" s="1882"/>
      <c r="Y10" s="1882"/>
      <c r="Z10" s="1882"/>
      <c r="AA10" s="1882"/>
      <c r="AB10" s="1882"/>
      <c r="AC10" s="1882"/>
      <c r="AD10" s="1882"/>
      <c r="AE10" s="1882"/>
      <c r="AF10" s="1882"/>
      <c r="AG10" s="1882"/>
    </row>
    <row r="11" spans="1:33" x14ac:dyDescent="0.2">
      <c r="A11" s="877" t="s">
        <v>608</v>
      </c>
    </row>
    <row r="12" spans="1:33" ht="23.25" customHeight="1" thickBot="1" x14ac:dyDescent="0.25">
      <c r="A12" s="878">
        <f>TestYear</f>
        <v>2020</v>
      </c>
      <c r="B12" s="877"/>
      <c r="C12" s="877"/>
      <c r="D12" s="877"/>
      <c r="E12" s="877"/>
      <c r="F12" s="877"/>
      <c r="G12" s="877"/>
      <c r="H12" s="877"/>
      <c r="I12" s="877"/>
      <c r="J12" s="877"/>
      <c r="K12" s="877"/>
      <c r="L12" s="877"/>
      <c r="M12" s="877"/>
    </row>
    <row r="13" spans="1:33" s="879" customFormat="1" ht="18.600000000000001" customHeight="1" thickTop="1" thickBot="1" x14ac:dyDescent="0.25">
      <c r="A13" s="1891" t="s">
        <v>609</v>
      </c>
      <c r="B13" s="1888" t="s">
        <v>625</v>
      </c>
      <c r="C13" s="1889"/>
      <c r="D13" s="1889"/>
      <c r="E13" s="1889"/>
      <c r="F13" s="1889"/>
      <c r="G13" s="1889"/>
      <c r="H13" s="1889"/>
      <c r="I13" s="1889"/>
      <c r="J13" s="1889"/>
      <c r="K13" s="1889"/>
      <c r="L13" s="1889"/>
      <c r="M13" s="1889"/>
      <c r="N13" s="1889"/>
      <c r="O13" s="1889"/>
      <c r="P13" s="1889"/>
      <c r="Q13" s="1889"/>
      <c r="R13" s="1889"/>
      <c r="S13" s="1889"/>
      <c r="T13" s="1889"/>
      <c r="U13" s="1889"/>
      <c r="V13" s="1889"/>
      <c r="W13" s="1889"/>
      <c r="X13" s="1889"/>
      <c r="Y13" s="1889"/>
      <c r="Z13" s="1889"/>
      <c r="AA13" s="1889"/>
      <c r="AB13" s="1890"/>
      <c r="AC13" s="1894" t="s">
        <v>626</v>
      </c>
      <c r="AD13" s="1895"/>
      <c r="AE13" s="1895"/>
      <c r="AF13" s="1895"/>
      <c r="AG13" s="1896"/>
    </row>
    <row r="14" spans="1:33" s="879" customFormat="1" ht="13.5" thickBot="1" x14ac:dyDescent="0.25">
      <c r="A14" s="1892"/>
      <c r="B14" s="1883">
        <f>E14-1</f>
        <v>2011</v>
      </c>
      <c r="C14" s="1884"/>
      <c r="D14" s="1885"/>
      <c r="E14" s="1883">
        <f>H14-1</f>
        <v>2012</v>
      </c>
      <c r="F14" s="1884"/>
      <c r="G14" s="1885"/>
      <c r="H14" s="1883">
        <f>K14-1</f>
        <v>2013</v>
      </c>
      <c r="I14" s="1884"/>
      <c r="J14" s="1885"/>
      <c r="K14" s="1888">
        <f>N14-1</f>
        <v>2014</v>
      </c>
      <c r="L14" s="1889"/>
      <c r="M14" s="1890"/>
      <c r="N14" s="1883">
        <f>Q14-1</f>
        <v>2015</v>
      </c>
      <c r="O14" s="1884"/>
      <c r="P14" s="1885"/>
      <c r="Q14" s="1883">
        <f>T14-1</f>
        <v>2016</v>
      </c>
      <c r="R14" s="1884"/>
      <c r="S14" s="1885"/>
      <c r="T14" s="1883">
        <f>W14-1</f>
        <v>2017</v>
      </c>
      <c r="U14" s="1884"/>
      <c r="V14" s="1885"/>
      <c r="W14" s="1883">
        <f>Z14-1</f>
        <v>2018</v>
      </c>
      <c r="X14" s="1884"/>
      <c r="Y14" s="1885"/>
      <c r="Z14" s="1883">
        <f>AC14-1</f>
        <v>2019</v>
      </c>
      <c r="AA14" s="1884"/>
      <c r="AB14" s="1885"/>
      <c r="AC14" s="1886">
        <f>A12</f>
        <v>2020</v>
      </c>
      <c r="AD14" s="1886">
        <f>AC14+1</f>
        <v>2021</v>
      </c>
      <c r="AE14" s="1886">
        <f>AD14+1</f>
        <v>2022</v>
      </c>
      <c r="AF14" s="1886">
        <f>AE14+1</f>
        <v>2023</v>
      </c>
      <c r="AG14" s="1886">
        <f>AF14+1</f>
        <v>2024</v>
      </c>
    </row>
    <row r="15" spans="1:33" s="879" customFormat="1" ht="15" thickBot="1" x14ac:dyDescent="0.25">
      <c r="A15" s="1892"/>
      <c r="B15" s="880" t="s">
        <v>610</v>
      </c>
      <c r="C15" s="880" t="s">
        <v>334</v>
      </c>
      <c r="D15" s="880" t="s">
        <v>611</v>
      </c>
      <c r="E15" s="880" t="s">
        <v>610</v>
      </c>
      <c r="F15" s="880" t="s">
        <v>334</v>
      </c>
      <c r="G15" s="880" t="s">
        <v>611</v>
      </c>
      <c r="H15" s="880" t="s">
        <v>610</v>
      </c>
      <c r="I15" s="880" t="s">
        <v>334</v>
      </c>
      <c r="J15" s="880" t="s">
        <v>611</v>
      </c>
      <c r="K15" s="880" t="s">
        <v>610</v>
      </c>
      <c r="L15" s="880" t="s">
        <v>334</v>
      </c>
      <c r="M15" s="880" t="s">
        <v>611</v>
      </c>
      <c r="N15" s="880" t="s">
        <v>610</v>
      </c>
      <c r="O15" s="880" t="s">
        <v>334</v>
      </c>
      <c r="P15" s="880" t="s">
        <v>611</v>
      </c>
      <c r="Q15" s="880" t="s">
        <v>610</v>
      </c>
      <c r="R15" s="881" t="s">
        <v>334</v>
      </c>
      <c r="S15" s="880" t="s">
        <v>611</v>
      </c>
      <c r="T15" s="881" t="s">
        <v>610</v>
      </c>
      <c r="U15" s="881" t="s">
        <v>334</v>
      </c>
      <c r="V15" s="880" t="s">
        <v>611</v>
      </c>
      <c r="W15" s="880" t="s">
        <v>610</v>
      </c>
      <c r="X15" s="880" t="s">
        <v>334</v>
      </c>
      <c r="Y15" s="880" t="s">
        <v>611</v>
      </c>
      <c r="Z15" s="881" t="s">
        <v>610</v>
      </c>
      <c r="AA15" s="881" t="s">
        <v>627</v>
      </c>
      <c r="AB15" s="880" t="s">
        <v>611</v>
      </c>
      <c r="AC15" s="1887"/>
      <c r="AD15" s="1887"/>
      <c r="AE15" s="1887"/>
      <c r="AF15" s="1887"/>
      <c r="AG15" s="1887"/>
    </row>
    <row r="16" spans="1:33" s="879" customFormat="1" ht="13.5" thickBot="1" x14ac:dyDescent="0.25">
      <c r="A16" s="1893"/>
      <c r="B16" s="1899" t="s">
        <v>612</v>
      </c>
      <c r="C16" s="1900"/>
      <c r="D16" s="882" t="s">
        <v>149</v>
      </c>
      <c r="E16" s="1899" t="s">
        <v>612</v>
      </c>
      <c r="F16" s="1900"/>
      <c r="G16" s="882" t="s">
        <v>149</v>
      </c>
      <c r="H16" s="1899" t="s">
        <v>612</v>
      </c>
      <c r="I16" s="1900"/>
      <c r="J16" s="882" t="s">
        <v>149</v>
      </c>
      <c r="K16" s="1901" t="s">
        <v>612</v>
      </c>
      <c r="L16" s="1904"/>
      <c r="M16" s="882" t="s">
        <v>149</v>
      </c>
      <c r="N16" s="1899" t="s">
        <v>612</v>
      </c>
      <c r="O16" s="1900"/>
      <c r="P16" s="882" t="s">
        <v>149</v>
      </c>
      <c r="Q16" s="1899" t="s">
        <v>612</v>
      </c>
      <c r="R16" s="1900"/>
      <c r="S16" s="882" t="s">
        <v>149</v>
      </c>
      <c r="T16" s="1899" t="s">
        <v>612</v>
      </c>
      <c r="U16" s="1900"/>
      <c r="V16" s="882" t="s">
        <v>149</v>
      </c>
      <c r="W16" s="1899" t="s">
        <v>612</v>
      </c>
      <c r="X16" s="1900"/>
      <c r="Y16" s="882" t="s">
        <v>149</v>
      </c>
      <c r="Z16" s="1899" t="s">
        <v>612</v>
      </c>
      <c r="AA16" s="1900"/>
      <c r="AB16" s="882" t="s">
        <v>149</v>
      </c>
      <c r="AC16" s="1901" t="s">
        <v>612</v>
      </c>
      <c r="AD16" s="1902"/>
      <c r="AE16" s="1902"/>
      <c r="AF16" s="1902"/>
      <c r="AG16" s="1903"/>
    </row>
    <row r="17" spans="1:33" s="879" customFormat="1" ht="16.5" thickBot="1" x14ac:dyDescent="0.25">
      <c r="A17" s="883" t="s">
        <v>613</v>
      </c>
      <c r="B17" s="65"/>
      <c r="C17" s="65"/>
      <c r="D17" s="884" t="str">
        <f>IF(ISERROR((C17-B17)/B17),"--",(C17-B17)/B17)</f>
        <v>--</v>
      </c>
      <c r="E17" s="65"/>
      <c r="F17" s="65"/>
      <c r="G17" s="884" t="str">
        <f>IF(ISERROR((F17-E17)/E17),"--",(F17-E17)/E17)</f>
        <v>--</v>
      </c>
      <c r="H17" s="65">
        <v>1594.2563333333335</v>
      </c>
      <c r="I17" s="65">
        <v>2122.1714766666664</v>
      </c>
      <c r="J17" s="884">
        <f>IF(ISERROR((I17-H17)/H17),"--",(I17-H17)/H17)</f>
        <v>0.33113567266158966</v>
      </c>
      <c r="K17" s="65">
        <v>1979.0823333333333</v>
      </c>
      <c r="L17" s="65">
        <v>1724.1838300000002</v>
      </c>
      <c r="M17" s="884">
        <f>IF(ISERROR((L17-K17)/K17),"--",(L17-K17)/K17)</f>
        <v>-0.12879631081543338</v>
      </c>
      <c r="N17" s="65">
        <v>1757.2222066666668</v>
      </c>
      <c r="O17" s="65">
        <v>2027.948606666667</v>
      </c>
      <c r="P17" s="884">
        <f>IF(ISERROR((O17-N17)/N17),"--",(O17-N17)/N17)</f>
        <v>0.15406497765217192</v>
      </c>
      <c r="Q17" s="65">
        <v>1502.66506</v>
      </c>
      <c r="R17" s="66">
        <v>1906.7646633333331</v>
      </c>
      <c r="S17" s="884">
        <f>IF(ISERROR((R17-Q17)/Q17),"--",(R17-Q17)/Q17)</f>
        <v>0.26892194015167498</v>
      </c>
      <c r="T17" s="66">
        <v>1544.1913333333332</v>
      </c>
      <c r="U17" s="66">
        <v>1643.2414682750389</v>
      </c>
      <c r="V17" s="884">
        <f>IF(ISERROR((U17-T17)/T17),"--",(U17-T17)/T17)</f>
        <v>6.4143693079725658E-2</v>
      </c>
      <c r="W17" s="65">
        <v>1644.0916666666667</v>
      </c>
      <c r="X17" s="65">
        <v>1999.5694266666674</v>
      </c>
      <c r="Y17" s="884">
        <f>IF(ISERROR((X17-W17)/W17),"--",(X17-W17)/W17)</f>
        <v>0.21621529213192736</v>
      </c>
      <c r="Z17" s="66">
        <v>1882.7729999999999</v>
      </c>
      <c r="AA17" s="66">
        <v>2070.8514450000002</v>
      </c>
      <c r="AB17" s="884">
        <f>IF(ISERROR((AA17-Z17)/Z17),"--",(AA17-Z17)/Z17)</f>
        <v>9.9894381850600331E-2</v>
      </c>
      <c r="AC17" s="65">
        <v>1920</v>
      </c>
      <c r="AD17" s="65">
        <v>1951</v>
      </c>
      <c r="AE17" s="65">
        <v>1983</v>
      </c>
      <c r="AF17" s="65">
        <v>2015</v>
      </c>
      <c r="AG17" s="67">
        <v>2049</v>
      </c>
    </row>
    <row r="18" spans="1:33" s="879" customFormat="1" ht="16.5" thickBot="1" x14ac:dyDescent="0.25">
      <c r="A18" s="883" t="s">
        <v>614</v>
      </c>
      <c r="B18" s="65"/>
      <c r="C18" s="65"/>
      <c r="D18" s="884" t="str">
        <f t="shared" ref="D18:D24" si="0">IF(ISERROR((C18-B18)/B18),"--",(C18-B18)/B18)</f>
        <v>--</v>
      </c>
      <c r="E18" s="65"/>
      <c r="F18" s="65"/>
      <c r="G18" s="884" t="str">
        <f t="shared" ref="G18:G24" si="1">IF(ISERROR((F18-E18)/E18),"--",(F18-E18)/E18)</f>
        <v>--</v>
      </c>
      <c r="H18" s="65">
        <v>5846.221333333333</v>
      </c>
      <c r="I18" s="65">
        <v>3044.1984766666665</v>
      </c>
      <c r="J18" s="884">
        <f t="shared" ref="J18:J24" si="2">IF(ISERROR((I18-H18)/H18),"--",(I18-H18)/H18)</f>
        <v>-0.47928785054551476</v>
      </c>
      <c r="K18" s="65">
        <v>3960.9911733333333</v>
      </c>
      <c r="L18" s="65">
        <v>4197.4550699999991</v>
      </c>
      <c r="M18" s="884">
        <f t="shared" ref="M18:M24" si="3">IF(ISERROR((L18-K18)/K18),"--",(L18-K18)/K18)</f>
        <v>5.9698162989762951E-2</v>
      </c>
      <c r="N18" s="65">
        <v>3677.9940666666666</v>
      </c>
      <c r="O18" s="65">
        <v>3540.8955066666672</v>
      </c>
      <c r="P18" s="884">
        <f t="shared" ref="P18:P24" si="4">IF(ISERROR((O18-N18)/N18),"--",(O18-N18)/N18)</f>
        <v>-3.727536192690236E-2</v>
      </c>
      <c r="Q18" s="65">
        <v>5277.0140000000001</v>
      </c>
      <c r="R18" s="66">
        <v>4587.6668333333337</v>
      </c>
      <c r="S18" s="884">
        <f t="shared" ref="S18:S24" si="5">IF(ISERROR((R18-Q18)/Q18),"--",(R18-Q18)/Q18)</f>
        <v>-0.1306320518889407</v>
      </c>
      <c r="T18" s="66">
        <v>5053.9923333333327</v>
      </c>
      <c r="U18" s="66">
        <v>4246.7910692977985</v>
      </c>
      <c r="V18" s="884">
        <f t="shared" ref="V18:V24" si="6">IF(ISERROR((U18-T18)/T18),"--",(U18-T18)/T18)</f>
        <v>-0.15971556955313962</v>
      </c>
      <c r="W18" s="65">
        <v>7780.0716666666667</v>
      </c>
      <c r="X18" s="65">
        <v>7537.5806566666661</v>
      </c>
      <c r="Y18" s="884">
        <f t="shared" ref="Y18:Y24" si="7">IF(ISERROR((X18-W18)/W18),"--",(X18-W18)/W18)</f>
        <v>-3.1168223171894601E-2</v>
      </c>
      <c r="Z18" s="66">
        <v>6772.3464999999997</v>
      </c>
      <c r="AA18" s="68">
        <v>5157.516880000001</v>
      </c>
      <c r="AB18" s="884">
        <f t="shared" ref="AB18:AB24" si="8">IF(ISERROR((AA18-Z18)/Z18),"--",(AA18-Z18)/Z18)</f>
        <v>-0.23844462476927292</v>
      </c>
      <c r="AC18" s="65">
        <v>5501.5379999999996</v>
      </c>
      <c r="AD18" s="65">
        <v>9009</v>
      </c>
      <c r="AE18" s="65">
        <v>6871</v>
      </c>
      <c r="AF18" s="65">
        <v>7449</v>
      </c>
      <c r="AG18" s="67">
        <v>8164</v>
      </c>
    </row>
    <row r="19" spans="1:33" s="879" customFormat="1" ht="16.5" thickBot="1" x14ac:dyDescent="0.25">
      <c r="A19" s="883" t="s">
        <v>615</v>
      </c>
      <c r="B19" s="65"/>
      <c r="C19" s="65"/>
      <c r="D19" s="884" t="str">
        <f t="shared" si="0"/>
        <v>--</v>
      </c>
      <c r="E19" s="65"/>
      <c r="F19" s="65"/>
      <c r="G19" s="884" t="str">
        <f t="shared" si="1"/>
        <v>--</v>
      </c>
      <c r="H19" s="65">
        <v>2088.2043333333331</v>
      </c>
      <c r="I19" s="65">
        <v>1051.0629966666665</v>
      </c>
      <c r="J19" s="884">
        <f t="shared" si="2"/>
        <v>-0.49666659536670504</v>
      </c>
      <c r="K19" s="65">
        <v>1148.7345733333332</v>
      </c>
      <c r="L19" s="65">
        <v>595.15030000000002</v>
      </c>
      <c r="M19" s="884">
        <f t="shared" si="3"/>
        <v>-0.48190790647744985</v>
      </c>
      <c r="N19" s="65">
        <v>897.37616666666668</v>
      </c>
      <c r="O19" s="65">
        <v>1076.8805766666667</v>
      </c>
      <c r="P19" s="884">
        <f t="shared" si="4"/>
        <v>0.20003251330684996</v>
      </c>
      <c r="Q19" s="65">
        <v>371.07</v>
      </c>
      <c r="R19" s="66">
        <v>364.16399333333334</v>
      </c>
      <c r="S19" s="884">
        <f t="shared" si="5"/>
        <v>-1.8611061704440282E-2</v>
      </c>
      <c r="T19" s="66">
        <v>1798.5273333333332</v>
      </c>
      <c r="U19" s="66">
        <v>2587.0349024271632</v>
      </c>
      <c r="V19" s="884">
        <f t="shared" si="6"/>
        <v>0.43841845185218015</v>
      </c>
      <c r="W19" s="65">
        <v>1024.6946666666665</v>
      </c>
      <c r="X19" s="65">
        <v>934.01055666666662</v>
      </c>
      <c r="Y19" s="884">
        <f t="shared" si="7"/>
        <v>-8.8498664968166066E-2</v>
      </c>
      <c r="Z19" s="66">
        <v>842.95249999999999</v>
      </c>
      <c r="AA19" s="68">
        <v>2498.306415</v>
      </c>
      <c r="AB19" s="884">
        <f t="shared" si="8"/>
        <v>1.9637570503676069</v>
      </c>
      <c r="AC19" s="65">
        <v>1530.462</v>
      </c>
      <c r="AD19" s="65">
        <v>874</v>
      </c>
      <c r="AE19" s="65">
        <v>657</v>
      </c>
      <c r="AF19" s="65">
        <v>738</v>
      </c>
      <c r="AG19" s="67">
        <v>80</v>
      </c>
    </row>
    <row r="20" spans="1:33" s="879" customFormat="1" ht="16.5" thickBot="1" x14ac:dyDescent="0.25">
      <c r="A20" s="883" t="s">
        <v>616</v>
      </c>
      <c r="B20" s="65"/>
      <c r="C20" s="65"/>
      <c r="D20" s="884" t="str">
        <f t="shared" si="0"/>
        <v>--</v>
      </c>
      <c r="E20" s="65"/>
      <c r="F20" s="65"/>
      <c r="G20" s="884" t="str">
        <f t="shared" si="1"/>
        <v>--</v>
      </c>
      <c r="H20" s="65">
        <v>2427.7139999999999</v>
      </c>
      <c r="I20" s="65">
        <v>1255.5315699999999</v>
      </c>
      <c r="J20" s="884">
        <f t="shared" si="2"/>
        <v>-0.4828338222706629</v>
      </c>
      <c r="K20" s="65">
        <v>2316.7113899999999</v>
      </c>
      <c r="L20" s="65">
        <v>1753.0281200000002</v>
      </c>
      <c r="M20" s="884">
        <f t="shared" si="3"/>
        <v>-0.24331182228097897</v>
      </c>
      <c r="N20" s="65">
        <v>3171.1049299999995</v>
      </c>
      <c r="O20" s="65">
        <v>2246.0726500000001</v>
      </c>
      <c r="P20" s="884">
        <f t="shared" si="4"/>
        <v>-0.29170661344214793</v>
      </c>
      <c r="Q20" s="65">
        <v>1932.3865699999999</v>
      </c>
      <c r="R20" s="66">
        <v>1767.4936600000001</v>
      </c>
      <c r="S20" s="884">
        <f t="shared" si="5"/>
        <v>-8.5331223348338536E-2</v>
      </c>
      <c r="T20" s="66">
        <v>1727.0719999999999</v>
      </c>
      <c r="U20" s="66">
        <v>995.27213000000017</v>
      </c>
      <c r="V20" s="884">
        <f t="shared" si="6"/>
        <v>-0.42372285000277915</v>
      </c>
      <c r="W20" s="65">
        <v>999.10599999999999</v>
      </c>
      <c r="X20" s="65">
        <v>414.83974999999998</v>
      </c>
      <c r="Y20" s="884">
        <f t="shared" si="7"/>
        <v>-0.58478905141196236</v>
      </c>
      <c r="Z20" s="66">
        <v>1155</v>
      </c>
      <c r="AA20" s="68">
        <v>474.68939</v>
      </c>
      <c r="AB20" s="884">
        <f t="shared" si="8"/>
        <v>-0.58901351515151512</v>
      </c>
      <c r="AC20" s="65">
        <v>1215</v>
      </c>
      <c r="AD20" s="65">
        <v>907</v>
      </c>
      <c r="AE20" s="65">
        <v>1384</v>
      </c>
      <c r="AF20" s="65">
        <v>902</v>
      </c>
      <c r="AG20" s="67">
        <v>1020</v>
      </c>
    </row>
    <row r="21" spans="1:33" s="879" customFormat="1" ht="32.25" thickBot="1" x14ac:dyDescent="0.25">
      <c r="A21" s="883" t="s">
        <v>617</v>
      </c>
      <c r="B21" s="885">
        <f>SUM(B17:B20)</f>
        <v>0</v>
      </c>
      <c r="C21" s="885">
        <f>SUM(C17:C20)</f>
        <v>0</v>
      </c>
      <c r="D21" s="886" t="str">
        <f t="shared" si="0"/>
        <v>--</v>
      </c>
      <c r="E21" s="885">
        <f>SUM(E17:E20)</f>
        <v>0</v>
      </c>
      <c r="F21" s="885">
        <f>SUM(F17:F20)</f>
        <v>0</v>
      </c>
      <c r="G21" s="886" t="str">
        <f t="shared" si="1"/>
        <v>--</v>
      </c>
      <c r="H21" s="885">
        <f>SUM(H17:H20)</f>
        <v>11956.396000000001</v>
      </c>
      <c r="I21" s="885">
        <f>SUM(I17:I20)</f>
        <v>7472.9645199999995</v>
      </c>
      <c r="J21" s="886">
        <f t="shared" si="2"/>
        <v>-0.37498184904548165</v>
      </c>
      <c r="K21" s="885">
        <f>SUM(K17:K20)</f>
        <v>9405.5194699999993</v>
      </c>
      <c r="L21" s="885">
        <f>SUM(L17:L20)</f>
        <v>8269.8173200000001</v>
      </c>
      <c r="M21" s="886">
        <f t="shared" si="3"/>
        <v>-0.12074847685153951</v>
      </c>
      <c r="N21" s="885">
        <f>SUM(N17:N20)</f>
        <v>9503.6973699999999</v>
      </c>
      <c r="O21" s="885">
        <f t="shared" ref="O21:AF21" si="9">SUM(O17:O20)</f>
        <v>8891.797340000001</v>
      </c>
      <c r="P21" s="886">
        <f t="shared" si="4"/>
        <v>-6.4385470851751128E-2</v>
      </c>
      <c r="Q21" s="887">
        <f t="shared" si="9"/>
        <v>9083.1356300000007</v>
      </c>
      <c r="R21" s="887">
        <f t="shared" si="9"/>
        <v>8626.0891499999998</v>
      </c>
      <c r="S21" s="886">
        <f t="shared" si="5"/>
        <v>-5.0318138869407246E-2</v>
      </c>
      <c r="T21" s="887">
        <f t="shared" si="9"/>
        <v>10123.782999999999</v>
      </c>
      <c r="U21" s="887">
        <f t="shared" si="9"/>
        <v>9472.3395700000001</v>
      </c>
      <c r="V21" s="886">
        <f t="shared" si="6"/>
        <v>-6.4347826301689739E-2</v>
      </c>
      <c r="W21" s="887">
        <f t="shared" si="9"/>
        <v>11447.964</v>
      </c>
      <c r="X21" s="887">
        <f t="shared" si="9"/>
        <v>10886.000389999999</v>
      </c>
      <c r="Y21" s="886">
        <f t="shared" si="7"/>
        <v>-4.9088520019804453E-2</v>
      </c>
      <c r="Z21" s="887">
        <f t="shared" si="9"/>
        <v>10653.071999999998</v>
      </c>
      <c r="AA21" s="887">
        <f t="shared" si="9"/>
        <v>10201.364130000002</v>
      </c>
      <c r="AB21" s="886">
        <f t="shared" si="8"/>
        <v>-4.2401653720166035E-2</v>
      </c>
      <c r="AC21" s="885">
        <f t="shared" si="9"/>
        <v>10167</v>
      </c>
      <c r="AD21" s="885">
        <f t="shared" si="9"/>
        <v>12741</v>
      </c>
      <c r="AE21" s="885">
        <f t="shared" si="9"/>
        <v>10895</v>
      </c>
      <c r="AF21" s="885">
        <f t="shared" si="9"/>
        <v>11104</v>
      </c>
      <c r="AG21" s="888">
        <f>SUM(AG17:AG20)</f>
        <v>11313</v>
      </c>
    </row>
    <row r="22" spans="1:33" s="879" customFormat="1" ht="16.5" thickBot="1" x14ac:dyDescent="0.25">
      <c r="A22" s="883" t="s">
        <v>1076</v>
      </c>
      <c r="B22" s="830"/>
      <c r="C22" s="830"/>
      <c r="D22" s="889" t="str">
        <f t="shared" si="0"/>
        <v>--</v>
      </c>
      <c r="E22" s="830"/>
      <c r="F22" s="830"/>
      <c r="G22" s="889" t="str">
        <f t="shared" si="1"/>
        <v>--</v>
      </c>
      <c r="H22" s="830">
        <v>-703.79</v>
      </c>
      <c r="I22" s="830">
        <v>-1247.3316800000002</v>
      </c>
      <c r="J22" s="889">
        <f t="shared" si="2"/>
        <v>0.77230662555591911</v>
      </c>
      <c r="K22" s="830">
        <v>-850.97799999999995</v>
      </c>
      <c r="L22" s="830">
        <v>-878.23046999999997</v>
      </c>
      <c r="M22" s="889">
        <f t="shared" si="3"/>
        <v>3.2024881959345622E-2</v>
      </c>
      <c r="N22" s="830">
        <v>-743.96729000000005</v>
      </c>
      <c r="O22" s="830">
        <v>-1256.4701279999999</v>
      </c>
      <c r="P22" s="889">
        <f t="shared" si="4"/>
        <v>0.68887818710416671</v>
      </c>
      <c r="Q22" s="830">
        <v>-711.35199999999998</v>
      </c>
      <c r="R22" s="830">
        <v>-882.99800000000005</v>
      </c>
      <c r="S22" s="889">
        <f t="shared" si="5"/>
        <v>0.24129544866676425</v>
      </c>
      <c r="T22" s="830">
        <v>-706.02099999999996</v>
      </c>
      <c r="U22" s="830">
        <v>-757.39314240850581</v>
      </c>
      <c r="V22" s="889">
        <f t="shared" si="6"/>
        <v>7.276290989716433E-2</v>
      </c>
      <c r="W22" s="830">
        <v>-965</v>
      </c>
      <c r="X22" s="830">
        <v>-1236.0241099999998</v>
      </c>
      <c r="Y22" s="889">
        <f t="shared" si="7"/>
        <v>0.28085399999999983</v>
      </c>
      <c r="Z22" s="830">
        <v>-1095.0999999999999</v>
      </c>
      <c r="AA22" s="830">
        <v>-1698.0956600000002</v>
      </c>
      <c r="AB22" s="889">
        <f t="shared" si="8"/>
        <v>0.55063068212948618</v>
      </c>
      <c r="AC22" s="830">
        <v>-1082</v>
      </c>
      <c r="AD22" s="830">
        <v>-1102</v>
      </c>
      <c r="AE22" s="830">
        <v>-1123</v>
      </c>
      <c r="AF22" s="830">
        <v>-1143</v>
      </c>
      <c r="AG22" s="830">
        <v>-1165</v>
      </c>
    </row>
    <row r="23" spans="1:33" s="879" customFormat="1" ht="32.25" thickBot="1" x14ac:dyDescent="0.25">
      <c r="A23" s="883" t="s">
        <v>1077</v>
      </c>
      <c r="B23" s="65"/>
      <c r="C23" s="65"/>
      <c r="D23" s="889" t="str">
        <f t="shared" si="0"/>
        <v>--</v>
      </c>
      <c r="E23" s="65"/>
      <c r="F23" s="65"/>
      <c r="G23" s="889" t="str">
        <f t="shared" si="1"/>
        <v>--</v>
      </c>
      <c r="H23" s="65">
        <f>H21+H22</f>
        <v>11252.606</v>
      </c>
      <c r="I23" s="65">
        <f>I21+I22</f>
        <v>6225.6328399999993</v>
      </c>
      <c r="J23" s="889">
        <f t="shared" si="2"/>
        <v>-0.44673857415784402</v>
      </c>
      <c r="K23" s="65">
        <f>K21+K22</f>
        <v>8554.5414700000001</v>
      </c>
      <c r="L23" s="65">
        <f>L21+L22</f>
        <v>7391.5868499999997</v>
      </c>
      <c r="M23" s="889">
        <f t="shared" si="3"/>
        <v>-0.13594587437308903</v>
      </c>
      <c r="N23" s="65">
        <f>N21+N22</f>
        <v>8759.7300799999994</v>
      </c>
      <c r="O23" s="65">
        <f>O21+O22</f>
        <v>7635.3272120000011</v>
      </c>
      <c r="P23" s="889">
        <f t="shared" si="4"/>
        <v>-0.12836044692372511</v>
      </c>
      <c r="Q23" s="65">
        <f>Q21+Q22</f>
        <v>8371.7836299999999</v>
      </c>
      <c r="R23" s="65">
        <f>R21+R22</f>
        <v>7743.0911500000002</v>
      </c>
      <c r="S23" s="890">
        <f t="shared" si="5"/>
        <v>-7.5096599217770246E-2</v>
      </c>
      <c r="T23" s="65">
        <f>T21+T22</f>
        <v>9417.7619999999988</v>
      </c>
      <c r="U23" s="65">
        <f>U21+U22</f>
        <v>8714.9464275914943</v>
      </c>
      <c r="V23" s="889">
        <f t="shared" si="6"/>
        <v>-7.4626601565053838E-2</v>
      </c>
      <c r="W23" s="65">
        <f>W21+W22</f>
        <v>10482.964</v>
      </c>
      <c r="X23" s="65">
        <f>X21+X22</f>
        <v>9649.976279999999</v>
      </c>
      <c r="Y23" s="889">
        <f t="shared" si="7"/>
        <v>-7.9461087532114102E-2</v>
      </c>
      <c r="Z23" s="65">
        <f>Z21+Z22</f>
        <v>9557.9719999999979</v>
      </c>
      <c r="AA23" s="65">
        <f>AA21+AA22</f>
        <v>8503.2684700000009</v>
      </c>
      <c r="AB23" s="889">
        <f t="shared" si="8"/>
        <v>-0.11034804558958713</v>
      </c>
      <c r="AC23" s="65">
        <f>AC21+AC22</f>
        <v>9085</v>
      </c>
      <c r="AD23" s="65">
        <f>AD21+AD22</f>
        <v>11639</v>
      </c>
      <c r="AE23" s="65">
        <f>AE21+AE22+1</f>
        <v>9773</v>
      </c>
      <c r="AF23" s="65">
        <f>AF21+AF22</f>
        <v>9961</v>
      </c>
      <c r="AG23" s="65">
        <f>AG21+AG22+1</f>
        <v>10149</v>
      </c>
    </row>
    <row r="24" spans="1:33" s="879" customFormat="1" ht="16.5" thickBot="1" x14ac:dyDescent="0.25">
      <c r="A24" s="891" t="s">
        <v>618</v>
      </c>
      <c r="B24" s="425"/>
      <c r="C24" s="425"/>
      <c r="D24" s="892" t="str">
        <f t="shared" si="0"/>
        <v>--</v>
      </c>
      <c r="E24" s="425"/>
      <c r="F24" s="425"/>
      <c r="G24" s="892" t="str">
        <f t="shared" si="1"/>
        <v>--</v>
      </c>
      <c r="H24" s="425">
        <v>7988.2939999999999</v>
      </c>
      <c r="I24" s="425">
        <v>7349.985709999999</v>
      </c>
      <c r="J24" s="892">
        <f t="shared" si="2"/>
        <v>-7.9905457911288807E-2</v>
      </c>
      <c r="K24" s="425">
        <v>8117.7269999999999</v>
      </c>
      <c r="L24" s="425">
        <v>6672.3293700000468</v>
      </c>
      <c r="M24" s="892">
        <f t="shared" si="3"/>
        <v>-0.17805447633308599</v>
      </c>
      <c r="N24" s="425">
        <v>8543.5930000000008</v>
      </c>
      <c r="O24" s="425">
        <v>7498.6546400000043</v>
      </c>
      <c r="P24" s="892">
        <f t="shared" si="4"/>
        <v>-0.12230666418683525</v>
      </c>
      <c r="Q24" s="425">
        <v>8988.5679999999993</v>
      </c>
      <c r="R24" s="426">
        <v>7543.2365800000016</v>
      </c>
      <c r="S24" s="892">
        <f t="shared" si="5"/>
        <v>-0.16079662744944442</v>
      </c>
      <c r="T24" s="426">
        <v>8381.5010000000002</v>
      </c>
      <c r="U24" s="426">
        <v>7666.7262199999586</v>
      </c>
      <c r="V24" s="892">
        <f t="shared" si="6"/>
        <v>-8.528004470798746E-2</v>
      </c>
      <c r="W24" s="425">
        <v>8785.9230000000007</v>
      </c>
      <c r="X24" s="425">
        <v>7578.6716499999802</v>
      </c>
      <c r="Y24" s="892">
        <f t="shared" si="7"/>
        <v>-0.13740745849924024</v>
      </c>
      <c r="Z24" s="426">
        <v>7890.4340000000002</v>
      </c>
      <c r="AA24" s="426">
        <v>8001.5197300000191</v>
      </c>
      <c r="AB24" s="892">
        <f t="shared" si="8"/>
        <v>1.4078532308871588E-2</v>
      </c>
      <c r="AC24" s="425">
        <v>9141.0390000000007</v>
      </c>
      <c r="AD24" s="425">
        <v>9323.8597800000007</v>
      </c>
      <c r="AE24" s="425">
        <v>9510.3369756000011</v>
      </c>
      <c r="AF24" s="425">
        <v>9700.5437151120004</v>
      </c>
      <c r="AG24" s="427">
        <v>9894.5545894142415</v>
      </c>
    </row>
    <row r="25" spans="1:33" s="860" customFormat="1" ht="13.5" thickTop="1" x14ac:dyDescent="0.2"/>
    <row r="26" spans="1:33" ht="15" x14ac:dyDescent="0.25">
      <c r="A26" s="1898" t="s">
        <v>619</v>
      </c>
      <c r="B26" s="1898"/>
      <c r="C26" s="1898"/>
      <c r="D26" s="1898"/>
      <c r="E26" s="1898"/>
      <c r="F26" s="1898"/>
      <c r="G26" s="1898"/>
      <c r="H26" s="1898"/>
      <c r="I26" s="1898"/>
      <c r="J26" s="1898"/>
      <c r="K26" s="1898"/>
      <c r="L26" s="1898"/>
      <c r="M26" s="1898"/>
      <c r="N26" s="1898"/>
      <c r="O26" s="1898"/>
      <c r="P26" s="1898"/>
      <c r="Q26" s="1898"/>
      <c r="R26" s="1898"/>
      <c r="S26" s="1898"/>
      <c r="T26" s="1898"/>
      <c r="U26" s="1898"/>
      <c r="V26" s="1898"/>
      <c r="W26" s="1898"/>
      <c r="X26" s="1898"/>
      <c r="Y26" s="1898"/>
      <c r="Z26" s="1898"/>
      <c r="AA26" s="1898"/>
      <c r="AB26" s="1898"/>
      <c r="AC26" s="1898"/>
      <c r="AD26" s="1898"/>
      <c r="AE26" s="1898"/>
      <c r="AF26" s="1898"/>
      <c r="AG26" s="1898"/>
    </row>
    <row r="27" spans="1:33" ht="27.75" customHeight="1" x14ac:dyDescent="0.2">
      <c r="A27" s="1905" t="s">
        <v>1334</v>
      </c>
      <c r="B27" s="1905"/>
      <c r="C27" s="1905"/>
      <c r="D27" s="1905"/>
      <c r="E27" s="1905"/>
      <c r="F27" s="1905"/>
      <c r="G27" s="1905"/>
      <c r="H27" s="1905"/>
      <c r="I27" s="1905"/>
      <c r="J27" s="1905"/>
      <c r="K27" s="1905"/>
      <c r="L27" s="1905"/>
      <c r="M27" s="1905"/>
      <c r="N27" s="1905"/>
      <c r="O27" s="1905"/>
      <c r="P27" s="1905"/>
      <c r="Q27" s="1905"/>
      <c r="R27" s="1905"/>
      <c r="S27" s="1905"/>
      <c r="T27" s="1905"/>
      <c r="U27" s="1905"/>
      <c r="V27" s="1905"/>
      <c r="W27" s="1905"/>
      <c r="X27" s="1905"/>
      <c r="Y27" s="1905"/>
      <c r="Z27" s="1905"/>
      <c r="AA27" s="1905"/>
      <c r="AB27" s="1905"/>
      <c r="AC27" s="1905"/>
      <c r="AD27" s="1905"/>
      <c r="AE27" s="1905"/>
      <c r="AF27" s="1905"/>
      <c r="AG27" s="1905"/>
    </row>
    <row r="28" spans="1:33" x14ac:dyDescent="0.2">
      <c r="A28" s="1897" t="s">
        <v>995</v>
      </c>
      <c r="B28" s="1897"/>
      <c r="C28" s="1897"/>
      <c r="D28" s="1897"/>
      <c r="E28" s="1897"/>
      <c r="F28" s="1897"/>
      <c r="G28" s="1897"/>
      <c r="H28" s="1897"/>
      <c r="I28" s="1897"/>
      <c r="J28" s="1897"/>
      <c r="K28" s="1897"/>
      <c r="L28" s="1897"/>
      <c r="M28" s="1897"/>
      <c r="N28" s="1897"/>
      <c r="O28" s="1897"/>
      <c r="P28" s="1897"/>
      <c r="Q28" s="1897"/>
      <c r="R28" s="1897"/>
      <c r="S28" s="1897"/>
      <c r="T28" s="1897"/>
      <c r="U28" s="1897"/>
      <c r="V28" s="1897"/>
      <c r="W28" s="1897"/>
      <c r="X28" s="1897"/>
      <c r="Y28" s="1897"/>
      <c r="Z28" s="1897"/>
      <c r="AA28" s="1897"/>
      <c r="AB28" s="1897"/>
      <c r="AC28" s="1897"/>
      <c r="AD28" s="1897"/>
      <c r="AE28" s="1897"/>
      <c r="AF28" s="1897"/>
      <c r="AG28" s="1897"/>
    </row>
    <row r="30" spans="1:33" ht="18.75" x14ac:dyDescent="0.3">
      <c r="A30" s="1879" t="s">
        <v>620</v>
      </c>
      <c r="B30" s="1880"/>
      <c r="C30" s="1880"/>
      <c r="D30" s="1880"/>
      <c r="E30" s="1880"/>
      <c r="F30" s="1880"/>
      <c r="G30" s="1880"/>
      <c r="H30" s="1880"/>
      <c r="I30" s="1880"/>
      <c r="J30" s="1880"/>
      <c r="K30" s="1880"/>
      <c r="L30" s="1880"/>
      <c r="M30" s="1880"/>
      <c r="N30" s="1880"/>
      <c r="O30" s="1880"/>
      <c r="P30" s="1880"/>
      <c r="Q30" s="1880"/>
      <c r="R30" s="1880"/>
      <c r="S30" s="1880"/>
      <c r="T30" s="1880"/>
      <c r="U30" s="1880"/>
      <c r="V30" s="1880"/>
      <c r="W30" s="1880"/>
      <c r="X30" s="1880"/>
      <c r="Y30" s="1880"/>
      <c r="Z30" s="1880"/>
      <c r="AA30" s="1880"/>
      <c r="AB30" s="1880"/>
      <c r="AC30" s="1880"/>
      <c r="AD30" s="1880"/>
      <c r="AE30" s="1880"/>
      <c r="AF30" s="1880"/>
      <c r="AG30" s="1881"/>
    </row>
    <row r="31" spans="1:33" ht="15" x14ac:dyDescent="0.25">
      <c r="A31" s="1876" t="s">
        <v>800</v>
      </c>
      <c r="B31" s="1877"/>
      <c r="C31" s="1877"/>
      <c r="D31" s="1877"/>
      <c r="E31" s="1877"/>
      <c r="F31" s="1877"/>
      <c r="G31" s="1877"/>
      <c r="H31" s="1877"/>
      <c r="I31" s="1877"/>
      <c r="J31" s="1877"/>
      <c r="K31" s="1877"/>
      <c r="L31" s="1877"/>
      <c r="M31" s="1877"/>
      <c r="N31" s="1877"/>
      <c r="O31" s="1877"/>
      <c r="P31" s="1877"/>
      <c r="Q31" s="1877"/>
      <c r="R31" s="1877"/>
      <c r="S31" s="1877"/>
      <c r="T31" s="1877"/>
      <c r="U31" s="1877"/>
      <c r="V31" s="1877"/>
      <c r="W31" s="1877"/>
      <c r="X31" s="1877"/>
      <c r="Y31" s="1877"/>
      <c r="Z31" s="1877"/>
      <c r="AA31" s="1877"/>
      <c r="AB31" s="1877"/>
      <c r="AC31" s="1877"/>
      <c r="AD31" s="1877"/>
      <c r="AE31" s="1877"/>
      <c r="AF31" s="1877"/>
      <c r="AG31" s="1878"/>
    </row>
    <row r="32" spans="1:33" ht="30" customHeight="1" x14ac:dyDescent="0.2">
      <c r="A32" s="1870" t="s">
        <v>1636</v>
      </c>
      <c r="B32" s="1871"/>
      <c r="C32" s="1871"/>
      <c r="D32" s="1871"/>
      <c r="E32" s="1871"/>
      <c r="F32" s="1871"/>
      <c r="G32" s="1871"/>
      <c r="H32" s="1871"/>
      <c r="I32" s="1871"/>
      <c r="J32" s="1871"/>
      <c r="K32" s="1871"/>
      <c r="L32" s="1871"/>
      <c r="M32" s="1871"/>
      <c r="N32" s="1871"/>
      <c r="O32" s="1871"/>
      <c r="P32" s="1871"/>
      <c r="Q32" s="1871"/>
      <c r="R32" s="1871"/>
      <c r="S32" s="1871"/>
      <c r="T32" s="1871"/>
      <c r="U32" s="1871"/>
      <c r="V32" s="1871"/>
      <c r="W32" s="1871"/>
      <c r="X32" s="1871"/>
      <c r="Y32" s="1871"/>
      <c r="Z32" s="1871"/>
      <c r="AA32" s="1871"/>
      <c r="AB32" s="1871"/>
      <c r="AC32" s="1871"/>
      <c r="AD32" s="1871"/>
      <c r="AE32" s="1871"/>
      <c r="AF32" s="1871"/>
      <c r="AG32" s="1872"/>
    </row>
    <row r="33" spans="1:33" ht="30" customHeight="1" x14ac:dyDescent="0.2">
      <c r="A33" s="1873"/>
      <c r="B33" s="1874"/>
      <c r="C33" s="1874"/>
      <c r="D33" s="1874"/>
      <c r="E33" s="1874"/>
      <c r="F33" s="1874"/>
      <c r="G33" s="1874"/>
      <c r="H33" s="1874"/>
      <c r="I33" s="1874"/>
      <c r="J33" s="1874"/>
      <c r="K33" s="1874"/>
      <c r="L33" s="1874"/>
      <c r="M33" s="1874"/>
      <c r="N33" s="1874"/>
      <c r="O33" s="1874"/>
      <c r="P33" s="1874"/>
      <c r="Q33" s="1874"/>
      <c r="R33" s="1874"/>
      <c r="S33" s="1874"/>
      <c r="T33" s="1874"/>
      <c r="U33" s="1874"/>
      <c r="V33" s="1874"/>
      <c r="W33" s="1874"/>
      <c r="X33" s="1874"/>
      <c r="Y33" s="1874"/>
      <c r="Z33" s="1874"/>
      <c r="AA33" s="1874"/>
      <c r="AB33" s="1874"/>
      <c r="AC33" s="1874"/>
      <c r="AD33" s="1874"/>
      <c r="AE33" s="1874"/>
      <c r="AF33" s="1874"/>
      <c r="AG33" s="1875"/>
    </row>
    <row r="34" spans="1:33" ht="15" x14ac:dyDescent="0.25">
      <c r="A34" s="1876" t="s">
        <v>621</v>
      </c>
      <c r="B34" s="1877"/>
      <c r="C34" s="1877"/>
      <c r="D34" s="1877"/>
      <c r="E34" s="1877"/>
      <c r="F34" s="1877"/>
      <c r="G34" s="1877"/>
      <c r="H34" s="1877"/>
      <c r="I34" s="1877"/>
      <c r="J34" s="1877"/>
      <c r="K34" s="1877"/>
      <c r="L34" s="1877"/>
      <c r="M34" s="1877"/>
      <c r="N34" s="1877"/>
      <c r="O34" s="1877"/>
      <c r="P34" s="1877"/>
      <c r="Q34" s="1877"/>
      <c r="R34" s="1877"/>
      <c r="S34" s="1877"/>
      <c r="T34" s="1877"/>
      <c r="U34" s="1877"/>
      <c r="V34" s="1877"/>
      <c r="W34" s="1877"/>
      <c r="X34" s="1877"/>
      <c r="Y34" s="1877"/>
      <c r="Z34" s="1877"/>
      <c r="AA34" s="1877"/>
      <c r="AB34" s="1877"/>
      <c r="AC34" s="1877"/>
      <c r="AD34" s="1877"/>
      <c r="AE34" s="1877"/>
      <c r="AF34" s="1877"/>
      <c r="AG34" s="1878"/>
    </row>
    <row r="35" spans="1:33" ht="30" customHeight="1" x14ac:dyDescent="0.2">
      <c r="A35" s="1870" t="s">
        <v>1636</v>
      </c>
      <c r="B35" s="1871"/>
      <c r="C35" s="1871"/>
      <c r="D35" s="1871"/>
      <c r="E35" s="1871"/>
      <c r="F35" s="1871"/>
      <c r="G35" s="1871"/>
      <c r="H35" s="1871"/>
      <c r="I35" s="1871"/>
      <c r="J35" s="1871"/>
      <c r="K35" s="1871"/>
      <c r="L35" s="1871"/>
      <c r="M35" s="1871"/>
      <c r="N35" s="1871"/>
      <c r="O35" s="1871"/>
      <c r="P35" s="1871"/>
      <c r="Q35" s="1871"/>
      <c r="R35" s="1871"/>
      <c r="S35" s="1871"/>
      <c r="T35" s="1871"/>
      <c r="U35" s="1871"/>
      <c r="V35" s="1871"/>
      <c r="W35" s="1871"/>
      <c r="X35" s="1871"/>
      <c r="Y35" s="1871"/>
      <c r="Z35" s="1871"/>
      <c r="AA35" s="1871"/>
      <c r="AB35" s="1871"/>
      <c r="AC35" s="1871"/>
      <c r="AD35" s="1871"/>
      <c r="AE35" s="1871"/>
      <c r="AF35" s="1871"/>
      <c r="AG35" s="1872"/>
    </row>
    <row r="36" spans="1:33" ht="30" customHeight="1" x14ac:dyDescent="0.2">
      <c r="A36" s="1873"/>
      <c r="B36" s="1874"/>
      <c r="C36" s="1874"/>
      <c r="D36" s="1874"/>
      <c r="E36" s="1874"/>
      <c r="F36" s="1874"/>
      <c r="G36" s="1874"/>
      <c r="H36" s="1874"/>
      <c r="I36" s="1874"/>
      <c r="J36" s="1874"/>
      <c r="K36" s="1874"/>
      <c r="L36" s="1874"/>
      <c r="M36" s="1874"/>
      <c r="N36" s="1874"/>
      <c r="O36" s="1874"/>
      <c r="P36" s="1874"/>
      <c r="Q36" s="1874"/>
      <c r="R36" s="1874"/>
      <c r="S36" s="1874"/>
      <c r="T36" s="1874"/>
      <c r="U36" s="1874"/>
      <c r="V36" s="1874"/>
      <c r="W36" s="1874"/>
      <c r="X36" s="1874"/>
      <c r="Y36" s="1874"/>
      <c r="Z36" s="1874"/>
      <c r="AA36" s="1874"/>
      <c r="AB36" s="1874"/>
      <c r="AC36" s="1874"/>
      <c r="AD36" s="1874"/>
      <c r="AE36" s="1874"/>
      <c r="AF36" s="1874"/>
      <c r="AG36" s="1875"/>
    </row>
    <row r="37" spans="1:33" ht="15" x14ac:dyDescent="0.25">
      <c r="A37" s="1876" t="s">
        <v>622</v>
      </c>
      <c r="B37" s="1877"/>
      <c r="C37" s="1877"/>
      <c r="D37" s="1877"/>
      <c r="E37" s="1877"/>
      <c r="F37" s="1877"/>
      <c r="G37" s="1877"/>
      <c r="H37" s="1877"/>
      <c r="I37" s="1877"/>
      <c r="J37" s="1877"/>
      <c r="K37" s="1877"/>
      <c r="L37" s="1877"/>
      <c r="M37" s="1877"/>
      <c r="N37" s="1877"/>
      <c r="O37" s="1877"/>
      <c r="P37" s="1877"/>
      <c r="Q37" s="1877"/>
      <c r="R37" s="1877"/>
      <c r="S37" s="1877"/>
      <c r="T37" s="1877"/>
      <c r="U37" s="1877"/>
      <c r="V37" s="1877"/>
      <c r="W37" s="1877"/>
      <c r="X37" s="1877"/>
      <c r="Y37" s="1877"/>
      <c r="Z37" s="1877"/>
      <c r="AA37" s="1877"/>
      <c r="AB37" s="1877"/>
      <c r="AC37" s="1877"/>
      <c r="AD37" s="1877"/>
      <c r="AE37" s="1877"/>
      <c r="AF37" s="1877"/>
      <c r="AG37" s="1878"/>
    </row>
    <row r="38" spans="1:33" ht="30" customHeight="1" x14ac:dyDescent="0.2">
      <c r="A38" s="1870" t="s">
        <v>1636</v>
      </c>
      <c r="B38" s="1871"/>
      <c r="C38" s="1871"/>
      <c r="D38" s="1871"/>
      <c r="E38" s="1871"/>
      <c r="F38" s="1871"/>
      <c r="G38" s="1871"/>
      <c r="H38" s="1871"/>
      <c r="I38" s="1871"/>
      <c r="J38" s="1871"/>
      <c r="K38" s="1871"/>
      <c r="L38" s="1871"/>
      <c r="M38" s="1871"/>
      <c r="N38" s="1871"/>
      <c r="O38" s="1871"/>
      <c r="P38" s="1871"/>
      <c r="Q38" s="1871"/>
      <c r="R38" s="1871"/>
      <c r="S38" s="1871"/>
      <c r="T38" s="1871"/>
      <c r="U38" s="1871"/>
      <c r="V38" s="1871"/>
      <c r="W38" s="1871"/>
      <c r="X38" s="1871"/>
      <c r="Y38" s="1871"/>
      <c r="Z38" s="1871"/>
      <c r="AA38" s="1871"/>
      <c r="AB38" s="1871"/>
      <c r="AC38" s="1871"/>
      <c r="AD38" s="1871"/>
      <c r="AE38" s="1871"/>
      <c r="AF38" s="1871"/>
      <c r="AG38" s="1872"/>
    </row>
    <row r="39" spans="1:33" ht="30" customHeight="1" x14ac:dyDescent="0.2">
      <c r="A39" s="1873"/>
      <c r="B39" s="1874"/>
      <c r="C39" s="1874"/>
      <c r="D39" s="1874"/>
      <c r="E39" s="1874"/>
      <c r="F39" s="1874"/>
      <c r="G39" s="1874"/>
      <c r="H39" s="1874"/>
      <c r="I39" s="1874"/>
      <c r="J39" s="1874"/>
      <c r="K39" s="1874"/>
      <c r="L39" s="1874"/>
      <c r="M39" s="1874"/>
      <c r="N39" s="1874"/>
      <c r="O39" s="1874"/>
      <c r="P39" s="1874"/>
      <c r="Q39" s="1874"/>
      <c r="R39" s="1874"/>
      <c r="S39" s="1874"/>
      <c r="T39" s="1874"/>
      <c r="U39" s="1874"/>
      <c r="V39" s="1874"/>
      <c r="W39" s="1874"/>
      <c r="X39" s="1874"/>
      <c r="Y39" s="1874"/>
      <c r="Z39" s="1874"/>
      <c r="AA39" s="1874"/>
      <c r="AB39" s="1874"/>
      <c r="AC39" s="1874"/>
      <c r="AD39" s="1874"/>
      <c r="AE39" s="1874"/>
      <c r="AF39" s="1874"/>
      <c r="AG39" s="1875"/>
    </row>
  </sheetData>
  <sheetProtection algorithmName="SHA-512" hashValue="vg7617UOpGIh14ux11xlLFuWcMxA/Of+Wg/FUBfncBdwsYLvKdd5rPHLQuXu5bfUktOys2w084zjbHK1V2fzOA==" saltValue="kK7ZdB66NmhmG0jNN+YKOg==" spinCount="100000" sheet="1" objects="1" scenarios="1"/>
  <mergeCells count="39">
    <mergeCell ref="A28:AG28"/>
    <mergeCell ref="A26:AG26"/>
    <mergeCell ref="H14:J14"/>
    <mergeCell ref="H16:I16"/>
    <mergeCell ref="E14:G14"/>
    <mergeCell ref="E16:F16"/>
    <mergeCell ref="AC16:AG16"/>
    <mergeCell ref="AG14:AG15"/>
    <mergeCell ref="K16:L16"/>
    <mergeCell ref="B16:C16"/>
    <mergeCell ref="A27:AG27"/>
    <mergeCell ref="N16:O16"/>
    <mergeCell ref="Q16:R16"/>
    <mergeCell ref="T16:U16"/>
    <mergeCell ref="W16:X16"/>
    <mergeCell ref="Z16:AA16"/>
    <mergeCell ref="A9:AG9"/>
    <mergeCell ref="A10:AG10"/>
    <mergeCell ref="T14:V14"/>
    <mergeCell ref="W14:Y14"/>
    <mergeCell ref="Z14:AB14"/>
    <mergeCell ref="AC14:AC15"/>
    <mergeCell ref="AD14:AD15"/>
    <mergeCell ref="B13:AB13"/>
    <mergeCell ref="K14:M14"/>
    <mergeCell ref="B14:D14"/>
    <mergeCell ref="A13:A16"/>
    <mergeCell ref="AC13:AG13"/>
    <mergeCell ref="N14:P14"/>
    <mergeCell ref="Q14:S14"/>
    <mergeCell ref="AE14:AE15"/>
    <mergeCell ref="AF14:AF15"/>
    <mergeCell ref="A35:AG36"/>
    <mergeCell ref="A38:AG39"/>
    <mergeCell ref="A37:AG37"/>
    <mergeCell ref="A30:AG30"/>
    <mergeCell ref="A31:AG31"/>
    <mergeCell ref="A32:AG33"/>
    <mergeCell ref="A34:AG34"/>
  </mergeCells>
  <pageMargins left="0.7" right="0.7" top="0.75" bottom="0.75" header="0.3" footer="0.3"/>
  <pageSetup scale="37"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7">
    <tabColor rgb="FF00B0F0"/>
  </sheetPr>
  <dimension ref="A1:I113"/>
  <sheetViews>
    <sheetView workbookViewId="0"/>
  </sheetViews>
  <sheetFormatPr defaultRowHeight="12.75" x14ac:dyDescent="0.2"/>
  <cols>
    <col min="1" max="1" width="10.5703125" bestFit="1" customWidth="1"/>
    <col min="2" max="2" width="10.28515625" bestFit="1" customWidth="1"/>
    <col min="3" max="3" width="8.7109375" bestFit="1" customWidth="1"/>
    <col min="4" max="4" width="10.7109375" bestFit="1" customWidth="1"/>
    <col min="5" max="5" width="17" bestFit="1" customWidth="1"/>
    <col min="6" max="6" width="21.7109375" bestFit="1" customWidth="1"/>
    <col min="7" max="7" width="33.85546875" bestFit="1" customWidth="1"/>
  </cols>
  <sheetData>
    <row r="1" spans="1:9" x14ac:dyDescent="0.2">
      <c r="A1" t="s">
        <v>1081</v>
      </c>
      <c r="B1" t="s">
        <v>1082</v>
      </c>
      <c r="C1" t="s">
        <v>277</v>
      </c>
      <c r="D1" t="s">
        <v>276</v>
      </c>
      <c r="E1" t="s">
        <v>275</v>
      </c>
      <c r="F1" t="s">
        <v>1078</v>
      </c>
      <c r="G1" t="s">
        <v>10</v>
      </c>
      <c r="H1" t="s">
        <v>610</v>
      </c>
      <c r="I1" t="s">
        <v>334</v>
      </c>
    </row>
    <row r="2" spans="1:9" x14ac:dyDescent="0.2">
      <c r="A2" t="str">
        <f>'LDC Info'!$E$14</f>
        <v>Greater Sudbury Hydro Inc.</v>
      </c>
      <c r="B2" t="str">
        <f t="shared" ref="B2:B33" si="0">EBNUMBER</f>
        <v>EB-2019-0037</v>
      </c>
      <c r="C2">
        <f t="shared" ref="C2:C33" si="1">TestYear</f>
        <v>2020</v>
      </c>
      <c r="D2">
        <f t="shared" ref="D2:D33" si="2">BridgeYear</f>
        <v>2019</v>
      </c>
      <c r="E2">
        <f t="shared" ref="E2:E33" si="3">RebaseYear</f>
        <v>2013</v>
      </c>
      <c r="F2" t="s">
        <v>613</v>
      </c>
      <c r="G2">
        <f>'App.2-AB_Capital Expenditures'!B14</f>
        <v>2011</v>
      </c>
      <c r="H2">
        <f>'App.2-AB_Capital Expenditures'!B17</f>
        <v>0</v>
      </c>
      <c r="I2">
        <f>'App.2-AB_Capital Expenditures'!C17</f>
        <v>0</v>
      </c>
    </row>
    <row r="3" spans="1:9" x14ac:dyDescent="0.2">
      <c r="A3" t="str">
        <f>'LDC Info'!$E$14</f>
        <v>Greater Sudbury Hydro Inc.</v>
      </c>
      <c r="B3" t="str">
        <f t="shared" si="0"/>
        <v>EB-2019-0037</v>
      </c>
      <c r="C3">
        <f t="shared" si="1"/>
        <v>2020</v>
      </c>
      <c r="D3">
        <f t="shared" si="2"/>
        <v>2019</v>
      </c>
      <c r="E3">
        <f t="shared" si="3"/>
        <v>2013</v>
      </c>
      <c r="F3" t="s">
        <v>614</v>
      </c>
      <c r="G3">
        <f>'App.2-AB_Capital Expenditures'!B14</f>
        <v>2011</v>
      </c>
      <c r="H3">
        <f>'App.2-AB_Capital Expenditures'!B18</f>
        <v>0</v>
      </c>
      <c r="I3">
        <f>'App.2-AB_Capital Expenditures'!C18</f>
        <v>0</v>
      </c>
    </row>
    <row r="4" spans="1:9" x14ac:dyDescent="0.2">
      <c r="A4" t="str">
        <f>'LDC Info'!$E$14</f>
        <v>Greater Sudbury Hydro Inc.</v>
      </c>
      <c r="B4" t="str">
        <f t="shared" si="0"/>
        <v>EB-2019-0037</v>
      </c>
      <c r="C4">
        <f t="shared" si="1"/>
        <v>2020</v>
      </c>
      <c r="D4">
        <f t="shared" si="2"/>
        <v>2019</v>
      </c>
      <c r="E4">
        <f t="shared" si="3"/>
        <v>2013</v>
      </c>
      <c r="F4" t="s">
        <v>615</v>
      </c>
      <c r="G4">
        <f>'App.2-AB_Capital Expenditures'!B14</f>
        <v>2011</v>
      </c>
      <c r="H4">
        <f>'App.2-AB_Capital Expenditures'!B19</f>
        <v>0</v>
      </c>
      <c r="I4">
        <f>'App.2-AB_Capital Expenditures'!C19</f>
        <v>0</v>
      </c>
    </row>
    <row r="5" spans="1:9" x14ac:dyDescent="0.2">
      <c r="A5" t="str">
        <f>'LDC Info'!$E$14</f>
        <v>Greater Sudbury Hydro Inc.</v>
      </c>
      <c r="B5" t="str">
        <f t="shared" si="0"/>
        <v>EB-2019-0037</v>
      </c>
      <c r="C5">
        <f t="shared" si="1"/>
        <v>2020</v>
      </c>
      <c r="D5">
        <f t="shared" si="2"/>
        <v>2019</v>
      </c>
      <c r="E5">
        <f t="shared" si="3"/>
        <v>2013</v>
      </c>
      <c r="F5" t="s">
        <v>616</v>
      </c>
      <c r="G5">
        <f>'App.2-AB_Capital Expenditures'!B14</f>
        <v>2011</v>
      </c>
      <c r="H5">
        <f>'App.2-AB_Capital Expenditures'!B20</f>
        <v>0</v>
      </c>
      <c r="I5">
        <f>'App.2-AB_Capital Expenditures'!C20</f>
        <v>0</v>
      </c>
    </row>
    <row r="6" spans="1:9" x14ac:dyDescent="0.2">
      <c r="A6" t="str">
        <f>'LDC Info'!$E$14</f>
        <v>Greater Sudbury Hydro Inc.</v>
      </c>
      <c r="B6" t="str">
        <f t="shared" si="0"/>
        <v>EB-2019-0037</v>
      </c>
      <c r="C6">
        <f t="shared" si="1"/>
        <v>2020</v>
      </c>
      <c r="D6">
        <f t="shared" si="2"/>
        <v>2019</v>
      </c>
      <c r="E6">
        <f t="shared" si="3"/>
        <v>2013</v>
      </c>
      <c r="F6" s="9" t="s">
        <v>1079</v>
      </c>
      <c r="G6">
        <f>'App.2-AB_Capital Expenditures'!B14</f>
        <v>2011</v>
      </c>
      <c r="H6">
        <f>'App.2-AB_Capital Expenditures'!B21</f>
        <v>0</v>
      </c>
      <c r="I6">
        <f>'App.2-AB_Capital Expenditures'!C21</f>
        <v>0</v>
      </c>
    </row>
    <row r="7" spans="1:9" x14ac:dyDescent="0.2">
      <c r="A7" t="str">
        <f>'LDC Info'!$E$14</f>
        <v>Greater Sudbury Hydro Inc.</v>
      </c>
      <c r="B7" t="str">
        <f t="shared" si="0"/>
        <v>EB-2019-0037</v>
      </c>
      <c r="C7">
        <f t="shared" si="1"/>
        <v>2020</v>
      </c>
      <c r="D7">
        <f t="shared" si="2"/>
        <v>2019</v>
      </c>
      <c r="E7">
        <f t="shared" si="3"/>
        <v>2013</v>
      </c>
      <c r="F7" s="9" t="s">
        <v>1076</v>
      </c>
      <c r="G7">
        <f>'App.2-AB_Capital Expenditures'!B14</f>
        <v>2011</v>
      </c>
      <c r="H7">
        <f>'App.2-AB_Capital Expenditures'!B22</f>
        <v>0</v>
      </c>
      <c r="I7">
        <f>'App.2-AB_Capital Expenditures'!C22</f>
        <v>0</v>
      </c>
    </row>
    <row r="8" spans="1:9" x14ac:dyDescent="0.2">
      <c r="A8" t="str">
        <f>'LDC Info'!$E$14</f>
        <v>Greater Sudbury Hydro Inc.</v>
      </c>
      <c r="B8" t="str">
        <f t="shared" si="0"/>
        <v>EB-2019-0037</v>
      </c>
      <c r="C8">
        <f t="shared" si="1"/>
        <v>2020</v>
      </c>
      <c r="D8">
        <f t="shared" si="2"/>
        <v>2019</v>
      </c>
      <c r="E8">
        <f t="shared" si="3"/>
        <v>2013</v>
      </c>
      <c r="F8" s="9" t="s">
        <v>1080</v>
      </c>
      <c r="G8">
        <f>'App.2-AB_Capital Expenditures'!B14</f>
        <v>2011</v>
      </c>
      <c r="H8">
        <f>'App.2-AB_Capital Expenditures'!B23</f>
        <v>0</v>
      </c>
      <c r="I8">
        <f>'App.2-AB_Capital Expenditures'!C23</f>
        <v>0</v>
      </c>
    </row>
    <row r="9" spans="1:9" x14ac:dyDescent="0.2">
      <c r="A9" t="str">
        <f>'LDC Info'!$E$14</f>
        <v>Greater Sudbury Hydro Inc.</v>
      </c>
      <c r="B9" t="str">
        <f t="shared" si="0"/>
        <v>EB-2019-0037</v>
      </c>
      <c r="C9">
        <f t="shared" si="1"/>
        <v>2020</v>
      </c>
      <c r="D9">
        <f t="shared" si="2"/>
        <v>2019</v>
      </c>
      <c r="E9">
        <f t="shared" si="3"/>
        <v>2013</v>
      </c>
      <c r="F9" t="s">
        <v>618</v>
      </c>
      <c r="G9">
        <f>'App.2-AB_Capital Expenditures'!B14</f>
        <v>2011</v>
      </c>
      <c r="H9">
        <f>'App.2-AB_Capital Expenditures'!B24</f>
        <v>0</v>
      </c>
      <c r="I9">
        <f>'App.2-AB_Capital Expenditures'!C24</f>
        <v>0</v>
      </c>
    </row>
    <row r="10" spans="1:9" x14ac:dyDescent="0.2">
      <c r="A10" t="str">
        <f>'LDC Info'!$E$14</f>
        <v>Greater Sudbury Hydro Inc.</v>
      </c>
      <c r="B10" t="str">
        <f t="shared" si="0"/>
        <v>EB-2019-0037</v>
      </c>
      <c r="C10">
        <f t="shared" si="1"/>
        <v>2020</v>
      </c>
      <c r="D10">
        <f t="shared" si="2"/>
        <v>2019</v>
      </c>
      <c r="E10">
        <f t="shared" si="3"/>
        <v>2013</v>
      </c>
      <c r="F10" t="s">
        <v>613</v>
      </c>
      <c r="G10">
        <f>'App.2-AB_Capital Expenditures'!E14</f>
        <v>2012</v>
      </c>
      <c r="H10">
        <f>'App.2-AB_Capital Expenditures'!E17</f>
        <v>0</v>
      </c>
      <c r="I10">
        <f>'App.2-AB_Capital Expenditures'!F17</f>
        <v>0</v>
      </c>
    </row>
    <row r="11" spans="1:9" x14ac:dyDescent="0.2">
      <c r="A11" t="str">
        <f>'LDC Info'!$E$14</f>
        <v>Greater Sudbury Hydro Inc.</v>
      </c>
      <c r="B11" t="str">
        <f t="shared" si="0"/>
        <v>EB-2019-0037</v>
      </c>
      <c r="C11">
        <f t="shared" si="1"/>
        <v>2020</v>
      </c>
      <c r="D11">
        <f t="shared" si="2"/>
        <v>2019</v>
      </c>
      <c r="E11">
        <f t="shared" si="3"/>
        <v>2013</v>
      </c>
      <c r="F11" t="s">
        <v>614</v>
      </c>
      <c r="G11">
        <f>'App.2-AB_Capital Expenditures'!E14</f>
        <v>2012</v>
      </c>
      <c r="H11">
        <f>'App.2-AB_Capital Expenditures'!E18</f>
        <v>0</v>
      </c>
      <c r="I11">
        <f>'App.2-AB_Capital Expenditures'!F18</f>
        <v>0</v>
      </c>
    </row>
    <row r="12" spans="1:9" x14ac:dyDescent="0.2">
      <c r="A12" t="str">
        <f>'LDC Info'!$E$14</f>
        <v>Greater Sudbury Hydro Inc.</v>
      </c>
      <c r="B12" t="str">
        <f t="shared" si="0"/>
        <v>EB-2019-0037</v>
      </c>
      <c r="C12">
        <f t="shared" si="1"/>
        <v>2020</v>
      </c>
      <c r="D12">
        <f t="shared" si="2"/>
        <v>2019</v>
      </c>
      <c r="E12">
        <f t="shared" si="3"/>
        <v>2013</v>
      </c>
      <c r="F12" t="s">
        <v>615</v>
      </c>
      <c r="G12">
        <f>'App.2-AB_Capital Expenditures'!E14</f>
        <v>2012</v>
      </c>
      <c r="H12">
        <f>'App.2-AB_Capital Expenditures'!E19</f>
        <v>0</v>
      </c>
      <c r="I12">
        <f>'App.2-AB_Capital Expenditures'!F19</f>
        <v>0</v>
      </c>
    </row>
    <row r="13" spans="1:9" x14ac:dyDescent="0.2">
      <c r="A13" t="str">
        <f>'LDC Info'!$E$14</f>
        <v>Greater Sudbury Hydro Inc.</v>
      </c>
      <c r="B13" t="str">
        <f t="shared" si="0"/>
        <v>EB-2019-0037</v>
      </c>
      <c r="C13">
        <f t="shared" si="1"/>
        <v>2020</v>
      </c>
      <c r="D13">
        <f t="shared" si="2"/>
        <v>2019</v>
      </c>
      <c r="E13">
        <f t="shared" si="3"/>
        <v>2013</v>
      </c>
      <c r="F13" t="s">
        <v>616</v>
      </c>
      <c r="G13">
        <f>'App.2-AB_Capital Expenditures'!E14</f>
        <v>2012</v>
      </c>
      <c r="H13">
        <f>'App.2-AB_Capital Expenditures'!E20</f>
        <v>0</v>
      </c>
      <c r="I13">
        <f>'App.2-AB_Capital Expenditures'!F20</f>
        <v>0</v>
      </c>
    </row>
    <row r="14" spans="1:9" x14ac:dyDescent="0.2">
      <c r="A14" t="str">
        <f>'LDC Info'!$E$14</f>
        <v>Greater Sudbury Hydro Inc.</v>
      </c>
      <c r="B14" t="str">
        <f t="shared" si="0"/>
        <v>EB-2019-0037</v>
      </c>
      <c r="C14">
        <f t="shared" si="1"/>
        <v>2020</v>
      </c>
      <c r="D14">
        <f t="shared" si="2"/>
        <v>2019</v>
      </c>
      <c r="E14">
        <f t="shared" si="3"/>
        <v>2013</v>
      </c>
      <c r="F14" s="9" t="s">
        <v>1079</v>
      </c>
      <c r="G14">
        <f>'App.2-AB_Capital Expenditures'!E14</f>
        <v>2012</v>
      </c>
      <c r="H14">
        <f>'App.2-AB_Capital Expenditures'!E21</f>
        <v>0</v>
      </c>
      <c r="I14">
        <f>'App.2-AB_Capital Expenditures'!F21</f>
        <v>0</v>
      </c>
    </row>
    <row r="15" spans="1:9" x14ac:dyDescent="0.2">
      <c r="A15" t="str">
        <f>'LDC Info'!$E$14</f>
        <v>Greater Sudbury Hydro Inc.</v>
      </c>
      <c r="B15" t="str">
        <f t="shared" si="0"/>
        <v>EB-2019-0037</v>
      </c>
      <c r="C15">
        <f t="shared" si="1"/>
        <v>2020</v>
      </c>
      <c r="D15">
        <f t="shared" si="2"/>
        <v>2019</v>
      </c>
      <c r="E15">
        <f t="shared" si="3"/>
        <v>2013</v>
      </c>
      <c r="F15" s="9" t="s">
        <v>1076</v>
      </c>
      <c r="G15">
        <f>'App.2-AB_Capital Expenditures'!E14</f>
        <v>2012</v>
      </c>
      <c r="H15">
        <f>'App.2-AB_Capital Expenditures'!E22</f>
        <v>0</v>
      </c>
      <c r="I15">
        <f>'App.2-AB_Capital Expenditures'!F22</f>
        <v>0</v>
      </c>
    </row>
    <row r="16" spans="1:9" x14ac:dyDescent="0.2">
      <c r="A16" t="str">
        <f>'LDC Info'!$E$14</f>
        <v>Greater Sudbury Hydro Inc.</v>
      </c>
      <c r="B16" t="str">
        <f t="shared" si="0"/>
        <v>EB-2019-0037</v>
      </c>
      <c r="C16">
        <f t="shared" si="1"/>
        <v>2020</v>
      </c>
      <c r="D16">
        <f t="shared" si="2"/>
        <v>2019</v>
      </c>
      <c r="E16">
        <f t="shared" si="3"/>
        <v>2013</v>
      </c>
      <c r="F16" s="9" t="s">
        <v>1080</v>
      </c>
      <c r="G16">
        <f>'App.2-AB_Capital Expenditures'!E14</f>
        <v>2012</v>
      </c>
      <c r="H16">
        <f>'App.2-AB_Capital Expenditures'!E23</f>
        <v>0</v>
      </c>
      <c r="I16">
        <f>'App.2-AB_Capital Expenditures'!F23</f>
        <v>0</v>
      </c>
    </row>
    <row r="17" spans="1:9" x14ac:dyDescent="0.2">
      <c r="A17" t="str">
        <f>'LDC Info'!$E$14</f>
        <v>Greater Sudbury Hydro Inc.</v>
      </c>
      <c r="B17" t="str">
        <f t="shared" si="0"/>
        <v>EB-2019-0037</v>
      </c>
      <c r="C17">
        <f t="shared" si="1"/>
        <v>2020</v>
      </c>
      <c r="D17">
        <f t="shared" si="2"/>
        <v>2019</v>
      </c>
      <c r="E17">
        <f t="shared" si="3"/>
        <v>2013</v>
      </c>
      <c r="F17" t="s">
        <v>618</v>
      </c>
      <c r="G17">
        <f>'App.2-AB_Capital Expenditures'!E14</f>
        <v>2012</v>
      </c>
      <c r="H17">
        <f>'App.2-AB_Capital Expenditures'!E24</f>
        <v>0</v>
      </c>
      <c r="I17">
        <f>'App.2-AB_Capital Expenditures'!F24</f>
        <v>0</v>
      </c>
    </row>
    <row r="18" spans="1:9" x14ac:dyDescent="0.2">
      <c r="A18" t="str">
        <f>'LDC Info'!$E$14</f>
        <v>Greater Sudbury Hydro Inc.</v>
      </c>
      <c r="B18" t="str">
        <f t="shared" si="0"/>
        <v>EB-2019-0037</v>
      </c>
      <c r="C18">
        <f t="shared" si="1"/>
        <v>2020</v>
      </c>
      <c r="D18">
        <f t="shared" si="2"/>
        <v>2019</v>
      </c>
      <c r="E18">
        <f t="shared" si="3"/>
        <v>2013</v>
      </c>
      <c r="F18" t="s">
        <v>613</v>
      </c>
      <c r="G18">
        <f>'App.2-AB_Capital Expenditures'!H14</f>
        <v>2013</v>
      </c>
      <c r="H18">
        <f>'App.2-AB_Capital Expenditures'!H17</f>
        <v>1594.2563333333335</v>
      </c>
      <c r="I18">
        <f>'App.2-AB_Capital Expenditures'!I17</f>
        <v>2122.1714766666664</v>
      </c>
    </row>
    <row r="19" spans="1:9" x14ac:dyDescent="0.2">
      <c r="A19" t="str">
        <f>'LDC Info'!$E$14</f>
        <v>Greater Sudbury Hydro Inc.</v>
      </c>
      <c r="B19" t="str">
        <f t="shared" si="0"/>
        <v>EB-2019-0037</v>
      </c>
      <c r="C19">
        <f t="shared" si="1"/>
        <v>2020</v>
      </c>
      <c r="D19">
        <f t="shared" si="2"/>
        <v>2019</v>
      </c>
      <c r="E19">
        <f t="shared" si="3"/>
        <v>2013</v>
      </c>
      <c r="F19" t="s">
        <v>614</v>
      </c>
      <c r="G19">
        <f>'App.2-AB_Capital Expenditures'!H14</f>
        <v>2013</v>
      </c>
      <c r="H19">
        <f>'App.2-AB_Capital Expenditures'!H18</f>
        <v>5846.221333333333</v>
      </c>
      <c r="I19">
        <f>'App.2-AB_Capital Expenditures'!I18</f>
        <v>3044.1984766666665</v>
      </c>
    </row>
    <row r="20" spans="1:9" x14ac:dyDescent="0.2">
      <c r="A20" t="str">
        <f>'LDC Info'!$E$14</f>
        <v>Greater Sudbury Hydro Inc.</v>
      </c>
      <c r="B20" t="str">
        <f t="shared" si="0"/>
        <v>EB-2019-0037</v>
      </c>
      <c r="C20">
        <f t="shared" si="1"/>
        <v>2020</v>
      </c>
      <c r="D20">
        <f t="shared" si="2"/>
        <v>2019</v>
      </c>
      <c r="E20">
        <f t="shared" si="3"/>
        <v>2013</v>
      </c>
      <c r="F20" t="s">
        <v>615</v>
      </c>
      <c r="G20">
        <f>'App.2-AB_Capital Expenditures'!H14</f>
        <v>2013</v>
      </c>
      <c r="H20">
        <f>'App.2-AB_Capital Expenditures'!H19</f>
        <v>2088.2043333333331</v>
      </c>
      <c r="I20">
        <f>'App.2-AB_Capital Expenditures'!I19</f>
        <v>1051.0629966666665</v>
      </c>
    </row>
    <row r="21" spans="1:9" x14ac:dyDescent="0.2">
      <c r="A21" t="str">
        <f>'LDC Info'!$E$14</f>
        <v>Greater Sudbury Hydro Inc.</v>
      </c>
      <c r="B21" t="str">
        <f t="shared" si="0"/>
        <v>EB-2019-0037</v>
      </c>
      <c r="C21">
        <f t="shared" si="1"/>
        <v>2020</v>
      </c>
      <c r="D21">
        <f t="shared" si="2"/>
        <v>2019</v>
      </c>
      <c r="E21">
        <f t="shared" si="3"/>
        <v>2013</v>
      </c>
      <c r="F21" t="s">
        <v>616</v>
      </c>
      <c r="G21">
        <f>'App.2-AB_Capital Expenditures'!H14</f>
        <v>2013</v>
      </c>
      <c r="H21">
        <f>'App.2-AB_Capital Expenditures'!H20</f>
        <v>2427.7139999999999</v>
      </c>
      <c r="I21">
        <f>'App.2-AB_Capital Expenditures'!I20</f>
        <v>1255.5315699999999</v>
      </c>
    </row>
    <row r="22" spans="1:9" x14ac:dyDescent="0.2">
      <c r="A22" t="str">
        <f>'LDC Info'!$E$14</f>
        <v>Greater Sudbury Hydro Inc.</v>
      </c>
      <c r="B22" t="str">
        <f t="shared" si="0"/>
        <v>EB-2019-0037</v>
      </c>
      <c r="C22">
        <f t="shared" si="1"/>
        <v>2020</v>
      </c>
      <c r="D22">
        <f t="shared" si="2"/>
        <v>2019</v>
      </c>
      <c r="E22">
        <f t="shared" si="3"/>
        <v>2013</v>
      </c>
      <c r="F22" s="9" t="s">
        <v>1079</v>
      </c>
      <c r="G22">
        <f>'App.2-AB_Capital Expenditures'!H14</f>
        <v>2013</v>
      </c>
      <c r="H22">
        <f>'App.2-AB_Capital Expenditures'!H21</f>
        <v>11956.396000000001</v>
      </c>
      <c r="I22">
        <f>'App.2-AB_Capital Expenditures'!I21</f>
        <v>7472.9645199999995</v>
      </c>
    </row>
    <row r="23" spans="1:9" x14ac:dyDescent="0.2">
      <c r="A23" t="str">
        <f>'LDC Info'!$E$14</f>
        <v>Greater Sudbury Hydro Inc.</v>
      </c>
      <c r="B23" t="str">
        <f t="shared" si="0"/>
        <v>EB-2019-0037</v>
      </c>
      <c r="C23">
        <f t="shared" si="1"/>
        <v>2020</v>
      </c>
      <c r="D23">
        <f t="shared" si="2"/>
        <v>2019</v>
      </c>
      <c r="E23">
        <f t="shared" si="3"/>
        <v>2013</v>
      </c>
      <c r="F23" s="9" t="s">
        <v>1076</v>
      </c>
      <c r="G23">
        <f>'App.2-AB_Capital Expenditures'!H14</f>
        <v>2013</v>
      </c>
      <c r="H23">
        <f>'App.2-AB_Capital Expenditures'!H22</f>
        <v>-703.79</v>
      </c>
      <c r="I23">
        <f>'App.2-AB_Capital Expenditures'!I22</f>
        <v>-1247.3316800000002</v>
      </c>
    </row>
    <row r="24" spans="1:9" x14ac:dyDescent="0.2">
      <c r="A24" t="str">
        <f>'LDC Info'!$E$14</f>
        <v>Greater Sudbury Hydro Inc.</v>
      </c>
      <c r="B24" t="str">
        <f t="shared" si="0"/>
        <v>EB-2019-0037</v>
      </c>
      <c r="C24">
        <f t="shared" si="1"/>
        <v>2020</v>
      </c>
      <c r="D24">
        <f t="shared" si="2"/>
        <v>2019</v>
      </c>
      <c r="E24">
        <f t="shared" si="3"/>
        <v>2013</v>
      </c>
      <c r="F24" s="9" t="s">
        <v>1080</v>
      </c>
      <c r="G24">
        <f>'App.2-AB_Capital Expenditures'!H14</f>
        <v>2013</v>
      </c>
      <c r="H24">
        <f>'App.2-AB_Capital Expenditures'!H23</f>
        <v>11252.606</v>
      </c>
      <c r="I24">
        <f>'App.2-AB_Capital Expenditures'!I23</f>
        <v>6225.6328399999993</v>
      </c>
    </row>
    <row r="25" spans="1:9" x14ac:dyDescent="0.2">
      <c r="A25" t="str">
        <f>'LDC Info'!$E$14</f>
        <v>Greater Sudbury Hydro Inc.</v>
      </c>
      <c r="B25" t="str">
        <f t="shared" si="0"/>
        <v>EB-2019-0037</v>
      </c>
      <c r="C25">
        <f t="shared" si="1"/>
        <v>2020</v>
      </c>
      <c r="D25">
        <f t="shared" si="2"/>
        <v>2019</v>
      </c>
      <c r="E25">
        <f t="shared" si="3"/>
        <v>2013</v>
      </c>
      <c r="F25" t="s">
        <v>618</v>
      </c>
      <c r="G25">
        <f>'App.2-AB_Capital Expenditures'!H14</f>
        <v>2013</v>
      </c>
      <c r="H25">
        <f>'App.2-AB_Capital Expenditures'!H24</f>
        <v>7988.2939999999999</v>
      </c>
      <c r="I25">
        <f>'App.2-AB_Capital Expenditures'!I24</f>
        <v>7349.985709999999</v>
      </c>
    </row>
    <row r="26" spans="1:9" x14ac:dyDescent="0.2">
      <c r="A26" t="str">
        <f>'LDC Info'!$E$14</f>
        <v>Greater Sudbury Hydro Inc.</v>
      </c>
      <c r="B26" t="str">
        <f t="shared" si="0"/>
        <v>EB-2019-0037</v>
      </c>
      <c r="C26">
        <f t="shared" si="1"/>
        <v>2020</v>
      </c>
      <c r="D26">
        <f t="shared" si="2"/>
        <v>2019</v>
      </c>
      <c r="E26">
        <f t="shared" si="3"/>
        <v>2013</v>
      </c>
      <c r="F26" t="s">
        <v>613</v>
      </c>
      <c r="G26">
        <f>'App.2-AB_Capital Expenditures'!K14</f>
        <v>2014</v>
      </c>
      <c r="H26">
        <f>'App.2-AB_Capital Expenditures'!K17</f>
        <v>1979.0823333333333</v>
      </c>
      <c r="I26">
        <f>'App.2-AB_Capital Expenditures'!L17</f>
        <v>1724.1838300000002</v>
      </c>
    </row>
    <row r="27" spans="1:9" x14ac:dyDescent="0.2">
      <c r="A27" t="str">
        <f>'LDC Info'!$E$14</f>
        <v>Greater Sudbury Hydro Inc.</v>
      </c>
      <c r="B27" t="str">
        <f t="shared" si="0"/>
        <v>EB-2019-0037</v>
      </c>
      <c r="C27">
        <f t="shared" si="1"/>
        <v>2020</v>
      </c>
      <c r="D27">
        <f t="shared" si="2"/>
        <v>2019</v>
      </c>
      <c r="E27">
        <f t="shared" si="3"/>
        <v>2013</v>
      </c>
      <c r="F27" t="s">
        <v>614</v>
      </c>
      <c r="G27">
        <f>'App.2-AB_Capital Expenditures'!K14</f>
        <v>2014</v>
      </c>
      <c r="H27">
        <f>'App.2-AB_Capital Expenditures'!K18</f>
        <v>3960.9911733333333</v>
      </c>
      <c r="I27">
        <f>'App.2-AB_Capital Expenditures'!L18</f>
        <v>4197.4550699999991</v>
      </c>
    </row>
    <row r="28" spans="1:9" x14ac:dyDescent="0.2">
      <c r="A28" t="str">
        <f>'LDC Info'!$E$14</f>
        <v>Greater Sudbury Hydro Inc.</v>
      </c>
      <c r="B28" t="str">
        <f t="shared" si="0"/>
        <v>EB-2019-0037</v>
      </c>
      <c r="C28">
        <f t="shared" si="1"/>
        <v>2020</v>
      </c>
      <c r="D28">
        <f t="shared" si="2"/>
        <v>2019</v>
      </c>
      <c r="E28">
        <f t="shared" si="3"/>
        <v>2013</v>
      </c>
      <c r="F28" t="s">
        <v>615</v>
      </c>
      <c r="G28">
        <f>'App.2-AB_Capital Expenditures'!K14</f>
        <v>2014</v>
      </c>
      <c r="H28">
        <f>'App.2-AB_Capital Expenditures'!K19</f>
        <v>1148.7345733333332</v>
      </c>
      <c r="I28">
        <f>'App.2-AB_Capital Expenditures'!L19</f>
        <v>595.15030000000002</v>
      </c>
    </row>
    <row r="29" spans="1:9" x14ac:dyDescent="0.2">
      <c r="A29" t="str">
        <f>'LDC Info'!$E$14</f>
        <v>Greater Sudbury Hydro Inc.</v>
      </c>
      <c r="B29" t="str">
        <f t="shared" si="0"/>
        <v>EB-2019-0037</v>
      </c>
      <c r="C29">
        <f t="shared" si="1"/>
        <v>2020</v>
      </c>
      <c r="D29">
        <f t="shared" si="2"/>
        <v>2019</v>
      </c>
      <c r="E29">
        <f t="shared" si="3"/>
        <v>2013</v>
      </c>
      <c r="F29" t="s">
        <v>616</v>
      </c>
      <c r="G29">
        <f>'App.2-AB_Capital Expenditures'!K14</f>
        <v>2014</v>
      </c>
      <c r="H29">
        <f>'App.2-AB_Capital Expenditures'!K20</f>
        <v>2316.7113899999999</v>
      </c>
      <c r="I29">
        <f>'App.2-AB_Capital Expenditures'!L20</f>
        <v>1753.0281200000002</v>
      </c>
    </row>
    <row r="30" spans="1:9" x14ac:dyDescent="0.2">
      <c r="A30" t="str">
        <f>'LDC Info'!$E$14</f>
        <v>Greater Sudbury Hydro Inc.</v>
      </c>
      <c r="B30" t="str">
        <f t="shared" si="0"/>
        <v>EB-2019-0037</v>
      </c>
      <c r="C30">
        <f t="shared" si="1"/>
        <v>2020</v>
      </c>
      <c r="D30">
        <f t="shared" si="2"/>
        <v>2019</v>
      </c>
      <c r="E30">
        <f t="shared" si="3"/>
        <v>2013</v>
      </c>
      <c r="F30" s="9" t="s">
        <v>1079</v>
      </c>
      <c r="G30">
        <f>'App.2-AB_Capital Expenditures'!K14</f>
        <v>2014</v>
      </c>
      <c r="H30">
        <f>'App.2-AB_Capital Expenditures'!K21</f>
        <v>9405.5194699999993</v>
      </c>
      <c r="I30">
        <f>'App.2-AB_Capital Expenditures'!L21</f>
        <v>8269.8173200000001</v>
      </c>
    </row>
    <row r="31" spans="1:9" x14ac:dyDescent="0.2">
      <c r="A31" t="str">
        <f>'LDC Info'!$E$14</f>
        <v>Greater Sudbury Hydro Inc.</v>
      </c>
      <c r="B31" t="str">
        <f t="shared" si="0"/>
        <v>EB-2019-0037</v>
      </c>
      <c r="C31">
        <f t="shared" si="1"/>
        <v>2020</v>
      </c>
      <c r="D31">
        <f t="shared" si="2"/>
        <v>2019</v>
      </c>
      <c r="E31">
        <f t="shared" si="3"/>
        <v>2013</v>
      </c>
      <c r="F31" s="9" t="s">
        <v>1076</v>
      </c>
      <c r="G31">
        <f>'App.2-AB_Capital Expenditures'!K14</f>
        <v>2014</v>
      </c>
      <c r="H31">
        <f>'App.2-AB_Capital Expenditures'!K22</f>
        <v>-850.97799999999995</v>
      </c>
      <c r="I31">
        <f>'App.2-AB_Capital Expenditures'!L22</f>
        <v>-878.23046999999997</v>
      </c>
    </row>
    <row r="32" spans="1:9" x14ac:dyDescent="0.2">
      <c r="A32" t="str">
        <f>'LDC Info'!$E$14</f>
        <v>Greater Sudbury Hydro Inc.</v>
      </c>
      <c r="B32" t="str">
        <f t="shared" si="0"/>
        <v>EB-2019-0037</v>
      </c>
      <c r="C32">
        <f t="shared" si="1"/>
        <v>2020</v>
      </c>
      <c r="D32">
        <f t="shared" si="2"/>
        <v>2019</v>
      </c>
      <c r="E32">
        <f t="shared" si="3"/>
        <v>2013</v>
      </c>
      <c r="F32" s="9" t="s">
        <v>1080</v>
      </c>
      <c r="G32">
        <f>'App.2-AB_Capital Expenditures'!K14</f>
        <v>2014</v>
      </c>
      <c r="H32">
        <f>'App.2-AB_Capital Expenditures'!K23</f>
        <v>8554.5414700000001</v>
      </c>
      <c r="I32">
        <f>'App.2-AB_Capital Expenditures'!L23</f>
        <v>7391.5868499999997</v>
      </c>
    </row>
    <row r="33" spans="1:9" x14ac:dyDescent="0.2">
      <c r="A33" t="str">
        <f>'LDC Info'!$E$14</f>
        <v>Greater Sudbury Hydro Inc.</v>
      </c>
      <c r="B33" t="str">
        <f t="shared" si="0"/>
        <v>EB-2019-0037</v>
      </c>
      <c r="C33">
        <f t="shared" si="1"/>
        <v>2020</v>
      </c>
      <c r="D33">
        <f t="shared" si="2"/>
        <v>2019</v>
      </c>
      <c r="E33">
        <f t="shared" si="3"/>
        <v>2013</v>
      </c>
      <c r="F33" t="s">
        <v>618</v>
      </c>
      <c r="G33">
        <f>'App.2-AB_Capital Expenditures'!K14</f>
        <v>2014</v>
      </c>
      <c r="H33">
        <f>'App.2-AB_Capital Expenditures'!K24</f>
        <v>8117.7269999999999</v>
      </c>
      <c r="I33">
        <f>'App.2-AB_Capital Expenditures'!L24</f>
        <v>6672.3293700000468</v>
      </c>
    </row>
    <row r="34" spans="1:9" x14ac:dyDescent="0.2">
      <c r="A34" t="str">
        <f>'LDC Info'!$E$14</f>
        <v>Greater Sudbury Hydro Inc.</v>
      </c>
      <c r="B34" t="str">
        <f t="shared" ref="B34:B65" si="4">EBNUMBER</f>
        <v>EB-2019-0037</v>
      </c>
      <c r="C34">
        <f t="shared" ref="C34:C65" si="5">TestYear</f>
        <v>2020</v>
      </c>
      <c r="D34">
        <f t="shared" ref="D34:D65" si="6">BridgeYear</f>
        <v>2019</v>
      </c>
      <c r="E34">
        <f t="shared" ref="E34:E65" si="7">RebaseYear</f>
        <v>2013</v>
      </c>
      <c r="F34" t="s">
        <v>613</v>
      </c>
      <c r="G34">
        <f>'App.2-AB_Capital Expenditures'!N14</f>
        <v>2015</v>
      </c>
      <c r="H34">
        <f>'App.2-AB_Capital Expenditures'!N17</f>
        <v>1757.2222066666668</v>
      </c>
      <c r="I34">
        <f>'App.2-AB_Capital Expenditures'!O17</f>
        <v>2027.948606666667</v>
      </c>
    </row>
    <row r="35" spans="1:9" x14ac:dyDescent="0.2">
      <c r="A35" t="str">
        <f>'LDC Info'!$E$14</f>
        <v>Greater Sudbury Hydro Inc.</v>
      </c>
      <c r="B35" t="str">
        <f t="shared" si="4"/>
        <v>EB-2019-0037</v>
      </c>
      <c r="C35">
        <f t="shared" si="5"/>
        <v>2020</v>
      </c>
      <c r="D35">
        <f t="shared" si="6"/>
        <v>2019</v>
      </c>
      <c r="E35">
        <f t="shared" si="7"/>
        <v>2013</v>
      </c>
      <c r="F35" t="s">
        <v>614</v>
      </c>
      <c r="G35">
        <f>'App.2-AB_Capital Expenditures'!N14</f>
        <v>2015</v>
      </c>
      <c r="H35">
        <f>'App.2-AB_Capital Expenditures'!N18</f>
        <v>3677.9940666666666</v>
      </c>
      <c r="I35">
        <f>'App.2-AB_Capital Expenditures'!O18</f>
        <v>3540.8955066666672</v>
      </c>
    </row>
    <row r="36" spans="1:9" x14ac:dyDescent="0.2">
      <c r="A36" t="str">
        <f>'LDC Info'!$E$14</f>
        <v>Greater Sudbury Hydro Inc.</v>
      </c>
      <c r="B36" t="str">
        <f t="shared" si="4"/>
        <v>EB-2019-0037</v>
      </c>
      <c r="C36">
        <f t="shared" si="5"/>
        <v>2020</v>
      </c>
      <c r="D36">
        <f t="shared" si="6"/>
        <v>2019</v>
      </c>
      <c r="E36">
        <f t="shared" si="7"/>
        <v>2013</v>
      </c>
      <c r="F36" t="s">
        <v>615</v>
      </c>
      <c r="G36">
        <f>'App.2-AB_Capital Expenditures'!N14</f>
        <v>2015</v>
      </c>
      <c r="H36">
        <f>'App.2-AB_Capital Expenditures'!N19</f>
        <v>897.37616666666668</v>
      </c>
      <c r="I36">
        <f>'App.2-AB_Capital Expenditures'!O19</f>
        <v>1076.8805766666667</v>
      </c>
    </row>
    <row r="37" spans="1:9" x14ac:dyDescent="0.2">
      <c r="A37" t="str">
        <f>'LDC Info'!$E$14</f>
        <v>Greater Sudbury Hydro Inc.</v>
      </c>
      <c r="B37" t="str">
        <f t="shared" si="4"/>
        <v>EB-2019-0037</v>
      </c>
      <c r="C37">
        <f t="shared" si="5"/>
        <v>2020</v>
      </c>
      <c r="D37">
        <f t="shared" si="6"/>
        <v>2019</v>
      </c>
      <c r="E37">
        <f t="shared" si="7"/>
        <v>2013</v>
      </c>
      <c r="F37" t="s">
        <v>616</v>
      </c>
      <c r="G37">
        <f>'App.2-AB_Capital Expenditures'!N14</f>
        <v>2015</v>
      </c>
      <c r="H37">
        <f>'App.2-AB_Capital Expenditures'!N20</f>
        <v>3171.1049299999995</v>
      </c>
      <c r="I37">
        <f>'App.2-AB_Capital Expenditures'!O20</f>
        <v>2246.0726500000001</v>
      </c>
    </row>
    <row r="38" spans="1:9" x14ac:dyDescent="0.2">
      <c r="A38" t="str">
        <f>'LDC Info'!$E$14</f>
        <v>Greater Sudbury Hydro Inc.</v>
      </c>
      <c r="B38" t="str">
        <f t="shared" si="4"/>
        <v>EB-2019-0037</v>
      </c>
      <c r="C38">
        <f t="shared" si="5"/>
        <v>2020</v>
      </c>
      <c r="D38">
        <f t="shared" si="6"/>
        <v>2019</v>
      </c>
      <c r="E38">
        <f t="shared" si="7"/>
        <v>2013</v>
      </c>
      <c r="F38" s="9" t="s">
        <v>1079</v>
      </c>
      <c r="G38">
        <f>'App.2-AB_Capital Expenditures'!N14</f>
        <v>2015</v>
      </c>
      <c r="H38">
        <f>'App.2-AB_Capital Expenditures'!N21</f>
        <v>9503.6973699999999</v>
      </c>
      <c r="I38">
        <f>'App.2-AB_Capital Expenditures'!O21</f>
        <v>8891.797340000001</v>
      </c>
    </row>
    <row r="39" spans="1:9" x14ac:dyDescent="0.2">
      <c r="A39" t="str">
        <f>'LDC Info'!$E$14</f>
        <v>Greater Sudbury Hydro Inc.</v>
      </c>
      <c r="B39" t="str">
        <f t="shared" si="4"/>
        <v>EB-2019-0037</v>
      </c>
      <c r="C39">
        <f t="shared" si="5"/>
        <v>2020</v>
      </c>
      <c r="D39">
        <f t="shared" si="6"/>
        <v>2019</v>
      </c>
      <c r="E39">
        <f t="shared" si="7"/>
        <v>2013</v>
      </c>
      <c r="F39" s="9" t="s">
        <v>1076</v>
      </c>
      <c r="G39">
        <f>'App.2-AB_Capital Expenditures'!N14</f>
        <v>2015</v>
      </c>
      <c r="H39">
        <f>'App.2-AB_Capital Expenditures'!N22</f>
        <v>-743.96729000000005</v>
      </c>
      <c r="I39">
        <f>'App.2-AB_Capital Expenditures'!O22</f>
        <v>-1256.4701279999999</v>
      </c>
    </row>
    <row r="40" spans="1:9" x14ac:dyDescent="0.2">
      <c r="A40" t="str">
        <f>'LDC Info'!$E$14</f>
        <v>Greater Sudbury Hydro Inc.</v>
      </c>
      <c r="B40" t="str">
        <f t="shared" si="4"/>
        <v>EB-2019-0037</v>
      </c>
      <c r="C40">
        <f t="shared" si="5"/>
        <v>2020</v>
      </c>
      <c r="D40">
        <f t="shared" si="6"/>
        <v>2019</v>
      </c>
      <c r="E40">
        <f t="shared" si="7"/>
        <v>2013</v>
      </c>
      <c r="F40" s="9" t="s">
        <v>1080</v>
      </c>
      <c r="G40">
        <f>'App.2-AB_Capital Expenditures'!N14</f>
        <v>2015</v>
      </c>
      <c r="H40">
        <f>'App.2-AB_Capital Expenditures'!N23</f>
        <v>8759.7300799999994</v>
      </c>
      <c r="I40">
        <f>'App.2-AB_Capital Expenditures'!O23</f>
        <v>7635.3272120000011</v>
      </c>
    </row>
    <row r="41" spans="1:9" x14ac:dyDescent="0.2">
      <c r="A41" t="str">
        <f>'LDC Info'!$E$14</f>
        <v>Greater Sudbury Hydro Inc.</v>
      </c>
      <c r="B41" t="str">
        <f t="shared" si="4"/>
        <v>EB-2019-0037</v>
      </c>
      <c r="C41">
        <f t="shared" si="5"/>
        <v>2020</v>
      </c>
      <c r="D41">
        <f t="shared" si="6"/>
        <v>2019</v>
      </c>
      <c r="E41">
        <f t="shared" si="7"/>
        <v>2013</v>
      </c>
      <c r="F41" t="s">
        <v>618</v>
      </c>
      <c r="G41">
        <f>'App.2-AB_Capital Expenditures'!N14</f>
        <v>2015</v>
      </c>
      <c r="H41">
        <f>'App.2-AB_Capital Expenditures'!N24</f>
        <v>8543.5930000000008</v>
      </c>
      <c r="I41">
        <f>'App.2-AB_Capital Expenditures'!O24</f>
        <v>7498.6546400000043</v>
      </c>
    </row>
    <row r="42" spans="1:9" x14ac:dyDescent="0.2">
      <c r="A42" t="str">
        <f>'LDC Info'!$E$14</f>
        <v>Greater Sudbury Hydro Inc.</v>
      </c>
      <c r="B42" t="str">
        <f t="shared" si="4"/>
        <v>EB-2019-0037</v>
      </c>
      <c r="C42">
        <f t="shared" si="5"/>
        <v>2020</v>
      </c>
      <c r="D42">
        <f t="shared" si="6"/>
        <v>2019</v>
      </c>
      <c r="E42">
        <f t="shared" si="7"/>
        <v>2013</v>
      </c>
      <c r="F42" t="s">
        <v>613</v>
      </c>
      <c r="G42">
        <f>'App.2-AB_Capital Expenditures'!Q14</f>
        <v>2016</v>
      </c>
      <c r="H42">
        <f>'App.2-AB_Capital Expenditures'!Q17</f>
        <v>1502.66506</v>
      </c>
      <c r="I42">
        <f>'App.2-AB_Capital Expenditures'!R17</f>
        <v>1906.7646633333331</v>
      </c>
    </row>
    <row r="43" spans="1:9" x14ac:dyDescent="0.2">
      <c r="A43" t="str">
        <f>'LDC Info'!$E$14</f>
        <v>Greater Sudbury Hydro Inc.</v>
      </c>
      <c r="B43" t="str">
        <f t="shared" si="4"/>
        <v>EB-2019-0037</v>
      </c>
      <c r="C43">
        <f t="shared" si="5"/>
        <v>2020</v>
      </c>
      <c r="D43">
        <f t="shared" si="6"/>
        <v>2019</v>
      </c>
      <c r="E43">
        <f t="shared" si="7"/>
        <v>2013</v>
      </c>
      <c r="F43" t="s">
        <v>614</v>
      </c>
      <c r="G43">
        <f>'App.2-AB_Capital Expenditures'!Q14</f>
        <v>2016</v>
      </c>
      <c r="H43">
        <f>'App.2-AB_Capital Expenditures'!Q18</f>
        <v>5277.0140000000001</v>
      </c>
      <c r="I43">
        <f>'App.2-AB_Capital Expenditures'!R18</f>
        <v>4587.6668333333337</v>
      </c>
    </row>
    <row r="44" spans="1:9" x14ac:dyDescent="0.2">
      <c r="A44" t="str">
        <f>'LDC Info'!$E$14</f>
        <v>Greater Sudbury Hydro Inc.</v>
      </c>
      <c r="B44" t="str">
        <f t="shared" si="4"/>
        <v>EB-2019-0037</v>
      </c>
      <c r="C44">
        <f t="shared" si="5"/>
        <v>2020</v>
      </c>
      <c r="D44">
        <f t="shared" si="6"/>
        <v>2019</v>
      </c>
      <c r="E44">
        <f t="shared" si="7"/>
        <v>2013</v>
      </c>
      <c r="F44" t="s">
        <v>615</v>
      </c>
      <c r="G44">
        <f>'App.2-AB_Capital Expenditures'!Q14</f>
        <v>2016</v>
      </c>
      <c r="H44">
        <f>'App.2-AB_Capital Expenditures'!Q19</f>
        <v>371.07</v>
      </c>
      <c r="I44">
        <f>'App.2-AB_Capital Expenditures'!R19</f>
        <v>364.16399333333334</v>
      </c>
    </row>
    <row r="45" spans="1:9" x14ac:dyDescent="0.2">
      <c r="A45" t="str">
        <f>'LDC Info'!$E$14</f>
        <v>Greater Sudbury Hydro Inc.</v>
      </c>
      <c r="B45" t="str">
        <f t="shared" si="4"/>
        <v>EB-2019-0037</v>
      </c>
      <c r="C45">
        <f t="shared" si="5"/>
        <v>2020</v>
      </c>
      <c r="D45">
        <f t="shared" si="6"/>
        <v>2019</v>
      </c>
      <c r="E45">
        <f t="shared" si="7"/>
        <v>2013</v>
      </c>
      <c r="F45" t="s">
        <v>616</v>
      </c>
      <c r="G45">
        <f>'App.2-AB_Capital Expenditures'!Q14</f>
        <v>2016</v>
      </c>
      <c r="H45">
        <f>'App.2-AB_Capital Expenditures'!Q20</f>
        <v>1932.3865699999999</v>
      </c>
      <c r="I45">
        <f>'App.2-AB_Capital Expenditures'!R20</f>
        <v>1767.4936600000001</v>
      </c>
    </row>
    <row r="46" spans="1:9" x14ac:dyDescent="0.2">
      <c r="A46" t="str">
        <f>'LDC Info'!$E$14</f>
        <v>Greater Sudbury Hydro Inc.</v>
      </c>
      <c r="B46" t="str">
        <f t="shared" si="4"/>
        <v>EB-2019-0037</v>
      </c>
      <c r="C46">
        <f t="shared" si="5"/>
        <v>2020</v>
      </c>
      <c r="D46">
        <f t="shared" si="6"/>
        <v>2019</v>
      </c>
      <c r="E46">
        <f t="shared" si="7"/>
        <v>2013</v>
      </c>
      <c r="F46" s="9" t="s">
        <v>1079</v>
      </c>
      <c r="G46">
        <f>'App.2-AB_Capital Expenditures'!Q14</f>
        <v>2016</v>
      </c>
      <c r="H46">
        <f>'App.2-AB_Capital Expenditures'!Q21</f>
        <v>9083.1356300000007</v>
      </c>
      <c r="I46">
        <f>'App.2-AB_Capital Expenditures'!R21</f>
        <v>8626.0891499999998</v>
      </c>
    </row>
    <row r="47" spans="1:9" x14ac:dyDescent="0.2">
      <c r="A47" t="str">
        <f>'LDC Info'!$E$14</f>
        <v>Greater Sudbury Hydro Inc.</v>
      </c>
      <c r="B47" t="str">
        <f t="shared" si="4"/>
        <v>EB-2019-0037</v>
      </c>
      <c r="C47">
        <f t="shared" si="5"/>
        <v>2020</v>
      </c>
      <c r="D47">
        <f t="shared" si="6"/>
        <v>2019</v>
      </c>
      <c r="E47">
        <f t="shared" si="7"/>
        <v>2013</v>
      </c>
      <c r="F47" s="9" t="s">
        <v>1076</v>
      </c>
      <c r="G47">
        <f>'App.2-AB_Capital Expenditures'!Q14</f>
        <v>2016</v>
      </c>
      <c r="H47">
        <f>'App.2-AB_Capital Expenditures'!Q22</f>
        <v>-711.35199999999998</v>
      </c>
      <c r="I47">
        <f>'App.2-AB_Capital Expenditures'!R22</f>
        <v>-882.99800000000005</v>
      </c>
    </row>
    <row r="48" spans="1:9" x14ac:dyDescent="0.2">
      <c r="A48" t="str">
        <f>'LDC Info'!$E$14</f>
        <v>Greater Sudbury Hydro Inc.</v>
      </c>
      <c r="B48" t="str">
        <f t="shared" si="4"/>
        <v>EB-2019-0037</v>
      </c>
      <c r="C48">
        <f t="shared" si="5"/>
        <v>2020</v>
      </c>
      <c r="D48">
        <f t="shared" si="6"/>
        <v>2019</v>
      </c>
      <c r="E48">
        <f t="shared" si="7"/>
        <v>2013</v>
      </c>
      <c r="F48" s="9" t="s">
        <v>1080</v>
      </c>
      <c r="G48">
        <f>'App.2-AB_Capital Expenditures'!Q14</f>
        <v>2016</v>
      </c>
      <c r="H48">
        <f>'App.2-AB_Capital Expenditures'!Q23</f>
        <v>8371.7836299999999</v>
      </c>
      <c r="I48">
        <f>'App.2-AB_Capital Expenditures'!R23</f>
        <v>7743.0911500000002</v>
      </c>
    </row>
    <row r="49" spans="1:9" x14ac:dyDescent="0.2">
      <c r="A49" t="str">
        <f>'LDC Info'!$E$14</f>
        <v>Greater Sudbury Hydro Inc.</v>
      </c>
      <c r="B49" t="str">
        <f t="shared" si="4"/>
        <v>EB-2019-0037</v>
      </c>
      <c r="C49">
        <f t="shared" si="5"/>
        <v>2020</v>
      </c>
      <c r="D49">
        <f t="shared" si="6"/>
        <v>2019</v>
      </c>
      <c r="E49">
        <f t="shared" si="7"/>
        <v>2013</v>
      </c>
      <c r="F49" t="s">
        <v>618</v>
      </c>
      <c r="G49">
        <f>'App.2-AB_Capital Expenditures'!Q14</f>
        <v>2016</v>
      </c>
      <c r="H49">
        <f>'App.2-AB_Capital Expenditures'!Q24</f>
        <v>8988.5679999999993</v>
      </c>
      <c r="I49">
        <f>'App.2-AB_Capital Expenditures'!R24</f>
        <v>7543.2365800000016</v>
      </c>
    </row>
    <row r="50" spans="1:9" x14ac:dyDescent="0.2">
      <c r="A50" t="str">
        <f>'LDC Info'!$E$14</f>
        <v>Greater Sudbury Hydro Inc.</v>
      </c>
      <c r="B50" t="str">
        <f t="shared" si="4"/>
        <v>EB-2019-0037</v>
      </c>
      <c r="C50">
        <f t="shared" si="5"/>
        <v>2020</v>
      </c>
      <c r="D50">
        <f t="shared" si="6"/>
        <v>2019</v>
      </c>
      <c r="E50">
        <f t="shared" si="7"/>
        <v>2013</v>
      </c>
      <c r="F50" t="s">
        <v>613</v>
      </c>
      <c r="G50">
        <f>'App.2-AB_Capital Expenditures'!T14</f>
        <v>2017</v>
      </c>
      <c r="H50">
        <f>'App.2-AB_Capital Expenditures'!T17</f>
        <v>1544.1913333333332</v>
      </c>
      <c r="I50">
        <f>'App.2-AB_Capital Expenditures'!U17</f>
        <v>1643.2414682750389</v>
      </c>
    </row>
    <row r="51" spans="1:9" x14ac:dyDescent="0.2">
      <c r="A51" t="str">
        <f>'LDC Info'!$E$14</f>
        <v>Greater Sudbury Hydro Inc.</v>
      </c>
      <c r="B51" t="str">
        <f t="shared" si="4"/>
        <v>EB-2019-0037</v>
      </c>
      <c r="C51">
        <f t="shared" si="5"/>
        <v>2020</v>
      </c>
      <c r="D51">
        <f t="shared" si="6"/>
        <v>2019</v>
      </c>
      <c r="E51">
        <f t="shared" si="7"/>
        <v>2013</v>
      </c>
      <c r="F51" t="s">
        <v>614</v>
      </c>
      <c r="G51">
        <f>'App.2-AB_Capital Expenditures'!T14</f>
        <v>2017</v>
      </c>
      <c r="H51">
        <f>'App.2-AB_Capital Expenditures'!T18</f>
        <v>5053.9923333333327</v>
      </c>
      <c r="I51">
        <f>'App.2-AB_Capital Expenditures'!U18</f>
        <v>4246.7910692977985</v>
      </c>
    </row>
    <row r="52" spans="1:9" x14ac:dyDescent="0.2">
      <c r="A52" t="str">
        <f>'LDC Info'!$E$14</f>
        <v>Greater Sudbury Hydro Inc.</v>
      </c>
      <c r="B52" t="str">
        <f t="shared" si="4"/>
        <v>EB-2019-0037</v>
      </c>
      <c r="C52">
        <f t="shared" si="5"/>
        <v>2020</v>
      </c>
      <c r="D52">
        <f t="shared" si="6"/>
        <v>2019</v>
      </c>
      <c r="E52">
        <f t="shared" si="7"/>
        <v>2013</v>
      </c>
      <c r="F52" t="s">
        <v>615</v>
      </c>
      <c r="G52">
        <f>'App.2-AB_Capital Expenditures'!T14</f>
        <v>2017</v>
      </c>
      <c r="H52">
        <f>'App.2-AB_Capital Expenditures'!T19</f>
        <v>1798.5273333333332</v>
      </c>
      <c r="I52">
        <f>'App.2-AB_Capital Expenditures'!U19</f>
        <v>2587.0349024271632</v>
      </c>
    </row>
    <row r="53" spans="1:9" x14ac:dyDescent="0.2">
      <c r="A53" t="str">
        <f>'LDC Info'!$E$14</f>
        <v>Greater Sudbury Hydro Inc.</v>
      </c>
      <c r="B53" t="str">
        <f t="shared" si="4"/>
        <v>EB-2019-0037</v>
      </c>
      <c r="C53">
        <f t="shared" si="5"/>
        <v>2020</v>
      </c>
      <c r="D53">
        <f t="shared" si="6"/>
        <v>2019</v>
      </c>
      <c r="E53">
        <f t="shared" si="7"/>
        <v>2013</v>
      </c>
      <c r="F53" t="s">
        <v>616</v>
      </c>
      <c r="G53">
        <f>'App.2-AB_Capital Expenditures'!T14</f>
        <v>2017</v>
      </c>
      <c r="H53">
        <f>'App.2-AB_Capital Expenditures'!T20</f>
        <v>1727.0719999999999</v>
      </c>
      <c r="I53">
        <f>'App.2-AB_Capital Expenditures'!U20</f>
        <v>995.27213000000017</v>
      </c>
    </row>
    <row r="54" spans="1:9" x14ac:dyDescent="0.2">
      <c r="A54" t="str">
        <f>'LDC Info'!$E$14</f>
        <v>Greater Sudbury Hydro Inc.</v>
      </c>
      <c r="B54" t="str">
        <f t="shared" si="4"/>
        <v>EB-2019-0037</v>
      </c>
      <c r="C54">
        <f t="shared" si="5"/>
        <v>2020</v>
      </c>
      <c r="D54">
        <f t="shared" si="6"/>
        <v>2019</v>
      </c>
      <c r="E54">
        <f t="shared" si="7"/>
        <v>2013</v>
      </c>
      <c r="F54" s="9" t="s">
        <v>1079</v>
      </c>
      <c r="G54">
        <f>'App.2-AB_Capital Expenditures'!T14</f>
        <v>2017</v>
      </c>
      <c r="H54">
        <f>'App.2-AB_Capital Expenditures'!T21</f>
        <v>10123.782999999999</v>
      </c>
      <c r="I54">
        <f>'App.2-AB_Capital Expenditures'!U21</f>
        <v>9472.3395700000001</v>
      </c>
    </row>
    <row r="55" spans="1:9" x14ac:dyDescent="0.2">
      <c r="A55" t="str">
        <f>'LDC Info'!$E$14</f>
        <v>Greater Sudbury Hydro Inc.</v>
      </c>
      <c r="B55" t="str">
        <f t="shared" si="4"/>
        <v>EB-2019-0037</v>
      </c>
      <c r="C55">
        <f t="shared" si="5"/>
        <v>2020</v>
      </c>
      <c r="D55">
        <f t="shared" si="6"/>
        <v>2019</v>
      </c>
      <c r="E55">
        <f t="shared" si="7"/>
        <v>2013</v>
      </c>
      <c r="F55" s="9" t="s">
        <v>1076</v>
      </c>
      <c r="G55">
        <f>'App.2-AB_Capital Expenditures'!T14</f>
        <v>2017</v>
      </c>
      <c r="H55">
        <f>'App.2-AB_Capital Expenditures'!T22</f>
        <v>-706.02099999999996</v>
      </c>
      <c r="I55">
        <f>'App.2-AB_Capital Expenditures'!U22</f>
        <v>-757.39314240850581</v>
      </c>
    </row>
    <row r="56" spans="1:9" x14ac:dyDescent="0.2">
      <c r="A56" t="str">
        <f>'LDC Info'!$E$14</f>
        <v>Greater Sudbury Hydro Inc.</v>
      </c>
      <c r="B56" t="str">
        <f t="shared" si="4"/>
        <v>EB-2019-0037</v>
      </c>
      <c r="C56">
        <f t="shared" si="5"/>
        <v>2020</v>
      </c>
      <c r="D56">
        <f t="shared" si="6"/>
        <v>2019</v>
      </c>
      <c r="E56">
        <f t="shared" si="7"/>
        <v>2013</v>
      </c>
      <c r="F56" s="9" t="s">
        <v>1080</v>
      </c>
      <c r="G56">
        <f>'App.2-AB_Capital Expenditures'!T14</f>
        <v>2017</v>
      </c>
      <c r="H56">
        <f>'App.2-AB_Capital Expenditures'!T23</f>
        <v>9417.7619999999988</v>
      </c>
      <c r="I56">
        <f>'App.2-AB_Capital Expenditures'!U23</f>
        <v>8714.9464275914943</v>
      </c>
    </row>
    <row r="57" spans="1:9" x14ac:dyDescent="0.2">
      <c r="A57" t="str">
        <f>'LDC Info'!$E$14</f>
        <v>Greater Sudbury Hydro Inc.</v>
      </c>
      <c r="B57" t="str">
        <f t="shared" si="4"/>
        <v>EB-2019-0037</v>
      </c>
      <c r="C57">
        <f t="shared" si="5"/>
        <v>2020</v>
      </c>
      <c r="D57">
        <f t="shared" si="6"/>
        <v>2019</v>
      </c>
      <c r="E57">
        <f t="shared" si="7"/>
        <v>2013</v>
      </c>
      <c r="F57" t="s">
        <v>618</v>
      </c>
      <c r="G57">
        <f>'App.2-AB_Capital Expenditures'!T14</f>
        <v>2017</v>
      </c>
      <c r="H57">
        <f>'App.2-AB_Capital Expenditures'!T24</f>
        <v>8381.5010000000002</v>
      </c>
      <c r="I57">
        <f>'App.2-AB_Capital Expenditures'!U24</f>
        <v>7666.7262199999586</v>
      </c>
    </row>
    <row r="58" spans="1:9" x14ac:dyDescent="0.2">
      <c r="A58" t="str">
        <f>'LDC Info'!$E$14</f>
        <v>Greater Sudbury Hydro Inc.</v>
      </c>
      <c r="B58" t="str">
        <f t="shared" si="4"/>
        <v>EB-2019-0037</v>
      </c>
      <c r="C58">
        <f t="shared" si="5"/>
        <v>2020</v>
      </c>
      <c r="D58">
        <f t="shared" si="6"/>
        <v>2019</v>
      </c>
      <c r="E58">
        <f t="shared" si="7"/>
        <v>2013</v>
      </c>
      <c r="F58" t="s">
        <v>613</v>
      </c>
      <c r="G58">
        <f>'App.2-AB_Capital Expenditures'!W14</f>
        <v>2018</v>
      </c>
      <c r="H58">
        <f>'App.2-AB_Capital Expenditures'!W17</f>
        <v>1644.0916666666667</v>
      </c>
      <c r="I58">
        <f>'App.2-AB_Capital Expenditures'!X17</f>
        <v>1999.5694266666674</v>
      </c>
    </row>
    <row r="59" spans="1:9" x14ac:dyDescent="0.2">
      <c r="A59" t="str">
        <f>'LDC Info'!$E$14</f>
        <v>Greater Sudbury Hydro Inc.</v>
      </c>
      <c r="B59" t="str">
        <f t="shared" si="4"/>
        <v>EB-2019-0037</v>
      </c>
      <c r="C59">
        <f t="shared" si="5"/>
        <v>2020</v>
      </c>
      <c r="D59">
        <f t="shared" si="6"/>
        <v>2019</v>
      </c>
      <c r="E59">
        <f t="shared" si="7"/>
        <v>2013</v>
      </c>
      <c r="F59" t="s">
        <v>614</v>
      </c>
      <c r="G59">
        <f>'App.2-AB_Capital Expenditures'!W14</f>
        <v>2018</v>
      </c>
      <c r="H59">
        <f>'App.2-AB_Capital Expenditures'!W18</f>
        <v>7780.0716666666667</v>
      </c>
      <c r="I59">
        <f>'App.2-AB_Capital Expenditures'!X18</f>
        <v>7537.5806566666661</v>
      </c>
    </row>
    <row r="60" spans="1:9" x14ac:dyDescent="0.2">
      <c r="A60" t="str">
        <f>'LDC Info'!$E$14</f>
        <v>Greater Sudbury Hydro Inc.</v>
      </c>
      <c r="B60" t="str">
        <f t="shared" si="4"/>
        <v>EB-2019-0037</v>
      </c>
      <c r="C60">
        <f t="shared" si="5"/>
        <v>2020</v>
      </c>
      <c r="D60">
        <f t="shared" si="6"/>
        <v>2019</v>
      </c>
      <c r="E60">
        <f t="shared" si="7"/>
        <v>2013</v>
      </c>
      <c r="F60" t="s">
        <v>615</v>
      </c>
      <c r="G60">
        <f>'App.2-AB_Capital Expenditures'!W14</f>
        <v>2018</v>
      </c>
      <c r="H60">
        <f>'App.2-AB_Capital Expenditures'!W19</f>
        <v>1024.6946666666665</v>
      </c>
      <c r="I60">
        <f>'App.2-AB_Capital Expenditures'!X19</f>
        <v>934.01055666666662</v>
      </c>
    </row>
    <row r="61" spans="1:9" x14ac:dyDescent="0.2">
      <c r="A61" t="str">
        <f>'LDC Info'!$E$14</f>
        <v>Greater Sudbury Hydro Inc.</v>
      </c>
      <c r="B61" t="str">
        <f t="shared" si="4"/>
        <v>EB-2019-0037</v>
      </c>
      <c r="C61">
        <f t="shared" si="5"/>
        <v>2020</v>
      </c>
      <c r="D61">
        <f t="shared" si="6"/>
        <v>2019</v>
      </c>
      <c r="E61">
        <f t="shared" si="7"/>
        <v>2013</v>
      </c>
      <c r="F61" t="s">
        <v>616</v>
      </c>
      <c r="G61">
        <f>'App.2-AB_Capital Expenditures'!W14</f>
        <v>2018</v>
      </c>
      <c r="H61">
        <f>'App.2-AB_Capital Expenditures'!W20</f>
        <v>999.10599999999999</v>
      </c>
      <c r="I61">
        <f>'App.2-AB_Capital Expenditures'!X20</f>
        <v>414.83974999999998</v>
      </c>
    </row>
    <row r="62" spans="1:9" x14ac:dyDescent="0.2">
      <c r="A62" t="str">
        <f>'LDC Info'!$E$14</f>
        <v>Greater Sudbury Hydro Inc.</v>
      </c>
      <c r="B62" t="str">
        <f t="shared" si="4"/>
        <v>EB-2019-0037</v>
      </c>
      <c r="C62">
        <f t="shared" si="5"/>
        <v>2020</v>
      </c>
      <c r="D62">
        <f t="shared" si="6"/>
        <v>2019</v>
      </c>
      <c r="E62">
        <f t="shared" si="7"/>
        <v>2013</v>
      </c>
      <c r="F62" s="9" t="s">
        <v>1079</v>
      </c>
      <c r="G62">
        <f>'App.2-AB_Capital Expenditures'!W14</f>
        <v>2018</v>
      </c>
      <c r="H62">
        <f>'App.2-AB_Capital Expenditures'!W21</f>
        <v>11447.964</v>
      </c>
      <c r="I62">
        <f>'App.2-AB_Capital Expenditures'!X21</f>
        <v>10886.000389999999</v>
      </c>
    </row>
    <row r="63" spans="1:9" x14ac:dyDescent="0.2">
      <c r="A63" t="str">
        <f>'LDC Info'!$E$14</f>
        <v>Greater Sudbury Hydro Inc.</v>
      </c>
      <c r="B63" t="str">
        <f t="shared" si="4"/>
        <v>EB-2019-0037</v>
      </c>
      <c r="C63">
        <f t="shared" si="5"/>
        <v>2020</v>
      </c>
      <c r="D63">
        <f t="shared" si="6"/>
        <v>2019</v>
      </c>
      <c r="E63">
        <f t="shared" si="7"/>
        <v>2013</v>
      </c>
      <c r="F63" s="9" t="s">
        <v>1076</v>
      </c>
      <c r="G63">
        <f>'App.2-AB_Capital Expenditures'!W14</f>
        <v>2018</v>
      </c>
      <c r="H63">
        <f>'App.2-AB_Capital Expenditures'!W22</f>
        <v>-965</v>
      </c>
      <c r="I63">
        <f>'App.2-AB_Capital Expenditures'!X22</f>
        <v>-1236.0241099999998</v>
      </c>
    </row>
    <row r="64" spans="1:9" x14ac:dyDescent="0.2">
      <c r="A64" t="str">
        <f>'LDC Info'!$E$14</f>
        <v>Greater Sudbury Hydro Inc.</v>
      </c>
      <c r="B64" t="str">
        <f t="shared" si="4"/>
        <v>EB-2019-0037</v>
      </c>
      <c r="C64">
        <f t="shared" si="5"/>
        <v>2020</v>
      </c>
      <c r="D64">
        <f t="shared" si="6"/>
        <v>2019</v>
      </c>
      <c r="E64">
        <f t="shared" si="7"/>
        <v>2013</v>
      </c>
      <c r="F64" s="9" t="s">
        <v>1080</v>
      </c>
      <c r="G64">
        <f>'App.2-AB_Capital Expenditures'!W14</f>
        <v>2018</v>
      </c>
      <c r="H64">
        <f>'App.2-AB_Capital Expenditures'!W23</f>
        <v>10482.964</v>
      </c>
      <c r="I64">
        <f>'App.2-AB_Capital Expenditures'!X23</f>
        <v>9649.976279999999</v>
      </c>
    </row>
    <row r="65" spans="1:9" x14ac:dyDescent="0.2">
      <c r="A65" t="str">
        <f>'LDC Info'!$E$14</f>
        <v>Greater Sudbury Hydro Inc.</v>
      </c>
      <c r="B65" t="str">
        <f t="shared" si="4"/>
        <v>EB-2019-0037</v>
      </c>
      <c r="C65">
        <f t="shared" si="5"/>
        <v>2020</v>
      </c>
      <c r="D65">
        <f t="shared" si="6"/>
        <v>2019</v>
      </c>
      <c r="E65">
        <f t="shared" si="7"/>
        <v>2013</v>
      </c>
      <c r="F65" t="s">
        <v>618</v>
      </c>
      <c r="G65">
        <f>'App.2-AB_Capital Expenditures'!W14</f>
        <v>2018</v>
      </c>
      <c r="H65">
        <f>'App.2-AB_Capital Expenditures'!W24</f>
        <v>8785.9230000000007</v>
      </c>
      <c r="I65">
        <f>'App.2-AB_Capital Expenditures'!X24</f>
        <v>7578.6716499999802</v>
      </c>
    </row>
    <row r="66" spans="1:9" x14ac:dyDescent="0.2">
      <c r="A66" t="str">
        <f>'LDC Info'!$E$14</f>
        <v>Greater Sudbury Hydro Inc.</v>
      </c>
      <c r="B66" t="str">
        <f t="shared" ref="B66:B97" si="8">EBNUMBER</f>
        <v>EB-2019-0037</v>
      </c>
      <c r="C66">
        <f t="shared" ref="C66:C97" si="9">TestYear</f>
        <v>2020</v>
      </c>
      <c r="D66">
        <f t="shared" ref="D66:D97" si="10">BridgeYear</f>
        <v>2019</v>
      </c>
      <c r="E66">
        <f t="shared" ref="E66:E97" si="11">RebaseYear</f>
        <v>2013</v>
      </c>
      <c r="F66" t="s">
        <v>613</v>
      </c>
      <c r="G66">
        <f>'App.2-AB_Capital Expenditures'!Z14</f>
        <v>2019</v>
      </c>
      <c r="H66">
        <f>'App.2-AB_Capital Expenditures'!Z17</f>
        <v>1882.7729999999999</v>
      </c>
      <c r="I66">
        <f>'App.2-AB_Capital Expenditures'!AA17</f>
        <v>2070.8514450000002</v>
      </c>
    </row>
    <row r="67" spans="1:9" x14ac:dyDescent="0.2">
      <c r="A67" t="str">
        <f>'LDC Info'!$E$14</f>
        <v>Greater Sudbury Hydro Inc.</v>
      </c>
      <c r="B67" t="str">
        <f t="shared" si="8"/>
        <v>EB-2019-0037</v>
      </c>
      <c r="C67">
        <f t="shared" si="9"/>
        <v>2020</v>
      </c>
      <c r="D67">
        <f t="shared" si="10"/>
        <v>2019</v>
      </c>
      <c r="E67">
        <f t="shared" si="11"/>
        <v>2013</v>
      </c>
      <c r="F67" t="s">
        <v>614</v>
      </c>
      <c r="G67">
        <f>'App.2-AB_Capital Expenditures'!Z14</f>
        <v>2019</v>
      </c>
      <c r="H67">
        <f>'App.2-AB_Capital Expenditures'!Z18</f>
        <v>6772.3464999999997</v>
      </c>
      <c r="I67">
        <f>'App.2-AB_Capital Expenditures'!AA18</f>
        <v>5157.516880000001</v>
      </c>
    </row>
    <row r="68" spans="1:9" x14ac:dyDescent="0.2">
      <c r="A68" t="str">
        <f>'LDC Info'!$E$14</f>
        <v>Greater Sudbury Hydro Inc.</v>
      </c>
      <c r="B68" t="str">
        <f t="shared" si="8"/>
        <v>EB-2019-0037</v>
      </c>
      <c r="C68">
        <f t="shared" si="9"/>
        <v>2020</v>
      </c>
      <c r="D68">
        <f t="shared" si="10"/>
        <v>2019</v>
      </c>
      <c r="E68">
        <f t="shared" si="11"/>
        <v>2013</v>
      </c>
      <c r="F68" t="s">
        <v>615</v>
      </c>
      <c r="G68">
        <f>'App.2-AB_Capital Expenditures'!Z14</f>
        <v>2019</v>
      </c>
      <c r="H68">
        <f>'App.2-AB_Capital Expenditures'!Z19</f>
        <v>842.95249999999999</v>
      </c>
      <c r="I68">
        <f>'App.2-AB_Capital Expenditures'!AA19</f>
        <v>2498.306415</v>
      </c>
    </row>
    <row r="69" spans="1:9" x14ac:dyDescent="0.2">
      <c r="A69" t="str">
        <f>'LDC Info'!$E$14</f>
        <v>Greater Sudbury Hydro Inc.</v>
      </c>
      <c r="B69" t="str">
        <f t="shared" si="8"/>
        <v>EB-2019-0037</v>
      </c>
      <c r="C69">
        <f t="shared" si="9"/>
        <v>2020</v>
      </c>
      <c r="D69">
        <f t="shared" si="10"/>
        <v>2019</v>
      </c>
      <c r="E69">
        <f t="shared" si="11"/>
        <v>2013</v>
      </c>
      <c r="F69" t="s">
        <v>616</v>
      </c>
      <c r="G69">
        <f>'App.2-AB_Capital Expenditures'!Z14</f>
        <v>2019</v>
      </c>
      <c r="H69">
        <f>'App.2-AB_Capital Expenditures'!Z20</f>
        <v>1155</v>
      </c>
      <c r="I69">
        <f>'App.2-AB_Capital Expenditures'!AA20</f>
        <v>474.68939</v>
      </c>
    </row>
    <row r="70" spans="1:9" x14ac:dyDescent="0.2">
      <c r="A70" t="str">
        <f>'LDC Info'!$E$14</f>
        <v>Greater Sudbury Hydro Inc.</v>
      </c>
      <c r="B70" t="str">
        <f t="shared" si="8"/>
        <v>EB-2019-0037</v>
      </c>
      <c r="C70">
        <f t="shared" si="9"/>
        <v>2020</v>
      </c>
      <c r="D70">
        <f t="shared" si="10"/>
        <v>2019</v>
      </c>
      <c r="E70">
        <f t="shared" si="11"/>
        <v>2013</v>
      </c>
      <c r="F70" s="9" t="s">
        <v>1079</v>
      </c>
      <c r="G70">
        <f>'App.2-AB_Capital Expenditures'!Z14</f>
        <v>2019</v>
      </c>
      <c r="H70">
        <f>'App.2-AB_Capital Expenditures'!Z21</f>
        <v>10653.071999999998</v>
      </c>
      <c r="I70">
        <f>'App.2-AB_Capital Expenditures'!AA21</f>
        <v>10201.364130000002</v>
      </c>
    </row>
    <row r="71" spans="1:9" x14ac:dyDescent="0.2">
      <c r="A71" t="str">
        <f>'LDC Info'!$E$14</f>
        <v>Greater Sudbury Hydro Inc.</v>
      </c>
      <c r="B71" t="str">
        <f t="shared" si="8"/>
        <v>EB-2019-0037</v>
      </c>
      <c r="C71">
        <f t="shared" si="9"/>
        <v>2020</v>
      </c>
      <c r="D71">
        <f t="shared" si="10"/>
        <v>2019</v>
      </c>
      <c r="E71">
        <f t="shared" si="11"/>
        <v>2013</v>
      </c>
      <c r="F71" s="9" t="s">
        <v>1076</v>
      </c>
      <c r="G71">
        <f>'App.2-AB_Capital Expenditures'!Z14</f>
        <v>2019</v>
      </c>
      <c r="H71">
        <f>'App.2-AB_Capital Expenditures'!Z22</f>
        <v>-1095.0999999999999</v>
      </c>
      <c r="I71">
        <f>'App.2-AB_Capital Expenditures'!AA22</f>
        <v>-1698.0956600000002</v>
      </c>
    </row>
    <row r="72" spans="1:9" x14ac:dyDescent="0.2">
      <c r="A72" t="str">
        <f>'LDC Info'!$E$14</f>
        <v>Greater Sudbury Hydro Inc.</v>
      </c>
      <c r="B72" t="str">
        <f t="shared" si="8"/>
        <v>EB-2019-0037</v>
      </c>
      <c r="C72">
        <f t="shared" si="9"/>
        <v>2020</v>
      </c>
      <c r="D72">
        <f t="shared" si="10"/>
        <v>2019</v>
      </c>
      <c r="E72">
        <f t="shared" si="11"/>
        <v>2013</v>
      </c>
      <c r="F72" s="9" t="s">
        <v>1080</v>
      </c>
      <c r="G72">
        <f>'App.2-AB_Capital Expenditures'!Z14</f>
        <v>2019</v>
      </c>
      <c r="H72">
        <f>'App.2-AB_Capital Expenditures'!Z23</f>
        <v>9557.9719999999979</v>
      </c>
      <c r="I72">
        <f>'App.2-AB_Capital Expenditures'!AA23</f>
        <v>8503.2684700000009</v>
      </c>
    </row>
    <row r="73" spans="1:9" x14ac:dyDescent="0.2">
      <c r="A73" t="str">
        <f>'LDC Info'!$E$14</f>
        <v>Greater Sudbury Hydro Inc.</v>
      </c>
      <c r="B73" t="str">
        <f t="shared" si="8"/>
        <v>EB-2019-0037</v>
      </c>
      <c r="C73">
        <f t="shared" si="9"/>
        <v>2020</v>
      </c>
      <c r="D73">
        <f t="shared" si="10"/>
        <v>2019</v>
      </c>
      <c r="E73">
        <f t="shared" si="11"/>
        <v>2013</v>
      </c>
      <c r="F73" t="s">
        <v>618</v>
      </c>
      <c r="G73">
        <f>'App.2-AB_Capital Expenditures'!Z14</f>
        <v>2019</v>
      </c>
      <c r="H73">
        <f>'App.2-AB_Capital Expenditures'!Z24</f>
        <v>7890.4340000000002</v>
      </c>
      <c r="I73">
        <f>'App.2-AB_Capital Expenditures'!AA24</f>
        <v>8001.5197300000191</v>
      </c>
    </row>
    <row r="74" spans="1:9" x14ac:dyDescent="0.2">
      <c r="A74" t="str">
        <f>'LDC Info'!$E$14</f>
        <v>Greater Sudbury Hydro Inc.</v>
      </c>
      <c r="B74" t="str">
        <f t="shared" si="8"/>
        <v>EB-2019-0037</v>
      </c>
      <c r="C74">
        <f t="shared" si="9"/>
        <v>2020</v>
      </c>
      <c r="D74">
        <f t="shared" si="10"/>
        <v>2019</v>
      </c>
      <c r="E74">
        <f t="shared" si="11"/>
        <v>2013</v>
      </c>
      <c r="F74" t="s">
        <v>613</v>
      </c>
      <c r="G74">
        <f>'App.2-AB_Capital Expenditures'!AC14</f>
        <v>2020</v>
      </c>
      <c r="H74">
        <f>'App.2-AB_Capital Expenditures'!AC17</f>
        <v>1920</v>
      </c>
    </row>
    <row r="75" spans="1:9" x14ac:dyDescent="0.2">
      <c r="A75" t="str">
        <f>'LDC Info'!$E$14</f>
        <v>Greater Sudbury Hydro Inc.</v>
      </c>
      <c r="B75" t="str">
        <f t="shared" si="8"/>
        <v>EB-2019-0037</v>
      </c>
      <c r="C75">
        <f t="shared" si="9"/>
        <v>2020</v>
      </c>
      <c r="D75">
        <f t="shared" si="10"/>
        <v>2019</v>
      </c>
      <c r="E75">
        <f t="shared" si="11"/>
        <v>2013</v>
      </c>
      <c r="F75" t="s">
        <v>614</v>
      </c>
      <c r="G75">
        <f>'App.2-AB_Capital Expenditures'!AC14</f>
        <v>2020</v>
      </c>
      <c r="H75">
        <f>'App.2-AB_Capital Expenditures'!AC18</f>
        <v>5501.5379999999996</v>
      </c>
    </row>
    <row r="76" spans="1:9" x14ac:dyDescent="0.2">
      <c r="A76" t="str">
        <f>'LDC Info'!$E$14</f>
        <v>Greater Sudbury Hydro Inc.</v>
      </c>
      <c r="B76" t="str">
        <f t="shared" si="8"/>
        <v>EB-2019-0037</v>
      </c>
      <c r="C76">
        <f t="shared" si="9"/>
        <v>2020</v>
      </c>
      <c r="D76">
        <f t="shared" si="10"/>
        <v>2019</v>
      </c>
      <c r="E76">
        <f t="shared" si="11"/>
        <v>2013</v>
      </c>
      <c r="F76" t="s">
        <v>615</v>
      </c>
      <c r="G76">
        <f>'App.2-AB_Capital Expenditures'!AC14</f>
        <v>2020</v>
      </c>
      <c r="H76">
        <f>'App.2-AB_Capital Expenditures'!AC19</f>
        <v>1530.462</v>
      </c>
    </row>
    <row r="77" spans="1:9" x14ac:dyDescent="0.2">
      <c r="A77" t="str">
        <f>'LDC Info'!$E$14</f>
        <v>Greater Sudbury Hydro Inc.</v>
      </c>
      <c r="B77" t="str">
        <f t="shared" si="8"/>
        <v>EB-2019-0037</v>
      </c>
      <c r="C77">
        <f t="shared" si="9"/>
        <v>2020</v>
      </c>
      <c r="D77">
        <f t="shared" si="10"/>
        <v>2019</v>
      </c>
      <c r="E77">
        <f t="shared" si="11"/>
        <v>2013</v>
      </c>
      <c r="F77" t="s">
        <v>616</v>
      </c>
      <c r="G77">
        <f>'App.2-AB_Capital Expenditures'!AC14</f>
        <v>2020</v>
      </c>
      <c r="H77">
        <f>'App.2-AB_Capital Expenditures'!AC20</f>
        <v>1215</v>
      </c>
    </row>
    <row r="78" spans="1:9" x14ac:dyDescent="0.2">
      <c r="A78" t="str">
        <f>'LDC Info'!$E$14</f>
        <v>Greater Sudbury Hydro Inc.</v>
      </c>
      <c r="B78" t="str">
        <f t="shared" si="8"/>
        <v>EB-2019-0037</v>
      </c>
      <c r="C78">
        <f t="shared" si="9"/>
        <v>2020</v>
      </c>
      <c r="D78">
        <f t="shared" si="10"/>
        <v>2019</v>
      </c>
      <c r="E78">
        <f t="shared" si="11"/>
        <v>2013</v>
      </c>
      <c r="F78" s="9" t="s">
        <v>1079</v>
      </c>
      <c r="G78">
        <f>'App.2-AB_Capital Expenditures'!AC14</f>
        <v>2020</v>
      </c>
      <c r="H78">
        <f>'App.2-AB_Capital Expenditures'!AC21</f>
        <v>10167</v>
      </c>
    </row>
    <row r="79" spans="1:9" x14ac:dyDescent="0.2">
      <c r="A79" t="str">
        <f>'LDC Info'!$E$14</f>
        <v>Greater Sudbury Hydro Inc.</v>
      </c>
      <c r="B79" t="str">
        <f t="shared" si="8"/>
        <v>EB-2019-0037</v>
      </c>
      <c r="C79">
        <f t="shared" si="9"/>
        <v>2020</v>
      </c>
      <c r="D79">
        <f t="shared" si="10"/>
        <v>2019</v>
      </c>
      <c r="E79">
        <f t="shared" si="11"/>
        <v>2013</v>
      </c>
      <c r="F79" s="9" t="s">
        <v>1076</v>
      </c>
      <c r="G79">
        <f>'App.2-AB_Capital Expenditures'!AC14</f>
        <v>2020</v>
      </c>
      <c r="H79">
        <f>'App.2-AB_Capital Expenditures'!AC22</f>
        <v>-1082</v>
      </c>
    </row>
    <row r="80" spans="1:9" x14ac:dyDescent="0.2">
      <c r="A80" t="str">
        <f>'LDC Info'!$E$14</f>
        <v>Greater Sudbury Hydro Inc.</v>
      </c>
      <c r="B80" t="str">
        <f t="shared" si="8"/>
        <v>EB-2019-0037</v>
      </c>
      <c r="C80">
        <f t="shared" si="9"/>
        <v>2020</v>
      </c>
      <c r="D80">
        <f t="shared" si="10"/>
        <v>2019</v>
      </c>
      <c r="E80">
        <f t="shared" si="11"/>
        <v>2013</v>
      </c>
      <c r="F80" s="9" t="s">
        <v>1080</v>
      </c>
      <c r="G80">
        <f>'App.2-AB_Capital Expenditures'!AC14</f>
        <v>2020</v>
      </c>
      <c r="H80">
        <f>'App.2-AB_Capital Expenditures'!AC23</f>
        <v>9085</v>
      </c>
    </row>
    <row r="81" spans="1:8" x14ac:dyDescent="0.2">
      <c r="A81" t="str">
        <f>'LDC Info'!$E$14</f>
        <v>Greater Sudbury Hydro Inc.</v>
      </c>
      <c r="B81" t="str">
        <f t="shared" si="8"/>
        <v>EB-2019-0037</v>
      </c>
      <c r="C81">
        <f t="shared" si="9"/>
        <v>2020</v>
      </c>
      <c r="D81">
        <f t="shared" si="10"/>
        <v>2019</v>
      </c>
      <c r="E81">
        <f t="shared" si="11"/>
        <v>2013</v>
      </c>
      <c r="F81" t="s">
        <v>618</v>
      </c>
      <c r="G81">
        <f>'App.2-AB_Capital Expenditures'!AC14</f>
        <v>2020</v>
      </c>
      <c r="H81">
        <f>'App.2-AB_Capital Expenditures'!AC24</f>
        <v>9141.0390000000007</v>
      </c>
    </row>
    <row r="82" spans="1:8" x14ac:dyDescent="0.2">
      <c r="A82" t="str">
        <f>'LDC Info'!$E$14</f>
        <v>Greater Sudbury Hydro Inc.</v>
      </c>
      <c r="B82" t="str">
        <f t="shared" si="8"/>
        <v>EB-2019-0037</v>
      </c>
      <c r="C82">
        <f t="shared" si="9"/>
        <v>2020</v>
      </c>
      <c r="D82">
        <f t="shared" si="10"/>
        <v>2019</v>
      </c>
      <c r="E82">
        <f t="shared" si="11"/>
        <v>2013</v>
      </c>
      <c r="F82" t="s">
        <v>613</v>
      </c>
      <c r="G82">
        <f>'App.2-AB_Capital Expenditures'!AD14</f>
        <v>2021</v>
      </c>
      <c r="H82">
        <f>'App.2-AB_Capital Expenditures'!AD17</f>
        <v>1951</v>
      </c>
    </row>
    <row r="83" spans="1:8" x14ac:dyDescent="0.2">
      <c r="A83" t="str">
        <f>'LDC Info'!$E$14</f>
        <v>Greater Sudbury Hydro Inc.</v>
      </c>
      <c r="B83" t="str">
        <f t="shared" si="8"/>
        <v>EB-2019-0037</v>
      </c>
      <c r="C83">
        <f t="shared" si="9"/>
        <v>2020</v>
      </c>
      <c r="D83">
        <f t="shared" si="10"/>
        <v>2019</v>
      </c>
      <c r="E83">
        <f t="shared" si="11"/>
        <v>2013</v>
      </c>
      <c r="F83" t="s">
        <v>614</v>
      </c>
      <c r="G83">
        <f>'App.2-AB_Capital Expenditures'!AD14</f>
        <v>2021</v>
      </c>
      <c r="H83">
        <f>'App.2-AB_Capital Expenditures'!AD18</f>
        <v>9009</v>
      </c>
    </row>
    <row r="84" spans="1:8" x14ac:dyDescent="0.2">
      <c r="A84" t="str">
        <f>'LDC Info'!$E$14</f>
        <v>Greater Sudbury Hydro Inc.</v>
      </c>
      <c r="B84" t="str">
        <f t="shared" si="8"/>
        <v>EB-2019-0037</v>
      </c>
      <c r="C84">
        <f t="shared" si="9"/>
        <v>2020</v>
      </c>
      <c r="D84">
        <f t="shared" si="10"/>
        <v>2019</v>
      </c>
      <c r="E84">
        <f t="shared" si="11"/>
        <v>2013</v>
      </c>
      <c r="F84" t="s">
        <v>615</v>
      </c>
      <c r="G84">
        <f>'App.2-AB_Capital Expenditures'!AD14</f>
        <v>2021</v>
      </c>
      <c r="H84">
        <f>'App.2-AB_Capital Expenditures'!AD19</f>
        <v>874</v>
      </c>
    </row>
    <row r="85" spans="1:8" x14ac:dyDescent="0.2">
      <c r="A85" t="str">
        <f>'LDC Info'!$E$14</f>
        <v>Greater Sudbury Hydro Inc.</v>
      </c>
      <c r="B85" t="str">
        <f t="shared" si="8"/>
        <v>EB-2019-0037</v>
      </c>
      <c r="C85">
        <f t="shared" si="9"/>
        <v>2020</v>
      </c>
      <c r="D85">
        <f t="shared" si="10"/>
        <v>2019</v>
      </c>
      <c r="E85">
        <f t="shared" si="11"/>
        <v>2013</v>
      </c>
      <c r="F85" t="s">
        <v>616</v>
      </c>
      <c r="G85">
        <f>'App.2-AB_Capital Expenditures'!AD14</f>
        <v>2021</v>
      </c>
      <c r="H85">
        <f>'App.2-AB_Capital Expenditures'!AD20</f>
        <v>907</v>
      </c>
    </row>
    <row r="86" spans="1:8" x14ac:dyDescent="0.2">
      <c r="A86" t="str">
        <f>'LDC Info'!$E$14</f>
        <v>Greater Sudbury Hydro Inc.</v>
      </c>
      <c r="B86" t="str">
        <f t="shared" si="8"/>
        <v>EB-2019-0037</v>
      </c>
      <c r="C86">
        <f t="shared" si="9"/>
        <v>2020</v>
      </c>
      <c r="D86">
        <f t="shared" si="10"/>
        <v>2019</v>
      </c>
      <c r="E86">
        <f t="shared" si="11"/>
        <v>2013</v>
      </c>
      <c r="F86" s="9" t="s">
        <v>1079</v>
      </c>
      <c r="G86">
        <f>'App.2-AB_Capital Expenditures'!AD14</f>
        <v>2021</v>
      </c>
      <c r="H86">
        <f>'App.2-AB_Capital Expenditures'!AD21</f>
        <v>12741</v>
      </c>
    </row>
    <row r="87" spans="1:8" x14ac:dyDescent="0.2">
      <c r="A87" t="str">
        <f>'LDC Info'!$E$14</f>
        <v>Greater Sudbury Hydro Inc.</v>
      </c>
      <c r="B87" t="str">
        <f t="shared" si="8"/>
        <v>EB-2019-0037</v>
      </c>
      <c r="C87">
        <f t="shared" si="9"/>
        <v>2020</v>
      </c>
      <c r="D87">
        <f t="shared" si="10"/>
        <v>2019</v>
      </c>
      <c r="E87">
        <f t="shared" si="11"/>
        <v>2013</v>
      </c>
      <c r="F87" s="9" t="s">
        <v>1076</v>
      </c>
      <c r="G87">
        <f>'App.2-AB_Capital Expenditures'!AD14</f>
        <v>2021</v>
      </c>
      <c r="H87">
        <f>'App.2-AB_Capital Expenditures'!AD22</f>
        <v>-1102</v>
      </c>
    </row>
    <row r="88" spans="1:8" x14ac:dyDescent="0.2">
      <c r="A88" t="str">
        <f>'LDC Info'!$E$14</f>
        <v>Greater Sudbury Hydro Inc.</v>
      </c>
      <c r="B88" t="str">
        <f t="shared" si="8"/>
        <v>EB-2019-0037</v>
      </c>
      <c r="C88">
        <f t="shared" si="9"/>
        <v>2020</v>
      </c>
      <c r="D88">
        <f t="shared" si="10"/>
        <v>2019</v>
      </c>
      <c r="E88">
        <f t="shared" si="11"/>
        <v>2013</v>
      </c>
      <c r="F88" s="9" t="s">
        <v>1080</v>
      </c>
      <c r="G88">
        <f>'App.2-AB_Capital Expenditures'!AD14</f>
        <v>2021</v>
      </c>
      <c r="H88">
        <f>'App.2-AB_Capital Expenditures'!AD23</f>
        <v>11639</v>
      </c>
    </row>
    <row r="89" spans="1:8" x14ac:dyDescent="0.2">
      <c r="A89" t="str">
        <f>'LDC Info'!$E$14</f>
        <v>Greater Sudbury Hydro Inc.</v>
      </c>
      <c r="B89" t="str">
        <f t="shared" si="8"/>
        <v>EB-2019-0037</v>
      </c>
      <c r="C89">
        <f t="shared" si="9"/>
        <v>2020</v>
      </c>
      <c r="D89">
        <f t="shared" si="10"/>
        <v>2019</v>
      </c>
      <c r="E89">
        <f t="shared" si="11"/>
        <v>2013</v>
      </c>
      <c r="F89" t="s">
        <v>618</v>
      </c>
      <c r="G89">
        <f>'App.2-AB_Capital Expenditures'!AD14</f>
        <v>2021</v>
      </c>
      <c r="H89">
        <f>'App.2-AB_Capital Expenditures'!AD24</f>
        <v>9323.8597800000007</v>
      </c>
    </row>
    <row r="90" spans="1:8" x14ac:dyDescent="0.2">
      <c r="A90" t="str">
        <f>'LDC Info'!$E$14</f>
        <v>Greater Sudbury Hydro Inc.</v>
      </c>
      <c r="B90" t="str">
        <f t="shared" si="8"/>
        <v>EB-2019-0037</v>
      </c>
      <c r="C90">
        <f t="shared" si="9"/>
        <v>2020</v>
      </c>
      <c r="D90">
        <f t="shared" si="10"/>
        <v>2019</v>
      </c>
      <c r="E90">
        <f t="shared" si="11"/>
        <v>2013</v>
      </c>
      <c r="F90" t="s">
        <v>613</v>
      </c>
      <c r="G90">
        <f>'App.2-AB_Capital Expenditures'!AE14</f>
        <v>2022</v>
      </c>
      <c r="H90">
        <f>'App.2-AB_Capital Expenditures'!AE17</f>
        <v>1983</v>
      </c>
    </row>
    <row r="91" spans="1:8" x14ac:dyDescent="0.2">
      <c r="A91" t="str">
        <f>'LDC Info'!$E$14</f>
        <v>Greater Sudbury Hydro Inc.</v>
      </c>
      <c r="B91" t="str">
        <f t="shared" si="8"/>
        <v>EB-2019-0037</v>
      </c>
      <c r="C91">
        <f t="shared" si="9"/>
        <v>2020</v>
      </c>
      <c r="D91">
        <f t="shared" si="10"/>
        <v>2019</v>
      </c>
      <c r="E91">
        <f t="shared" si="11"/>
        <v>2013</v>
      </c>
      <c r="F91" t="s">
        <v>614</v>
      </c>
      <c r="G91">
        <f>'App.2-AB_Capital Expenditures'!AE14</f>
        <v>2022</v>
      </c>
      <c r="H91">
        <f>'App.2-AB_Capital Expenditures'!AE18</f>
        <v>6871</v>
      </c>
    </row>
    <row r="92" spans="1:8" x14ac:dyDescent="0.2">
      <c r="A92" t="str">
        <f>'LDC Info'!$E$14</f>
        <v>Greater Sudbury Hydro Inc.</v>
      </c>
      <c r="B92" t="str">
        <f t="shared" si="8"/>
        <v>EB-2019-0037</v>
      </c>
      <c r="C92">
        <f t="shared" si="9"/>
        <v>2020</v>
      </c>
      <c r="D92">
        <f t="shared" si="10"/>
        <v>2019</v>
      </c>
      <c r="E92">
        <f t="shared" si="11"/>
        <v>2013</v>
      </c>
      <c r="F92" t="s">
        <v>615</v>
      </c>
      <c r="G92">
        <f>'App.2-AB_Capital Expenditures'!AE14</f>
        <v>2022</v>
      </c>
      <c r="H92">
        <f>'App.2-AB_Capital Expenditures'!AE19</f>
        <v>657</v>
      </c>
    </row>
    <row r="93" spans="1:8" x14ac:dyDescent="0.2">
      <c r="A93" t="str">
        <f>'LDC Info'!$E$14</f>
        <v>Greater Sudbury Hydro Inc.</v>
      </c>
      <c r="B93" t="str">
        <f t="shared" si="8"/>
        <v>EB-2019-0037</v>
      </c>
      <c r="C93">
        <f t="shared" si="9"/>
        <v>2020</v>
      </c>
      <c r="D93">
        <f t="shared" si="10"/>
        <v>2019</v>
      </c>
      <c r="E93">
        <f t="shared" si="11"/>
        <v>2013</v>
      </c>
      <c r="F93" t="s">
        <v>616</v>
      </c>
      <c r="G93">
        <f>'App.2-AB_Capital Expenditures'!AE14</f>
        <v>2022</v>
      </c>
      <c r="H93">
        <f>'App.2-AB_Capital Expenditures'!AE20</f>
        <v>1384</v>
      </c>
    </row>
    <row r="94" spans="1:8" x14ac:dyDescent="0.2">
      <c r="A94" t="str">
        <f>'LDC Info'!$E$14</f>
        <v>Greater Sudbury Hydro Inc.</v>
      </c>
      <c r="B94" t="str">
        <f t="shared" si="8"/>
        <v>EB-2019-0037</v>
      </c>
      <c r="C94">
        <f t="shared" si="9"/>
        <v>2020</v>
      </c>
      <c r="D94">
        <f t="shared" si="10"/>
        <v>2019</v>
      </c>
      <c r="E94">
        <f t="shared" si="11"/>
        <v>2013</v>
      </c>
      <c r="F94" s="9" t="s">
        <v>1079</v>
      </c>
      <c r="G94">
        <f>'App.2-AB_Capital Expenditures'!AE14</f>
        <v>2022</v>
      </c>
      <c r="H94">
        <f>'App.2-AB_Capital Expenditures'!AE21</f>
        <v>10895</v>
      </c>
    </row>
    <row r="95" spans="1:8" x14ac:dyDescent="0.2">
      <c r="A95" t="str">
        <f>'LDC Info'!$E$14</f>
        <v>Greater Sudbury Hydro Inc.</v>
      </c>
      <c r="B95" t="str">
        <f t="shared" si="8"/>
        <v>EB-2019-0037</v>
      </c>
      <c r="C95">
        <f t="shared" si="9"/>
        <v>2020</v>
      </c>
      <c r="D95">
        <f t="shared" si="10"/>
        <v>2019</v>
      </c>
      <c r="E95">
        <f t="shared" si="11"/>
        <v>2013</v>
      </c>
      <c r="F95" s="9" t="s">
        <v>1076</v>
      </c>
      <c r="G95">
        <f>'App.2-AB_Capital Expenditures'!AE14</f>
        <v>2022</v>
      </c>
      <c r="H95">
        <f>'App.2-AB_Capital Expenditures'!AE22</f>
        <v>-1123</v>
      </c>
    </row>
    <row r="96" spans="1:8" x14ac:dyDescent="0.2">
      <c r="A96" t="str">
        <f>'LDC Info'!$E$14</f>
        <v>Greater Sudbury Hydro Inc.</v>
      </c>
      <c r="B96" t="str">
        <f t="shared" si="8"/>
        <v>EB-2019-0037</v>
      </c>
      <c r="C96">
        <f t="shared" si="9"/>
        <v>2020</v>
      </c>
      <c r="D96">
        <f t="shared" si="10"/>
        <v>2019</v>
      </c>
      <c r="E96">
        <f t="shared" si="11"/>
        <v>2013</v>
      </c>
      <c r="F96" s="9" t="s">
        <v>1080</v>
      </c>
      <c r="G96">
        <f>'App.2-AB_Capital Expenditures'!AE14</f>
        <v>2022</v>
      </c>
      <c r="H96">
        <f>'App.2-AB_Capital Expenditures'!AE23</f>
        <v>9773</v>
      </c>
    </row>
    <row r="97" spans="1:8" x14ac:dyDescent="0.2">
      <c r="A97" t="str">
        <f>'LDC Info'!$E$14</f>
        <v>Greater Sudbury Hydro Inc.</v>
      </c>
      <c r="B97" t="str">
        <f t="shared" si="8"/>
        <v>EB-2019-0037</v>
      </c>
      <c r="C97">
        <f t="shared" si="9"/>
        <v>2020</v>
      </c>
      <c r="D97">
        <f t="shared" si="10"/>
        <v>2019</v>
      </c>
      <c r="E97">
        <f t="shared" si="11"/>
        <v>2013</v>
      </c>
      <c r="F97" t="s">
        <v>618</v>
      </c>
      <c r="G97">
        <f>'App.2-AB_Capital Expenditures'!AE14</f>
        <v>2022</v>
      </c>
      <c r="H97">
        <f>'App.2-AB_Capital Expenditures'!AE24</f>
        <v>9510.3369756000011</v>
      </c>
    </row>
    <row r="98" spans="1:8" x14ac:dyDescent="0.2">
      <c r="A98" t="str">
        <f>'LDC Info'!$E$14</f>
        <v>Greater Sudbury Hydro Inc.</v>
      </c>
      <c r="B98" t="str">
        <f t="shared" ref="B98:B113" si="12">EBNUMBER</f>
        <v>EB-2019-0037</v>
      </c>
      <c r="C98">
        <f t="shared" ref="C98:C113" si="13">TestYear</f>
        <v>2020</v>
      </c>
      <c r="D98">
        <f t="shared" ref="D98:D113" si="14">BridgeYear</f>
        <v>2019</v>
      </c>
      <c r="E98">
        <f t="shared" ref="E98:E113" si="15">RebaseYear</f>
        <v>2013</v>
      </c>
      <c r="F98" t="s">
        <v>613</v>
      </c>
      <c r="G98">
        <f>'App.2-AB_Capital Expenditures'!AF14</f>
        <v>2023</v>
      </c>
      <c r="H98">
        <f>'App.2-AB_Capital Expenditures'!AF17</f>
        <v>2015</v>
      </c>
    </row>
    <row r="99" spans="1:8" x14ac:dyDescent="0.2">
      <c r="A99" t="str">
        <f>'LDC Info'!$E$14</f>
        <v>Greater Sudbury Hydro Inc.</v>
      </c>
      <c r="B99" t="str">
        <f t="shared" si="12"/>
        <v>EB-2019-0037</v>
      </c>
      <c r="C99">
        <f t="shared" si="13"/>
        <v>2020</v>
      </c>
      <c r="D99">
        <f t="shared" si="14"/>
        <v>2019</v>
      </c>
      <c r="E99">
        <f t="shared" si="15"/>
        <v>2013</v>
      </c>
      <c r="F99" t="s">
        <v>614</v>
      </c>
      <c r="G99">
        <f>'App.2-AB_Capital Expenditures'!AF14</f>
        <v>2023</v>
      </c>
      <c r="H99">
        <f>'App.2-AB_Capital Expenditures'!AF18</f>
        <v>7449</v>
      </c>
    </row>
    <row r="100" spans="1:8" x14ac:dyDescent="0.2">
      <c r="A100" t="str">
        <f>'LDC Info'!$E$14</f>
        <v>Greater Sudbury Hydro Inc.</v>
      </c>
      <c r="B100" t="str">
        <f t="shared" si="12"/>
        <v>EB-2019-0037</v>
      </c>
      <c r="C100">
        <f t="shared" si="13"/>
        <v>2020</v>
      </c>
      <c r="D100">
        <f t="shared" si="14"/>
        <v>2019</v>
      </c>
      <c r="E100">
        <f t="shared" si="15"/>
        <v>2013</v>
      </c>
      <c r="F100" t="s">
        <v>615</v>
      </c>
      <c r="G100">
        <f>'App.2-AB_Capital Expenditures'!AF14</f>
        <v>2023</v>
      </c>
      <c r="H100">
        <f>'App.2-AB_Capital Expenditures'!AF19</f>
        <v>738</v>
      </c>
    </row>
    <row r="101" spans="1:8" x14ac:dyDescent="0.2">
      <c r="A101" t="str">
        <f>'LDC Info'!$E$14</f>
        <v>Greater Sudbury Hydro Inc.</v>
      </c>
      <c r="B101" t="str">
        <f t="shared" si="12"/>
        <v>EB-2019-0037</v>
      </c>
      <c r="C101">
        <f t="shared" si="13"/>
        <v>2020</v>
      </c>
      <c r="D101">
        <f t="shared" si="14"/>
        <v>2019</v>
      </c>
      <c r="E101">
        <f t="shared" si="15"/>
        <v>2013</v>
      </c>
      <c r="F101" t="s">
        <v>616</v>
      </c>
      <c r="G101">
        <f>'App.2-AB_Capital Expenditures'!AF14</f>
        <v>2023</v>
      </c>
      <c r="H101">
        <f>'App.2-AB_Capital Expenditures'!AF20</f>
        <v>902</v>
      </c>
    </row>
    <row r="102" spans="1:8" x14ac:dyDescent="0.2">
      <c r="A102" t="str">
        <f>'LDC Info'!$E$14</f>
        <v>Greater Sudbury Hydro Inc.</v>
      </c>
      <c r="B102" t="str">
        <f t="shared" si="12"/>
        <v>EB-2019-0037</v>
      </c>
      <c r="C102">
        <f t="shared" si="13"/>
        <v>2020</v>
      </c>
      <c r="D102">
        <f t="shared" si="14"/>
        <v>2019</v>
      </c>
      <c r="E102">
        <f t="shared" si="15"/>
        <v>2013</v>
      </c>
      <c r="F102" s="9" t="s">
        <v>1079</v>
      </c>
      <c r="G102">
        <f>'App.2-AB_Capital Expenditures'!AF14</f>
        <v>2023</v>
      </c>
      <c r="H102">
        <f>'App.2-AB_Capital Expenditures'!AF21</f>
        <v>11104</v>
      </c>
    </row>
    <row r="103" spans="1:8" x14ac:dyDescent="0.2">
      <c r="A103" t="str">
        <f>'LDC Info'!$E$14</f>
        <v>Greater Sudbury Hydro Inc.</v>
      </c>
      <c r="B103" t="str">
        <f t="shared" si="12"/>
        <v>EB-2019-0037</v>
      </c>
      <c r="C103">
        <f t="shared" si="13"/>
        <v>2020</v>
      </c>
      <c r="D103">
        <f t="shared" si="14"/>
        <v>2019</v>
      </c>
      <c r="E103">
        <f t="shared" si="15"/>
        <v>2013</v>
      </c>
      <c r="F103" s="9" t="s">
        <v>1076</v>
      </c>
      <c r="G103">
        <f>'App.2-AB_Capital Expenditures'!AF14</f>
        <v>2023</v>
      </c>
      <c r="H103">
        <f>'App.2-AB_Capital Expenditures'!AF22</f>
        <v>-1143</v>
      </c>
    </row>
    <row r="104" spans="1:8" x14ac:dyDescent="0.2">
      <c r="A104" t="str">
        <f>'LDC Info'!$E$14</f>
        <v>Greater Sudbury Hydro Inc.</v>
      </c>
      <c r="B104" t="str">
        <f t="shared" si="12"/>
        <v>EB-2019-0037</v>
      </c>
      <c r="C104">
        <f t="shared" si="13"/>
        <v>2020</v>
      </c>
      <c r="D104">
        <f t="shared" si="14"/>
        <v>2019</v>
      </c>
      <c r="E104">
        <f t="shared" si="15"/>
        <v>2013</v>
      </c>
      <c r="F104" s="9" t="s">
        <v>1080</v>
      </c>
      <c r="G104">
        <f>'App.2-AB_Capital Expenditures'!AF14</f>
        <v>2023</v>
      </c>
      <c r="H104">
        <f>'App.2-AB_Capital Expenditures'!AF23</f>
        <v>9961</v>
      </c>
    </row>
    <row r="105" spans="1:8" x14ac:dyDescent="0.2">
      <c r="A105" t="str">
        <f>'LDC Info'!$E$14</f>
        <v>Greater Sudbury Hydro Inc.</v>
      </c>
      <c r="B105" t="str">
        <f t="shared" si="12"/>
        <v>EB-2019-0037</v>
      </c>
      <c r="C105">
        <f t="shared" si="13"/>
        <v>2020</v>
      </c>
      <c r="D105">
        <f t="shared" si="14"/>
        <v>2019</v>
      </c>
      <c r="E105">
        <f t="shared" si="15"/>
        <v>2013</v>
      </c>
      <c r="F105" t="s">
        <v>618</v>
      </c>
      <c r="G105">
        <f>'App.2-AB_Capital Expenditures'!AF14</f>
        <v>2023</v>
      </c>
      <c r="H105">
        <f>'App.2-AB_Capital Expenditures'!AF24</f>
        <v>9700.5437151120004</v>
      </c>
    </row>
    <row r="106" spans="1:8" x14ac:dyDescent="0.2">
      <c r="A106" t="str">
        <f>'LDC Info'!$E$14</f>
        <v>Greater Sudbury Hydro Inc.</v>
      </c>
      <c r="B106" t="str">
        <f t="shared" si="12"/>
        <v>EB-2019-0037</v>
      </c>
      <c r="C106">
        <f t="shared" si="13"/>
        <v>2020</v>
      </c>
      <c r="D106">
        <f t="shared" si="14"/>
        <v>2019</v>
      </c>
      <c r="E106">
        <f t="shared" si="15"/>
        <v>2013</v>
      </c>
      <c r="F106" t="s">
        <v>613</v>
      </c>
      <c r="G106">
        <f>'App.2-AB_Capital Expenditures'!AG14</f>
        <v>2024</v>
      </c>
      <c r="H106">
        <f>'App.2-AB_Capital Expenditures'!AG17</f>
        <v>2049</v>
      </c>
    </row>
    <row r="107" spans="1:8" x14ac:dyDescent="0.2">
      <c r="A107" t="str">
        <f>'LDC Info'!$E$14</f>
        <v>Greater Sudbury Hydro Inc.</v>
      </c>
      <c r="B107" t="str">
        <f t="shared" si="12"/>
        <v>EB-2019-0037</v>
      </c>
      <c r="C107">
        <f t="shared" si="13"/>
        <v>2020</v>
      </c>
      <c r="D107">
        <f t="shared" si="14"/>
        <v>2019</v>
      </c>
      <c r="E107">
        <f t="shared" si="15"/>
        <v>2013</v>
      </c>
      <c r="F107" t="s">
        <v>614</v>
      </c>
      <c r="G107">
        <f>'App.2-AB_Capital Expenditures'!AG14</f>
        <v>2024</v>
      </c>
      <c r="H107">
        <f>'App.2-AB_Capital Expenditures'!AG18</f>
        <v>8164</v>
      </c>
    </row>
    <row r="108" spans="1:8" x14ac:dyDescent="0.2">
      <c r="A108" t="str">
        <f>'LDC Info'!$E$14</f>
        <v>Greater Sudbury Hydro Inc.</v>
      </c>
      <c r="B108" t="str">
        <f t="shared" si="12"/>
        <v>EB-2019-0037</v>
      </c>
      <c r="C108">
        <f t="shared" si="13"/>
        <v>2020</v>
      </c>
      <c r="D108">
        <f t="shared" si="14"/>
        <v>2019</v>
      </c>
      <c r="E108">
        <f t="shared" si="15"/>
        <v>2013</v>
      </c>
      <c r="F108" t="s">
        <v>615</v>
      </c>
      <c r="G108">
        <f>'App.2-AB_Capital Expenditures'!AG14</f>
        <v>2024</v>
      </c>
      <c r="H108">
        <f>'App.2-AB_Capital Expenditures'!AG19</f>
        <v>80</v>
      </c>
    </row>
    <row r="109" spans="1:8" x14ac:dyDescent="0.2">
      <c r="A109" t="str">
        <f>'LDC Info'!$E$14</f>
        <v>Greater Sudbury Hydro Inc.</v>
      </c>
      <c r="B109" t="str">
        <f t="shared" si="12"/>
        <v>EB-2019-0037</v>
      </c>
      <c r="C109">
        <f t="shared" si="13"/>
        <v>2020</v>
      </c>
      <c r="D109">
        <f t="shared" si="14"/>
        <v>2019</v>
      </c>
      <c r="E109">
        <f t="shared" si="15"/>
        <v>2013</v>
      </c>
      <c r="F109" t="s">
        <v>616</v>
      </c>
      <c r="G109">
        <f>'App.2-AB_Capital Expenditures'!AG14</f>
        <v>2024</v>
      </c>
      <c r="H109">
        <f>'App.2-AB_Capital Expenditures'!AG20</f>
        <v>1020</v>
      </c>
    </row>
    <row r="110" spans="1:8" x14ac:dyDescent="0.2">
      <c r="A110" t="str">
        <f>'LDC Info'!$E$14</f>
        <v>Greater Sudbury Hydro Inc.</v>
      </c>
      <c r="B110" t="str">
        <f t="shared" si="12"/>
        <v>EB-2019-0037</v>
      </c>
      <c r="C110">
        <f t="shared" si="13"/>
        <v>2020</v>
      </c>
      <c r="D110">
        <f t="shared" si="14"/>
        <v>2019</v>
      </c>
      <c r="E110">
        <f t="shared" si="15"/>
        <v>2013</v>
      </c>
      <c r="F110" s="9" t="s">
        <v>1079</v>
      </c>
      <c r="G110">
        <f>'App.2-AB_Capital Expenditures'!AG14</f>
        <v>2024</v>
      </c>
      <c r="H110">
        <f>'App.2-AB_Capital Expenditures'!AG21</f>
        <v>11313</v>
      </c>
    </row>
    <row r="111" spans="1:8" x14ac:dyDescent="0.2">
      <c r="A111" t="str">
        <f>'LDC Info'!$E$14</f>
        <v>Greater Sudbury Hydro Inc.</v>
      </c>
      <c r="B111" t="str">
        <f t="shared" si="12"/>
        <v>EB-2019-0037</v>
      </c>
      <c r="C111">
        <f t="shared" si="13"/>
        <v>2020</v>
      </c>
      <c r="D111">
        <f t="shared" si="14"/>
        <v>2019</v>
      </c>
      <c r="E111">
        <f t="shared" si="15"/>
        <v>2013</v>
      </c>
      <c r="F111" s="9" t="s">
        <v>1076</v>
      </c>
      <c r="G111">
        <f>'App.2-AB_Capital Expenditures'!AG14</f>
        <v>2024</v>
      </c>
      <c r="H111">
        <f>'App.2-AB_Capital Expenditures'!AG22</f>
        <v>-1165</v>
      </c>
    </row>
    <row r="112" spans="1:8" x14ac:dyDescent="0.2">
      <c r="A112" t="str">
        <f>'LDC Info'!$E$14</f>
        <v>Greater Sudbury Hydro Inc.</v>
      </c>
      <c r="B112" t="str">
        <f t="shared" si="12"/>
        <v>EB-2019-0037</v>
      </c>
      <c r="C112">
        <f t="shared" si="13"/>
        <v>2020</v>
      </c>
      <c r="D112">
        <f t="shared" si="14"/>
        <v>2019</v>
      </c>
      <c r="E112">
        <f t="shared" si="15"/>
        <v>2013</v>
      </c>
      <c r="F112" s="9" t="s">
        <v>1080</v>
      </c>
      <c r="G112">
        <f>'App.2-AB_Capital Expenditures'!AG14</f>
        <v>2024</v>
      </c>
      <c r="H112">
        <f>'App.2-AB_Capital Expenditures'!AG23</f>
        <v>10149</v>
      </c>
    </row>
    <row r="113" spans="1:8" x14ac:dyDescent="0.2">
      <c r="A113" t="str">
        <f>'LDC Info'!$E$14</f>
        <v>Greater Sudbury Hydro Inc.</v>
      </c>
      <c r="B113" t="str">
        <f t="shared" si="12"/>
        <v>EB-2019-0037</v>
      </c>
      <c r="C113">
        <f t="shared" si="13"/>
        <v>2020</v>
      </c>
      <c r="D113">
        <f t="shared" si="14"/>
        <v>2019</v>
      </c>
      <c r="E113">
        <f t="shared" si="15"/>
        <v>2013</v>
      </c>
      <c r="F113" t="s">
        <v>618</v>
      </c>
      <c r="G113">
        <f>'App.2-AB_Capital Expenditures'!AG14</f>
        <v>2024</v>
      </c>
      <c r="H113">
        <f>'App.2-AB_Capital Expenditures'!AG24</f>
        <v>9894.5545894142415</v>
      </c>
    </row>
  </sheetData>
  <sheetProtection algorithmName="SHA-512" hashValue="t3urHhR2PjmmYw5KFs/tIP6Vy0+dz4Kf82ePdmdayaKdUDGni9c+7sjmwm9Nw8dNTIYNiyAmIudqWwnGDL/VsA==" saltValue="v6lG8iObs+37AMsLpCkrf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6"/>
  </sheetPr>
  <dimension ref="A1:D33"/>
  <sheetViews>
    <sheetView showGridLines="0" zoomScaleNormal="100" workbookViewId="0">
      <selection activeCell="C2" sqref="C2:C7"/>
    </sheetView>
  </sheetViews>
  <sheetFormatPr defaultColWidth="9.28515625" defaultRowHeight="12.75" x14ac:dyDescent="0.2"/>
  <cols>
    <col min="1" max="1" width="61.7109375" style="27" customWidth="1"/>
    <col min="2" max="2" width="61.42578125" style="27" customWidth="1"/>
    <col min="3" max="3" width="58.28515625" style="27" customWidth="1"/>
    <col min="4" max="16384" width="9.28515625" style="27"/>
  </cols>
  <sheetData>
    <row r="1" spans="1:4" x14ac:dyDescent="0.2">
      <c r="B1" s="70" t="s">
        <v>264</v>
      </c>
      <c r="C1" s="1097" t="str">
        <f>EBNUMBER</f>
        <v>EB-2019-0037</v>
      </c>
      <c r="D1" s="71"/>
    </row>
    <row r="2" spans="1:4" x14ac:dyDescent="0.2">
      <c r="B2" s="70" t="s">
        <v>265</v>
      </c>
      <c r="C2" s="72"/>
      <c r="D2" s="71"/>
    </row>
    <row r="3" spans="1:4" x14ac:dyDescent="0.2">
      <c r="B3" s="70" t="s">
        <v>266</v>
      </c>
      <c r="C3" s="72"/>
      <c r="D3" s="71"/>
    </row>
    <row r="4" spans="1:4" x14ac:dyDescent="0.2">
      <c r="B4" s="70" t="s">
        <v>267</v>
      </c>
      <c r="C4" s="72"/>
      <c r="D4" s="71"/>
    </row>
    <row r="5" spans="1:4" x14ac:dyDescent="0.2">
      <c r="B5" s="70" t="s">
        <v>268</v>
      </c>
      <c r="C5" s="73"/>
      <c r="D5" s="71"/>
    </row>
    <row r="6" spans="1:4" x14ac:dyDescent="0.2">
      <c r="B6" s="70"/>
      <c r="C6" s="440"/>
      <c r="D6" s="71"/>
    </row>
    <row r="7" spans="1:4" x14ac:dyDescent="0.2">
      <c r="B7" s="70" t="s">
        <v>269</v>
      </c>
      <c r="C7" s="1447"/>
      <c r="D7" s="71"/>
    </row>
    <row r="8" spans="1:4" x14ac:dyDescent="0.2">
      <c r="B8" s="70"/>
      <c r="C8" s="70"/>
      <c r="D8" s="71"/>
    </row>
    <row r="9" spans="1:4" ht="18" x14ac:dyDescent="0.2">
      <c r="A9" s="1906" t="s">
        <v>817</v>
      </c>
      <c r="B9" s="1906"/>
      <c r="C9" s="1906"/>
      <c r="D9" s="71"/>
    </row>
    <row r="10" spans="1:4" ht="18" x14ac:dyDescent="0.2">
      <c r="A10" s="1906" t="s">
        <v>818</v>
      </c>
      <c r="B10" s="1906"/>
      <c r="C10" s="1906"/>
      <c r="D10" s="71"/>
    </row>
    <row r="12" spans="1:4" ht="28.5" customHeight="1" x14ac:dyDescent="0.2">
      <c r="A12" s="74" t="s">
        <v>815</v>
      </c>
      <c r="B12" s="75" t="s">
        <v>819</v>
      </c>
      <c r="C12" s="75" t="s">
        <v>816</v>
      </c>
    </row>
    <row r="13" spans="1:4" ht="15.75" x14ac:dyDescent="0.2">
      <c r="A13" s="1907" t="s">
        <v>1665</v>
      </c>
      <c r="B13" s="1908"/>
      <c r="C13" s="1909"/>
    </row>
    <row r="14" spans="1:4" ht="331.5" x14ac:dyDescent="0.2">
      <c r="A14" s="77" t="s">
        <v>1708</v>
      </c>
      <c r="B14" s="77" t="s">
        <v>1666</v>
      </c>
      <c r="C14" s="76" t="s">
        <v>1667</v>
      </c>
    </row>
    <row r="15" spans="1:4" ht="229.5" x14ac:dyDescent="0.2">
      <c r="A15" s="77" t="s">
        <v>1709</v>
      </c>
      <c r="B15" s="76" t="s">
        <v>1668</v>
      </c>
      <c r="C15" s="76" t="s">
        <v>1669</v>
      </c>
    </row>
    <row r="16" spans="1:4" ht="89.25" x14ac:dyDescent="0.2">
      <c r="A16" s="77" t="s">
        <v>1710</v>
      </c>
      <c r="B16" s="77" t="s">
        <v>1670</v>
      </c>
      <c r="C16" s="76" t="s">
        <v>1671</v>
      </c>
    </row>
    <row r="17" spans="1:3" ht="127.9" customHeight="1" x14ac:dyDescent="0.2">
      <c r="A17" s="1807" t="s">
        <v>1711</v>
      </c>
      <c r="B17" s="1808" t="s">
        <v>1672</v>
      </c>
      <c r="C17" s="1807" t="s">
        <v>1673</v>
      </c>
    </row>
    <row r="18" spans="1:3" ht="167.45" customHeight="1" x14ac:dyDescent="0.2">
      <c r="A18" s="77" t="s">
        <v>1712</v>
      </c>
      <c r="B18" s="77" t="s">
        <v>1674</v>
      </c>
      <c r="C18" s="76" t="s">
        <v>1675</v>
      </c>
    </row>
    <row r="19" spans="1:3" ht="15" x14ac:dyDescent="0.2">
      <c r="A19" s="1910" t="s">
        <v>1676</v>
      </c>
      <c r="B19" s="1910"/>
      <c r="C19" s="1910"/>
    </row>
    <row r="20" spans="1:3" ht="63.75" x14ac:dyDescent="0.2">
      <c r="A20" s="77" t="s">
        <v>1677</v>
      </c>
      <c r="B20" s="76" t="s">
        <v>1678</v>
      </c>
      <c r="C20" s="77" t="s">
        <v>1679</v>
      </c>
    </row>
    <row r="21" spans="1:3" ht="331.5" x14ac:dyDescent="0.2">
      <c r="A21" s="77" t="s">
        <v>1680</v>
      </c>
      <c r="B21" s="77" t="s">
        <v>1681</v>
      </c>
      <c r="C21" s="77" t="s">
        <v>1682</v>
      </c>
    </row>
    <row r="22" spans="1:3" ht="293.25" x14ac:dyDescent="0.2">
      <c r="A22" s="77" t="s">
        <v>1683</v>
      </c>
      <c r="B22" s="77" t="s">
        <v>1684</v>
      </c>
      <c r="C22" s="77" t="s">
        <v>1685</v>
      </c>
    </row>
    <row r="23" spans="1:3" ht="102" x14ac:dyDescent="0.2">
      <c r="A23" s="77" t="s">
        <v>1686</v>
      </c>
      <c r="B23" s="77" t="s">
        <v>1687</v>
      </c>
      <c r="C23" s="77" t="s">
        <v>1688</v>
      </c>
    </row>
    <row r="24" spans="1:3" ht="204" x14ac:dyDescent="0.2">
      <c r="A24" s="77" t="s">
        <v>1713</v>
      </c>
      <c r="B24" s="77" t="s">
        <v>1689</v>
      </c>
      <c r="C24" s="77" t="s">
        <v>1690</v>
      </c>
    </row>
    <row r="25" spans="1:3" ht="229.5" x14ac:dyDescent="0.2">
      <c r="A25" s="77" t="s">
        <v>1714</v>
      </c>
      <c r="B25" s="77" t="s">
        <v>1691</v>
      </c>
      <c r="C25" s="77" t="s">
        <v>1692</v>
      </c>
    </row>
    <row r="26" spans="1:3" ht="76.5" x14ac:dyDescent="0.2">
      <c r="A26" s="76" t="s">
        <v>1693</v>
      </c>
      <c r="B26" s="76" t="s">
        <v>1694</v>
      </c>
      <c r="C26" s="77" t="s">
        <v>1695</v>
      </c>
    </row>
    <row r="27" spans="1:3" ht="102" x14ac:dyDescent="0.2">
      <c r="A27" s="77" t="s">
        <v>1696</v>
      </c>
      <c r="B27" s="77" t="s">
        <v>1697</v>
      </c>
      <c r="C27" s="76" t="s">
        <v>1698</v>
      </c>
    </row>
    <row r="28" spans="1:3" ht="191.25" x14ac:dyDescent="0.2">
      <c r="A28" s="77" t="s">
        <v>1715</v>
      </c>
      <c r="B28" s="77" t="s">
        <v>1699</v>
      </c>
      <c r="C28" s="77" t="s">
        <v>1700</v>
      </c>
    </row>
    <row r="29" spans="1:3" ht="344.25" x14ac:dyDescent="0.2">
      <c r="A29" s="77" t="s">
        <v>1716</v>
      </c>
      <c r="B29" s="77" t="s">
        <v>1701</v>
      </c>
      <c r="C29" s="77" t="s">
        <v>1702</v>
      </c>
    </row>
    <row r="30" spans="1:3" ht="145.9" customHeight="1" x14ac:dyDescent="0.2">
      <c r="A30" s="77" t="s">
        <v>1717</v>
      </c>
      <c r="B30" s="77" t="s">
        <v>1703</v>
      </c>
      <c r="C30" s="77" t="s">
        <v>1704</v>
      </c>
    </row>
    <row r="31" spans="1:3" ht="51" x14ac:dyDescent="0.2">
      <c r="A31" s="77" t="s">
        <v>1705</v>
      </c>
      <c r="B31" s="77" t="s">
        <v>1706</v>
      </c>
      <c r="C31" s="77" t="s">
        <v>1707</v>
      </c>
    </row>
    <row r="33" spans="1:1" x14ac:dyDescent="0.2">
      <c r="A33" s="39" t="s">
        <v>838</v>
      </c>
    </row>
  </sheetData>
  <mergeCells count="4">
    <mergeCell ref="A10:C10"/>
    <mergeCell ref="A9:C9"/>
    <mergeCell ref="A13:C13"/>
    <mergeCell ref="A19:C19"/>
  </mergeCells>
  <pageMargins left="0.7" right="0.7" top="0.75" bottom="0.75" header="0.3" footer="0.3"/>
  <pageSetup scale="54"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42</vt:i4>
      </vt:variant>
    </vt:vector>
  </HeadingPairs>
  <TitlesOfParts>
    <vt:vector size="94" baseType="lpstr">
      <vt:lpstr>LDC Info</vt:lpstr>
      <vt:lpstr>Index</vt:lpstr>
      <vt:lpstr>COS Flowchart</vt:lpstr>
      <vt:lpstr>List of Key References</vt:lpstr>
      <vt:lpstr>App.2-A_Requested_Approvals</vt:lpstr>
      <vt:lpstr>App.2-AA_Capital Projects</vt:lpstr>
      <vt:lpstr>App.2-AB_Capital Expenditures</vt:lpstr>
      <vt:lpstr>Hidden_CAPEX</vt:lpstr>
      <vt:lpstr>App.2-AC_Customer Engagement</vt:lpstr>
      <vt:lpstr>App.2-B_Acctg Instructions</vt:lpstr>
      <vt:lpstr>App.2-BA_Fixed Asset Cont</vt:lpstr>
      <vt:lpstr>Appendix 2-BB Service Life  </vt:lpstr>
      <vt:lpstr>App.2-C_DepExp</vt:lpstr>
      <vt:lpstr>App.2-D_Overhead</vt:lpstr>
      <vt:lpstr>App.2-EA_Account 1575 (2015)</vt:lpstr>
      <vt:lpstr>App.2-EB_Account 1576 (2012)</vt:lpstr>
      <vt:lpstr>App.2-EC_Account 1576 (2013)</vt:lpstr>
      <vt:lpstr>App.2-FA Proposed REG Invest.</vt:lpstr>
      <vt:lpstr>Hidden_REG Invest.</vt:lpstr>
      <vt:lpstr>App.2-FB Calc of REG Improvemnt</vt:lpstr>
      <vt:lpstr>Hidden_REG Improvement</vt:lpstr>
      <vt:lpstr>App.2-FC Calc of REG Expansion</vt:lpstr>
      <vt:lpstr>Hidden_REG Expansion</vt:lpstr>
      <vt:lpstr>App.2-G SQI</vt:lpstr>
      <vt:lpstr>App.2-H_Other_Oper_Rev</vt:lpstr>
      <vt:lpstr>Hidden_Other Revenue</vt:lpstr>
      <vt:lpstr>App_2-I LF_CDM</vt:lpstr>
      <vt:lpstr>lists</vt:lpstr>
      <vt:lpstr>App.2-IA_Load_Forecast_Instrct</vt:lpstr>
      <vt:lpstr>App.2-IB_Load_Forecast_Analysis</vt:lpstr>
      <vt:lpstr>App.2-JA_OM&amp;A_Summary_Analys</vt:lpstr>
      <vt:lpstr>Hidden_OM&amp;A Summary</vt:lpstr>
      <vt:lpstr>App.2-JB_OM&amp;A_Cost _Drivers</vt:lpstr>
      <vt:lpstr>App.2-JC_OMA Programs</vt:lpstr>
      <vt:lpstr>App.2-K_Employee Costs</vt:lpstr>
      <vt:lpstr>Hidden_Employee Costs</vt:lpstr>
      <vt:lpstr>App.2-L_OM&amp;A_per_Cust_FTE</vt:lpstr>
      <vt:lpstr>App.2-L_OM&amp;A_per_Cust_FTEE_exp</vt:lpstr>
      <vt:lpstr>App.2-M_Regulatory_Costs</vt:lpstr>
      <vt:lpstr>Hidden_RegulatoryCosts1</vt:lpstr>
      <vt:lpstr>Hidden_RegulatoryCosts2</vt:lpstr>
      <vt:lpstr>App.2-N_Corp_Cost_Allocation</vt:lpstr>
      <vt:lpstr>App.2-OA Capital Structure</vt:lpstr>
      <vt:lpstr>App.2-OB_Debt Instruments</vt:lpstr>
      <vt:lpstr>App.2-Q_Cost of Serv. Emb. Dx</vt:lpstr>
      <vt:lpstr>App.2-R_Loss Factors</vt:lpstr>
      <vt:lpstr>App.2-S_Stranded Meters</vt:lpstr>
      <vt:lpstr>App.2-Y_MIFRS Summary Impacts</vt:lpstr>
      <vt:lpstr>Sheet19</vt:lpstr>
      <vt:lpstr>App.2-YA_IFRS Transition Costs</vt:lpstr>
      <vt:lpstr>App.2-Z_Commodity Expense</vt:lpstr>
      <vt:lpstr>Sheet1</vt:lpstr>
      <vt:lpstr>'App_2-I LF_CDM'!BridgeYear</vt:lpstr>
      <vt:lpstr>BridgeYear</vt:lpstr>
      <vt:lpstr>'App_2-I LF_CDM'!EBNUMBER</vt:lpstr>
      <vt:lpstr>EBNUMBER</vt:lpstr>
      <vt:lpstr>LDCLIST</vt:lpstr>
      <vt:lpstr>'App.2-A_Requested_Approvals'!Print_Area</vt:lpstr>
      <vt:lpstr>'App.2-AA_Capital Projects'!Print_Area</vt:lpstr>
      <vt:lpstr>'App.2-AB_Capital Expenditures'!Print_Area</vt:lpstr>
      <vt:lpstr>'App.2-B_Acctg Instructions'!Print_Area</vt:lpstr>
      <vt:lpstr>'App.2-BA_Fixed Asset Cont'!Print_Area</vt:lpstr>
      <vt:lpstr>'App.2-D_Overhead'!Print_Area</vt:lpstr>
      <vt:lpstr>'App.2-FA Proposed REG Invest.'!Print_Area</vt:lpstr>
      <vt:lpstr>'App.2-FB Calc of REG Improvemnt'!Print_Area</vt:lpstr>
      <vt:lpstr>'App.2-H_Other_Oper_Rev'!Print_Area</vt:lpstr>
      <vt:lpstr>'App.2-IA_Load_Forecast_Instrct'!Print_Area</vt:lpstr>
      <vt:lpstr>'App.2-IB_Load_Forecast_Analysis'!Print_Area</vt:lpstr>
      <vt:lpstr>'App.2-JA_OM&amp;A_Summary_Analys'!Print_Area</vt:lpstr>
      <vt:lpstr>'App.2-JB_OM&amp;A_Cost _Drivers'!Print_Area</vt:lpstr>
      <vt:lpstr>'App.2-JC_OMA Programs'!Print_Area</vt:lpstr>
      <vt:lpstr>'App.2-K_Employee Costs'!Print_Area</vt:lpstr>
      <vt:lpstr>'App.2-L_OM&amp;A_per_Cust_FTE'!Print_Area</vt:lpstr>
      <vt:lpstr>'App.2-L_OM&amp;A_per_Cust_FTEE_exp'!Print_Area</vt:lpstr>
      <vt:lpstr>'App.2-M_Regulatory_Costs'!Print_Area</vt:lpstr>
      <vt:lpstr>'App.2-N_Corp_Cost_Allocation'!Print_Area</vt:lpstr>
      <vt:lpstr>'App.2-OA Capital Structure'!Print_Area</vt:lpstr>
      <vt:lpstr>'App.2-OB_Debt Instruments'!Print_Area</vt:lpstr>
      <vt:lpstr>'App.2-Q_Cost of Serv. Emb. Dx'!Print_Area</vt:lpstr>
      <vt:lpstr>'App.2-R_Loss Factors'!Print_Area</vt:lpstr>
      <vt:lpstr>'App.2-S_Stranded Meters'!Print_Area</vt:lpstr>
      <vt:lpstr>'App.2-YA_IFRS Transition Costs'!Print_Area</vt:lpstr>
      <vt:lpstr>'App.2-Z_Commodity Expense'!Print_Area</vt:lpstr>
      <vt:lpstr>'COS Flowchart'!Print_Area</vt:lpstr>
      <vt:lpstr>Index!Print_Area</vt:lpstr>
      <vt:lpstr>'LDC Info'!Print_Area</vt:lpstr>
      <vt:lpstr>'List of Key References'!Print_Area</vt:lpstr>
      <vt:lpstr>'App.2-BA_Fixed Asset Cont'!Print_Titles</vt:lpstr>
      <vt:lpstr>'App.2-C_DepExp'!Print_Titles</vt:lpstr>
      <vt:lpstr>RateClasses</vt:lpstr>
      <vt:lpstr>'App_2-I LF_CDM'!RebaseYear</vt:lpstr>
      <vt:lpstr>RebaseYear</vt:lpstr>
      <vt:lpstr>'App_2-I LF_CDM'!TestYear</vt:lpstr>
      <vt:lpstr>TestYear</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ArmstrBi</dc:creator>
  <cp:lastModifiedBy>Luttrell, Tiija</cp:lastModifiedBy>
  <cp:lastPrinted>2020-03-09T23:59:44Z</cp:lastPrinted>
  <dcterms:created xsi:type="dcterms:W3CDTF">2009-03-26T15:32:04Z</dcterms:created>
  <dcterms:modified xsi:type="dcterms:W3CDTF">2020-04-17T20:08:23Z</dcterms:modified>
</cp:coreProperties>
</file>