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Y:\London Hydro\RPP Pilot\05 Working Spreadsheets\04 Energy Impacts\"/>
    </mc:Choice>
  </mc:AlternateContent>
  <xr:revisionPtr revIDLastSave="0" documentId="8_{71C5B657-16E3-48BC-8533-3C1F38FB50E7}" xr6:coauthVersionLast="44" xr6:coauthVersionMax="44" xr10:uidLastSave="{00000000-0000-0000-0000-000000000000}"/>
  <bookViews>
    <workbookView xWindow="28680" yWindow="2460" windowWidth="21840" windowHeight="13140" xr2:uid="{00000000-000D-0000-FFFF-FFFF00000000}"/>
  </bookViews>
  <sheets>
    <sheet name="Cover" sheetId="13" r:id="rId1"/>
    <sheet name="01 Impacts" sheetId="6" r:id="rId2"/>
    <sheet name="02 Parms of Interest" sheetId="8" r:id="rId3"/>
    <sheet name="03 Seasonal Impacts" sheetId="10" r:id="rId4"/>
    <sheet name="04 Summary of Impacts" sheetId="17" r:id="rId5"/>
    <sheet name="r_in_409a Winter TOU Impacts" sheetId="14" r:id="rId6"/>
    <sheet name="r_in_409a Wint Seasonal Impacts" sheetId="15" r:id="rId7"/>
    <sheet name="r_in_211a Sum Seasonal Energy" sheetId="9" r:id="rId8"/>
    <sheet name="in_211a Sum TOU impacts" sheetId="5" r:id="rId9"/>
    <sheet name="in_211a Parameters" sheetId="7" r:id="rId10"/>
    <sheet name="Hours Per Day TOU" sheetId="11" r:id="rId11"/>
    <sheet name="lookups" sheetId="16" r:id="rId1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1" i="10" l="1"/>
  <c r="F30" i="10"/>
  <c r="F29" i="10"/>
  <c r="L30" i="17"/>
  <c r="K30" i="17"/>
  <c r="I30" i="17"/>
  <c r="L29" i="17"/>
  <c r="K29" i="17"/>
  <c r="J29" i="17"/>
  <c r="I29" i="17"/>
  <c r="L28" i="17"/>
  <c r="K28" i="17"/>
  <c r="J28" i="17"/>
  <c r="I28" i="17"/>
  <c r="H28" i="17"/>
  <c r="L27" i="17"/>
  <c r="K27" i="17"/>
  <c r="J27" i="17"/>
  <c r="I27" i="17"/>
  <c r="H27" i="17"/>
  <c r="L26" i="17"/>
  <c r="K26" i="17"/>
  <c r="J26" i="17"/>
  <c r="I26" i="17"/>
  <c r="H26" i="17"/>
  <c r="L25" i="17"/>
  <c r="K25" i="17"/>
  <c r="J25" i="17"/>
  <c r="I25" i="17"/>
  <c r="H25" i="17"/>
  <c r="L24" i="17"/>
  <c r="K24" i="17"/>
  <c r="J24" i="17"/>
  <c r="I24" i="17"/>
  <c r="L23" i="17"/>
  <c r="K23" i="17"/>
  <c r="J23" i="17"/>
  <c r="I23" i="17"/>
  <c r="H23" i="17"/>
  <c r="L22" i="17"/>
  <c r="K22" i="17"/>
  <c r="J22" i="17"/>
  <c r="I22" i="17"/>
  <c r="H22" i="17"/>
  <c r="L21" i="17"/>
  <c r="K21" i="17"/>
  <c r="J21" i="17"/>
  <c r="I21" i="17"/>
  <c r="H21" i="17"/>
  <c r="L20" i="17"/>
  <c r="K20" i="17"/>
  <c r="J20" i="17"/>
  <c r="I20" i="17"/>
  <c r="H20" i="17"/>
  <c r="L19" i="17"/>
  <c r="K19" i="17"/>
  <c r="I19" i="17"/>
  <c r="L18" i="17"/>
  <c r="K18" i="17"/>
  <c r="J18" i="17"/>
  <c r="I18" i="17"/>
  <c r="L17" i="17"/>
  <c r="K17" i="17"/>
  <c r="J17" i="17"/>
  <c r="I17" i="17"/>
  <c r="H17" i="17"/>
  <c r="L16" i="17"/>
  <c r="K16" i="17"/>
  <c r="J16" i="17"/>
  <c r="I16" i="17"/>
  <c r="H16" i="17"/>
  <c r="L15" i="17"/>
  <c r="K15" i="17"/>
  <c r="J15" i="17"/>
  <c r="I15" i="17"/>
  <c r="H15" i="17"/>
  <c r="L14" i="17"/>
  <c r="K14" i="17"/>
  <c r="J14" i="17"/>
  <c r="I14" i="17"/>
  <c r="H14" i="17"/>
  <c r="Y35" i="6"/>
  <c r="Y34" i="6"/>
  <c r="Y33" i="6"/>
  <c r="Y32" i="6"/>
  <c r="Y31" i="6"/>
  <c r="Y30" i="6"/>
  <c r="Y29" i="6"/>
  <c r="Y28" i="6"/>
  <c r="Y27" i="6"/>
  <c r="Y26" i="6"/>
  <c r="Y25" i="6"/>
  <c r="Y24" i="6"/>
  <c r="Y18" i="6"/>
  <c r="Y17" i="6"/>
  <c r="Y16" i="6"/>
  <c r="Y15" i="6"/>
  <c r="Y14" i="6"/>
  <c r="Y13" i="6"/>
  <c r="Y12" i="6"/>
  <c r="Y11" i="6"/>
  <c r="Y10" i="6"/>
  <c r="Y9" i="6"/>
  <c r="Y8" i="6"/>
  <c r="Y7" i="6"/>
  <c r="I11" i="10"/>
  <c r="I6" i="10"/>
  <c r="H12" i="17"/>
  <c r="H11" i="17"/>
  <c r="H10" i="17"/>
  <c r="H9" i="17"/>
  <c r="H13" i="10"/>
  <c r="H12" i="10"/>
  <c r="H11" i="10"/>
  <c r="H7" i="10"/>
  <c r="I7" i="10" s="1"/>
  <c r="H6" i="10"/>
  <c r="H5" i="10"/>
  <c r="G13" i="10"/>
  <c r="G31" i="10" s="1"/>
  <c r="G12" i="10"/>
  <c r="G30" i="10" s="1"/>
  <c r="G11" i="10"/>
  <c r="G7" i="10"/>
  <c r="G6" i="10"/>
  <c r="G5" i="10"/>
  <c r="I24" i="6"/>
  <c r="Q35" i="6"/>
  <c r="Q34" i="6"/>
  <c r="Q33" i="6"/>
  <c r="Q32" i="6"/>
  <c r="Q31" i="6"/>
  <c r="Q30" i="6"/>
  <c r="Q29" i="6"/>
  <c r="Q28" i="6"/>
  <c r="Q27" i="6"/>
  <c r="Q26" i="6"/>
  <c r="Q25" i="6"/>
  <c r="Q8" i="6"/>
  <c r="Q9" i="6"/>
  <c r="Q10" i="6"/>
  <c r="Q11" i="6"/>
  <c r="Q12" i="6"/>
  <c r="Q13" i="6"/>
  <c r="Q14" i="6"/>
  <c r="Q15" i="6"/>
  <c r="Q16" i="6"/>
  <c r="Q17" i="6"/>
  <c r="Q18" i="6"/>
  <c r="Q7" i="6"/>
  <c r="D53" i="6"/>
  <c r="N53" i="6" s="1"/>
  <c r="D52" i="6"/>
  <c r="N52" i="6" s="1"/>
  <c r="D51" i="6"/>
  <c r="N51" i="6" s="1"/>
  <c r="D50" i="6"/>
  <c r="A50" i="6" s="1"/>
  <c r="I50" i="6" s="1"/>
  <c r="D49" i="6"/>
  <c r="N49" i="6" s="1"/>
  <c r="D48" i="6"/>
  <c r="N48" i="6" s="1"/>
  <c r="D47" i="6"/>
  <c r="A47" i="6" s="1"/>
  <c r="I47" i="6" s="1"/>
  <c r="D46" i="6"/>
  <c r="A46" i="6" s="1"/>
  <c r="I46" i="6" s="1"/>
  <c r="D45" i="6"/>
  <c r="N45" i="6" s="1"/>
  <c r="D44" i="6"/>
  <c r="N44" i="6" s="1"/>
  <c r="D43" i="6"/>
  <c r="A43" i="6" s="1"/>
  <c r="I43" i="6" s="1"/>
  <c r="D42" i="6"/>
  <c r="A42" i="6" s="1"/>
  <c r="I42" i="6" s="1"/>
  <c r="A53" i="6"/>
  <c r="I53" i="6" s="1"/>
  <c r="A52" i="6"/>
  <c r="I52" i="6" s="1"/>
  <c r="A51" i="6"/>
  <c r="I51" i="6" s="1"/>
  <c r="I12" i="10" l="1"/>
  <c r="H29" i="10"/>
  <c r="I5" i="10"/>
  <c r="I13" i="10"/>
  <c r="G29" i="10"/>
  <c r="H30" i="10"/>
  <c r="I30" i="10" s="1"/>
  <c r="H31" i="10"/>
  <c r="I31" i="10" s="1"/>
  <c r="A44" i="6"/>
  <c r="I44" i="6" s="1"/>
  <c r="A45" i="6"/>
  <c r="I45" i="6" s="1"/>
  <c r="A48" i="6"/>
  <c r="I48" i="6" s="1"/>
  <c r="A49" i="6"/>
  <c r="I49" i="6" s="1"/>
  <c r="N43" i="6"/>
  <c r="N47" i="6"/>
  <c r="N42" i="6"/>
  <c r="N46" i="6"/>
  <c r="N50" i="6"/>
  <c r="I29" i="10" l="1"/>
  <c r="F13" i="10" l="1"/>
  <c r="E13" i="10"/>
  <c r="D13" i="10"/>
  <c r="V13" i="10" s="1"/>
  <c r="F12" i="10"/>
  <c r="E12" i="10"/>
  <c r="D12" i="10"/>
  <c r="F11" i="10"/>
  <c r="E11" i="10"/>
  <c r="D11" i="10"/>
  <c r="V11" i="10" s="1"/>
  <c r="L13" i="10"/>
  <c r="L12" i="10"/>
  <c r="U11" i="10" l="1"/>
  <c r="S11" i="10"/>
  <c r="O12" i="10"/>
  <c r="V12" i="10"/>
  <c r="U12" i="10"/>
  <c r="T12" i="10"/>
  <c r="S12" i="10"/>
  <c r="U13" i="10"/>
  <c r="S13" i="10"/>
  <c r="O13" i="10"/>
  <c r="T13" i="10" s="1"/>
  <c r="O11" i="10"/>
  <c r="T11" i="10" s="1"/>
  <c r="L11" i="10"/>
  <c r="L23" i="10" l="1"/>
  <c r="L24" i="10"/>
  <c r="D35" i="6"/>
  <c r="L35" i="6" s="1"/>
  <c r="D34" i="6"/>
  <c r="L34" i="6" s="1"/>
  <c r="D33" i="6"/>
  <c r="L33" i="6" s="1"/>
  <c r="D32" i="6"/>
  <c r="L32" i="6" s="1"/>
  <c r="T29" i="14"/>
  <c r="T28" i="14"/>
  <c r="T27" i="14"/>
  <c r="T26" i="14"/>
  <c r="T25" i="14"/>
  <c r="T24" i="14"/>
  <c r="T23" i="14"/>
  <c r="T22" i="14"/>
  <c r="T21" i="14"/>
  <c r="T20" i="14"/>
  <c r="T19" i="14"/>
  <c r="T18" i="14"/>
  <c r="T17" i="14"/>
  <c r="T16" i="14"/>
  <c r="T15" i="14"/>
  <c r="T14" i="14"/>
  <c r="T13" i="14"/>
  <c r="T12" i="14"/>
  <c r="T11" i="14"/>
  <c r="T10" i="14"/>
  <c r="T9" i="14"/>
  <c r="T8" i="14"/>
  <c r="T7" i="14"/>
  <c r="T6" i="14"/>
  <c r="T5" i="14"/>
  <c r="T4" i="14"/>
  <c r="T3" i="14"/>
  <c r="T2" i="14"/>
  <c r="R27" i="8" s="1"/>
  <c r="A32" i="6" l="1"/>
  <c r="I32" i="6"/>
  <c r="P32" i="6" s="1"/>
  <c r="A33" i="6"/>
  <c r="I33" i="6"/>
  <c r="P33" i="6" s="1"/>
  <c r="I34" i="6"/>
  <c r="P34" i="6" s="1"/>
  <c r="A34" i="6"/>
  <c r="A35" i="6"/>
  <c r="I35" i="6"/>
  <c r="P35" i="6" s="1"/>
  <c r="K32" i="6"/>
  <c r="J34" i="6"/>
  <c r="K26" i="8"/>
  <c r="K28" i="8"/>
  <c r="Q26" i="8"/>
  <c r="Q28" i="8"/>
  <c r="J33" i="6"/>
  <c r="K35" i="6"/>
  <c r="L26" i="8"/>
  <c r="L28" i="8"/>
  <c r="R26" i="8"/>
  <c r="R28" i="8"/>
  <c r="N34" i="6"/>
  <c r="K25" i="8"/>
  <c r="K27" i="8"/>
  <c r="Q25" i="8"/>
  <c r="Q27" i="8"/>
  <c r="M35" i="6"/>
  <c r="L25" i="8"/>
  <c r="L27" i="8"/>
  <c r="R25" i="8"/>
  <c r="K34" i="6"/>
  <c r="N35" i="6"/>
  <c r="H35" i="6"/>
  <c r="K33" i="6"/>
  <c r="J35" i="6"/>
  <c r="G32" i="6"/>
  <c r="M32" i="6"/>
  <c r="H32" i="6"/>
  <c r="X32" i="6" s="1"/>
  <c r="N32" i="6"/>
  <c r="G33" i="6"/>
  <c r="M33" i="6"/>
  <c r="J32" i="6"/>
  <c r="H33" i="6"/>
  <c r="X33" i="6" s="1"/>
  <c r="N33" i="6"/>
  <c r="G34" i="6"/>
  <c r="M34" i="6"/>
  <c r="H34" i="6"/>
  <c r="X34" i="6" s="1"/>
  <c r="G35" i="6"/>
  <c r="O35" i="6" l="1"/>
  <c r="O33" i="6"/>
  <c r="O32" i="6"/>
  <c r="O34" i="6"/>
  <c r="T35" i="6"/>
  <c r="X35" i="6"/>
  <c r="T32" i="6"/>
  <c r="V32" i="6"/>
  <c r="AA35" i="6"/>
  <c r="Z35" i="6"/>
  <c r="S35" i="6"/>
  <c r="W35" i="6" s="1"/>
  <c r="AA34" i="6"/>
  <c r="Z34" i="6"/>
  <c r="S34" i="6"/>
  <c r="W34" i="6" s="1"/>
  <c r="V34" i="6"/>
  <c r="T34" i="6"/>
  <c r="S33" i="6"/>
  <c r="W33" i="6" s="1"/>
  <c r="AA33" i="6"/>
  <c r="Z33" i="6"/>
  <c r="V33" i="6"/>
  <c r="T33" i="6"/>
  <c r="Z32" i="6"/>
  <c r="S32" i="6"/>
  <c r="W32" i="6" s="1"/>
  <c r="AA32" i="6"/>
  <c r="V35" i="6"/>
  <c r="D31" i="6" l="1"/>
  <c r="L31" i="6" s="1"/>
  <c r="D30" i="6"/>
  <c r="L30" i="6" s="1"/>
  <c r="D29" i="6"/>
  <c r="L29" i="6" s="1"/>
  <c r="D28" i="6"/>
  <c r="L28" i="6" s="1"/>
  <c r="D27" i="6"/>
  <c r="L27" i="6" s="1"/>
  <c r="D26" i="6"/>
  <c r="L26" i="6" s="1"/>
  <c r="D25" i="6"/>
  <c r="L25" i="6" s="1"/>
  <c r="D24" i="6"/>
  <c r="AM48" i="6" s="1"/>
  <c r="AM51" i="6" l="1"/>
  <c r="AM49" i="6"/>
  <c r="AM50" i="6"/>
  <c r="L24" i="6"/>
  <c r="AO24" i="6"/>
  <c r="AO26" i="6"/>
  <c r="AO25" i="6"/>
  <c r="AO27" i="6"/>
  <c r="P24" i="6"/>
  <c r="Q24" i="6" s="1"/>
  <c r="A24" i="6"/>
  <c r="I25" i="6"/>
  <c r="P25" i="6" s="1"/>
  <c r="A25" i="6"/>
  <c r="I26" i="6"/>
  <c r="P26" i="6" s="1"/>
  <c r="A26" i="6"/>
  <c r="A27" i="6"/>
  <c r="I27" i="6"/>
  <c r="P27" i="6" s="1"/>
  <c r="I28" i="6"/>
  <c r="P28" i="6" s="1"/>
  <c r="A28" i="6"/>
  <c r="I29" i="6"/>
  <c r="P29" i="6" s="1"/>
  <c r="A29" i="6"/>
  <c r="I30" i="6"/>
  <c r="P30" i="6" s="1"/>
  <c r="A30" i="6"/>
  <c r="A31" i="6"/>
  <c r="I31" i="6"/>
  <c r="P31" i="6" s="1"/>
  <c r="AM27" i="6"/>
  <c r="AP25" i="6"/>
  <c r="AN24" i="6"/>
  <c r="AM31" i="6"/>
  <c r="AM26" i="6"/>
  <c r="AM32" i="6"/>
  <c r="AP26" i="6"/>
  <c r="AN25" i="6"/>
  <c r="AM24" i="6"/>
  <c r="AM30" i="6"/>
  <c r="AN27" i="6"/>
  <c r="AP24" i="6"/>
  <c r="AP27" i="6"/>
  <c r="AN26" i="6"/>
  <c r="AM25" i="6"/>
  <c r="AM33" i="6"/>
  <c r="J24" i="6"/>
  <c r="N24" i="6"/>
  <c r="H24" i="6"/>
  <c r="X24" i="6" s="1"/>
  <c r="AH24" i="6" s="1"/>
  <c r="G24" i="6"/>
  <c r="M24" i="6"/>
  <c r="K24" i="6"/>
  <c r="J28" i="6"/>
  <c r="N28" i="6"/>
  <c r="H28" i="6"/>
  <c r="X28" i="6" s="1"/>
  <c r="AV24" i="6" s="1"/>
  <c r="G28" i="6"/>
  <c r="M28" i="6"/>
  <c r="K28" i="6"/>
  <c r="N25" i="6"/>
  <c r="H25" i="6"/>
  <c r="X25" i="6" s="1"/>
  <c r="AH25" i="6" s="1"/>
  <c r="G25" i="6"/>
  <c r="M25" i="6"/>
  <c r="K25" i="6"/>
  <c r="J25" i="6"/>
  <c r="N29" i="6"/>
  <c r="H29" i="6"/>
  <c r="X29" i="6" s="1"/>
  <c r="AV25" i="6" s="1"/>
  <c r="G29" i="6"/>
  <c r="M29" i="6"/>
  <c r="K29" i="6"/>
  <c r="J29" i="6"/>
  <c r="M26" i="6"/>
  <c r="K26" i="6"/>
  <c r="J26" i="6"/>
  <c r="H26" i="6"/>
  <c r="X26" i="6" s="1"/>
  <c r="AH26" i="6" s="1"/>
  <c r="G26" i="6"/>
  <c r="N26" i="6"/>
  <c r="M30" i="6"/>
  <c r="K30" i="6"/>
  <c r="J30" i="6"/>
  <c r="N30" i="6"/>
  <c r="H30" i="6"/>
  <c r="X30" i="6" s="1"/>
  <c r="AV26" i="6" s="1"/>
  <c r="G30" i="6"/>
  <c r="K27" i="6"/>
  <c r="J27" i="6"/>
  <c r="N27" i="6"/>
  <c r="H27" i="6"/>
  <c r="X27" i="6" s="1"/>
  <c r="AH27" i="6" s="1"/>
  <c r="G27" i="6"/>
  <c r="M27" i="6"/>
  <c r="K31" i="6"/>
  <c r="J31" i="6"/>
  <c r="N31" i="6"/>
  <c r="H31" i="6"/>
  <c r="X31" i="6" s="1"/>
  <c r="AV27" i="6" s="1"/>
  <c r="G31" i="6"/>
  <c r="M31" i="6"/>
  <c r="F7" i="10"/>
  <c r="E7" i="10"/>
  <c r="D7" i="10"/>
  <c r="D31" i="10" l="1"/>
  <c r="V31" i="10" s="1"/>
  <c r="V7" i="10"/>
  <c r="U7" i="10"/>
  <c r="S7" i="10"/>
  <c r="O7" i="10"/>
  <c r="T7" i="10" s="1"/>
  <c r="BF24" i="6"/>
  <c r="BE24" i="6"/>
  <c r="BG24" i="6"/>
  <c r="BD24" i="6"/>
  <c r="O26" i="6"/>
  <c r="O25" i="6"/>
  <c r="O30" i="6"/>
  <c r="O28" i="6"/>
  <c r="O27" i="6"/>
  <c r="O29" i="6"/>
  <c r="O24" i="6"/>
  <c r="O31" i="6"/>
  <c r="K11" i="10"/>
  <c r="K13" i="10"/>
  <c r="K12" i="10"/>
  <c r="AI24" i="6"/>
  <c r="AW25" i="6"/>
  <c r="AI26" i="6"/>
  <c r="AW27" i="6"/>
  <c r="V27" i="6"/>
  <c r="AF27" i="6" s="1"/>
  <c r="T27" i="6"/>
  <c r="Z30" i="6"/>
  <c r="AA30" i="6"/>
  <c r="S30" i="6"/>
  <c r="V26" i="6"/>
  <c r="AF26" i="6" s="1"/>
  <c r="T26" i="6"/>
  <c r="V29" i="6"/>
  <c r="AT25" i="6" s="1"/>
  <c r="T29" i="6"/>
  <c r="AA24" i="6"/>
  <c r="S24" i="6"/>
  <c r="W24" i="6" s="1"/>
  <c r="AG24" i="6" s="1"/>
  <c r="Z24" i="6"/>
  <c r="W30" i="6"/>
  <c r="AU26" i="6" s="1"/>
  <c r="V30" i="6"/>
  <c r="AT26" i="6" s="1"/>
  <c r="T30" i="6"/>
  <c r="AA25" i="6"/>
  <c r="S25" i="6"/>
  <c r="W25" i="6" s="1"/>
  <c r="AG25" i="6" s="1"/>
  <c r="Z25" i="6"/>
  <c r="AW24" i="6"/>
  <c r="V24" i="6"/>
  <c r="AF24" i="6" s="1"/>
  <c r="T24" i="6"/>
  <c r="AA31" i="6"/>
  <c r="Z31" i="6"/>
  <c r="S31" i="6"/>
  <c r="W31" i="6" s="1"/>
  <c r="AU27" i="6" s="1"/>
  <c r="V31" i="6"/>
  <c r="AT27" i="6" s="1"/>
  <c r="T31" i="6"/>
  <c r="AI27" i="6"/>
  <c r="AI25" i="6"/>
  <c r="V25" i="6"/>
  <c r="AF25" i="6" s="1"/>
  <c r="T25" i="6"/>
  <c r="AA28" i="6"/>
  <c r="S28" i="6"/>
  <c r="Z28" i="6"/>
  <c r="AA27" i="6"/>
  <c r="S27" i="6"/>
  <c r="W27" i="6" s="1"/>
  <c r="AG27" i="6" s="1"/>
  <c r="Z27" i="6"/>
  <c r="AW26" i="6"/>
  <c r="Z26" i="6"/>
  <c r="AA26" i="6"/>
  <c r="S26" i="6"/>
  <c r="W26" i="6" s="1"/>
  <c r="AG26" i="6" s="1"/>
  <c r="AA29" i="6"/>
  <c r="S29" i="6"/>
  <c r="W29" i="6" s="1"/>
  <c r="AU25" i="6" s="1"/>
  <c r="Z29" i="6"/>
  <c r="W28" i="6"/>
  <c r="AU24" i="6" s="1"/>
  <c r="V28" i="6"/>
  <c r="AT24" i="6" s="1"/>
  <c r="T28" i="6"/>
  <c r="L7" i="10"/>
  <c r="O31" i="10" l="1"/>
  <c r="E31" i="10"/>
  <c r="U31" i="10" s="1"/>
  <c r="BI24" i="6"/>
  <c r="BJ24" i="6" s="1"/>
  <c r="BK24" i="6" s="1"/>
  <c r="AF30" i="6"/>
  <c r="AF48" i="6"/>
  <c r="AT33" i="6"/>
  <c r="AT51" i="6"/>
  <c r="AT32" i="6"/>
  <c r="AT50" i="6"/>
  <c r="AT31" i="6"/>
  <c r="AT49" i="6"/>
  <c r="AF32" i="6"/>
  <c r="AF50" i="6"/>
  <c r="AF31" i="6"/>
  <c r="AF49" i="6"/>
  <c r="AF33" i="6"/>
  <c r="AF51" i="6"/>
  <c r="AT30" i="6"/>
  <c r="AT48" i="6"/>
  <c r="M12" i="10"/>
  <c r="N12" i="10"/>
  <c r="N13" i="10"/>
  <c r="M13" i="10"/>
  <c r="N11" i="10"/>
  <c r="M11" i="10"/>
  <c r="N18" i="6"/>
  <c r="N17" i="6"/>
  <c r="N16" i="6"/>
  <c r="N15" i="6"/>
  <c r="N14" i="6"/>
  <c r="N13" i="6"/>
  <c r="N12" i="6"/>
  <c r="N11" i="6"/>
  <c r="N10" i="6"/>
  <c r="N9" i="6"/>
  <c r="N8" i="6"/>
  <c r="N7" i="6"/>
  <c r="F6" i="10"/>
  <c r="F5" i="10"/>
  <c r="E6" i="10"/>
  <c r="D6" i="10"/>
  <c r="E5" i="10"/>
  <c r="D5" i="10"/>
  <c r="V5" i="10" s="1"/>
  <c r="L13" i="17" s="1"/>
  <c r="AZ10" i="6"/>
  <c r="AZ9" i="6"/>
  <c r="AZ8" i="6"/>
  <c r="AZ7" i="6"/>
  <c r="S31" i="10" l="1"/>
  <c r="T31" i="10"/>
  <c r="D30" i="10"/>
  <c r="V30" i="10" s="1"/>
  <c r="V6" i="10"/>
  <c r="D29" i="10"/>
  <c r="V29" i="10" s="1"/>
  <c r="S5" i="10"/>
  <c r="I13" i="17" s="1"/>
  <c r="U5" i="10"/>
  <c r="K13" i="17" s="1"/>
  <c r="S6" i="10"/>
  <c r="U6" i="10"/>
  <c r="L6" i="10"/>
  <c r="L5" i="10"/>
  <c r="O6" i="10"/>
  <c r="T6" i="10" s="1"/>
  <c r="O5" i="10"/>
  <c r="T5" i="10" s="1"/>
  <c r="J13" i="17" s="1"/>
  <c r="E30" i="10" l="1"/>
  <c r="S30" i="10" s="1"/>
  <c r="O30" i="10"/>
  <c r="T30" i="10"/>
  <c r="J30" i="17" s="1"/>
  <c r="E29" i="10"/>
  <c r="O29" i="10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4" i="7"/>
  <c r="M3" i="7"/>
  <c r="M2" i="7"/>
  <c r="R11" i="8" s="1"/>
  <c r="D18" i="6"/>
  <c r="A18" i="6" s="1"/>
  <c r="D17" i="6"/>
  <c r="A17" i="6" s="1"/>
  <c r="D16" i="6"/>
  <c r="A16" i="6" s="1"/>
  <c r="D15" i="6"/>
  <c r="A15" i="6" s="1"/>
  <c r="D14" i="6"/>
  <c r="A14" i="6" s="1"/>
  <c r="D13" i="6"/>
  <c r="A13" i="6" s="1"/>
  <c r="D12" i="6"/>
  <c r="A12" i="6" s="1"/>
  <c r="D11" i="6"/>
  <c r="A11" i="6" s="1"/>
  <c r="D10" i="6"/>
  <c r="A10" i="6" s="1"/>
  <c r="D9" i="6"/>
  <c r="A9" i="6" s="1"/>
  <c r="D8" i="6"/>
  <c r="A8" i="6" s="1"/>
  <c r="D7" i="6"/>
  <c r="A7" i="6" s="1"/>
  <c r="U30" i="10" l="1"/>
  <c r="S29" i="10"/>
  <c r="U29" i="10"/>
  <c r="T29" i="10"/>
  <c r="J19" i="17" s="1"/>
  <c r="G11" i="8"/>
  <c r="H11" i="8"/>
  <c r="Q11" i="8"/>
  <c r="E10" i="8"/>
  <c r="F10" i="8"/>
  <c r="Q10" i="8"/>
  <c r="N11" i="8"/>
  <c r="M11" i="8"/>
  <c r="M10" i="8"/>
  <c r="L11" i="8"/>
  <c r="L10" i="8"/>
  <c r="N10" i="8"/>
  <c r="K11" i="8"/>
  <c r="K10" i="8"/>
  <c r="R10" i="8"/>
  <c r="G10" i="8"/>
  <c r="F11" i="8"/>
  <c r="S10" i="8"/>
  <c r="S11" i="8"/>
  <c r="E11" i="8"/>
  <c r="H10" i="8"/>
  <c r="T10" i="8"/>
  <c r="T11" i="8"/>
  <c r="S13" i="5"/>
  <c r="S12" i="5"/>
  <c r="S11" i="5"/>
  <c r="S10" i="5"/>
  <c r="S9" i="5"/>
  <c r="S8" i="5"/>
  <c r="S7" i="5"/>
  <c r="S6" i="5"/>
  <c r="S5" i="5"/>
  <c r="S4" i="5"/>
  <c r="S3" i="5"/>
  <c r="S2" i="5"/>
  <c r="L18" i="6" l="1"/>
  <c r="L53" i="6" s="1"/>
  <c r="L14" i="6"/>
  <c r="L49" i="6" s="1"/>
  <c r="L10" i="6"/>
  <c r="L45" i="6" s="1"/>
  <c r="I18" i="6"/>
  <c r="P18" i="6" s="1"/>
  <c r="I14" i="6"/>
  <c r="P14" i="6" s="1"/>
  <c r="I10" i="6"/>
  <c r="P10" i="6" s="1"/>
  <c r="L17" i="6"/>
  <c r="L52" i="6" s="1"/>
  <c r="I17" i="6"/>
  <c r="P17" i="6" s="1"/>
  <c r="I9" i="6"/>
  <c r="P9" i="6" s="1"/>
  <c r="L8" i="6"/>
  <c r="L43" i="6" s="1"/>
  <c r="I12" i="6"/>
  <c r="P12" i="6" s="1"/>
  <c r="L16" i="6"/>
  <c r="L51" i="6" s="1"/>
  <c r="L15" i="6"/>
  <c r="L50" i="6" s="1"/>
  <c r="L11" i="6"/>
  <c r="L46" i="6" s="1"/>
  <c r="L7" i="6"/>
  <c r="L42" i="6" s="1"/>
  <c r="I15" i="6"/>
  <c r="P15" i="6" s="1"/>
  <c r="I11" i="6"/>
  <c r="P11" i="6" s="1"/>
  <c r="I7" i="6"/>
  <c r="P7" i="6" s="1"/>
  <c r="L13" i="6"/>
  <c r="L48" i="6" s="1"/>
  <c r="L9" i="6"/>
  <c r="L44" i="6" s="1"/>
  <c r="I13" i="6"/>
  <c r="P13" i="6" s="1"/>
  <c r="L12" i="6"/>
  <c r="L47" i="6" s="1"/>
  <c r="I16" i="6"/>
  <c r="P16" i="6" s="1"/>
  <c r="I8" i="6"/>
  <c r="P8" i="6" s="1"/>
  <c r="K18" i="6"/>
  <c r="M17" i="6"/>
  <c r="O17" i="6" s="1"/>
  <c r="G17" i="6"/>
  <c r="H16" i="6"/>
  <c r="X16" i="6" s="1"/>
  <c r="AV8" i="6" s="1"/>
  <c r="J15" i="6"/>
  <c r="K14" i="6"/>
  <c r="M13" i="6"/>
  <c r="O13" i="6" s="1"/>
  <c r="G13" i="6"/>
  <c r="H12" i="6"/>
  <c r="J11" i="6"/>
  <c r="K10" i="6"/>
  <c r="M9" i="6"/>
  <c r="O9" i="6" s="1"/>
  <c r="G9" i="6"/>
  <c r="H8" i="6"/>
  <c r="X8" i="6" s="1"/>
  <c r="AH8" i="6" s="1"/>
  <c r="J7" i="6"/>
  <c r="J10" i="6"/>
  <c r="M8" i="6"/>
  <c r="O8" i="6" s="1"/>
  <c r="G8" i="6"/>
  <c r="H7" i="6"/>
  <c r="X7" i="6" s="1"/>
  <c r="AH7" i="6" s="1"/>
  <c r="H13" i="6"/>
  <c r="X13" i="6" s="1"/>
  <c r="AO9" i="6" s="1"/>
  <c r="K11" i="17" s="1"/>
  <c r="K11" i="6"/>
  <c r="G10" i="6"/>
  <c r="J8" i="6"/>
  <c r="J18" i="6"/>
  <c r="K17" i="6"/>
  <c r="M16" i="6"/>
  <c r="O16" i="6" s="1"/>
  <c r="G16" i="6"/>
  <c r="H15" i="6"/>
  <c r="X15" i="6" s="1"/>
  <c r="AV7" i="6" s="1"/>
  <c r="J14" i="6"/>
  <c r="K13" i="6"/>
  <c r="M12" i="6"/>
  <c r="O12" i="6" s="1"/>
  <c r="G12" i="6"/>
  <c r="H11" i="6"/>
  <c r="X11" i="6" s="1"/>
  <c r="AO7" i="6" s="1"/>
  <c r="K9" i="17" s="1"/>
  <c r="K9" i="6"/>
  <c r="H18" i="6"/>
  <c r="X18" i="6" s="1"/>
  <c r="AV10" i="6" s="1"/>
  <c r="J17" i="6"/>
  <c r="AW9" i="6" s="1"/>
  <c r="K16" i="6"/>
  <c r="M15" i="6"/>
  <c r="O15" i="6" s="1"/>
  <c r="G15" i="6"/>
  <c r="H14" i="6"/>
  <c r="X14" i="6" s="1"/>
  <c r="AO10" i="6" s="1"/>
  <c r="K12" i="17" s="1"/>
  <c r="J13" i="6"/>
  <c r="K12" i="6"/>
  <c r="M11" i="6"/>
  <c r="O11" i="6" s="1"/>
  <c r="G11" i="6"/>
  <c r="H10" i="6"/>
  <c r="J9" i="6"/>
  <c r="K8" i="6"/>
  <c r="M7" i="6"/>
  <c r="O7" i="6" s="1"/>
  <c r="G7" i="6"/>
  <c r="M18" i="6"/>
  <c r="O18" i="6" s="1"/>
  <c r="G18" i="6"/>
  <c r="H17" i="6"/>
  <c r="J16" i="6"/>
  <c r="K15" i="6"/>
  <c r="M14" i="6"/>
  <c r="O14" i="6" s="1"/>
  <c r="G14" i="6"/>
  <c r="J12" i="6"/>
  <c r="M10" i="6"/>
  <c r="O10" i="6" s="1"/>
  <c r="H9" i="6"/>
  <c r="X9" i="6" s="1"/>
  <c r="AH9" i="6" s="1"/>
  <c r="K7" i="6"/>
  <c r="AB9" i="6" l="1"/>
  <c r="AB26" i="6"/>
  <c r="AB16" i="6"/>
  <c r="AB29" i="6"/>
  <c r="K47" i="6" s="1"/>
  <c r="AB13" i="6"/>
  <c r="J52" i="6" s="1"/>
  <c r="AB34" i="6"/>
  <c r="AB7" i="6"/>
  <c r="AB24" i="6"/>
  <c r="G42" i="6" s="1"/>
  <c r="AB17" i="6"/>
  <c r="AB30" i="6"/>
  <c r="AB10" i="6"/>
  <c r="AB27" i="6"/>
  <c r="J45" i="6" s="1"/>
  <c r="K44" i="6"/>
  <c r="AB12" i="6"/>
  <c r="J51" i="6" s="1"/>
  <c r="AB33" i="6"/>
  <c r="AB11" i="6"/>
  <c r="J50" i="6" s="1"/>
  <c r="AB32" i="6"/>
  <c r="AB8" i="6"/>
  <c r="K43" i="6" s="1"/>
  <c r="AB25" i="6"/>
  <c r="AB14" i="6"/>
  <c r="AB35" i="6"/>
  <c r="AB15" i="6"/>
  <c r="AB28" i="6"/>
  <c r="G46" i="6" s="1"/>
  <c r="AB18" i="6"/>
  <c r="AB31" i="6"/>
  <c r="J44" i="6"/>
  <c r="S18" i="6"/>
  <c r="W18" i="6" s="1"/>
  <c r="AU10" i="6" s="1"/>
  <c r="AW7" i="6"/>
  <c r="S14" i="6"/>
  <c r="W14" i="6" s="1"/>
  <c r="AN10" i="6" s="1"/>
  <c r="J12" i="17" s="1"/>
  <c r="AI8" i="6"/>
  <c r="K5" i="10"/>
  <c r="T17" i="6"/>
  <c r="X17" i="6"/>
  <c r="AV9" i="6" s="1"/>
  <c r="T10" i="6"/>
  <c r="X10" i="6"/>
  <c r="AH10" i="6" s="1"/>
  <c r="T12" i="6"/>
  <c r="X12" i="6"/>
  <c r="AO8" i="6" s="1"/>
  <c r="K10" i="17" s="1"/>
  <c r="AW8" i="6"/>
  <c r="V7" i="6"/>
  <c r="AF7" i="6" s="1"/>
  <c r="AW10" i="6"/>
  <c r="AI10" i="6"/>
  <c r="S7" i="6"/>
  <c r="W7" i="6" s="1"/>
  <c r="K7" i="10"/>
  <c r="K6" i="10"/>
  <c r="V13" i="6"/>
  <c r="AM9" i="6" s="1"/>
  <c r="I11" i="17" s="1"/>
  <c r="V16" i="6"/>
  <c r="AT8" i="6" s="1"/>
  <c r="Q15" i="8" s="1"/>
  <c r="T11" i="6"/>
  <c r="V9" i="6"/>
  <c r="AF9" i="6" s="1"/>
  <c r="T18" i="6"/>
  <c r="S16" i="6"/>
  <c r="W16" i="6" s="1"/>
  <c r="T7" i="6"/>
  <c r="AI7" i="6"/>
  <c r="S10" i="6"/>
  <c r="W10" i="6" s="1"/>
  <c r="T14" i="6"/>
  <c r="AP8" i="6"/>
  <c r="L10" i="17" s="1"/>
  <c r="T15" i="6"/>
  <c r="AP9" i="6"/>
  <c r="L11" i="17" s="1"/>
  <c r="S12" i="6"/>
  <c r="W12" i="6" s="1"/>
  <c r="AI9" i="6"/>
  <c r="S9" i="6"/>
  <c r="W9" i="6" s="1"/>
  <c r="AG9" i="6" s="1"/>
  <c r="S8" i="6"/>
  <c r="W8" i="6" s="1"/>
  <c r="K15" i="8"/>
  <c r="V18" i="6"/>
  <c r="AT10" i="6" s="1"/>
  <c r="S15" i="6"/>
  <c r="W15" i="6" s="1"/>
  <c r="T13" i="6"/>
  <c r="T16" i="6"/>
  <c r="Z14" i="6"/>
  <c r="AA14" i="6"/>
  <c r="Z11" i="6"/>
  <c r="AM13" i="6" s="1"/>
  <c r="D19" i="10" s="1"/>
  <c r="D23" i="10" s="1"/>
  <c r="N23" i="10" s="1"/>
  <c r="AA11" i="6"/>
  <c r="Z12" i="6"/>
  <c r="AM14" i="6" s="1"/>
  <c r="AA12" i="6"/>
  <c r="Z13" i="6"/>
  <c r="AA13" i="6"/>
  <c r="Z18" i="6"/>
  <c r="AA18" i="6"/>
  <c r="Z15" i="6"/>
  <c r="AT13" i="6" s="1"/>
  <c r="D20" i="10" s="1"/>
  <c r="AA15" i="6"/>
  <c r="AA16" i="6"/>
  <c r="Z16" i="6"/>
  <c r="AT14" i="6" s="1"/>
  <c r="D21" i="10" s="1"/>
  <c r="Z17" i="6"/>
  <c r="AA17" i="6"/>
  <c r="Z10" i="6"/>
  <c r="AA10" i="6"/>
  <c r="Z8" i="6"/>
  <c r="AF14" i="6" s="1"/>
  <c r="AA8" i="6"/>
  <c r="AP10" i="6"/>
  <c r="L12" i="17" s="1"/>
  <c r="AP7" i="6"/>
  <c r="L9" i="17" s="1"/>
  <c r="V11" i="6"/>
  <c r="AM7" i="6" s="1"/>
  <c r="I9" i="17" s="1"/>
  <c r="Z7" i="6"/>
  <c r="AF13" i="6" s="1"/>
  <c r="AA7" i="6"/>
  <c r="Z9" i="6"/>
  <c r="AA9" i="6"/>
  <c r="T9" i="6"/>
  <c r="S17" i="6"/>
  <c r="W17" i="6" s="1"/>
  <c r="V14" i="6"/>
  <c r="AM10" i="6" s="1"/>
  <c r="I12" i="17" s="1"/>
  <c r="V12" i="6"/>
  <c r="AM8" i="6" s="1"/>
  <c r="I10" i="17" s="1"/>
  <c r="T8" i="6"/>
  <c r="V10" i="6"/>
  <c r="AF10" i="6" s="1"/>
  <c r="V8" i="6"/>
  <c r="AF8" i="6" s="1"/>
  <c r="K14" i="8"/>
  <c r="S13" i="6"/>
  <c r="V17" i="6"/>
  <c r="AT9" i="6" s="1"/>
  <c r="S11" i="6"/>
  <c r="V15" i="6"/>
  <c r="AT7" i="6" s="1"/>
  <c r="Q14" i="8" s="1"/>
  <c r="G45" i="6" l="1"/>
  <c r="Y45" i="6" s="1"/>
  <c r="AI45" i="6" s="1"/>
  <c r="K42" i="6"/>
  <c r="J53" i="6"/>
  <c r="Y53" i="6" s="1"/>
  <c r="G50" i="6"/>
  <c r="Y50" i="6" s="1"/>
  <c r="G53" i="6"/>
  <c r="K50" i="6"/>
  <c r="J42" i="6"/>
  <c r="K46" i="6"/>
  <c r="K49" i="6"/>
  <c r="K45" i="6"/>
  <c r="S45" i="6" s="1"/>
  <c r="Z42" i="6"/>
  <c r="S42" i="6"/>
  <c r="AA42" i="6"/>
  <c r="AA45" i="6"/>
  <c r="Z45" i="6"/>
  <c r="K48" i="6"/>
  <c r="K52" i="6"/>
  <c r="Z53" i="6"/>
  <c r="AA53" i="6"/>
  <c r="Z46" i="6"/>
  <c r="S46" i="6"/>
  <c r="AA46" i="6"/>
  <c r="K53" i="6"/>
  <c r="S53" i="6" s="1"/>
  <c r="H45" i="6"/>
  <c r="K51" i="6"/>
  <c r="G43" i="6"/>
  <c r="G52" i="6"/>
  <c r="Y52" i="6" s="1"/>
  <c r="G44" i="6"/>
  <c r="Y44" i="6" s="1"/>
  <c r="G47" i="6"/>
  <c r="J49" i="6"/>
  <c r="G51" i="6"/>
  <c r="Y51" i="6" s="1"/>
  <c r="J48" i="6"/>
  <c r="Y48" i="6" s="1"/>
  <c r="G48" i="6"/>
  <c r="J46" i="6"/>
  <c r="J43" i="6"/>
  <c r="G49" i="6"/>
  <c r="J47" i="6"/>
  <c r="D24" i="10"/>
  <c r="N24" i="10" s="1"/>
  <c r="AG7" i="6"/>
  <c r="AG8" i="6"/>
  <c r="N6" i="10"/>
  <c r="M6" i="10"/>
  <c r="W11" i="6"/>
  <c r="AN7" i="6" s="1"/>
  <c r="J9" i="17" s="1"/>
  <c r="AU7" i="6"/>
  <c r="M5" i="10"/>
  <c r="N5" i="10"/>
  <c r="AU9" i="6"/>
  <c r="AN8" i="6"/>
  <c r="J10" i="17" s="1"/>
  <c r="AG10" i="6"/>
  <c r="AU8" i="6"/>
  <c r="W13" i="6"/>
  <c r="AN9" i="6" s="1"/>
  <c r="J11" i="17" s="1"/>
  <c r="N7" i="10"/>
  <c r="M7" i="10"/>
  <c r="AW42" i="6" l="1"/>
  <c r="Y46" i="6"/>
  <c r="Y49" i="6"/>
  <c r="Y47" i="6"/>
  <c r="AW43" i="6" s="1"/>
  <c r="AI44" i="6"/>
  <c r="AI43" i="6"/>
  <c r="Y43" i="6"/>
  <c r="AI42" i="6"/>
  <c r="Y42" i="6"/>
  <c r="S50" i="6"/>
  <c r="H53" i="6"/>
  <c r="AA50" i="6"/>
  <c r="Z50" i="6"/>
  <c r="AP42" i="6"/>
  <c r="H50" i="6"/>
  <c r="AW44" i="6"/>
  <c r="H42" i="6"/>
  <c r="V42" i="6" s="1"/>
  <c r="AF42" i="6" s="1"/>
  <c r="AP45" i="6"/>
  <c r="AW45" i="6"/>
  <c r="Z51" i="6"/>
  <c r="S51" i="6"/>
  <c r="AA51" i="6"/>
  <c r="H51" i="6"/>
  <c r="S52" i="6"/>
  <c r="AA52" i="6"/>
  <c r="Z52" i="6"/>
  <c r="H52" i="6"/>
  <c r="H46" i="6"/>
  <c r="AP43" i="6"/>
  <c r="H43" i="6"/>
  <c r="S43" i="6"/>
  <c r="Z43" i="6"/>
  <c r="AA43" i="6"/>
  <c r="S48" i="6"/>
  <c r="AA48" i="6"/>
  <c r="Z48" i="6"/>
  <c r="H48" i="6"/>
  <c r="H47" i="6"/>
  <c r="AA47" i="6"/>
  <c r="S47" i="6"/>
  <c r="Z47" i="6"/>
  <c r="S49" i="6"/>
  <c r="Z49" i="6"/>
  <c r="AA49" i="6"/>
  <c r="H49" i="6"/>
  <c r="AA44" i="6"/>
  <c r="S44" i="6"/>
  <c r="Z44" i="6"/>
  <c r="H44" i="6"/>
  <c r="W45" i="6"/>
  <c r="AG45" i="6" s="1"/>
  <c r="V45" i="6"/>
  <c r="AF45" i="6" s="1"/>
  <c r="X45" i="6"/>
  <c r="AH45" i="6" s="1"/>
  <c r="AP44" i="6"/>
  <c r="X42" i="6" l="1"/>
  <c r="AH42" i="6" s="1"/>
  <c r="W42" i="6"/>
  <c r="AG42" i="6" s="1"/>
  <c r="X53" i="6"/>
  <c r="AO45" i="6" s="1"/>
  <c r="V53" i="6"/>
  <c r="AM45" i="6" s="1"/>
  <c r="W53" i="6"/>
  <c r="AN45" i="6" s="1"/>
  <c r="V50" i="6"/>
  <c r="AM42" i="6" s="1"/>
  <c r="X50" i="6"/>
  <c r="AO42" i="6" s="1"/>
  <c r="W50" i="6"/>
  <c r="AN42" i="6" s="1"/>
  <c r="V44" i="6"/>
  <c r="AF44" i="6" s="1"/>
  <c r="X44" i="6"/>
  <c r="AH44" i="6" s="1"/>
  <c r="W44" i="6"/>
  <c r="AG44" i="6" s="1"/>
  <c r="V52" i="6"/>
  <c r="AM44" i="6" s="1"/>
  <c r="W52" i="6"/>
  <c r="AN44" i="6" s="1"/>
  <c r="X52" i="6"/>
  <c r="AO44" i="6" s="1"/>
  <c r="V51" i="6"/>
  <c r="AM43" i="6" s="1"/>
  <c r="W51" i="6"/>
  <c r="AN43" i="6" s="1"/>
  <c r="X51" i="6"/>
  <c r="AO43" i="6" s="1"/>
  <c r="V47" i="6"/>
  <c r="AT43" i="6" s="1"/>
  <c r="X47" i="6"/>
  <c r="AV43" i="6" s="1"/>
  <c r="V43" i="6"/>
  <c r="AF43" i="6" s="1"/>
  <c r="W43" i="6"/>
  <c r="AG43" i="6" s="1"/>
  <c r="X43" i="6"/>
  <c r="AH43" i="6" s="1"/>
  <c r="V48" i="6"/>
  <c r="AT44" i="6" s="1"/>
  <c r="W48" i="6"/>
  <c r="AU44" i="6" s="1"/>
  <c r="X48" i="6"/>
  <c r="AV44" i="6" s="1"/>
  <c r="W49" i="6"/>
  <c r="AU45" i="6" s="1"/>
  <c r="X49" i="6"/>
  <c r="AV45" i="6" s="1"/>
  <c r="V49" i="6"/>
  <c r="AT45" i="6" s="1"/>
  <c r="W47" i="6"/>
  <c r="AU43" i="6" s="1"/>
  <c r="X46" i="6"/>
  <c r="AV42" i="6" s="1"/>
  <c r="W46" i="6"/>
  <c r="AU42" i="6" s="1"/>
  <c r="V46" i="6"/>
  <c r="AT42" i="6" s="1"/>
</calcChain>
</file>

<file path=xl/sharedStrings.xml><?xml version="1.0" encoding="utf-8"?>
<sst xmlns="http://schemas.openxmlformats.org/spreadsheetml/2006/main" count="1057" uniqueCount="169">
  <si>
    <t>rpp_season</t>
  </si>
  <si>
    <t>model_j</t>
  </si>
  <si>
    <t>j_num</t>
  </si>
  <si>
    <t>tou_period</t>
  </si>
  <si>
    <t>kwh_impact</t>
  </si>
  <si>
    <t>mean_daily_cdh18</t>
  </si>
  <si>
    <t>mean_drybulb</t>
  </si>
  <si>
    <t>delta_form</t>
  </si>
  <si>
    <t>tou_period_kwh_se</t>
  </si>
  <si>
    <t>tstat</t>
  </si>
  <si>
    <t>pval</t>
  </si>
  <si>
    <t>crit_t_val</t>
  </si>
  <si>
    <t>ci_delta</t>
  </si>
  <si>
    <t>Summer</t>
  </si>
  <si>
    <t>Parts_CPP_CPP/RT_Conts_RCT</t>
  </si>
  <si>
    <t>Mid-Peak</t>
  </si>
  <si>
    <t>Off-Peak</t>
  </si>
  <si>
    <t>On-Peak</t>
  </si>
  <si>
    <t>Weekend Off-Peak</t>
  </si>
  <si>
    <t>Parts_RT_Conts_RCT</t>
  </si>
  <si>
    <t>NO_CPP_EVENTS_Parts_CPP_CPP/RT_Conts_RCT</t>
  </si>
  <si>
    <t>mean_daily_kwh_cons</t>
  </si>
  <si>
    <t>Match Index</t>
  </si>
  <si>
    <t>pcent impact</t>
  </si>
  <si>
    <t>N/S</t>
  </si>
  <si>
    <t>Relative Precision</t>
  </si>
  <si>
    <t>Daily Savings</t>
  </si>
  <si>
    <t>kWh</t>
  </si>
  <si>
    <t>%</t>
  </si>
  <si>
    <t>Relative Precision +/-% (90% Confidence)</t>
  </si>
  <si>
    <t>TOU Period</t>
  </si>
  <si>
    <t>parm_est</t>
  </si>
  <si>
    <t>se</t>
  </si>
  <si>
    <t>parm_name</t>
  </si>
  <si>
    <t>keep</t>
  </si>
  <si>
    <t>temp_sens_parm</t>
  </si>
  <si>
    <t>var_type</t>
  </si>
  <si>
    <t>tou_period_fMid-Peak:participant:cpp_dum</t>
  </si>
  <si>
    <t>cpp_dum</t>
  </si>
  <si>
    <t>tou_period_fOff-Peak:participant:cpp_dum</t>
  </si>
  <si>
    <t>tou_period_fOn-Peak:participant:cpp_dum</t>
  </si>
  <si>
    <t>tou_period_fWeekend Off-Peak:participant:cpp_dum</t>
  </si>
  <si>
    <t>tou_period_fMid-Peak:daily_cdh18:participant:cpp_dum</t>
  </si>
  <si>
    <t>tou_period_fOff-Peak:daily_cdh18:participant:cpp_dum</t>
  </si>
  <si>
    <t>tou_period_fOn-Peak:daily_cdh18:participant:cpp_dum</t>
  </si>
  <si>
    <t>tou_period_fWeekend Off-Peak:daily_cdh18:participant:cpp_dum</t>
  </si>
  <si>
    <t>tou_period_fMid-Peak:participant:rt_dum</t>
  </si>
  <si>
    <t>rt_dum</t>
  </si>
  <si>
    <t>tou_period_fOff-Peak:participant:rt_dum</t>
  </si>
  <si>
    <t>tou_period_fOn-Peak:participant:rt_dum</t>
  </si>
  <si>
    <t>tou_period_fWeekend Off-Peak:participant:rt_dum</t>
  </si>
  <si>
    <t>tou_period_fMid-Peak:daily_cdh18:participant:rt_dum</t>
  </si>
  <si>
    <t>tou_period_fOff-Peak:daily_cdh18:participant:rt_dum</t>
  </si>
  <si>
    <t>tou_period_fOn-Peak:daily_cdh18:participant:rt_dum</t>
  </si>
  <si>
    <t>tou_period_fWeekend Off-Peak:daily_cdh18:participant:rt_dum</t>
  </si>
  <si>
    <t>match index</t>
  </si>
  <si>
    <t>Proportion of Impact Due to Intercept</t>
  </si>
  <si>
    <t>Intercept Dummy</t>
  </si>
  <si>
    <t>Slope (Temperature) Dummy</t>
  </si>
  <si>
    <t>Estimate</t>
  </si>
  <si>
    <t>P-Value</t>
  </si>
  <si>
    <t>sum_impact</t>
  </si>
  <si>
    <t>seasonal_kwh_se</t>
  </si>
  <si>
    <t>num_days</t>
  </si>
  <si>
    <t>Number of Days</t>
  </si>
  <si>
    <t>Total Energy Impact</t>
  </si>
  <si>
    <t>Total Seasonal Energy Impact</t>
  </si>
  <si>
    <t>Base Consumption</t>
  </si>
  <si>
    <t>sum_kwh_actual_cons</t>
  </si>
  <si>
    <t>% Change</t>
  </si>
  <si>
    <t>Impact</t>
  </si>
  <si>
    <t>All Signif TOU Periods</t>
  </si>
  <si>
    <t>Period</t>
  </si>
  <si>
    <t>Num Hours Per Day</t>
  </si>
  <si>
    <t>Hours in Period</t>
  </si>
  <si>
    <t>Demand Impact (kW)</t>
  </si>
  <si>
    <t>x56*1+x60*18.0969676329942</t>
  </si>
  <si>
    <t>x57*1+x61*13.9836153006394</t>
  </si>
  <si>
    <t>x58*1+x62*29.5593682332241</t>
  </si>
  <si>
    <t>x59*1+x63*63.2783826319284</t>
  </si>
  <si>
    <t>x56*1+x60*16.3305773956723</t>
  </si>
  <si>
    <t>x57*1+x61*12.006076388739</t>
  </si>
  <si>
    <t>x58*1+x62*27.6059295981453</t>
  </si>
  <si>
    <t>x56*1*127+x57*1*127+x58*1*127+x59*1*57+x60*18.0969676329942*127+x61*13.9836153006394*127+x62*29.5593682332241*127+x63*63.2783826319284*57</t>
  </si>
  <si>
    <t>x56*1*127+x57*1*127+x58*1*127+x59*1*57+x60*16.3305773956723*127+x61*12.006076388739*127+x62*27.6059295981453*127+x63*63.2783826319284*57</t>
  </si>
  <si>
    <t>x56*1*127+x57*1*127+x58*1*127+x59*1*57+x60*18.0502702915256*127+x61*14.0940389614858*127+x62*29.4813457558971*127+x63*63.1841335465288*57</t>
  </si>
  <si>
    <t>x56*1+x60*18.0502702915256</t>
  </si>
  <si>
    <t>x57*1+x61*14.0940389614858</t>
  </si>
  <si>
    <t>x58*1+x62*29.4813457558971</t>
  </si>
  <si>
    <t>x59*1+x63*63.1841335465288</t>
  </si>
  <si>
    <t>Number of Summer Hours</t>
  </si>
  <si>
    <t>Consumption Savings (kWh)</t>
  </si>
  <si>
    <t>Base Consumption (kWh)</t>
  </si>
  <si>
    <t>Base Demand (kW)</t>
  </si>
  <si>
    <t>Demand Savings (kW)</t>
  </si>
  <si>
    <t>Prepared for:</t>
  </si>
  <si>
    <t>London Hydro</t>
  </si>
  <si>
    <t>Tab Colour-Coding</t>
  </si>
  <si>
    <t>Input Data Tabs - Raw Inputs from R, SQL or other sources</t>
  </si>
  <si>
    <t>This spreadsheet has been prepared by:</t>
  </si>
  <si>
    <t>Peter Steele-Mosey</t>
  </si>
  <si>
    <t>Associate Director - Navigant</t>
  </si>
  <si>
    <t>ph: 416.956.5050</t>
  </si>
  <si>
    <t>email: peter.steele-mosey@navigant.com</t>
  </si>
  <si>
    <t>Appendix D: Energy Impact Outputs</t>
  </si>
  <si>
    <t>Output Data Tabs - Tables, Graphics, and Values Included in the Report</t>
  </si>
  <si>
    <t>Winter</t>
  </si>
  <si>
    <t>tou_period_fMid-Peak:participant:cpp_rt_dum</t>
  </si>
  <si>
    <t>cpp_rt_dum</t>
  </si>
  <si>
    <t>tou_period_fOff-Peak:participant:cpp_rt_dum</t>
  </si>
  <si>
    <t>tou_period_fOn-Peak:participant:cpp_rt_dum</t>
  </si>
  <si>
    <t>tou_period_fWeekend Off-Peak:participant:cpp_rt_dum</t>
  </si>
  <si>
    <t>mean_daily_kwh</t>
  </si>
  <si>
    <t>num_hours_in_period</t>
  </si>
  <si>
    <t>mean_kw_impact</t>
  </si>
  <si>
    <t>mean_kw_cons</t>
  </si>
  <si>
    <t>NO_CPP_EVENTS_Parts_CPP/Conts_RCT</t>
  </si>
  <si>
    <t>Parts_CPP/Conts_RCT</t>
  </si>
  <si>
    <t>NB: negative has been changed so that here it means an increase in consumption</t>
  </si>
  <si>
    <t>INCLUDES CPP EVENT DAYS</t>
  </si>
  <si>
    <t>DOES NOT INCLUDE CPP EVENT DAYS</t>
  </si>
  <si>
    <t>Note - here a negative means a DIS-savings (increase in consumption)</t>
  </si>
  <si>
    <t>Considering only the Summer TOU Period Impacts that were Statistically Significant</t>
  </si>
  <si>
    <t>Regulated Price Plan Roadmap Pilot Program Final Impact Evaluation</t>
  </si>
  <si>
    <t>Number of Winter Hours</t>
  </si>
  <si>
    <t>p-value</t>
  </si>
  <si>
    <t>degrees_freedom</t>
  </si>
  <si>
    <t>wint_impact</t>
  </si>
  <si>
    <t>wint_kwh_actual_cons</t>
  </si>
  <si>
    <t>x53*124+x54*124+x55*124+x56*57</t>
  </si>
  <si>
    <t>x57*124+x58*124+x59*124+x60*57</t>
  </si>
  <si>
    <t>x45*124+x46*124+x47*124+x48*57</t>
  </si>
  <si>
    <t>Parts_CPP/Conts_RCT_On-Peak</t>
  </si>
  <si>
    <t>Parts_CPP/Conts_RCT_Mid-Peak</t>
  </si>
  <si>
    <t>Parts_CPP/Conts_RCT_Off-Peak</t>
  </si>
  <si>
    <t>Parts_CPP/Conts_RCT_Weekend Off-Peak</t>
  </si>
  <si>
    <t>NO_CPP_EVENTS_Parts_CPP/Conts_RCT_On-Peak</t>
  </si>
  <si>
    <t>NO_CPP_EVENTS_Parts_CPP/Conts_RCT_Mid-Peak</t>
  </si>
  <si>
    <t>NO_CPP_EVENTS_Parts_CPP/Conts_RCT_Off-Peak</t>
  </si>
  <si>
    <t>NO_CPP_EVENTS_Parts_CPP/Conts_RCT_Weekend Off-Peak</t>
  </si>
  <si>
    <t>Parts_RT_Conts_RCT_On-Peak</t>
  </si>
  <si>
    <t>Parts_RT_Conts_RCT_Mid-Peak</t>
  </si>
  <si>
    <t>Parts_RT_Conts_RCT_Off-Peak</t>
  </si>
  <si>
    <t>Parts_RT_Conts_RCT_Weekend Off-Peak</t>
  </si>
  <si>
    <t>Parts_CPP_CPP/RT_Conts_RCT_On-Peak</t>
  </si>
  <si>
    <t>Parts_CPP_CPP/RT_Conts_RCT_Mid-Peak</t>
  </si>
  <si>
    <t>Parts_CPP_CPP/RT_Conts_RCT_Off-Peak</t>
  </si>
  <si>
    <t>Parts_CPP_CPP/RT_Conts_RCT_Weekend Off-Peak</t>
  </si>
  <si>
    <t>NO_CPP_EVENTS_Parts_CPP_CPP/RT_Conts_RCT_On-Peak</t>
  </si>
  <si>
    <t>NO_CPP_EVENTS_Parts_CPP_CPP/RT_Conts_RCT_Mid-Peak</t>
  </si>
  <si>
    <t>NO_CPP_EVENTS_Parts_CPP_CPP/RT_Conts_RCT_Off-Peak</t>
  </si>
  <si>
    <t>NO_CPP_EVENTS_Parts_CPP_CPP/RT_Conts_RCT_Weekend Off-Peak</t>
  </si>
  <si>
    <t>Common Name</t>
  </si>
  <si>
    <t>Averaging weight</t>
  </si>
  <si>
    <t>Total Hours</t>
  </si>
  <si>
    <t>All Year</t>
  </si>
  <si>
    <t>t-statistic</t>
  </si>
  <si>
    <t>Variance</t>
  </si>
  <si>
    <t>Variance Multiplied by Square of Weight</t>
  </si>
  <si>
    <t>Annual Total</t>
  </si>
  <si>
    <t>Number of Hours</t>
  </si>
  <si>
    <t>Treatment Group(s)</t>
  </si>
  <si>
    <t>RT</t>
  </si>
  <si>
    <t>Time-Period</t>
  </si>
  <si>
    <t>Annual</t>
  </si>
  <si>
    <t>CI Delta</t>
  </si>
  <si>
    <t>CPP and CPP/RT</t>
  </si>
  <si>
    <t>Season</t>
  </si>
  <si>
    <t>Total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</si>
</sst>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&quot;€&quot;#,##0;\-&quot;€&quot;#,##0"/>
    <numFmt numFmtId="165" formatCode="&quot;€&quot;#,##0.00;\-&quot;€&quot;#,##0.00"/>
    <numFmt numFmtId="166" formatCode="#,##0.00_ ;\-#,##0.00\ "/>
    <numFmt numFmtId="167" formatCode="#,##0_ ;\-#,##0\ "/>
    <numFmt numFmtId="168" formatCode="0.0%"/>
    <numFmt numFmtId="169" formatCode="0.000"/>
  </numFmts>
  <fonts count="49" x14ac:knownFonts="1">
    <font>
      <sz val="8"/>
      <name val="Arial"/>
      <family val="2"/>
    </font>
    <font>
      <sz val="8"/>
      <color theme="1"/>
      <name val="Arial"/>
      <family val="2"/>
    </font>
    <font>
      <sz val="18"/>
      <color theme="3"/>
      <name val="Arial"/>
      <family val="2"/>
      <scheme val="major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57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b/>
      <sz val="13"/>
      <color rgb="FF555759"/>
      <name val="Arial"/>
      <family val="2"/>
    </font>
    <font>
      <sz val="8"/>
      <name val="Arial"/>
      <family val="2"/>
    </font>
    <font>
      <sz val="8"/>
      <color rgb="FF648C1A"/>
      <name val="Arial"/>
      <family val="2"/>
    </font>
    <font>
      <b/>
      <sz val="11"/>
      <color rgb="FF555759"/>
      <name val="Arial"/>
      <family val="2"/>
    </font>
    <font>
      <sz val="8"/>
      <color rgb="FFAC0640"/>
      <name val="Arial"/>
      <family val="2"/>
    </font>
    <font>
      <sz val="8"/>
      <color rgb="FF95D600"/>
      <name val="Arial"/>
      <family val="2"/>
    </font>
    <font>
      <sz val="6"/>
      <color rgb="FF009383"/>
      <name val="Arial"/>
      <family val="2"/>
    </font>
    <font>
      <sz val="7"/>
      <color rgb="FF77797A"/>
      <name val="Arial"/>
      <family val="2"/>
    </font>
    <font>
      <sz val="8"/>
      <color rgb="FF555759"/>
      <name val="Arial"/>
      <family val="2"/>
    </font>
    <font>
      <sz val="8"/>
      <color rgb="FF989A9C"/>
      <name val="Arial"/>
      <family val="2"/>
    </font>
    <font>
      <u/>
      <sz val="8"/>
      <color rgb="FF648C1A"/>
      <name val="Arial"/>
      <family val="2"/>
    </font>
    <font>
      <u/>
      <sz val="8"/>
      <color rgb="FFACDE50"/>
      <name val="Arial"/>
      <family val="2"/>
    </font>
    <font>
      <b/>
      <sz val="8"/>
      <name val="Arial"/>
      <family val="2"/>
    </font>
    <font>
      <b/>
      <sz val="13"/>
      <color rgb="FFFFFFFF"/>
      <name val="Arial"/>
      <family val="2"/>
    </font>
    <font>
      <b/>
      <sz val="11"/>
      <color rgb="FFFFFFFF"/>
      <name val="Arial"/>
      <family val="2"/>
    </font>
    <font>
      <b/>
      <sz val="8"/>
      <color rgb="FFFFFFFF"/>
      <name val="Arial"/>
      <family val="2"/>
    </font>
    <font>
      <b/>
      <sz val="10"/>
      <color rgb="FFFFFFFF"/>
      <name val="Arial"/>
      <family val="2"/>
    </font>
    <font>
      <sz val="8"/>
      <color rgb="FFFFFFFF"/>
      <name val="Arial"/>
      <family val="2"/>
    </font>
    <font>
      <b/>
      <sz val="8"/>
      <color rgb="FF555759"/>
      <name val="Arial"/>
      <family val="2"/>
    </font>
    <font>
      <sz val="8"/>
      <color rgb="FFF07D05"/>
      <name val="Arial"/>
      <family val="2"/>
    </font>
    <font>
      <sz val="8"/>
      <color rgb="FF006579"/>
      <name val="Arial"/>
      <family val="2"/>
    </font>
    <font>
      <sz val="8"/>
      <color theme="0"/>
      <name val="Arial"/>
      <family val="2"/>
    </font>
    <font>
      <b/>
      <sz val="10"/>
      <color rgb="FF555759"/>
      <name val="Arial"/>
      <family val="2"/>
    </font>
    <font>
      <b/>
      <sz val="8"/>
      <color rgb="FF3F4143"/>
      <name val="Arial"/>
      <family val="2"/>
    </font>
    <font>
      <sz val="8"/>
      <color theme="5" tint="-0.499984740745262"/>
      <name val="Arial"/>
      <family val="2"/>
    </font>
    <font>
      <b/>
      <sz val="24"/>
      <color rgb="FF95D600"/>
      <name val="Arial"/>
      <family val="2"/>
    </font>
    <font>
      <sz val="11"/>
      <color theme="1"/>
      <name val="Arial"/>
      <family val="2"/>
    </font>
    <font>
      <b/>
      <sz val="14"/>
      <color rgb="FF5A5A5A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i/>
      <sz val="9"/>
      <color theme="1"/>
      <name val="Arial"/>
      <family val="2"/>
    </font>
    <font>
      <b/>
      <sz val="11"/>
      <name val="Arial"/>
      <family val="2"/>
    </font>
    <font>
      <i/>
      <sz val="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F1D1"/>
        <bgColor indexed="64"/>
      </patternFill>
    </fill>
    <fill>
      <patternFill patternType="solid">
        <fgColor rgb="FFDCDDDE"/>
        <bgColor indexed="64"/>
      </patternFill>
    </fill>
    <fill>
      <patternFill patternType="solid">
        <fgColor rgb="FFFFE3A2"/>
        <bgColor indexed="64"/>
      </patternFill>
    </fill>
    <fill>
      <patternFill patternType="solid">
        <fgColor rgb="FFFAD7D3"/>
        <bgColor indexed="64"/>
      </patternFill>
    </fill>
    <fill>
      <patternFill patternType="solid">
        <fgColor rgb="FF648C1A"/>
        <bgColor indexed="64"/>
      </patternFill>
    </fill>
    <fill>
      <patternFill patternType="solid">
        <fgColor rgb="FFEDFFC4"/>
        <bgColor indexed="64"/>
      </patternFill>
    </fill>
    <fill>
      <patternFill patternType="solid">
        <fgColor rgb="FFC1EEFF"/>
        <bgColor indexed="64"/>
      </patternFill>
    </fill>
    <fill>
      <patternFill patternType="solid">
        <fgColor rgb="FF555759"/>
        <bgColor indexed="64"/>
      </patternFill>
    </fill>
    <fill>
      <patternFill patternType="solid">
        <fgColor rgb="FF95D600"/>
        <bgColor indexed="64"/>
      </patternFill>
    </fill>
    <fill>
      <patternFill patternType="solid">
        <fgColor rgb="FF006579"/>
        <bgColor indexed="64"/>
      </patternFill>
    </fill>
    <fill>
      <patternFill patternType="solid">
        <fgColor rgb="FF009383"/>
        <bgColor indexed="64"/>
      </patternFill>
    </fill>
    <fill>
      <patternFill patternType="solid">
        <fgColor rgb="FFF07D05"/>
        <bgColor indexed="64"/>
      </patternFill>
    </fill>
    <fill>
      <patternFill patternType="solid">
        <fgColor rgb="FFAC0640"/>
        <bgColor indexed="64"/>
      </patternFill>
    </fill>
    <fill>
      <patternFill patternType="solid">
        <fgColor rgb="FFEAF7CC"/>
        <bgColor indexed="64"/>
      </patternFill>
    </fill>
    <fill>
      <patternFill patternType="solid">
        <fgColor rgb="FFFAD8D5"/>
        <bgColor indexed="64"/>
      </patternFill>
    </fill>
    <fill>
      <patternFill patternType="solid">
        <fgColor rgb="FFFFF1D0"/>
        <bgColor indexed="64"/>
      </patternFill>
    </fill>
    <fill>
      <patternFill patternType="solid">
        <fgColor rgb="FFFEE4CB"/>
        <bgColor indexed="64"/>
      </patternFill>
    </fill>
    <fill>
      <patternFill patternType="solid">
        <fgColor rgb="FFF7E2FA"/>
        <bgColor indexed="64"/>
      </patternFill>
    </fill>
    <fill>
      <patternFill patternType="solid">
        <fgColor rgb="FFDDF2B8"/>
        <bgColor indexed="64"/>
      </patternFill>
    </fill>
    <fill>
      <patternFill patternType="solid">
        <fgColor rgb="FFCCEB8D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95D600"/>
      </bottom>
      <diagonal/>
    </border>
    <border>
      <left/>
      <right/>
      <top/>
      <bottom style="medium">
        <color rgb="FF95D600"/>
      </bottom>
      <diagonal/>
    </border>
    <border>
      <left style="hair">
        <color rgb="FFB9BBBD"/>
      </left>
      <right style="hair">
        <color rgb="FFB9BBBD"/>
      </right>
      <top style="hair">
        <color rgb="FFB9BBBD"/>
      </top>
      <bottom style="hair">
        <color rgb="FFB9BBBD"/>
      </bottom>
      <diagonal/>
    </border>
    <border>
      <left style="hair">
        <color rgb="FFBBBCBD"/>
      </left>
      <right style="hair">
        <color rgb="FFBBBCBD"/>
      </right>
      <top style="hair">
        <color rgb="FFBBBCBD"/>
      </top>
      <bottom style="hair">
        <color rgb="FFBBBCBD"/>
      </bottom>
      <diagonal/>
    </border>
    <border>
      <left style="hair">
        <color rgb="FFBBBCBD"/>
      </left>
      <right style="hair">
        <color rgb="FFBBBCBD"/>
      </right>
      <top style="hair">
        <color rgb="FFBBBCBD"/>
      </top>
      <bottom style="thin">
        <color rgb="FF555759"/>
      </bottom>
      <diagonal/>
    </border>
    <border>
      <left/>
      <right/>
      <top/>
      <bottom style="hair">
        <color rgb="FF95D600"/>
      </bottom>
      <diagonal/>
    </border>
    <border>
      <left/>
      <right/>
      <top/>
      <bottom style="thin">
        <color rgb="FF95D600"/>
      </bottom>
      <diagonal/>
    </border>
    <border>
      <left/>
      <right/>
      <top/>
      <bottom style="hair">
        <color rgb="FFBBBCBD"/>
      </bottom>
      <diagonal/>
    </border>
    <border>
      <left/>
      <right/>
      <top style="thin">
        <color rgb="FF555759"/>
      </top>
      <bottom/>
      <diagonal/>
    </border>
    <border>
      <left style="hair">
        <color rgb="FFDCDDDE"/>
      </left>
      <right style="hair">
        <color rgb="FFDCDDDE"/>
      </right>
      <top style="hair">
        <color rgb="FFDCDDDE"/>
      </top>
      <bottom style="hair">
        <color rgb="FFDCDDDE"/>
      </bottom>
      <diagonal/>
    </border>
    <border>
      <left style="hair">
        <color rgb="FF006579"/>
      </left>
      <right style="hair">
        <color rgb="FF006579"/>
      </right>
      <top style="hair">
        <color rgb="FF006579"/>
      </top>
      <bottom style="hair">
        <color rgb="FF006579"/>
      </bottom>
      <diagonal/>
    </border>
    <border>
      <left/>
      <right/>
      <top style="thin">
        <color rgb="FF555759"/>
      </top>
      <bottom style="medium">
        <color rgb="FF55575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5">
    <xf numFmtId="0" fontId="0" fillId="0" borderId="0"/>
    <xf numFmtId="0" fontId="2" fillId="0" borderId="0" applyNumberFormat="0" applyFill="0" applyBorder="0" applyAlignment="0" applyProtection="0"/>
    <xf numFmtId="0" fontId="27" fillId="16" borderId="7" applyNumberFormat="0"/>
    <xf numFmtId="0" fontId="28" fillId="16" borderId="8" applyNumberFormat="0" applyAlignment="0"/>
    <xf numFmtId="0" fontId="30" fillId="16" borderId="8" applyNumberFormat="0" applyAlignment="0"/>
    <xf numFmtId="0" fontId="29" fillId="16" borderId="8" applyNumberFormat="0" applyAlignment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5" borderId="1" applyNumberFormat="0" applyAlignment="0" applyProtection="0"/>
    <xf numFmtId="0" fontId="7" fillId="6" borderId="2" applyNumberFormat="0" applyAlignment="0" applyProtection="0"/>
    <xf numFmtId="0" fontId="8" fillId="6" borderId="1" applyNumberFormat="0" applyAlignment="0" applyProtection="0"/>
    <xf numFmtId="0" fontId="9" fillId="0" borderId="3" applyNumberFormat="0" applyFill="0" applyAlignment="0" applyProtection="0"/>
    <xf numFmtId="0" fontId="10" fillId="7" borderId="4" applyNumberFormat="0" applyAlignment="0" applyProtection="0"/>
    <xf numFmtId="0" fontId="11" fillId="0" borderId="0" applyNumberFormat="0" applyFill="0" applyBorder="0" applyAlignment="0" applyProtection="0"/>
    <xf numFmtId="0" fontId="1" fillId="8" borderId="5" applyNumberFormat="0" applyFon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>
      <alignment vertical="top"/>
    </xf>
    <xf numFmtId="0" fontId="15" fillId="9" borderId="9" applyNumberFormat="0" applyAlignment="0">
      <alignment vertical="top"/>
      <protection locked="0"/>
    </xf>
    <xf numFmtId="0" fontId="15" fillId="10" borderId="0" applyNumberFormat="0" applyBorder="0" applyAlignment="0">
      <alignment vertical="top"/>
      <protection locked="0"/>
    </xf>
    <xf numFmtId="0" fontId="15" fillId="11" borderId="9" applyNumberFormat="0" applyAlignment="0">
      <alignment vertical="top"/>
      <protection locked="0"/>
    </xf>
    <xf numFmtId="0" fontId="18" fillId="12" borderId="0" applyNumberFormat="0" applyBorder="0" applyAlignment="0">
      <alignment vertical="top"/>
    </xf>
    <xf numFmtId="0" fontId="20" fillId="0" borderId="0" applyNumberFormat="0" applyFill="0" applyBorder="0" applyAlignment="0"/>
    <xf numFmtId="0" fontId="21" fillId="0" borderId="0" applyNumberFormat="0" applyFill="0" applyBorder="0"/>
    <xf numFmtId="0" fontId="29" fillId="13" borderId="9" applyNumberFormat="0" applyAlignment="0">
      <alignment vertical="top"/>
    </xf>
    <xf numFmtId="0" fontId="15" fillId="0" borderId="9" applyNumberFormat="0" applyAlignment="0">
      <alignment vertical="top"/>
      <protection locked="0"/>
    </xf>
    <xf numFmtId="0" fontId="38" fillId="9" borderId="9" applyNumberFormat="0" applyAlignment="0">
      <alignment vertical="top"/>
      <protection locked="0"/>
    </xf>
    <xf numFmtId="0" fontId="23" fillId="0" borderId="0" applyNumberFormat="0" applyFill="0" applyBorder="0">
      <alignment horizontal="right"/>
    </xf>
    <xf numFmtId="0" fontId="25" fillId="0" borderId="0" applyNumberFormat="0" applyFill="0" applyBorder="0" applyAlignment="0">
      <alignment vertical="top"/>
    </xf>
    <xf numFmtId="0" fontId="24" fillId="0" borderId="0" applyNumberFormat="0" applyFill="0" applyBorder="0" applyAlignment="0">
      <alignment vertical="top"/>
    </xf>
    <xf numFmtId="0" fontId="26" fillId="0" borderId="11" applyNumberFormat="0" applyFill="0">
      <alignment vertical="center" wrapText="1"/>
    </xf>
    <xf numFmtId="0" fontId="27" fillId="16" borderId="7" applyNumberFormat="0"/>
    <xf numFmtId="0" fontId="15" fillId="0" borderId="9" applyNumberFormat="0" applyFill="0"/>
    <xf numFmtId="0" fontId="29" fillId="17" borderId="0" applyNumberFormat="0">
      <alignment vertical="center" wrapText="1"/>
    </xf>
    <xf numFmtId="0" fontId="15" fillId="0" borderId="12" applyNumberFormat="0"/>
    <xf numFmtId="0" fontId="29" fillId="16" borderId="8" applyNumberFormat="0">
      <alignment vertical="center" wrapText="1"/>
    </xf>
    <xf numFmtId="0" fontId="15" fillId="0" borderId="14" applyNumberFormat="0" applyFill="0"/>
    <xf numFmtId="0" fontId="30" fillId="16" borderId="8" applyNumberFormat="0"/>
    <xf numFmtId="0" fontId="28" fillId="16" borderId="8" applyNumberFormat="0"/>
    <xf numFmtId="0" fontId="31" fillId="13" borderId="0" applyNumberFormat="0" applyBorder="0" applyAlignment="0"/>
    <xf numFmtId="0" fontId="31" fillId="18" borderId="0" applyNumberFormat="0" applyBorder="0" applyAlignment="0"/>
    <xf numFmtId="0" fontId="31" fillId="19" borderId="0" applyNumberFormat="0" applyBorder="0" applyAlignment="0"/>
    <xf numFmtId="0" fontId="31" fillId="20" borderId="0" applyNumberFormat="0" applyBorder="0" applyAlignment="0"/>
    <xf numFmtId="0" fontId="31" fillId="21" borderId="0" applyNumberFormat="0" applyBorder="0" applyAlignment="0"/>
    <xf numFmtId="0" fontId="15" fillId="25" borderId="9" applyNumberFormat="0" applyAlignment="0">
      <alignment vertical="top"/>
    </xf>
    <xf numFmtId="0" fontId="22" fillId="0" borderId="15" applyNumberFormat="0" applyFill="0" applyAlignment="0">
      <alignment vertical="top"/>
    </xf>
    <xf numFmtId="0" fontId="18" fillId="23" borderId="0" applyNumberFormat="0" applyBorder="0" applyAlignment="0"/>
    <xf numFmtId="0" fontId="19" fillId="22" borderId="0" applyNumberFormat="0" applyBorder="0" applyAlignment="0" applyProtection="0"/>
    <xf numFmtId="0" fontId="33" fillId="9" borderId="0" applyNumberFormat="0" applyBorder="0" applyAlignment="0" applyProtection="0"/>
    <xf numFmtId="0" fontId="15" fillId="15" borderId="9" applyNumberFormat="0" applyAlignment="0"/>
    <xf numFmtId="0" fontId="34" fillId="0" borderId="17" applyNumberFormat="0" applyFill="0" applyAlignment="0"/>
    <xf numFmtId="0" fontId="16" fillId="0" borderId="0" applyNumberFormat="0" applyFill="0" applyBorder="0" applyAlignment="0"/>
    <xf numFmtId="0" fontId="15" fillId="24" borderId="9" applyNumberFormat="0" applyAlignment="0" applyProtection="0"/>
    <xf numFmtId="0" fontId="15" fillId="10" borderId="0" applyNumberFormat="0" applyAlignment="0"/>
    <xf numFmtId="0" fontId="16" fillId="0" borderId="0" applyNumberFormat="0" applyFill="0" applyAlignment="0"/>
    <xf numFmtId="0" fontId="15" fillId="14" borderId="16" applyNumberFormat="0" applyAlignment="0"/>
    <xf numFmtId="0" fontId="18" fillId="12" borderId="0" applyNumberFormat="0" applyBorder="0" applyAlignment="0"/>
    <xf numFmtId="0" fontId="14" fillId="0" borderId="0" applyNumberFormat="0" applyFill="0"/>
    <xf numFmtId="0" fontId="32" fillId="0" borderId="18" applyNumberFormat="0" applyFill="0" applyAlignment="0" applyProtection="0"/>
    <xf numFmtId="166" fontId="15" fillId="0" borderId="0" applyFill="0" applyBorder="0" applyAlignment="0" applyProtection="0"/>
    <xf numFmtId="167" fontId="15" fillId="0" borderId="0" applyFill="0" applyBorder="0" applyAlignment="0" applyProtection="0"/>
    <xf numFmtId="165" fontId="15" fillId="0" borderId="0" applyFill="0" applyBorder="0" applyAlignment="0" applyProtection="0"/>
    <xf numFmtId="164" fontId="15" fillId="0" borderId="0" applyFill="0" applyBorder="0" applyAlignment="0" applyProtection="0"/>
    <xf numFmtId="9" fontId="15" fillId="0" borderId="0" applyFill="0" applyBorder="0" applyAlignment="0" applyProtection="0"/>
    <xf numFmtId="0" fontId="31" fillId="17" borderId="0" applyNumberFormat="0" applyBorder="0" applyAlignment="0"/>
    <xf numFmtId="0" fontId="37" fillId="0" borderId="0" applyNumberFormat="0" applyFill="0" applyBorder="0" applyAlignment="0"/>
    <xf numFmtId="0" fontId="14" fillId="29" borderId="7" applyNumberFormat="0" applyAlignment="0"/>
    <xf numFmtId="0" fontId="17" fillId="29" borderId="8" applyNumberFormat="0" applyAlignment="0"/>
    <xf numFmtId="0" fontId="36" fillId="29" borderId="13" applyNumberFormat="0" applyAlignment="0"/>
    <xf numFmtId="0" fontId="15" fillId="14" borderId="10" applyNumberFormat="0" applyAlignment="0"/>
    <xf numFmtId="0" fontId="15" fillId="27" borderId="10" applyNumberFormat="0" applyAlignment="0"/>
    <xf numFmtId="0" fontId="15" fillId="28" borderId="10" applyNumberFormat="0" applyAlignment="0"/>
    <xf numFmtId="0" fontId="15" fillId="15" borderId="10" applyNumberFormat="0" applyAlignment="0"/>
    <xf numFmtId="0" fontId="15" fillId="26" borderId="10" applyNumberFormat="0" applyAlignment="0"/>
  </cellStyleXfs>
  <cellXfs count="103">
    <xf numFmtId="0" fontId="0" fillId="0" borderId="0" xfId="0"/>
    <xf numFmtId="0" fontId="0" fillId="0" borderId="0" xfId="0"/>
    <xf numFmtId="0" fontId="0" fillId="31" borderId="21" xfId="0" applyFill="1" applyBorder="1"/>
    <xf numFmtId="0" fontId="0" fillId="31" borderId="22" xfId="0" applyFill="1" applyBorder="1"/>
    <xf numFmtId="0" fontId="0" fillId="31" borderId="23" xfId="0" applyFill="1" applyBorder="1"/>
    <xf numFmtId="2" fontId="0" fillId="31" borderId="21" xfId="0" applyNumberFormat="1" applyFill="1" applyBorder="1" applyAlignment="1">
      <alignment horizontal="center" vertical="center"/>
    </xf>
    <xf numFmtId="2" fontId="0" fillId="31" borderId="22" xfId="0" applyNumberFormat="1" applyFill="1" applyBorder="1" applyAlignment="1">
      <alignment horizontal="center" vertical="center"/>
    </xf>
    <xf numFmtId="9" fontId="15" fillId="31" borderId="21" xfId="64" applyFill="1" applyBorder="1" applyAlignment="1">
      <alignment horizontal="center" vertical="center"/>
    </xf>
    <xf numFmtId="9" fontId="15" fillId="31" borderId="22" xfId="64" applyFill="1" applyBorder="1" applyAlignment="1">
      <alignment horizontal="center" vertical="center"/>
    </xf>
    <xf numFmtId="0" fontId="10" fillId="30" borderId="25" xfId="0" applyFont="1" applyFill="1" applyBorder="1" applyAlignment="1">
      <alignment horizontal="center" vertical="center"/>
    </xf>
    <xf numFmtId="0" fontId="10" fillId="30" borderId="20" xfId="0" applyFont="1" applyFill="1" applyBorder="1" applyAlignment="1">
      <alignment horizontal="center" vertical="center"/>
    </xf>
    <xf numFmtId="168" fontId="15" fillId="31" borderId="21" xfId="64" applyNumberFormat="1" applyFill="1" applyBorder="1" applyAlignment="1">
      <alignment horizontal="center" vertical="center"/>
    </xf>
    <xf numFmtId="168" fontId="15" fillId="31" borderId="22" xfId="64" applyNumberFormat="1" applyFill="1" applyBorder="1" applyAlignment="1">
      <alignment horizontal="center" vertical="center"/>
    </xf>
    <xf numFmtId="0" fontId="0" fillId="32" borderId="22" xfId="0" applyFill="1" applyBorder="1"/>
    <xf numFmtId="2" fontId="0" fillId="32" borderId="22" xfId="0" applyNumberFormat="1" applyFill="1" applyBorder="1" applyAlignment="1">
      <alignment horizontal="center" vertical="center"/>
    </xf>
    <xf numFmtId="168" fontId="15" fillId="32" borderId="22" xfId="64" applyNumberFormat="1" applyFill="1" applyBorder="1" applyAlignment="1">
      <alignment horizontal="center" vertical="center"/>
    </xf>
    <xf numFmtId="9" fontId="15" fillId="32" borderId="22" xfId="64" applyFill="1" applyBorder="1" applyAlignment="1">
      <alignment horizontal="center" vertical="center"/>
    </xf>
    <xf numFmtId="0" fontId="0" fillId="32" borderId="23" xfId="0" applyFill="1" applyBorder="1"/>
    <xf numFmtId="2" fontId="0" fillId="32" borderId="23" xfId="0" applyNumberFormat="1" applyFill="1" applyBorder="1" applyAlignment="1">
      <alignment horizontal="center" vertical="center"/>
    </xf>
    <xf numFmtId="168" fontId="15" fillId="32" borderId="23" xfId="64" applyNumberFormat="1" applyFill="1" applyBorder="1" applyAlignment="1">
      <alignment horizontal="center" vertical="center"/>
    </xf>
    <xf numFmtId="9" fontId="15" fillId="32" borderId="23" xfId="64" applyFill="1" applyBorder="1" applyAlignment="1">
      <alignment horizontal="center" vertical="center"/>
    </xf>
    <xf numFmtId="169" fontId="0" fillId="31" borderId="22" xfId="0" applyNumberFormat="1" applyFill="1" applyBorder="1" applyAlignment="1">
      <alignment horizontal="center" vertical="center"/>
    </xf>
    <xf numFmtId="169" fontId="0" fillId="31" borderId="21" xfId="0" applyNumberFormat="1" applyFill="1" applyBorder="1" applyAlignment="1">
      <alignment horizontal="center" vertical="center"/>
    </xf>
    <xf numFmtId="169" fontId="0" fillId="31" borderId="23" xfId="0" applyNumberFormat="1" applyFill="1" applyBorder="1" applyAlignment="1">
      <alignment horizontal="center" vertical="center"/>
    </xf>
    <xf numFmtId="0" fontId="35" fillId="33" borderId="25" xfId="0" applyFont="1" applyFill="1" applyBorder="1" applyAlignment="1">
      <alignment horizontal="center" vertical="center"/>
    </xf>
    <xf numFmtId="0" fontId="35" fillId="33" borderId="20" xfId="0" applyFont="1" applyFill="1" applyBorder="1" applyAlignment="1">
      <alignment horizontal="center" vertical="center"/>
    </xf>
    <xf numFmtId="0" fontId="35" fillId="33" borderId="26" xfId="0" applyFont="1" applyFill="1" applyBorder="1" applyAlignment="1">
      <alignment horizontal="center" vertical="center"/>
    </xf>
    <xf numFmtId="0" fontId="35" fillId="33" borderId="21" xfId="0" applyFont="1" applyFill="1" applyBorder="1"/>
    <xf numFmtId="0" fontId="35" fillId="33" borderId="23" xfId="0" applyFont="1" applyFill="1" applyBorder="1"/>
    <xf numFmtId="0" fontId="39" fillId="31" borderId="0" xfId="0" applyFont="1" applyFill="1" applyAlignment="1">
      <alignment vertical="center" wrapText="1"/>
    </xf>
    <xf numFmtId="0" fontId="40" fillId="31" borderId="0" xfId="0" applyFont="1" applyFill="1"/>
    <xf numFmtId="0" fontId="41" fillId="31" borderId="0" xfId="0" applyFont="1" applyFill="1" applyAlignment="1">
      <alignment vertical="center"/>
    </xf>
    <xf numFmtId="0" fontId="41" fillId="0" borderId="0" xfId="0" applyFont="1" applyAlignment="1">
      <alignment vertical="center"/>
    </xf>
    <xf numFmtId="0" fontId="42" fillId="31" borderId="0" xfId="0" applyFont="1" applyFill="1"/>
    <xf numFmtId="0" fontId="43" fillId="31" borderId="0" xfId="0" applyFont="1" applyFill="1"/>
    <xf numFmtId="0" fontId="44" fillId="34" borderId="0" xfId="0" applyFont="1" applyFill="1"/>
    <xf numFmtId="0" fontId="45" fillId="35" borderId="0" xfId="0" applyFont="1" applyFill="1"/>
    <xf numFmtId="0" fontId="46" fillId="31" borderId="0" xfId="0" applyFont="1" applyFill="1"/>
    <xf numFmtId="9" fontId="15" fillId="31" borderId="21" xfId="64" applyNumberFormat="1" applyFill="1" applyBorder="1" applyAlignment="1">
      <alignment horizontal="center" vertical="center"/>
    </xf>
    <xf numFmtId="0" fontId="0" fillId="31" borderId="0" xfId="0" applyFill="1"/>
    <xf numFmtId="0" fontId="26" fillId="31" borderId="0" xfId="0" applyFont="1" applyFill="1"/>
    <xf numFmtId="168" fontId="15" fillId="31" borderId="0" xfId="64" applyNumberFormat="1" applyFill="1"/>
    <xf numFmtId="2" fontId="15" fillId="31" borderId="0" xfId="64" applyNumberFormat="1" applyFill="1"/>
    <xf numFmtId="2" fontId="0" fillId="31" borderId="0" xfId="0" applyNumberFormat="1" applyFill="1" applyAlignment="1">
      <alignment horizontal="center" vertical="center"/>
    </xf>
    <xf numFmtId="168" fontId="15" fillId="31" borderId="0" xfId="64" applyNumberFormat="1" applyFill="1" applyAlignment="1">
      <alignment horizontal="center" vertical="center"/>
    </xf>
    <xf numFmtId="9" fontId="15" fillId="31" borderId="0" xfId="64" applyFill="1"/>
    <xf numFmtId="169" fontId="0" fillId="31" borderId="0" xfId="0" applyNumberFormat="1" applyFill="1"/>
    <xf numFmtId="0" fontId="47" fillId="31" borderId="26" xfId="0" applyFont="1" applyFill="1" applyBorder="1"/>
    <xf numFmtId="0" fontId="45" fillId="31" borderId="26" xfId="0" applyFont="1" applyFill="1" applyBorder="1"/>
    <xf numFmtId="0" fontId="35" fillId="33" borderId="27" xfId="0" applyFont="1" applyFill="1" applyBorder="1"/>
    <xf numFmtId="0" fontId="35" fillId="33" borderId="28" xfId="0" applyFont="1" applyFill="1" applyBorder="1" applyAlignment="1">
      <alignment horizontal="center" vertical="center"/>
    </xf>
    <xf numFmtId="0" fontId="35" fillId="33" borderId="29" xfId="0" applyFont="1" applyFill="1" applyBorder="1" applyAlignment="1">
      <alignment horizontal="center" vertical="center"/>
    </xf>
    <xf numFmtId="10" fontId="15" fillId="31" borderId="0" xfId="64" applyNumberFormat="1" applyFill="1"/>
    <xf numFmtId="10" fontId="0" fillId="31" borderId="0" xfId="0" applyNumberFormat="1" applyFill="1"/>
    <xf numFmtId="169" fontId="15" fillId="31" borderId="0" xfId="64" applyNumberFormat="1" applyFill="1" applyAlignment="1">
      <alignment horizontal="center" vertical="center"/>
    </xf>
    <xf numFmtId="169" fontId="15" fillId="31" borderId="21" xfId="64" applyNumberFormat="1" applyFill="1" applyBorder="1" applyAlignment="1">
      <alignment horizontal="center" vertical="center"/>
    </xf>
    <xf numFmtId="169" fontId="15" fillId="32" borderId="22" xfId="64" applyNumberFormat="1" applyFill="1" applyBorder="1" applyAlignment="1">
      <alignment horizontal="center" vertical="center"/>
    </xf>
    <xf numFmtId="169" fontId="15" fillId="31" borderId="22" xfId="64" applyNumberFormat="1" applyFill="1" applyBorder="1" applyAlignment="1">
      <alignment horizontal="center" vertical="center"/>
    </xf>
    <xf numFmtId="169" fontId="15" fillId="32" borderId="23" xfId="64" applyNumberFormat="1" applyFill="1" applyBorder="1" applyAlignment="1">
      <alignment horizontal="center" vertical="center"/>
    </xf>
    <xf numFmtId="0" fontId="0" fillId="36" borderId="0" xfId="0" applyFill="1"/>
    <xf numFmtId="10" fontId="15" fillId="31" borderId="21" xfId="64" applyNumberFormat="1" applyFill="1" applyBorder="1" applyAlignment="1">
      <alignment horizontal="center" vertical="center"/>
    </xf>
    <xf numFmtId="0" fontId="0" fillId="31" borderId="24" xfId="0" applyFill="1" applyBorder="1"/>
    <xf numFmtId="0" fontId="0" fillId="31" borderId="31" xfId="0" applyFill="1" applyBorder="1"/>
    <xf numFmtId="0" fontId="0" fillId="31" borderId="21" xfId="0" applyFill="1" applyBorder="1" applyAlignment="1">
      <alignment horizontal="center" vertical="center"/>
    </xf>
    <xf numFmtId="9" fontId="15" fillId="31" borderId="19" xfId="64" applyFill="1" applyBorder="1" applyAlignment="1">
      <alignment horizontal="center" vertical="center"/>
    </xf>
    <xf numFmtId="0" fontId="0" fillId="31" borderId="22" xfId="0" applyFill="1" applyBorder="1" applyAlignment="1">
      <alignment horizontal="center" vertical="center"/>
    </xf>
    <xf numFmtId="9" fontId="15" fillId="31" borderId="32" xfId="64" applyFill="1" applyBorder="1" applyAlignment="1">
      <alignment horizontal="center" vertical="center"/>
    </xf>
    <xf numFmtId="0" fontId="10" fillId="30" borderId="31" xfId="0" applyFont="1" applyFill="1" applyBorder="1" applyAlignment="1">
      <alignment horizontal="center" vertical="center"/>
    </xf>
    <xf numFmtId="0" fontId="10" fillId="30" borderId="32" xfId="0" applyFont="1" applyFill="1" applyBorder="1" applyAlignment="1">
      <alignment horizontal="center" vertical="center"/>
    </xf>
    <xf numFmtId="0" fontId="0" fillId="32" borderId="31" xfId="0" applyFill="1" applyBorder="1"/>
    <xf numFmtId="0" fontId="0" fillId="32" borderId="22" xfId="0" applyFill="1" applyBorder="1" applyAlignment="1">
      <alignment horizontal="center" vertical="center"/>
    </xf>
    <xf numFmtId="169" fontId="0" fillId="32" borderId="22" xfId="0" applyNumberFormat="1" applyFill="1" applyBorder="1" applyAlignment="1">
      <alignment horizontal="center" vertical="center"/>
    </xf>
    <xf numFmtId="9" fontId="15" fillId="32" borderId="32" xfId="64" applyFill="1" applyBorder="1" applyAlignment="1">
      <alignment horizontal="center" vertical="center"/>
    </xf>
    <xf numFmtId="0" fontId="26" fillId="32" borderId="25" xfId="0" applyFont="1" applyFill="1" applyBorder="1"/>
    <xf numFmtId="0" fontId="26" fillId="32" borderId="23" xfId="0" applyFont="1" applyFill="1" applyBorder="1"/>
    <xf numFmtId="0" fontId="26" fillId="32" borderId="23" xfId="0" applyFont="1" applyFill="1" applyBorder="1" applyAlignment="1">
      <alignment horizontal="center" vertical="center"/>
    </xf>
    <xf numFmtId="169" fontId="26" fillId="32" borderId="23" xfId="0" applyNumberFormat="1" applyFont="1" applyFill="1" applyBorder="1" applyAlignment="1">
      <alignment horizontal="center" vertical="center"/>
    </xf>
    <xf numFmtId="9" fontId="26" fillId="32" borderId="20" xfId="64" applyFont="1" applyFill="1" applyBorder="1" applyAlignment="1">
      <alignment horizontal="center" vertical="center"/>
    </xf>
    <xf numFmtId="0" fontId="48" fillId="31" borderId="25" xfId="0" applyFont="1" applyFill="1" applyBorder="1"/>
    <xf numFmtId="0" fontId="48" fillId="31" borderId="23" xfId="0" applyFont="1" applyFill="1" applyBorder="1"/>
    <xf numFmtId="0" fontId="48" fillId="31" borderId="23" xfId="0" applyFont="1" applyFill="1" applyBorder="1" applyAlignment="1">
      <alignment horizontal="center" vertical="center"/>
    </xf>
    <xf numFmtId="169" fontId="48" fillId="31" borderId="23" xfId="0" applyNumberFormat="1" applyFont="1" applyFill="1" applyBorder="1" applyAlignment="1">
      <alignment horizontal="center" vertical="center"/>
    </xf>
    <xf numFmtId="9" fontId="48" fillId="31" borderId="20" xfId="64" applyFont="1" applyFill="1" applyBorder="1" applyAlignment="1">
      <alignment horizontal="center" vertical="center"/>
    </xf>
    <xf numFmtId="0" fontId="48" fillId="31" borderId="31" xfId="0" applyFont="1" applyFill="1" applyBorder="1"/>
    <xf numFmtId="0" fontId="48" fillId="31" borderId="22" xfId="0" applyFont="1" applyFill="1" applyBorder="1"/>
    <xf numFmtId="0" fontId="48" fillId="31" borderId="22" xfId="0" applyFont="1" applyFill="1" applyBorder="1" applyAlignment="1">
      <alignment horizontal="center" vertical="center"/>
    </xf>
    <xf numFmtId="169" fontId="48" fillId="31" borderId="22" xfId="0" applyNumberFormat="1" applyFont="1" applyFill="1" applyBorder="1" applyAlignment="1">
      <alignment horizontal="center" vertical="center"/>
    </xf>
    <xf numFmtId="9" fontId="48" fillId="31" borderId="32" xfId="64" applyFont="1" applyFill="1" applyBorder="1" applyAlignment="1">
      <alignment horizontal="center" vertical="center"/>
    </xf>
    <xf numFmtId="0" fontId="10" fillId="30" borderId="21" xfId="0" applyFont="1" applyFill="1" applyBorder="1" applyAlignment="1">
      <alignment horizontal="center" vertical="center"/>
    </xf>
    <xf numFmtId="0" fontId="10" fillId="30" borderId="23" xfId="0" applyFont="1" applyFill="1" applyBorder="1" applyAlignment="1">
      <alignment horizontal="center" vertical="center"/>
    </xf>
    <xf numFmtId="0" fontId="10" fillId="30" borderId="19" xfId="0" applyFont="1" applyFill="1" applyBorder="1" applyAlignment="1">
      <alignment horizontal="center" vertical="center" wrapText="1"/>
    </xf>
    <xf numFmtId="0" fontId="10" fillId="30" borderId="20" xfId="0" applyFont="1" applyFill="1" applyBorder="1" applyAlignment="1">
      <alignment horizontal="center" vertical="center" wrapText="1"/>
    </xf>
    <xf numFmtId="0" fontId="10" fillId="30" borderId="24" xfId="0" applyFont="1" applyFill="1" applyBorder="1" applyAlignment="1">
      <alignment horizontal="center" vertical="center"/>
    </xf>
    <xf numFmtId="0" fontId="10" fillId="30" borderId="19" xfId="0" applyFont="1" applyFill="1" applyBorder="1" applyAlignment="1">
      <alignment horizontal="center" vertical="center"/>
    </xf>
    <xf numFmtId="0" fontId="10" fillId="30" borderId="24" xfId="0" applyFont="1" applyFill="1" applyBorder="1" applyAlignment="1">
      <alignment horizontal="center" vertical="center" wrapText="1"/>
    </xf>
    <xf numFmtId="0" fontId="10" fillId="30" borderId="25" xfId="0" applyFont="1" applyFill="1" applyBorder="1" applyAlignment="1">
      <alignment horizontal="center" vertical="center" wrapText="1"/>
    </xf>
    <xf numFmtId="0" fontId="35" fillId="33" borderId="24" xfId="0" applyFont="1" applyFill="1" applyBorder="1" applyAlignment="1">
      <alignment horizontal="center" vertical="center"/>
    </xf>
    <xf numFmtId="0" fontId="35" fillId="33" borderId="19" xfId="0" applyFont="1" applyFill="1" applyBorder="1" applyAlignment="1">
      <alignment horizontal="center" vertical="center"/>
    </xf>
    <xf numFmtId="0" fontId="10" fillId="30" borderId="30" xfId="0" applyFont="1" applyFill="1" applyBorder="1" applyAlignment="1">
      <alignment horizontal="center" vertical="center" wrapText="1"/>
    </xf>
    <xf numFmtId="0" fontId="10" fillId="30" borderId="0" xfId="0" applyFont="1" applyFill="1" applyBorder="1" applyAlignment="1">
      <alignment horizontal="center" vertical="center" wrapText="1"/>
    </xf>
    <xf numFmtId="0" fontId="10" fillId="30" borderId="22" xfId="0" applyFont="1" applyFill="1" applyBorder="1" applyAlignment="1">
      <alignment horizontal="center" vertical="center"/>
    </xf>
    <xf numFmtId="0" fontId="10" fillId="30" borderId="32" xfId="0" applyFont="1" applyFill="1" applyBorder="1" applyAlignment="1">
      <alignment horizontal="center" vertical="center" wrapText="1"/>
    </xf>
    <xf numFmtId="0" fontId="10" fillId="30" borderId="31" xfId="0" applyFont="1" applyFill="1" applyBorder="1" applyAlignment="1">
      <alignment horizontal="center" vertical="center" wrapText="1"/>
    </xf>
  </cellXfs>
  <cellStyles count="75">
    <cellStyle name="Bad" xfId="7" builtinId="27" hidden="1"/>
    <cellStyle name="Bad" xfId="47" builtinId="27" customBuiltin="1"/>
    <cellStyle name="Calculation" xfId="11" builtinId="22" hidden="1"/>
    <cellStyle name="Calculation" xfId="50" builtinId="22" customBuiltin="1"/>
    <cellStyle name="Check Cell" xfId="13" builtinId="23" hidden="1"/>
    <cellStyle name="Check Cell" xfId="51" builtinId="23" customBuiltin="1"/>
    <cellStyle name="Comma" xfId="60" builtinId="3" customBuiltin="1"/>
    <cellStyle name="Comma [0]" xfId="61" builtinId="6" customBuiltin="1"/>
    <cellStyle name="Currency" xfId="62" builtinId="4" customBuiltin="1"/>
    <cellStyle name="Currency [0]" xfId="63" builtinId="7" customBuiltin="1"/>
    <cellStyle name="Explanatory Text" xfId="16" builtinId="53" hidden="1"/>
    <cellStyle name="Explanatory Text" xfId="52" builtinId="53" customBuiltin="1"/>
    <cellStyle name="Followed Hyperlink" xfId="30" builtinId="9" customBuiltin="1"/>
    <cellStyle name="Good" xfId="6" builtinId="26" hidden="1"/>
    <cellStyle name="Good" xfId="48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29" builtinId="8" customBuiltin="1"/>
    <cellStyle name="Input" xfId="9" builtinId="20" hidden="1"/>
    <cellStyle name="Input" xfId="53" builtinId="20" customBuiltin="1"/>
    <cellStyle name="Linked Cell" xfId="12" builtinId="24" hidden="1"/>
    <cellStyle name="Linked Cell" xfId="54" builtinId="24" customBuiltin="1"/>
    <cellStyle name="N_Accent07" xfId="65" xr:uid="{00000000-0005-0000-0000-000030000000}"/>
    <cellStyle name="N_Accent08" xfId="40" xr:uid="{00000000-0005-0000-0000-000031000000}"/>
    <cellStyle name="N_Accent09" xfId="41" xr:uid="{00000000-0005-0000-0000-000032000000}"/>
    <cellStyle name="N_Accent10" xfId="42" xr:uid="{00000000-0005-0000-0000-000033000000}"/>
    <cellStyle name="N_Accent11" xfId="43" xr:uid="{00000000-0005-0000-0000-000034000000}"/>
    <cellStyle name="N_Accent12" xfId="44" xr:uid="{00000000-0005-0000-0000-000035000000}"/>
    <cellStyle name="N_Calc1" xfId="70" xr:uid="{00000000-0005-0000-0000-000036000000}"/>
    <cellStyle name="N_Calc2" xfId="71" xr:uid="{00000000-0005-0000-0000-000037000000}"/>
    <cellStyle name="N_Calc3" xfId="72" xr:uid="{00000000-0005-0000-0000-000038000000}"/>
    <cellStyle name="N_Calc4" xfId="73" xr:uid="{00000000-0005-0000-0000-000039000000}"/>
    <cellStyle name="N_Calc5" xfId="74" xr:uid="{00000000-0005-0000-0000-00003A000000}"/>
    <cellStyle name="N_CalcSum" xfId="25" xr:uid="{00000000-0005-0000-0000-00003B000000}"/>
    <cellStyle name="N_Check" xfId="23" xr:uid="{00000000-0005-0000-0000-00003C000000}"/>
    <cellStyle name="N_Comment" xfId="18" xr:uid="{00000000-0005-0000-0000-00003D000000}"/>
    <cellStyle name="N_Dark_H1" xfId="32" xr:uid="{00000000-0005-0000-0000-00003E000000}"/>
    <cellStyle name="N_Dark_H2" xfId="39" xr:uid="{00000000-0005-0000-0000-00003F000000}"/>
    <cellStyle name="N_Dark_H3" xfId="38" xr:uid="{00000000-0005-0000-0000-000040000000}"/>
    <cellStyle name="N_Footer" xfId="46" xr:uid="{00000000-0005-0000-0000-000041000000}"/>
    <cellStyle name="N_Input" xfId="19" xr:uid="{00000000-0005-0000-0000-000042000000}"/>
    <cellStyle name="N_InputCalc" xfId="27" xr:uid="{00000000-0005-0000-0000-000043000000}"/>
    <cellStyle name="N_InputFixed" xfId="45" xr:uid="{00000000-0005-0000-0000-000044000000}"/>
    <cellStyle name="N_InputList" xfId="21" xr:uid="{00000000-0005-0000-0000-000045000000}"/>
    <cellStyle name="N_InputWhite" xfId="26" xr:uid="{00000000-0005-0000-0000-000046000000}"/>
    <cellStyle name="N_Light_H1" xfId="67" xr:uid="{00000000-0005-0000-0000-000047000000}"/>
    <cellStyle name="N_Light_H2" xfId="68" xr:uid="{00000000-0005-0000-0000-000048000000}"/>
    <cellStyle name="N_Light_H3" xfId="69" xr:uid="{00000000-0005-0000-0000-000049000000}"/>
    <cellStyle name="N_RangeName" xfId="28" xr:uid="{00000000-0005-0000-0000-00004A000000}"/>
    <cellStyle name="N_Source" xfId="24" xr:uid="{00000000-0005-0000-0000-00004B000000}"/>
    <cellStyle name="N_Table0_Cell" xfId="33" xr:uid="{00000000-0005-0000-0000-00004C000000}"/>
    <cellStyle name="N_Table0_Header" xfId="31" xr:uid="{00000000-0005-0000-0000-00004D000000}"/>
    <cellStyle name="N_Table1_Cell" xfId="37" xr:uid="{00000000-0005-0000-0000-00004E000000}"/>
    <cellStyle name="N_Table1_Header" xfId="36" xr:uid="{00000000-0005-0000-0000-00004F000000}"/>
    <cellStyle name="N_Table2_Cell" xfId="35" xr:uid="{00000000-0005-0000-0000-000050000000}"/>
    <cellStyle name="N_Table2_Header" xfId="34" xr:uid="{00000000-0005-0000-0000-000051000000}"/>
    <cellStyle name="N_VBALink" xfId="20" xr:uid="{00000000-0005-0000-0000-000052000000}"/>
    <cellStyle name="N_Warning" xfId="22" xr:uid="{00000000-0005-0000-0000-000053000000}"/>
    <cellStyle name="Neutral" xfId="8" builtinId="28" hidden="1"/>
    <cellStyle name="Neutral" xfId="49" builtinId="28" customBuiltin="1"/>
    <cellStyle name="Normal" xfId="0" builtinId="0" customBuiltin="1"/>
    <cellStyle name="Note" xfId="15" builtinId="10" hidden="1"/>
    <cellStyle name="Note" xfId="55" builtinId="10" customBuiltin="1"/>
    <cellStyle name="NRes_RepTitle" xfId="66" xr:uid="{00000000-0005-0000-0000-000059000000}"/>
    <cellStyle name="Output" xfId="10" builtinId="21" hidden="1"/>
    <cellStyle name="Output" xfId="56" builtinId="21" customBuiltin="1"/>
    <cellStyle name="Percent" xfId="64" builtinId="5" customBuiltin="1"/>
    <cellStyle name="Title" xfId="1" builtinId="15" hidden="1"/>
    <cellStyle name="Title" xfId="58" builtinId="15" customBuiltin="1"/>
    <cellStyle name="Total" xfId="17" builtinId="25" hidden="1"/>
    <cellStyle name="Total" xfId="59" builtinId="25" customBuiltin="1"/>
    <cellStyle name="Warning Text" xfId="14" builtinId="11" hidden="1"/>
    <cellStyle name="Warning Text" xfId="57" builtinId="11" customBuiltin="1"/>
  </cellStyles>
  <dxfs count="10">
    <dxf>
      <font>
        <b/>
        <i val="0"/>
        <color rgb="FFFFFFFF"/>
      </font>
      <fill>
        <patternFill>
          <bgColor rgb="FF95D600"/>
        </patternFill>
      </fill>
    </dxf>
    <dxf>
      <border>
        <top style="thin">
          <color rgb="FF95D600"/>
        </top>
        <bottom style="thin">
          <color rgb="FF95D600"/>
        </bottom>
        <horizontal style="thin">
          <color rgb="FF95D600"/>
        </horizontal>
      </border>
    </dxf>
    <dxf>
      <fill>
        <patternFill patternType="solid">
          <bgColor rgb="FFEFF9DB"/>
        </patternFill>
      </fill>
    </dxf>
    <dxf>
      <font>
        <b/>
        <i val="0"/>
        <color rgb="FFFFFFFF"/>
      </font>
      <fill>
        <patternFill>
          <bgColor rgb="FF95D600"/>
        </patternFill>
      </fill>
    </dxf>
    <dxf>
      <border>
        <top style="thin">
          <color rgb="FF95D600"/>
        </top>
        <bottom style="thin">
          <color rgb="FF95D600"/>
        </bottom>
        <horizontal style="thin">
          <color rgb="FF95D600"/>
        </horizontal>
      </border>
    </dxf>
    <dxf>
      <font>
        <b/>
        <i val="0"/>
        <color rgb="FFFFFFFF"/>
      </font>
      <fill>
        <patternFill>
          <bgColor rgb="FF555759"/>
        </patternFill>
      </fill>
      <border>
        <bottom style="medium">
          <color rgb="FF95D600"/>
        </bottom>
      </border>
    </dxf>
    <dxf>
      <border>
        <top style="thin">
          <color rgb="FFDCDDDE"/>
        </top>
        <bottom style="thin">
          <color rgb="FFDCDDDE"/>
        </bottom>
        <horizontal style="thin">
          <color rgb="FFDCDDDE"/>
        </horizontal>
      </border>
    </dxf>
    <dxf>
      <fill>
        <patternFill>
          <bgColor rgb="FFF2F2F2"/>
        </patternFill>
      </fill>
    </dxf>
    <dxf>
      <font>
        <b/>
        <i val="0"/>
        <color rgb="FFFFFFFF"/>
      </font>
      <fill>
        <patternFill>
          <bgColor rgb="FF555759"/>
        </patternFill>
      </fill>
      <border>
        <bottom style="medium">
          <color rgb="FF95D600"/>
        </bottom>
      </border>
    </dxf>
    <dxf>
      <border>
        <top style="thin">
          <color rgb="FFDCDDDE"/>
        </top>
        <bottom style="thin">
          <color rgb="FFDCDDDE"/>
        </bottom>
        <horizontal style="thin">
          <color rgb="FFDCDDDE"/>
        </horizontal>
      </border>
    </dxf>
  </dxfs>
  <tableStyles count="4" defaultTableStyle="Navigant_01" defaultPivotStyle="PivotStyleLight16">
    <tableStyle name="Navigant_01" pivot="0" count="3" xr9:uid="{00000000-0011-0000-FFFF-FFFF00000000}">
      <tableStyleElement type="wholeTable" dxfId="9"/>
      <tableStyleElement type="headerRow" dxfId="8"/>
      <tableStyleElement type="secondRowStripe" dxfId="7"/>
    </tableStyle>
    <tableStyle name="Navigant_02" pivot="0" count="2" xr9:uid="{00000000-0011-0000-FFFF-FFFF01000000}">
      <tableStyleElement type="wholeTable" dxfId="6"/>
      <tableStyleElement type="headerRow" dxfId="5"/>
    </tableStyle>
    <tableStyle name="Navigant_03" pivot="0" count="3" xr9:uid="{00000000-0011-0000-FFFF-FFFF02000000}">
      <tableStyleElement type="wholeTable" dxfId="4"/>
      <tableStyleElement type="headerRow" dxfId="3"/>
      <tableStyleElement type="secondRowStripe" dxfId="2"/>
    </tableStyle>
    <tableStyle name="Navigant_04" pivot="0" count="2" xr9:uid="{00000000-0011-0000-FFFF-FFFF03000000}">
      <tableStyleElement type="wholeTable" dxfId="1"/>
      <tableStyleElement type="headerRow" dxfId="0"/>
    </tableStyle>
  </tableStyles>
  <colors>
    <mruColors>
      <color rgb="FFB9BBBD"/>
      <color rgb="FFFFD474"/>
      <color rgb="FFFFFFFF"/>
      <color rgb="FF555759"/>
      <color rgb="FFEFF9DB"/>
      <color rgb="FFF5FBE9"/>
      <color rgb="FFE8F6CE"/>
      <color rgb="FFF2F2F2"/>
      <color rgb="FF648C1A"/>
      <color rgb="FFF3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11</xdr:row>
      <xdr:rowOff>152400</xdr:rowOff>
    </xdr:from>
    <xdr:to>
      <xdr:col>0</xdr:col>
      <xdr:colOff>2284095</xdr:colOff>
      <xdr:row>23</xdr:row>
      <xdr:rowOff>2540</xdr:rowOff>
    </xdr:to>
    <xdr:pic>
      <xdr:nvPicPr>
        <xdr:cNvPr id="6" name="image09.jpg" descr="London-Hydro-Logo.jpg">
          <a:extLst>
            <a:ext uri="{FF2B5EF4-FFF2-40B4-BE49-F238E27FC236}">
              <a16:creationId xmlns:a16="http://schemas.microsoft.com/office/drawing/2014/main" id="{E401192A-ABD3-451A-8C2B-0497DA61619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00075" y="3200400"/>
          <a:ext cx="1684020" cy="2018665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180975</xdr:colOff>
      <xdr:row>0</xdr:row>
      <xdr:rowOff>152400</xdr:rowOff>
    </xdr:from>
    <xdr:to>
      <xdr:col>0</xdr:col>
      <xdr:colOff>1725295</xdr:colOff>
      <xdr:row>2</xdr:row>
      <xdr:rowOff>36830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922FEC2-9A74-473D-B9FD-EB874E54C71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0975" y="152400"/>
          <a:ext cx="1541145" cy="24638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Navigant">
      <a:dk1>
        <a:srgbClr val="555759"/>
      </a:dk1>
      <a:lt1>
        <a:sysClr val="window" lastClr="FFFFFF"/>
      </a:lt1>
      <a:dk2>
        <a:srgbClr val="555759"/>
      </a:dk2>
      <a:lt2>
        <a:srgbClr val="FFFFFF"/>
      </a:lt2>
      <a:accent1>
        <a:srgbClr val="555759"/>
      </a:accent1>
      <a:accent2>
        <a:srgbClr val="95D600"/>
      </a:accent2>
      <a:accent3>
        <a:srgbClr val="0093C9"/>
      </a:accent3>
      <a:accent4>
        <a:srgbClr val="FFB718"/>
      </a:accent4>
      <a:accent5>
        <a:srgbClr val="E53C2E"/>
      </a:accent5>
      <a:accent6>
        <a:srgbClr val="8B189B"/>
      </a:accent6>
      <a:hlink>
        <a:srgbClr val="85D206"/>
      </a:hlink>
      <a:folHlink>
        <a:srgbClr val="648C1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807E7-A60E-41C1-BF16-34628D733623}">
  <sheetPr>
    <tabColor theme="6"/>
  </sheetPr>
  <dimension ref="A4:A34"/>
  <sheetViews>
    <sheetView tabSelected="1" workbookViewId="0">
      <selection activeCell="A5" sqref="A5"/>
    </sheetView>
  </sheetViews>
  <sheetFormatPr defaultColWidth="11.5546875" defaultRowHeight="14" x14ac:dyDescent="0.3"/>
  <cols>
    <col min="1" max="1" width="102.6640625" style="30" customWidth="1"/>
    <col min="2" max="16384" width="11.5546875" style="30"/>
  </cols>
  <sheetData>
    <row r="4" spans="1:1" ht="60" x14ac:dyDescent="0.3">
      <c r="A4" s="29" t="s">
        <v>123</v>
      </c>
    </row>
    <row r="5" spans="1:1" ht="18" x14ac:dyDescent="0.3">
      <c r="A5" s="31" t="s">
        <v>104</v>
      </c>
    </row>
    <row r="11" spans="1:1" ht="18" x14ac:dyDescent="0.3">
      <c r="A11" s="32" t="s">
        <v>95</v>
      </c>
    </row>
    <row r="24" spans="1:1" ht="18" x14ac:dyDescent="0.4">
      <c r="A24" s="33" t="s">
        <v>96</v>
      </c>
    </row>
    <row r="25" spans="1:1" x14ac:dyDescent="0.3">
      <c r="A25" s="34" t="s">
        <v>97</v>
      </c>
    </row>
    <row r="26" spans="1:1" x14ac:dyDescent="0.3">
      <c r="A26" s="35" t="s">
        <v>98</v>
      </c>
    </row>
    <row r="27" spans="1:1" x14ac:dyDescent="0.3">
      <c r="A27" s="36" t="s">
        <v>105</v>
      </c>
    </row>
    <row r="30" spans="1:1" x14ac:dyDescent="0.3">
      <c r="A30" s="30" t="s">
        <v>99</v>
      </c>
    </row>
    <row r="31" spans="1:1" x14ac:dyDescent="0.3">
      <c r="A31" s="37" t="s">
        <v>100</v>
      </c>
    </row>
    <row r="32" spans="1:1" x14ac:dyDescent="0.3">
      <c r="A32" s="37" t="s">
        <v>101</v>
      </c>
    </row>
    <row r="33" spans="1:1" x14ac:dyDescent="0.3">
      <c r="A33" s="37" t="s">
        <v>102</v>
      </c>
    </row>
    <row r="34" spans="1:1" x14ac:dyDescent="0.3">
      <c r="A34" s="37" t="s">
        <v>103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B7265-634C-4D13-BCF8-7B55D7BF24AF}">
  <sheetPr>
    <tabColor theme="1"/>
  </sheetPr>
  <dimension ref="A1:M25"/>
  <sheetViews>
    <sheetView workbookViewId="0">
      <selection activeCell="E7" sqref="E7"/>
    </sheetView>
  </sheetViews>
  <sheetFormatPr defaultRowHeight="10" x14ac:dyDescent="0.2"/>
  <sheetData>
    <row r="1" spans="1:13" x14ac:dyDescent="0.2">
      <c r="A1" s="1" t="s">
        <v>31</v>
      </c>
      <c r="B1" s="1" t="s">
        <v>32</v>
      </c>
      <c r="C1" s="1" t="s">
        <v>10</v>
      </c>
      <c r="D1" s="1" t="s">
        <v>33</v>
      </c>
      <c r="E1" s="1" t="s">
        <v>34</v>
      </c>
      <c r="F1" s="1" t="s">
        <v>0</v>
      </c>
      <c r="G1" s="1" t="s">
        <v>1</v>
      </c>
      <c r="H1" s="1" t="s">
        <v>2</v>
      </c>
      <c r="I1" s="1" t="s">
        <v>35</v>
      </c>
      <c r="J1" s="1" t="s">
        <v>3</v>
      </c>
      <c r="K1" s="1" t="s">
        <v>36</v>
      </c>
      <c r="M1" t="s">
        <v>55</v>
      </c>
    </row>
    <row r="2" spans="1:13" x14ac:dyDescent="0.2">
      <c r="A2" s="1">
        <v>-2.8267275054201499E-2</v>
      </c>
      <c r="B2" s="1">
        <v>8.0268119286952294E-2</v>
      </c>
      <c r="C2" s="1">
        <v>0.72471792762008203</v>
      </c>
      <c r="D2" s="1" t="s">
        <v>37</v>
      </c>
      <c r="E2" s="1">
        <v>1</v>
      </c>
      <c r="F2" s="1" t="s">
        <v>13</v>
      </c>
      <c r="G2" s="1" t="s">
        <v>14</v>
      </c>
      <c r="H2" s="1">
        <v>1</v>
      </c>
      <c r="I2" s="1">
        <v>0</v>
      </c>
      <c r="J2" s="1" t="s">
        <v>15</v>
      </c>
      <c r="K2" s="1" t="s">
        <v>38</v>
      </c>
      <c r="M2" t="str">
        <f>$G2&amp;"_"&amp;$J2&amp;"_"&amp;$K2&amp;"_"&amp;I2</f>
        <v>Parts_CPP_CPP/RT_Conts_RCT_Mid-Peak_cpp_dum_0</v>
      </c>
    </row>
    <row r="3" spans="1:13" x14ac:dyDescent="0.2">
      <c r="A3" s="1">
        <v>0.23943846145075501</v>
      </c>
      <c r="B3" s="1">
        <v>0.171265018606582</v>
      </c>
      <c r="C3" s="1">
        <v>0.162096265095037</v>
      </c>
      <c r="D3" s="1" t="s">
        <v>39</v>
      </c>
      <c r="E3" s="1">
        <v>1</v>
      </c>
      <c r="F3" s="1" t="s">
        <v>13</v>
      </c>
      <c r="G3" s="1" t="s">
        <v>14</v>
      </c>
      <c r="H3" s="1">
        <v>1</v>
      </c>
      <c r="I3" s="1">
        <v>0</v>
      </c>
      <c r="J3" s="1" t="s">
        <v>16</v>
      </c>
      <c r="K3" s="1" t="s">
        <v>38</v>
      </c>
      <c r="M3" s="1" t="str">
        <f t="shared" ref="M3:M25" si="0">$G3&amp;"_"&amp;$J3&amp;"_"&amp;$K3&amp;"_"&amp;I3</f>
        <v>Parts_CPP_CPP/RT_Conts_RCT_Off-Peak_cpp_dum_0</v>
      </c>
    </row>
    <row r="4" spans="1:13" x14ac:dyDescent="0.2">
      <c r="A4" s="1">
        <v>-0.114752595104016</v>
      </c>
      <c r="B4" s="1">
        <v>8.0553513808607605E-2</v>
      </c>
      <c r="C4" s="1">
        <v>0.15428768438418999</v>
      </c>
      <c r="D4" s="1" t="s">
        <v>40</v>
      </c>
      <c r="E4" s="1">
        <v>1</v>
      </c>
      <c r="F4" s="1" t="s">
        <v>13</v>
      </c>
      <c r="G4" s="1" t="s">
        <v>14</v>
      </c>
      <c r="H4" s="1">
        <v>1</v>
      </c>
      <c r="I4" s="1">
        <v>0</v>
      </c>
      <c r="J4" s="1" t="s">
        <v>17</v>
      </c>
      <c r="K4" s="1" t="s">
        <v>38</v>
      </c>
      <c r="M4" s="1" t="str">
        <f t="shared" si="0"/>
        <v>Parts_CPP_CPP/RT_Conts_RCT_On-Peak_cpp_dum_0</v>
      </c>
    </row>
    <row r="5" spans="1:13" x14ac:dyDescent="0.2">
      <c r="A5" s="1">
        <v>-9.0680431052716698E-2</v>
      </c>
      <c r="B5" s="1">
        <v>0.34840687970115503</v>
      </c>
      <c r="C5" s="1">
        <v>0.79465436040527304</v>
      </c>
      <c r="D5" s="1" t="s">
        <v>41</v>
      </c>
      <c r="E5" s="1">
        <v>1</v>
      </c>
      <c r="F5" s="1" t="s">
        <v>13</v>
      </c>
      <c r="G5" s="1" t="s">
        <v>14</v>
      </c>
      <c r="H5" s="1">
        <v>1</v>
      </c>
      <c r="I5" s="1">
        <v>0</v>
      </c>
      <c r="J5" s="1" t="s">
        <v>18</v>
      </c>
      <c r="K5" s="1" t="s">
        <v>38</v>
      </c>
      <c r="M5" s="1" t="str">
        <f t="shared" si="0"/>
        <v>Parts_CPP_CPP/RT_Conts_RCT_Weekend Off-Peak_cpp_dum_0</v>
      </c>
    </row>
    <row r="6" spans="1:13" x14ac:dyDescent="0.2">
      <c r="A6" s="1">
        <v>-1.38165342888582E-2</v>
      </c>
      <c r="B6" s="1">
        <v>2.6005971493894601E-3</v>
      </c>
      <c r="C6" s="1">
        <v>1.07984614337369E-7</v>
      </c>
      <c r="D6" s="1" t="s">
        <v>42</v>
      </c>
      <c r="E6" s="1">
        <v>1</v>
      </c>
      <c r="F6" s="1" t="s">
        <v>13</v>
      </c>
      <c r="G6" s="1" t="s">
        <v>14</v>
      </c>
      <c r="H6" s="1">
        <v>1</v>
      </c>
      <c r="I6" s="1">
        <v>1</v>
      </c>
      <c r="J6" s="1" t="s">
        <v>15</v>
      </c>
      <c r="K6" s="1" t="s">
        <v>38</v>
      </c>
      <c r="M6" s="1" t="str">
        <f t="shared" si="0"/>
        <v>Parts_CPP_CPP/RT_Conts_RCT_Mid-Peak_cpp_dum_1</v>
      </c>
    </row>
    <row r="7" spans="1:13" x14ac:dyDescent="0.2">
      <c r="A7" s="1">
        <v>-6.1680157709856701E-4</v>
      </c>
      <c r="B7" s="1">
        <v>4.59557888650018E-3</v>
      </c>
      <c r="C7" s="1">
        <v>0.89323159839350896</v>
      </c>
      <c r="D7" s="1" t="s">
        <v>43</v>
      </c>
      <c r="E7" s="1">
        <v>1</v>
      </c>
      <c r="F7" s="1" t="s">
        <v>13</v>
      </c>
      <c r="G7" s="1" t="s">
        <v>14</v>
      </c>
      <c r="H7" s="1">
        <v>1</v>
      </c>
      <c r="I7" s="1">
        <v>1</v>
      </c>
      <c r="J7" s="1" t="s">
        <v>16</v>
      </c>
      <c r="K7" s="1" t="s">
        <v>38</v>
      </c>
      <c r="M7" s="1" t="str">
        <f t="shared" si="0"/>
        <v>Parts_CPP_CPP/RT_Conts_RCT_Off-Peak_cpp_dum_1</v>
      </c>
    </row>
    <row r="8" spans="1:13" x14ac:dyDescent="0.2">
      <c r="A8" s="1">
        <v>-7.1233951929104604E-3</v>
      </c>
      <c r="B8" s="1">
        <v>2.36940884318143E-3</v>
      </c>
      <c r="C8" s="1">
        <v>2.6437354367711699E-3</v>
      </c>
      <c r="D8" s="1" t="s">
        <v>44</v>
      </c>
      <c r="E8" s="1">
        <v>1</v>
      </c>
      <c r="F8" s="1" t="s">
        <v>13</v>
      </c>
      <c r="G8" s="1" t="s">
        <v>14</v>
      </c>
      <c r="H8" s="1">
        <v>1</v>
      </c>
      <c r="I8" s="1">
        <v>1</v>
      </c>
      <c r="J8" s="1" t="s">
        <v>17</v>
      </c>
      <c r="K8" s="1" t="s">
        <v>38</v>
      </c>
      <c r="M8" s="1" t="str">
        <f t="shared" si="0"/>
        <v>Parts_CPP_CPP/RT_Conts_RCT_On-Peak_cpp_dum_1</v>
      </c>
    </row>
    <row r="9" spans="1:13" x14ac:dyDescent="0.2">
      <c r="A9" s="1">
        <v>1.04012314070374E-4</v>
      </c>
      <c r="B9" s="1">
        <v>3.76818004515562E-3</v>
      </c>
      <c r="C9" s="1">
        <v>0.977978961637467</v>
      </c>
      <c r="D9" s="1" t="s">
        <v>45</v>
      </c>
      <c r="E9" s="1">
        <v>1</v>
      </c>
      <c r="F9" s="1" t="s">
        <v>13</v>
      </c>
      <c r="G9" s="1" t="s">
        <v>14</v>
      </c>
      <c r="H9" s="1">
        <v>1</v>
      </c>
      <c r="I9" s="1">
        <v>1</v>
      </c>
      <c r="J9" s="1" t="s">
        <v>18</v>
      </c>
      <c r="K9" s="1" t="s">
        <v>38</v>
      </c>
      <c r="M9" s="1" t="str">
        <f t="shared" si="0"/>
        <v>Parts_CPP_CPP/RT_Conts_RCT_Weekend Off-Peak_cpp_dum_1</v>
      </c>
    </row>
    <row r="10" spans="1:13" x14ac:dyDescent="0.2">
      <c r="A10" s="1">
        <v>-8.4743720406190695E-4</v>
      </c>
      <c r="B10" s="1">
        <v>6.9511386453414203E-2</v>
      </c>
      <c r="C10" s="1">
        <v>0.99027295960029504</v>
      </c>
      <c r="D10" s="1" t="s">
        <v>46</v>
      </c>
      <c r="E10" s="1">
        <v>1</v>
      </c>
      <c r="F10" s="1" t="s">
        <v>13</v>
      </c>
      <c r="G10" s="1" t="s">
        <v>19</v>
      </c>
      <c r="H10" s="1">
        <v>2</v>
      </c>
      <c r="I10" s="1">
        <v>0</v>
      </c>
      <c r="J10" s="1" t="s">
        <v>15</v>
      </c>
      <c r="K10" s="1" t="s">
        <v>47</v>
      </c>
      <c r="M10" s="1" t="str">
        <f t="shared" si="0"/>
        <v>Parts_RT_Conts_RCT_Mid-Peak_rt_dum_0</v>
      </c>
    </row>
    <row r="11" spans="1:13" x14ac:dyDescent="0.2">
      <c r="A11" s="1">
        <v>0.222207619009722</v>
      </c>
      <c r="B11" s="1">
        <v>0.14031954394431001</v>
      </c>
      <c r="C11" s="1">
        <v>0.113289150210913</v>
      </c>
      <c r="D11" s="1" t="s">
        <v>48</v>
      </c>
      <c r="E11" s="1">
        <v>1</v>
      </c>
      <c r="F11" s="1" t="s">
        <v>13</v>
      </c>
      <c r="G11" s="1" t="s">
        <v>19</v>
      </c>
      <c r="H11" s="1">
        <v>2</v>
      </c>
      <c r="I11" s="1">
        <v>0</v>
      </c>
      <c r="J11" s="1" t="s">
        <v>16</v>
      </c>
      <c r="K11" s="1" t="s">
        <v>47</v>
      </c>
      <c r="M11" s="1" t="str">
        <f t="shared" si="0"/>
        <v>Parts_RT_Conts_RCT_Off-Peak_rt_dum_0</v>
      </c>
    </row>
    <row r="12" spans="1:13" x14ac:dyDescent="0.2">
      <c r="A12" s="1">
        <v>-9.1424286099251198E-2</v>
      </c>
      <c r="B12" s="1">
        <v>7.0233751401766104E-2</v>
      </c>
      <c r="C12" s="1">
        <v>0.193014472541888</v>
      </c>
      <c r="D12" s="1" t="s">
        <v>49</v>
      </c>
      <c r="E12" s="1">
        <v>1</v>
      </c>
      <c r="F12" s="1" t="s">
        <v>13</v>
      </c>
      <c r="G12" s="1" t="s">
        <v>19</v>
      </c>
      <c r="H12" s="1">
        <v>2</v>
      </c>
      <c r="I12" s="1">
        <v>0</v>
      </c>
      <c r="J12" s="1" t="s">
        <v>17</v>
      </c>
      <c r="K12" s="1" t="s">
        <v>47</v>
      </c>
      <c r="M12" s="1" t="str">
        <f t="shared" si="0"/>
        <v>Parts_RT_Conts_RCT_On-Peak_rt_dum_0</v>
      </c>
    </row>
    <row r="13" spans="1:13" x14ac:dyDescent="0.2">
      <c r="A13" s="1">
        <v>9.9859841191679802E-2</v>
      </c>
      <c r="B13" s="1">
        <v>0.30313893840649098</v>
      </c>
      <c r="C13" s="1">
        <v>0.74183882250450095</v>
      </c>
      <c r="D13" s="1" t="s">
        <v>50</v>
      </c>
      <c r="E13" s="1">
        <v>1</v>
      </c>
      <c r="F13" s="1" t="s">
        <v>13</v>
      </c>
      <c r="G13" s="1" t="s">
        <v>19</v>
      </c>
      <c r="H13" s="1">
        <v>2</v>
      </c>
      <c r="I13" s="1">
        <v>0</v>
      </c>
      <c r="J13" s="1" t="s">
        <v>18</v>
      </c>
      <c r="K13" s="1" t="s">
        <v>47</v>
      </c>
      <c r="M13" s="1" t="str">
        <f t="shared" si="0"/>
        <v>Parts_RT_Conts_RCT_Weekend Off-Peak_rt_dum_0</v>
      </c>
    </row>
    <row r="14" spans="1:13" x14ac:dyDescent="0.2">
      <c r="A14" s="1">
        <v>-1.4445250905447001E-3</v>
      </c>
      <c r="B14" s="1">
        <v>2.3816168213330801E-3</v>
      </c>
      <c r="C14" s="1">
        <v>0.54416222202723197</v>
      </c>
      <c r="D14" s="1" t="s">
        <v>51</v>
      </c>
      <c r="E14" s="1">
        <v>1</v>
      </c>
      <c r="F14" s="1" t="s">
        <v>13</v>
      </c>
      <c r="G14" s="1" t="s">
        <v>19</v>
      </c>
      <c r="H14" s="1">
        <v>2</v>
      </c>
      <c r="I14" s="1">
        <v>1</v>
      </c>
      <c r="J14" s="1" t="s">
        <v>15</v>
      </c>
      <c r="K14" s="1" t="s">
        <v>47</v>
      </c>
      <c r="M14" s="1" t="str">
        <f t="shared" si="0"/>
        <v>Parts_RT_Conts_RCT_Mid-Peak_rt_dum_1</v>
      </c>
    </row>
    <row r="15" spans="1:13" x14ac:dyDescent="0.2">
      <c r="A15" s="1">
        <v>-1.8305715463908601E-3</v>
      </c>
      <c r="B15" s="1">
        <v>4.0955920588440402E-3</v>
      </c>
      <c r="C15" s="1">
        <v>0.65490307480911802</v>
      </c>
      <c r="D15" s="1" t="s">
        <v>52</v>
      </c>
      <c r="E15" s="1">
        <v>1</v>
      </c>
      <c r="F15" s="1" t="s">
        <v>13</v>
      </c>
      <c r="G15" s="1" t="s">
        <v>19</v>
      </c>
      <c r="H15" s="1">
        <v>2</v>
      </c>
      <c r="I15" s="1">
        <v>1</v>
      </c>
      <c r="J15" s="1" t="s">
        <v>16</v>
      </c>
      <c r="K15" s="1" t="s">
        <v>47</v>
      </c>
      <c r="M15" s="1" t="str">
        <f t="shared" si="0"/>
        <v>Parts_RT_Conts_RCT_Off-Peak_rt_dum_1</v>
      </c>
    </row>
    <row r="16" spans="1:13" x14ac:dyDescent="0.2">
      <c r="A16" s="1">
        <v>-2.1851947365084702E-3</v>
      </c>
      <c r="B16" s="1">
        <v>2.1721931613500598E-3</v>
      </c>
      <c r="C16" s="1">
        <v>0.31442292161272301</v>
      </c>
      <c r="D16" s="1" t="s">
        <v>53</v>
      </c>
      <c r="E16" s="1">
        <v>1</v>
      </c>
      <c r="F16" s="1" t="s">
        <v>13</v>
      </c>
      <c r="G16" s="1" t="s">
        <v>19</v>
      </c>
      <c r="H16" s="1">
        <v>2</v>
      </c>
      <c r="I16" s="1">
        <v>1</v>
      </c>
      <c r="J16" s="1" t="s">
        <v>17</v>
      </c>
      <c r="K16" s="1" t="s">
        <v>47</v>
      </c>
      <c r="M16" s="1" t="str">
        <f t="shared" si="0"/>
        <v>Parts_RT_Conts_RCT_On-Peak_rt_dum_1</v>
      </c>
    </row>
    <row r="17" spans="1:13" x14ac:dyDescent="0.2">
      <c r="A17" s="1">
        <v>7.7316205557953304E-4</v>
      </c>
      <c r="B17" s="1">
        <v>3.4282353677881098E-3</v>
      </c>
      <c r="C17" s="1">
        <v>0.82156884242012496</v>
      </c>
      <c r="D17" s="1" t="s">
        <v>54</v>
      </c>
      <c r="E17" s="1">
        <v>1</v>
      </c>
      <c r="F17" s="1" t="s">
        <v>13</v>
      </c>
      <c r="G17" s="1" t="s">
        <v>19</v>
      </c>
      <c r="H17" s="1">
        <v>2</v>
      </c>
      <c r="I17" s="1">
        <v>1</v>
      </c>
      <c r="J17" s="1" t="s">
        <v>18</v>
      </c>
      <c r="K17" s="1" t="s">
        <v>47</v>
      </c>
      <c r="M17" s="1" t="str">
        <f t="shared" si="0"/>
        <v>Parts_RT_Conts_RCT_Weekend Off-Peak_rt_dum_1</v>
      </c>
    </row>
    <row r="18" spans="1:13" x14ac:dyDescent="0.2">
      <c r="A18" s="1">
        <v>-6.7585684259264603E-2</v>
      </c>
      <c r="B18" s="1">
        <v>8.0168822654674801E-2</v>
      </c>
      <c r="C18" s="1">
        <v>0.39920542580465601</v>
      </c>
      <c r="D18" s="1" t="s">
        <v>37</v>
      </c>
      <c r="E18" s="1">
        <v>1</v>
      </c>
      <c r="F18" s="1" t="s">
        <v>13</v>
      </c>
      <c r="G18" s="1" t="s">
        <v>20</v>
      </c>
      <c r="H18" s="1">
        <v>3</v>
      </c>
      <c r="I18" s="1">
        <v>0</v>
      </c>
      <c r="J18" s="1" t="s">
        <v>15</v>
      </c>
      <c r="K18" s="1" t="s">
        <v>38</v>
      </c>
      <c r="M18" s="1" t="str">
        <f t="shared" si="0"/>
        <v>NO_CPP_EVENTS_Parts_CPP_CPP/RT_Conts_RCT_Mid-Peak_cpp_dum_0</v>
      </c>
    </row>
    <row r="19" spans="1:13" x14ac:dyDescent="0.2">
      <c r="A19" s="1">
        <v>0.231491196668104</v>
      </c>
      <c r="B19" s="1">
        <v>0.170287522118519</v>
      </c>
      <c r="C19" s="1">
        <v>0.17401623348807499</v>
      </c>
      <c r="D19" s="1" t="s">
        <v>39</v>
      </c>
      <c r="E19" s="1">
        <v>1</v>
      </c>
      <c r="F19" s="1" t="s">
        <v>13</v>
      </c>
      <c r="G19" s="1" t="s">
        <v>20</v>
      </c>
      <c r="H19" s="1">
        <v>3</v>
      </c>
      <c r="I19" s="1">
        <v>0</v>
      </c>
      <c r="J19" s="1" t="s">
        <v>16</v>
      </c>
      <c r="K19" s="1" t="s">
        <v>38</v>
      </c>
      <c r="M19" s="1" t="str">
        <f t="shared" si="0"/>
        <v>NO_CPP_EVENTS_Parts_CPP_CPP/RT_Conts_RCT_Off-Peak_cpp_dum_0</v>
      </c>
    </row>
    <row r="20" spans="1:13" x14ac:dyDescent="0.2">
      <c r="A20" s="1">
        <v>-7.8583214773864304E-2</v>
      </c>
      <c r="B20" s="1">
        <v>8.0183797841316407E-2</v>
      </c>
      <c r="C20" s="1">
        <v>0.32706763012986501</v>
      </c>
      <c r="D20" s="1" t="s">
        <v>40</v>
      </c>
      <c r="E20" s="1">
        <v>1</v>
      </c>
      <c r="F20" s="1" t="s">
        <v>13</v>
      </c>
      <c r="G20" s="1" t="s">
        <v>20</v>
      </c>
      <c r="H20" s="1">
        <v>3</v>
      </c>
      <c r="I20" s="1">
        <v>0</v>
      </c>
      <c r="J20" s="1" t="s">
        <v>17</v>
      </c>
      <c r="K20" s="1" t="s">
        <v>38</v>
      </c>
      <c r="M20" s="1" t="str">
        <f t="shared" si="0"/>
        <v>NO_CPP_EVENTS_Parts_CPP_CPP/RT_Conts_RCT_On-Peak_cpp_dum_0</v>
      </c>
    </row>
    <row r="21" spans="1:13" x14ac:dyDescent="0.2">
      <c r="A21" s="1">
        <v>-9.0680431052702098E-2</v>
      </c>
      <c r="B21" s="1">
        <v>0.34840974117797102</v>
      </c>
      <c r="C21" s="1">
        <v>0.79465601788014995</v>
      </c>
      <c r="D21" s="1" t="s">
        <v>41</v>
      </c>
      <c r="E21" s="1">
        <v>1</v>
      </c>
      <c r="F21" s="1" t="s">
        <v>13</v>
      </c>
      <c r="G21" s="1" t="s">
        <v>20</v>
      </c>
      <c r="H21" s="1">
        <v>3</v>
      </c>
      <c r="I21" s="1">
        <v>0</v>
      </c>
      <c r="J21" s="1" t="s">
        <v>18</v>
      </c>
      <c r="K21" s="1" t="s">
        <v>38</v>
      </c>
      <c r="M21" s="1" t="str">
        <f t="shared" si="0"/>
        <v>NO_CPP_EVENTS_Parts_CPP_CPP/RT_Conts_RCT_Weekend Off-Peak_cpp_dum_0</v>
      </c>
    </row>
    <row r="22" spans="1:13" x14ac:dyDescent="0.2">
      <c r="A22" s="1">
        <v>-6.5364453620767801E-3</v>
      </c>
      <c r="B22" s="1">
        <v>2.6627905544083499E-3</v>
      </c>
      <c r="C22" s="1">
        <v>1.40992381883383E-2</v>
      </c>
      <c r="D22" s="1" t="s">
        <v>42</v>
      </c>
      <c r="E22" s="1">
        <v>1</v>
      </c>
      <c r="F22" s="1" t="s">
        <v>13</v>
      </c>
      <c r="G22" s="1" t="s">
        <v>20</v>
      </c>
      <c r="H22" s="1">
        <v>3</v>
      </c>
      <c r="I22" s="1">
        <v>1</v>
      </c>
      <c r="J22" s="1" t="s">
        <v>15</v>
      </c>
      <c r="K22" s="1" t="s">
        <v>38</v>
      </c>
      <c r="M22" s="1" t="str">
        <f t="shared" si="0"/>
        <v>NO_CPP_EVENTS_Parts_CPP_CPP/RT_Conts_RCT_Mid-Peak_cpp_dum_1</v>
      </c>
    </row>
    <row r="23" spans="1:13" x14ac:dyDescent="0.2">
      <c r="A23" s="1">
        <v>-5.9510095190422297E-4</v>
      </c>
      <c r="B23" s="1">
        <v>4.67333627997137E-3</v>
      </c>
      <c r="C23" s="1">
        <v>0.89867164829174495</v>
      </c>
      <c r="D23" s="1" t="s">
        <v>43</v>
      </c>
      <c r="E23" s="1">
        <v>1</v>
      </c>
      <c r="F23" s="1" t="s">
        <v>13</v>
      </c>
      <c r="G23" s="1" t="s">
        <v>20</v>
      </c>
      <c r="H23" s="1">
        <v>3</v>
      </c>
      <c r="I23" s="1">
        <v>1</v>
      </c>
      <c r="J23" s="1" t="s">
        <v>16</v>
      </c>
      <c r="K23" s="1" t="s">
        <v>38</v>
      </c>
      <c r="M23" s="1" t="str">
        <f t="shared" si="0"/>
        <v>NO_CPP_EVENTS_Parts_CPP_CPP/RT_Conts_RCT_Off-Peak_cpp_dum_1</v>
      </c>
    </row>
    <row r="24" spans="1:13" x14ac:dyDescent="0.2">
      <c r="A24" s="1">
        <v>-7.8949309988485296E-3</v>
      </c>
      <c r="B24" s="1">
        <v>2.3195571024386E-3</v>
      </c>
      <c r="C24" s="1">
        <v>6.6501053087860101E-4</v>
      </c>
      <c r="D24" s="1" t="s">
        <v>44</v>
      </c>
      <c r="E24" s="1">
        <v>1</v>
      </c>
      <c r="F24" s="1" t="s">
        <v>13</v>
      </c>
      <c r="G24" s="1" t="s">
        <v>20</v>
      </c>
      <c r="H24" s="1">
        <v>3</v>
      </c>
      <c r="I24" s="1">
        <v>1</v>
      </c>
      <c r="J24" s="1" t="s">
        <v>17</v>
      </c>
      <c r="K24" s="1" t="s">
        <v>38</v>
      </c>
      <c r="M24" s="1" t="str">
        <f t="shared" si="0"/>
        <v>NO_CPP_EVENTS_Parts_CPP_CPP/RT_Conts_RCT_On-Peak_cpp_dum_1</v>
      </c>
    </row>
    <row r="25" spans="1:13" x14ac:dyDescent="0.2">
      <c r="A25" s="1">
        <v>1.0401231407015499E-4</v>
      </c>
      <c r="B25" s="1">
        <v>3.7682109933384399E-3</v>
      </c>
      <c r="C25" s="1">
        <v>0.97797914334558</v>
      </c>
      <c r="D25" s="1" t="s">
        <v>45</v>
      </c>
      <c r="E25" s="1">
        <v>1</v>
      </c>
      <c r="F25" s="1" t="s">
        <v>13</v>
      </c>
      <c r="G25" s="1" t="s">
        <v>20</v>
      </c>
      <c r="H25" s="1">
        <v>3</v>
      </c>
      <c r="I25" s="1">
        <v>1</v>
      </c>
      <c r="J25" s="1" t="s">
        <v>18</v>
      </c>
      <c r="K25" s="1" t="s">
        <v>38</v>
      </c>
      <c r="M25" s="1" t="str">
        <f t="shared" si="0"/>
        <v>NO_CPP_EVENTS_Parts_CPP_CPP/RT_Conts_RCT_Weekend Off-Peak_cpp_dum_1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3237E-983A-4387-AFA3-FDC8BCCB4525}">
  <sheetPr>
    <tabColor theme="1"/>
  </sheetPr>
  <dimension ref="D4:E8"/>
  <sheetViews>
    <sheetView workbookViewId="0">
      <selection activeCell="E7" sqref="E7"/>
    </sheetView>
  </sheetViews>
  <sheetFormatPr defaultRowHeight="10" x14ac:dyDescent="0.2"/>
  <sheetData>
    <row r="4" spans="4:5" x14ac:dyDescent="0.2">
      <c r="D4" t="s">
        <v>72</v>
      </c>
      <c r="E4" t="s">
        <v>73</v>
      </c>
    </row>
    <row r="5" spans="4:5" x14ac:dyDescent="0.2">
      <c r="D5" s="1" t="s">
        <v>17</v>
      </c>
      <c r="E5">
        <v>6</v>
      </c>
    </row>
    <row r="6" spans="4:5" x14ac:dyDescent="0.2">
      <c r="D6" s="1" t="s">
        <v>15</v>
      </c>
      <c r="E6">
        <v>6</v>
      </c>
    </row>
    <row r="7" spans="4:5" x14ac:dyDescent="0.2">
      <c r="D7" s="1" t="s">
        <v>16</v>
      </c>
      <c r="E7">
        <v>12</v>
      </c>
    </row>
    <row r="8" spans="4:5" x14ac:dyDescent="0.2">
      <c r="D8" s="1" t="s">
        <v>18</v>
      </c>
      <c r="E8">
        <v>24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EDCC7-6936-48AB-91F7-DFAE8B2A3ADD}">
  <sheetPr>
    <tabColor theme="9"/>
  </sheetPr>
  <dimension ref="E4:F16"/>
  <sheetViews>
    <sheetView workbookViewId="0">
      <selection activeCell="B9" sqref="B9"/>
    </sheetView>
  </sheetViews>
  <sheetFormatPr defaultRowHeight="10" x14ac:dyDescent="0.2"/>
  <cols>
    <col min="5" max="5" width="61" bestFit="1" customWidth="1"/>
  </cols>
  <sheetData>
    <row r="4" spans="5:6" x14ac:dyDescent="0.2">
      <c r="E4" t="s">
        <v>13</v>
      </c>
      <c r="F4" t="s">
        <v>106</v>
      </c>
    </row>
    <row r="5" spans="5:6" x14ac:dyDescent="0.2">
      <c r="E5" t="s">
        <v>144</v>
      </c>
      <c r="F5" t="s">
        <v>132</v>
      </c>
    </row>
    <row r="6" spans="5:6" x14ac:dyDescent="0.2">
      <c r="E6" t="s">
        <v>145</v>
      </c>
      <c r="F6" t="s">
        <v>133</v>
      </c>
    </row>
    <row r="7" spans="5:6" x14ac:dyDescent="0.2">
      <c r="E7" t="s">
        <v>146</v>
      </c>
      <c r="F7" t="s">
        <v>134</v>
      </c>
    </row>
    <row r="8" spans="5:6" x14ac:dyDescent="0.2">
      <c r="E8" t="s">
        <v>147</v>
      </c>
      <c r="F8" t="s">
        <v>135</v>
      </c>
    </row>
    <row r="9" spans="5:6" x14ac:dyDescent="0.2">
      <c r="E9" t="s">
        <v>140</v>
      </c>
      <c r="F9" t="s">
        <v>140</v>
      </c>
    </row>
    <row r="10" spans="5:6" x14ac:dyDescent="0.2">
      <c r="E10" t="s">
        <v>141</v>
      </c>
      <c r="F10" t="s">
        <v>141</v>
      </c>
    </row>
    <row r="11" spans="5:6" x14ac:dyDescent="0.2">
      <c r="E11" t="s">
        <v>142</v>
      </c>
      <c r="F11" t="s">
        <v>142</v>
      </c>
    </row>
    <row r="12" spans="5:6" x14ac:dyDescent="0.2">
      <c r="E12" t="s">
        <v>143</v>
      </c>
      <c r="F12" t="s">
        <v>143</v>
      </c>
    </row>
    <row r="13" spans="5:6" x14ac:dyDescent="0.2">
      <c r="E13" t="s">
        <v>148</v>
      </c>
      <c r="F13" t="s">
        <v>136</v>
      </c>
    </row>
    <row r="14" spans="5:6" x14ac:dyDescent="0.2">
      <c r="E14" t="s">
        <v>149</v>
      </c>
      <c r="F14" t="s">
        <v>137</v>
      </c>
    </row>
    <row r="15" spans="5:6" x14ac:dyDescent="0.2">
      <c r="E15" t="s">
        <v>150</v>
      </c>
      <c r="F15" t="s">
        <v>138</v>
      </c>
    </row>
    <row r="16" spans="5:6" x14ac:dyDescent="0.2">
      <c r="E16" t="s">
        <v>151</v>
      </c>
      <c r="F16" t="s">
        <v>139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9DCA9-98E6-4C8A-8E0A-3C432BD2D9AD}">
  <sheetPr>
    <tabColor theme="5"/>
  </sheetPr>
  <dimension ref="A3:BK54"/>
  <sheetViews>
    <sheetView topLeftCell="A13" workbookViewId="0">
      <selection activeCell="AI16" sqref="AI16"/>
    </sheetView>
  </sheetViews>
  <sheetFormatPr defaultRowHeight="10" outlineLevelRow="1" outlineLevelCol="1" x14ac:dyDescent="0.2"/>
  <cols>
    <col min="1" max="1" width="39.77734375" style="39" customWidth="1"/>
    <col min="2" max="3" width="8.88671875" style="39"/>
    <col min="4" max="4" width="61" style="39" hidden="1" customWidth="1" outlineLevel="1"/>
    <col min="5" max="5" width="47.77734375" style="39" hidden="1" customWidth="1" outlineLevel="1"/>
    <col min="6" max="22" width="8.88671875" style="39" hidden="1" customWidth="1" outlineLevel="1"/>
    <col min="23" max="24" width="18.21875" style="39" hidden="1" customWidth="1" outlineLevel="1"/>
    <col min="25" max="29" width="8.88671875" style="39" hidden="1" customWidth="1" outlineLevel="1"/>
    <col min="30" max="30" width="8.88671875" style="39" collapsed="1"/>
    <col min="31" max="31" width="17.109375" style="39" customWidth="1"/>
    <col min="32" max="34" width="15.88671875" style="39" customWidth="1"/>
    <col min="35" max="35" width="21.88671875" style="39" customWidth="1"/>
    <col min="36" max="37" width="8.88671875" style="39"/>
    <col min="38" max="38" width="17.109375" style="39" customWidth="1"/>
    <col min="39" max="41" width="15.88671875" style="39" customWidth="1"/>
    <col min="42" max="42" width="21.88671875" style="39" customWidth="1"/>
    <col min="43" max="44" width="8.88671875" style="39"/>
    <col min="45" max="45" width="17.109375" style="39" customWidth="1"/>
    <col min="46" max="48" width="15.88671875" style="39" customWidth="1"/>
    <col min="49" max="49" width="21.88671875" style="39" customWidth="1"/>
    <col min="50" max="16384" width="8.88671875" style="39"/>
  </cols>
  <sheetData>
    <row r="3" spans="1:52" x14ac:dyDescent="0.2">
      <c r="AF3" s="39" t="s">
        <v>14</v>
      </c>
      <c r="AG3" s="39" t="s">
        <v>14</v>
      </c>
      <c r="AH3" s="39" t="s">
        <v>14</v>
      </c>
      <c r="AI3" s="39" t="s">
        <v>14</v>
      </c>
      <c r="AM3" s="39" t="s">
        <v>19</v>
      </c>
      <c r="AN3" s="39" t="s">
        <v>19</v>
      </c>
      <c r="AO3" s="39" t="s">
        <v>19</v>
      </c>
      <c r="AP3" s="39" t="s">
        <v>19</v>
      </c>
      <c r="AT3" s="39" t="s">
        <v>20</v>
      </c>
      <c r="AU3" s="39" t="s">
        <v>20</v>
      </c>
      <c r="AV3" s="39" t="s">
        <v>20</v>
      </c>
      <c r="AW3" s="39" t="s">
        <v>20</v>
      </c>
    </row>
    <row r="4" spans="1:52" ht="10" customHeight="1" x14ac:dyDescent="0.25">
      <c r="B4" s="40" t="s">
        <v>13</v>
      </c>
      <c r="C4" s="40"/>
      <c r="G4" s="40" t="s">
        <v>118</v>
      </c>
      <c r="AF4" s="39" t="s">
        <v>4</v>
      </c>
      <c r="AG4" s="39" t="s">
        <v>23</v>
      </c>
      <c r="AH4" s="39" t="s">
        <v>125</v>
      </c>
      <c r="AI4" s="39" t="s">
        <v>25</v>
      </c>
      <c r="AM4" s="39" t="s">
        <v>4</v>
      </c>
      <c r="AN4" s="39" t="s">
        <v>23</v>
      </c>
      <c r="AO4" s="39" t="s">
        <v>125</v>
      </c>
      <c r="AP4" s="39" t="s">
        <v>25</v>
      </c>
      <c r="AT4" s="39" t="s">
        <v>4</v>
      </c>
      <c r="AU4" s="39" t="s">
        <v>23</v>
      </c>
      <c r="AV4" s="39" t="s">
        <v>125</v>
      </c>
      <c r="AW4" s="39" t="s">
        <v>25</v>
      </c>
    </row>
    <row r="5" spans="1:52" customFormat="1" ht="10.5" customHeight="1" x14ac:dyDescent="0.2">
      <c r="A5" s="1"/>
      <c r="B5" s="39"/>
      <c r="C5" s="39"/>
      <c r="D5" s="39"/>
      <c r="E5" s="39"/>
      <c r="F5" s="39"/>
      <c r="G5" s="39">
        <v>-1</v>
      </c>
      <c r="H5" s="39">
        <v>1</v>
      </c>
      <c r="I5" s="39">
        <v>1</v>
      </c>
      <c r="J5" s="39">
        <v>1</v>
      </c>
      <c r="K5" s="39">
        <v>1</v>
      </c>
      <c r="L5" s="39">
        <v>1</v>
      </c>
      <c r="M5" s="39">
        <v>1</v>
      </c>
      <c r="N5" s="39">
        <v>1</v>
      </c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94" t="s">
        <v>30</v>
      </c>
      <c r="AF5" s="92" t="s">
        <v>26</v>
      </c>
      <c r="AG5" s="93"/>
      <c r="AH5" s="88" t="s">
        <v>60</v>
      </c>
      <c r="AI5" s="90" t="s">
        <v>29</v>
      </c>
      <c r="AJ5" s="39"/>
      <c r="AK5" s="39"/>
      <c r="AL5" s="94" t="s">
        <v>30</v>
      </c>
      <c r="AM5" s="92" t="s">
        <v>26</v>
      </c>
      <c r="AN5" s="93"/>
      <c r="AO5" s="88" t="s">
        <v>60</v>
      </c>
      <c r="AP5" s="90" t="s">
        <v>29</v>
      </c>
      <c r="AS5" s="94" t="s">
        <v>30</v>
      </c>
      <c r="AT5" s="92" t="s">
        <v>26</v>
      </c>
      <c r="AU5" s="93"/>
      <c r="AV5" s="88" t="s">
        <v>60</v>
      </c>
      <c r="AW5" s="90" t="s">
        <v>29</v>
      </c>
      <c r="AZ5" t="s">
        <v>64</v>
      </c>
    </row>
    <row r="6" spans="1:52" customFormat="1" ht="19" customHeight="1" x14ac:dyDescent="0.2">
      <c r="A6" s="1" t="s">
        <v>152</v>
      </c>
      <c r="B6" s="39"/>
      <c r="C6" s="39"/>
      <c r="D6" s="39"/>
      <c r="E6" s="39"/>
      <c r="F6" s="39"/>
      <c r="G6" s="39" t="s">
        <v>4</v>
      </c>
      <c r="H6" s="39" t="s">
        <v>10</v>
      </c>
      <c r="I6" s="39" t="s">
        <v>8</v>
      </c>
      <c r="J6" s="39" t="s">
        <v>12</v>
      </c>
      <c r="K6" s="39" t="s">
        <v>21</v>
      </c>
      <c r="L6" s="39" t="s">
        <v>126</v>
      </c>
      <c r="M6" s="39" t="s">
        <v>63</v>
      </c>
      <c r="N6" s="39" t="s">
        <v>74</v>
      </c>
      <c r="O6" s="39" t="s">
        <v>154</v>
      </c>
      <c r="P6" s="39" t="s">
        <v>157</v>
      </c>
      <c r="Q6" s="39" t="s">
        <v>158</v>
      </c>
      <c r="R6" s="39"/>
      <c r="S6" s="39" t="s">
        <v>23</v>
      </c>
      <c r="T6" s="39" t="s">
        <v>24</v>
      </c>
      <c r="U6" s="39"/>
      <c r="V6" s="39" t="s">
        <v>4</v>
      </c>
      <c r="W6" s="39" t="s">
        <v>23</v>
      </c>
      <c r="X6" s="39" t="s">
        <v>125</v>
      </c>
      <c r="Y6" s="39" t="s">
        <v>25</v>
      </c>
      <c r="Z6" s="39" t="s">
        <v>66</v>
      </c>
      <c r="AA6" s="39" t="s">
        <v>75</v>
      </c>
      <c r="AB6" s="39" t="s">
        <v>153</v>
      </c>
      <c r="AC6" s="39"/>
      <c r="AD6" s="39"/>
      <c r="AE6" s="95"/>
      <c r="AF6" s="9" t="s">
        <v>27</v>
      </c>
      <c r="AG6" s="10" t="s">
        <v>28</v>
      </c>
      <c r="AH6" s="89"/>
      <c r="AI6" s="91"/>
      <c r="AJ6" s="39"/>
      <c r="AK6" s="39"/>
      <c r="AL6" s="95"/>
      <c r="AM6" s="9" t="s">
        <v>27</v>
      </c>
      <c r="AN6" s="10" t="s">
        <v>28</v>
      </c>
      <c r="AO6" s="89"/>
      <c r="AP6" s="91"/>
      <c r="AS6" s="95"/>
      <c r="AT6" s="9" t="s">
        <v>27</v>
      </c>
      <c r="AU6" s="10" t="s">
        <v>28</v>
      </c>
      <c r="AV6" s="89"/>
      <c r="AW6" s="91"/>
    </row>
    <row r="7" spans="1:52" customFormat="1" x14ac:dyDescent="0.2">
      <c r="A7" s="1" t="str">
        <f>D7</f>
        <v>Parts_CPP_CPP/RT_Conts_RCT_On-Peak</v>
      </c>
      <c r="B7" s="39" t="s">
        <v>13</v>
      </c>
      <c r="C7" s="39"/>
      <c r="D7" s="39" t="str">
        <f>E7&amp;"_"&amp;F7</f>
        <v>Parts_CPP_CPP/RT_Conts_RCT_On-Peak</v>
      </c>
      <c r="E7" s="39" t="s">
        <v>14</v>
      </c>
      <c r="F7" s="39" t="s">
        <v>17</v>
      </c>
      <c r="G7" s="39">
        <f>INDEX('in_211a Sum TOU impacts'!$A$2:$P$13,MATCH('01 Impacts'!$E7&amp;"_"&amp;'01 Impacts'!$F7,'in_211a Sum TOU impacts'!$S$2:$S$13,0),MATCH('01 Impacts'!G$6,'in_211a Sum TOU impacts'!$A$1:$P$1,0))*'01 Impacts'!G$5</f>
        <v>0.32531565668203399</v>
      </c>
      <c r="H7" s="39">
        <f>INDEX('in_211a Sum TOU impacts'!$A$2:$P$13,MATCH('01 Impacts'!$E7&amp;"_"&amp;'01 Impacts'!$F7,'in_211a Sum TOU impacts'!$S$2:$S$13,0),MATCH('01 Impacts'!H$6,'in_211a Sum TOU impacts'!$A$1:$P$1,0))*'01 Impacts'!H$5</f>
        <v>2.7340113554794598E-3</v>
      </c>
      <c r="I7" s="39">
        <f>INDEX('in_211a Sum TOU impacts'!$A$2:$P$13,MATCH('01 Impacts'!$E7&amp;"_"&amp;'01 Impacts'!$F7,'in_211a Sum TOU impacts'!$S$2:$S$13,0),MATCH('01 Impacts'!I$6,'in_211a Sum TOU impacts'!$A$1:$P$1,0))*'01 Impacts'!I$5</f>
        <v>0.108576873029227</v>
      </c>
      <c r="J7" s="39">
        <f>INDEX('in_211a Sum TOU impacts'!$A$2:$P$13,MATCH('01 Impacts'!$E7&amp;"_"&amp;'01 Impacts'!$F7,'in_211a Sum TOU impacts'!$S$2:$S$13,0),MATCH('01 Impacts'!J$6,'in_211a Sum TOU impacts'!$A$1:$P$1,0))*'01 Impacts'!J$5</f>
        <v>0.17859342114728</v>
      </c>
      <c r="K7" s="39">
        <f>INDEX('in_211a Sum TOU impacts'!$A$2:$P$13,MATCH('01 Impacts'!$E7&amp;"_"&amp;'01 Impacts'!$F7,'in_211a Sum TOU impacts'!$S$2:$S$13,0),MATCH('01 Impacts'!K$6,'in_211a Sum TOU impacts'!$A$1:$P$1,0))*'01 Impacts'!K$5</f>
        <v>6.1150485071876197</v>
      </c>
      <c r="L7" s="39">
        <f>INDEX('in_211a Sum TOU impacts'!$A$2:$P$13,MATCH('01 Impacts'!$E7&amp;"_"&amp;'01 Impacts'!$F7,'in_211a Sum TOU impacts'!$S$2:$S$13,0),MATCH('01 Impacts'!L$6,'in_211a Sum TOU impacts'!$A$1:$P$1,0))*'01 Impacts'!L$5</f>
        <v>462474</v>
      </c>
      <c r="M7" s="39">
        <f>INDEX('in_211a Sum TOU impacts'!$A$2:$P$13,MATCH('01 Impacts'!$E7&amp;"_"&amp;'01 Impacts'!$F7,'in_211a Sum TOU impacts'!$S$2:$S$13,0),MATCH('01 Impacts'!M$6,'in_211a Sum TOU impacts'!$A$1:$P$1,0))*'01 Impacts'!M$5</f>
        <v>127</v>
      </c>
      <c r="N7" s="39">
        <f>INDEX('Hours Per Day TOU'!$E$5:$E$8,MATCH('01 Impacts'!$F7,'Hours Per Day TOU'!$D$5:$D$8,0),1)</f>
        <v>6</v>
      </c>
      <c r="O7" s="39">
        <f>N7*M7</f>
        <v>762</v>
      </c>
      <c r="P7" s="39">
        <f>I7*I7</f>
        <v>1.1788937356804882E-2</v>
      </c>
      <c r="Q7" s="39">
        <f>P7*(AB7^2)</f>
        <v>3.0276621444381268E-3</v>
      </c>
      <c r="R7" s="39"/>
      <c r="S7" s="41">
        <f t="shared" ref="S7:S18" si="0">G7/(K7+G7)</f>
        <v>5.0511997210817665E-2</v>
      </c>
      <c r="T7" s="42">
        <f t="shared" ref="T7:T18" si="1">IF(H7&gt;0.1,1,0)</f>
        <v>0</v>
      </c>
      <c r="U7" s="39"/>
      <c r="V7" s="43">
        <f t="shared" ref="V7:V18" si="2">IF($H7&gt;0.1,ROUND(G7,2)&amp;" (N/S)",G7)</f>
        <v>0.32531565668203399</v>
      </c>
      <c r="W7" s="44">
        <f t="shared" ref="W7:W8" si="3">IF($H7&gt;0.1,ROUND(S7*100,2)&amp;"% (N/S)",S7)</f>
        <v>5.0511997210817665E-2</v>
      </c>
      <c r="X7" s="54">
        <f t="shared" ref="X7:X18" si="4">H7</f>
        <v>2.7340113554794598E-3</v>
      </c>
      <c r="Y7" s="45">
        <f>ABS(J7/G7)</f>
        <v>0.54898501648765885</v>
      </c>
      <c r="Z7" s="43">
        <f t="shared" ref="Z7:Z18" si="5">G7*M7</f>
        <v>41.315088398618315</v>
      </c>
      <c r="AA7" s="46">
        <f t="shared" ref="AA7:AA18" si="6">G7/N7</f>
        <v>5.4219276113672332E-2</v>
      </c>
      <c r="AB7" s="46">
        <f t="shared" ref="AB7:AB18" si="7">L7/SUM(INDEX($L$7:$L$18,MATCH($A7,$A$7:$A$18,0),1),INDEX($L$24:$L$35,MATCH($A7,$A$24:$A$35,0),1))</f>
        <v>0.50677639220671067</v>
      </c>
      <c r="AC7" s="39"/>
      <c r="AD7" s="39"/>
      <c r="AE7" s="2" t="s">
        <v>17</v>
      </c>
      <c r="AF7" s="5">
        <f t="shared" ref="AF7:AI10" si="8">INDEX($V$7:$Y$18,MATCH(AF$3&amp;"_"&amp;$AE7,$D$7:$D$18,0),MATCH(AF$4,$V$6:$Y$6,0))</f>
        <v>0.32531565668203399</v>
      </c>
      <c r="AG7" s="11">
        <f t="shared" si="8"/>
        <v>5.0511997210817665E-2</v>
      </c>
      <c r="AH7" s="55">
        <f t="shared" si="8"/>
        <v>2.7340113554794598E-3</v>
      </c>
      <c r="AI7" s="7">
        <f t="shared" si="8"/>
        <v>0.54898501648765885</v>
      </c>
      <c r="AJ7" s="39"/>
      <c r="AK7" s="39"/>
      <c r="AL7" s="2" t="s">
        <v>17</v>
      </c>
      <c r="AM7" s="5" t="str">
        <f t="shared" ref="AM7:AP10" si="9">INDEX($V$7:$Y$18,MATCH(AM$3&amp;"_"&amp;$AE7,$D$7:$D$18,0),MATCH(AM$4,$V$6:$Y$6,0))</f>
        <v>0.16 (N/S)</v>
      </c>
      <c r="AN7" s="38" t="str">
        <f t="shared" si="9"/>
        <v>2.36% (N/S)</v>
      </c>
      <c r="AO7" s="55">
        <f t="shared" si="9"/>
        <v>0.104577288601773</v>
      </c>
      <c r="AP7" s="7">
        <f t="shared" si="9"/>
        <v>1.0134295915350631</v>
      </c>
      <c r="AS7" s="2" t="s">
        <v>17</v>
      </c>
      <c r="AT7" s="5">
        <f t="shared" ref="AT7:AW10" si="10">INDEX($V$7:$Y$18,MATCH(AT$3&amp;"_"&amp;$AE7,$D$7:$D$18,0),MATCH(AT$4,$V$6:$Y$6,0))</f>
        <v>0.296530124110292</v>
      </c>
      <c r="AU7" s="11">
        <f t="shared" si="10"/>
        <v>4.9691553335276729E-2</v>
      </c>
      <c r="AV7" s="55">
        <f t="shared" si="10"/>
        <v>4.4084965568462501E-3</v>
      </c>
      <c r="AW7" s="7">
        <f t="shared" si="10"/>
        <v>0.57767709796584732</v>
      </c>
      <c r="AZ7">
        <f>INDEX('in_211a Sum TOU impacts'!$P$2:$P$13,MATCH('01 Impacts'!$AE7,'in_211a Sum TOU impacts'!$D$2:$D$13,0),1)</f>
        <v>127</v>
      </c>
    </row>
    <row r="8" spans="1:52" customFormat="1" x14ac:dyDescent="0.2">
      <c r="A8" s="1" t="str">
        <f t="shared" ref="A8:A18" si="11">D8</f>
        <v>Parts_CPP_CPP/RT_Conts_RCT_Mid-Peak</v>
      </c>
      <c r="B8" s="39" t="s">
        <v>13</v>
      </c>
      <c r="C8" s="39"/>
      <c r="D8" s="39" t="str">
        <f t="shared" ref="D8:D18" si="12">E8&amp;"_"&amp;F8</f>
        <v>Parts_CPP_CPP/RT_Conts_RCT_Mid-Peak</v>
      </c>
      <c r="E8" s="39" t="s">
        <v>14</v>
      </c>
      <c r="F8" s="39" t="s">
        <v>15</v>
      </c>
      <c r="G8" s="39">
        <f>INDEX('in_211a Sum TOU impacts'!$A$2:$P$13,MATCH('01 Impacts'!$E8&amp;"_"&amp;'01 Impacts'!$F8,'in_211a Sum TOU impacts'!$S$2:$S$13,0),MATCH('01 Impacts'!G$6,'in_211a Sum TOU impacts'!$A$1:$P$1,0))*'01 Impacts'!G$5</f>
        <v>0.27830464887982298</v>
      </c>
      <c r="H8" s="39">
        <f>INDEX('in_211a Sum TOU impacts'!$A$2:$P$13,MATCH('01 Impacts'!$E8&amp;"_"&amp;'01 Impacts'!$F8,'in_211a Sum TOU impacts'!$S$2:$S$13,0),MATCH('01 Impacts'!H$6,'in_211a Sum TOU impacts'!$A$1:$P$1,0))*'01 Impacts'!H$5</f>
        <v>4.5368126431394604E-3</v>
      </c>
      <c r="I8" s="39">
        <f>INDEX('in_211a Sum TOU impacts'!$A$2:$P$13,MATCH('01 Impacts'!$E8&amp;"_"&amp;'01 Impacts'!$F8,'in_211a Sum TOU impacts'!$S$2:$S$13,0),MATCH('01 Impacts'!I$6,'in_211a Sum TOU impacts'!$A$1:$P$1,0))*'01 Impacts'!I$5</f>
        <v>9.8056112919289798E-2</v>
      </c>
      <c r="J8" s="39">
        <f>INDEX('in_211a Sum TOU impacts'!$A$2:$P$13,MATCH('01 Impacts'!$E8&amp;"_"&amp;'01 Impacts'!$F8,'in_211a Sum TOU impacts'!$S$2:$S$13,0),MATCH('01 Impacts'!J$6,'in_211a Sum TOU impacts'!$A$1:$P$1,0))*'01 Impacts'!J$5</f>
        <v>0.161288276058069</v>
      </c>
      <c r="K8" s="39">
        <f>INDEX('in_211a Sum TOU impacts'!$A$2:$P$13,MATCH('01 Impacts'!$E8&amp;"_"&amp;'01 Impacts'!$F8,'in_211a Sum TOU impacts'!$S$2:$S$13,0),MATCH('01 Impacts'!K$6,'in_211a Sum TOU impacts'!$A$1:$P$1,0))*'01 Impacts'!K$5</f>
        <v>6.0422105909816901</v>
      </c>
      <c r="L8" s="39">
        <f>INDEX('in_211a Sum TOU impacts'!$A$2:$P$13,MATCH('01 Impacts'!$E8&amp;"_"&amp;'01 Impacts'!$F8,'in_211a Sum TOU impacts'!$S$2:$S$13,0),MATCH('01 Impacts'!L$6,'in_211a Sum TOU impacts'!$A$1:$P$1,0))*'01 Impacts'!L$5</f>
        <v>462474</v>
      </c>
      <c r="M8" s="39">
        <f>INDEX('in_211a Sum TOU impacts'!$A$2:$P$13,MATCH('01 Impacts'!$E8&amp;"_"&amp;'01 Impacts'!$F8,'in_211a Sum TOU impacts'!$S$2:$S$13,0),MATCH('01 Impacts'!M$6,'in_211a Sum TOU impacts'!$A$1:$P$1,0))*'01 Impacts'!M$5</f>
        <v>127</v>
      </c>
      <c r="N8" s="39">
        <f>INDEX('Hours Per Day TOU'!$E$5:$E$8,MATCH('01 Impacts'!$F8,'Hours Per Day TOU'!$D$5:$D$8,0),1)</f>
        <v>6</v>
      </c>
      <c r="O8" s="39">
        <f t="shared" ref="O8:O18" si="13">N8*M8</f>
        <v>762</v>
      </c>
      <c r="P8" s="39">
        <f t="shared" ref="P8:P18" si="14">I8*I8</f>
        <v>9.6150012808405121E-3</v>
      </c>
      <c r="Q8" s="39">
        <f t="shared" ref="Q8:Q18" si="15">P8*(AB8^2)</f>
        <v>2.46934685592517E-3</v>
      </c>
      <c r="R8" s="39"/>
      <c r="S8" s="41">
        <f t="shared" si="0"/>
        <v>4.4031955990651295E-2</v>
      </c>
      <c r="T8" s="42">
        <f t="shared" si="1"/>
        <v>0</v>
      </c>
      <c r="U8" s="39"/>
      <c r="V8" s="43">
        <f t="shared" si="2"/>
        <v>0.27830464887982298</v>
      </c>
      <c r="W8" s="44">
        <f t="shared" si="3"/>
        <v>4.4031955990651295E-2</v>
      </c>
      <c r="X8" s="54">
        <f t="shared" si="4"/>
        <v>4.5368126431394604E-3</v>
      </c>
      <c r="Y8" s="45">
        <f t="shared" ref="Y8:Y18" si="16">ABS(J8/G8)</f>
        <v>0.57953856217369992</v>
      </c>
      <c r="Z8" s="43">
        <f t="shared" si="5"/>
        <v>35.344690407737517</v>
      </c>
      <c r="AA8" s="46">
        <f t="shared" si="6"/>
        <v>4.6384108146637161E-2</v>
      </c>
      <c r="AB8" s="46">
        <f t="shared" si="7"/>
        <v>0.50677639220671067</v>
      </c>
      <c r="AC8" s="39"/>
      <c r="AD8" s="39"/>
      <c r="AE8" s="13" t="s">
        <v>15</v>
      </c>
      <c r="AF8" s="14">
        <f t="shared" si="8"/>
        <v>0.27830464887982298</v>
      </c>
      <c r="AG8" s="15">
        <f t="shared" si="8"/>
        <v>4.4031955990651295E-2</v>
      </c>
      <c r="AH8" s="56">
        <f t="shared" si="8"/>
        <v>4.5368126431394604E-3</v>
      </c>
      <c r="AI8" s="16">
        <f t="shared" si="8"/>
        <v>0.57953856217369992</v>
      </c>
      <c r="AJ8" s="39"/>
      <c r="AK8" s="39"/>
      <c r="AL8" s="13" t="s">
        <v>15</v>
      </c>
      <c r="AM8" s="14" t="str">
        <f t="shared" si="9"/>
        <v>0.03 (N/S)</v>
      </c>
      <c r="AN8" s="15" t="str">
        <f t="shared" si="9"/>
        <v>0.42% (N/S)</v>
      </c>
      <c r="AO8" s="56">
        <f t="shared" si="9"/>
        <v>0.75543908431814999</v>
      </c>
      <c r="AP8" s="16">
        <f t="shared" si="9"/>
        <v>5.2808475718740508</v>
      </c>
      <c r="AS8" s="13" t="s">
        <v>15</v>
      </c>
      <c r="AT8" s="14">
        <f t="shared" si="10"/>
        <v>0.17432961113724299</v>
      </c>
      <c r="AU8" s="15">
        <f t="shared" si="10"/>
        <v>2.9166761336457618E-2</v>
      </c>
      <c r="AV8" s="56">
        <f t="shared" si="10"/>
        <v>6.6485633432052396E-2</v>
      </c>
      <c r="AW8" s="16">
        <f t="shared" si="10"/>
        <v>0.89631152839975958</v>
      </c>
      <c r="AZ8" s="1">
        <f>INDEX('in_211a Sum TOU impacts'!$P$2:$P$13,MATCH('01 Impacts'!$AE8,'in_211a Sum TOU impacts'!$D$2:$D$13,0),1)</f>
        <v>127</v>
      </c>
    </row>
    <row r="9" spans="1:52" customFormat="1" x14ac:dyDescent="0.2">
      <c r="A9" s="1" t="str">
        <f t="shared" si="11"/>
        <v>Parts_CPP_CPP/RT_Conts_RCT_Off-Peak</v>
      </c>
      <c r="B9" s="39" t="s">
        <v>13</v>
      </c>
      <c r="C9" s="39"/>
      <c r="D9" s="39" t="str">
        <f t="shared" si="12"/>
        <v>Parts_CPP_CPP/RT_Conts_RCT_Off-Peak</v>
      </c>
      <c r="E9" s="39" t="s">
        <v>14</v>
      </c>
      <c r="F9" s="39" t="s">
        <v>16</v>
      </c>
      <c r="G9" s="39">
        <f>INDEX('in_211a Sum TOU impacts'!$A$2:$P$13,MATCH('01 Impacts'!$E9&amp;"_"&amp;'01 Impacts'!$F9,'in_211a Sum TOU impacts'!$S$2:$S$13,0),MATCH('01 Impacts'!G$6,'in_211a Sum TOU impacts'!$A$1:$P$1,0))*'01 Impacts'!G$5</f>
        <v>-0.230813345479781</v>
      </c>
      <c r="H9" s="39">
        <f>INDEX('in_211a Sum TOU impacts'!$A$2:$P$13,MATCH('01 Impacts'!$E9&amp;"_"&amp;'01 Impacts'!$F9,'in_211a Sum TOU impacts'!$S$2:$S$13,0),MATCH('01 Impacts'!H$6,'in_211a Sum TOU impacts'!$A$1:$P$1,0))*'01 Impacts'!H$5</f>
        <v>0.22654811575737499</v>
      </c>
      <c r="I9" s="39">
        <f>INDEX('in_211a Sum TOU impacts'!$A$2:$P$13,MATCH('01 Impacts'!$E9&amp;"_"&amp;'01 Impacts'!$F9,'in_211a Sum TOU impacts'!$S$2:$S$13,0),MATCH('01 Impacts'!I$6,'in_211a Sum TOU impacts'!$A$1:$P$1,0))*'01 Impacts'!I$5</f>
        <v>0.19086520232016699</v>
      </c>
      <c r="J9" s="39">
        <f>INDEX('in_211a Sum TOU impacts'!$A$2:$P$13,MATCH('01 Impacts'!$E9&amp;"_"&amp;'01 Impacts'!$F9,'in_211a Sum TOU impacts'!$S$2:$S$13,0),MATCH('01 Impacts'!J$6,'in_211a Sum TOU impacts'!$A$1:$P$1,0))*'01 Impacts'!J$5</f>
        <v>0.31394594916313801</v>
      </c>
      <c r="K9" s="39">
        <f>INDEX('in_211a Sum TOU impacts'!$A$2:$P$13,MATCH('01 Impacts'!$E9&amp;"_"&amp;'01 Impacts'!$F9,'in_211a Sum TOU impacts'!$S$2:$S$13,0),MATCH('01 Impacts'!K$6,'in_211a Sum TOU impacts'!$A$1:$P$1,0))*'01 Impacts'!K$5</f>
        <v>12.391836641918101</v>
      </c>
      <c r="L9" s="39">
        <f>INDEX('in_211a Sum TOU impacts'!$A$2:$P$13,MATCH('01 Impacts'!$E9&amp;"_"&amp;'01 Impacts'!$F9,'in_211a Sum TOU impacts'!$S$2:$S$13,0),MATCH('01 Impacts'!L$6,'in_211a Sum TOU impacts'!$A$1:$P$1,0))*'01 Impacts'!L$5</f>
        <v>462474</v>
      </c>
      <c r="M9" s="39">
        <f>INDEX('in_211a Sum TOU impacts'!$A$2:$P$13,MATCH('01 Impacts'!$E9&amp;"_"&amp;'01 Impacts'!$F9,'in_211a Sum TOU impacts'!$S$2:$S$13,0),MATCH('01 Impacts'!M$6,'in_211a Sum TOU impacts'!$A$1:$P$1,0))*'01 Impacts'!M$5</f>
        <v>127</v>
      </c>
      <c r="N9" s="39">
        <f>INDEX('Hours Per Day TOU'!$E$5:$E$8,MATCH('01 Impacts'!$F9,'Hours Per Day TOU'!$D$5:$D$8,0),1)</f>
        <v>12</v>
      </c>
      <c r="O9" s="39">
        <f t="shared" si="13"/>
        <v>1524</v>
      </c>
      <c r="P9" s="39">
        <f t="shared" si="14"/>
        <v>3.6429525456718279E-2</v>
      </c>
      <c r="Q9" s="39">
        <f t="shared" si="15"/>
        <v>9.355914941857342E-3</v>
      </c>
      <c r="R9" s="39"/>
      <c r="S9" s="41">
        <f t="shared" si="0"/>
        <v>-1.8979763450283075E-2</v>
      </c>
      <c r="T9" s="42">
        <f t="shared" si="1"/>
        <v>1</v>
      </c>
      <c r="U9" s="39"/>
      <c r="V9" s="43" t="str">
        <f t="shared" si="2"/>
        <v>-0.23 (N/S)</v>
      </c>
      <c r="W9" s="44" t="str">
        <f>IF($H9&gt;0.1,ROUND(S9*100,2)&amp;"% (N/S)",S9)</f>
        <v>-1.9% (N/S)</v>
      </c>
      <c r="X9" s="54">
        <f t="shared" si="4"/>
        <v>0.22654811575737499</v>
      </c>
      <c r="Y9" s="45">
        <f t="shared" si="16"/>
        <v>1.3601724307169203</v>
      </c>
      <c r="Z9" s="43">
        <f t="shared" si="5"/>
        <v>-29.313294875932186</v>
      </c>
      <c r="AA9" s="46">
        <f t="shared" si="6"/>
        <v>-1.9234445456648416E-2</v>
      </c>
      <c r="AB9" s="46">
        <f t="shared" si="7"/>
        <v>0.50677639220671067</v>
      </c>
      <c r="AC9" s="39"/>
      <c r="AD9" s="39"/>
      <c r="AE9" s="3" t="s">
        <v>16</v>
      </c>
      <c r="AF9" s="6" t="str">
        <f t="shared" si="8"/>
        <v>-0.23 (N/S)</v>
      </c>
      <c r="AG9" s="12" t="str">
        <f t="shared" si="8"/>
        <v>-1.9% (N/S)</v>
      </c>
      <c r="AH9" s="57">
        <f t="shared" si="8"/>
        <v>0.22654811575737499</v>
      </c>
      <c r="AI9" s="8">
        <f t="shared" si="8"/>
        <v>1.3601724307169203</v>
      </c>
      <c r="AJ9" s="39"/>
      <c r="AK9" s="39"/>
      <c r="AL9" s="3" t="s">
        <v>16</v>
      </c>
      <c r="AM9" s="6" t="str">
        <f t="shared" si="9"/>
        <v>-0.2 (N/S)</v>
      </c>
      <c r="AN9" s="12" t="str">
        <f t="shared" si="9"/>
        <v>-1.62% (N/S)</v>
      </c>
      <c r="AO9" s="57">
        <f t="shared" si="9"/>
        <v>0.22207009751931001</v>
      </c>
      <c r="AP9" s="8">
        <f t="shared" si="9"/>
        <v>1.3470906709186787</v>
      </c>
      <c r="AS9" s="3" t="s">
        <v>16</v>
      </c>
      <c r="AT9" s="6" t="str">
        <f t="shared" si="10"/>
        <v>-0.22 (N/S)</v>
      </c>
      <c r="AU9" s="12" t="str">
        <f t="shared" si="10"/>
        <v>-1.96% (N/S)</v>
      </c>
      <c r="AV9" s="57">
        <f t="shared" si="10"/>
        <v>0.22816319435524901</v>
      </c>
      <c r="AW9" s="8">
        <f t="shared" si="10"/>
        <v>1.3649070630927007</v>
      </c>
      <c r="AZ9" s="1">
        <f>INDEX('in_211a Sum TOU impacts'!$P$2:$P$13,MATCH('01 Impacts'!$AE9,'in_211a Sum TOU impacts'!$D$2:$D$13,0),1)</f>
        <v>127</v>
      </c>
    </row>
    <row r="10" spans="1:52" customFormat="1" x14ac:dyDescent="0.2">
      <c r="A10" s="1" t="str">
        <f t="shared" si="11"/>
        <v>Parts_CPP_CPP/RT_Conts_RCT_Weekend Off-Peak</v>
      </c>
      <c r="B10" s="39" t="s">
        <v>13</v>
      </c>
      <c r="C10" s="39"/>
      <c r="D10" s="39" t="str">
        <f t="shared" si="12"/>
        <v>Parts_CPP_CPP/RT_Conts_RCT_Weekend Off-Peak</v>
      </c>
      <c r="E10" s="39" t="s">
        <v>14</v>
      </c>
      <c r="F10" s="39" t="s">
        <v>18</v>
      </c>
      <c r="G10" s="39">
        <f>INDEX('in_211a Sum TOU impacts'!$A$2:$P$13,MATCH('01 Impacts'!$E10&amp;"_"&amp;'01 Impacts'!$F10,'in_211a Sum TOU impacts'!$S$2:$S$13,0),MATCH('01 Impacts'!G$6,'in_211a Sum TOU impacts'!$A$1:$P$1,0))*'01 Impacts'!G$5</f>
        <v>8.4098700044539301E-2</v>
      </c>
      <c r="H10" s="39">
        <f>INDEX('in_211a Sum TOU impacts'!$A$2:$P$13,MATCH('01 Impacts'!$E10&amp;"_"&amp;'01 Impacts'!$F10,'in_211a Sum TOU impacts'!$S$2:$S$13,0),MATCH('01 Impacts'!H$6,'in_211a Sum TOU impacts'!$A$1:$P$1,0))*'01 Impacts'!H$5</f>
        <v>0.82661977879237503</v>
      </c>
      <c r="I10" s="39">
        <f>INDEX('in_211a Sum TOU impacts'!$A$2:$P$13,MATCH('01 Impacts'!$E10&amp;"_"&amp;'01 Impacts'!$F10,'in_211a Sum TOU impacts'!$S$2:$S$13,0),MATCH('01 Impacts'!I$6,'in_211a Sum TOU impacts'!$A$1:$P$1,0))*'01 Impacts'!I$5</f>
        <v>0.38394398778524103</v>
      </c>
      <c r="J10" s="39">
        <f>INDEX('in_211a Sum TOU impacts'!$A$2:$P$13,MATCH('01 Impacts'!$E10&amp;"_"&amp;'01 Impacts'!$F10,'in_211a Sum TOU impacts'!$S$2:$S$13,0),MATCH('01 Impacts'!J$6,'in_211a Sum TOU impacts'!$A$1:$P$1,0))*'01 Impacts'!J$5</f>
        <v>0.63153292588411203</v>
      </c>
      <c r="K10" s="39">
        <f>INDEX('in_211a Sum TOU impacts'!$A$2:$P$13,MATCH('01 Impacts'!$E10&amp;"_"&amp;'01 Impacts'!$F10,'in_211a Sum TOU impacts'!$S$2:$S$13,0),MATCH('01 Impacts'!K$6,'in_211a Sum TOU impacts'!$A$1:$P$1,0))*'01 Impacts'!K$5</f>
        <v>27.832094398510598</v>
      </c>
      <c r="L10" s="39">
        <f>INDEX('in_211a Sum TOU impacts'!$A$2:$P$13,MATCH('01 Impacts'!$E10&amp;"_"&amp;'01 Impacts'!$F10,'in_211a Sum TOU impacts'!$S$2:$S$13,0),MATCH('01 Impacts'!L$6,'in_211a Sum TOU impacts'!$A$1:$P$1,0))*'01 Impacts'!L$5</f>
        <v>462474</v>
      </c>
      <c r="M10" s="39">
        <f>INDEX('in_211a Sum TOU impacts'!$A$2:$P$13,MATCH('01 Impacts'!$E10&amp;"_"&amp;'01 Impacts'!$F10,'in_211a Sum TOU impacts'!$S$2:$S$13,0),MATCH('01 Impacts'!M$6,'in_211a Sum TOU impacts'!$A$1:$P$1,0))*'01 Impacts'!M$5</f>
        <v>57</v>
      </c>
      <c r="N10" s="39">
        <f>INDEX('Hours Per Day TOU'!$E$5:$E$8,MATCH('01 Impacts'!$F10,'Hours Per Day TOU'!$D$5:$D$8,0),1)</f>
        <v>24</v>
      </c>
      <c r="O10" s="39">
        <f t="shared" si="13"/>
        <v>1368</v>
      </c>
      <c r="P10" s="39">
        <f t="shared" si="14"/>
        <v>0.1474129857564333</v>
      </c>
      <c r="Q10" s="39">
        <f t="shared" si="15"/>
        <v>3.7858943776278887E-2</v>
      </c>
      <c r="R10" s="39"/>
      <c r="S10" s="41">
        <f t="shared" si="0"/>
        <v>3.0125418515210087E-3</v>
      </c>
      <c r="T10" s="42">
        <f t="shared" si="1"/>
        <v>1</v>
      </c>
      <c r="U10" s="39"/>
      <c r="V10" s="43" t="str">
        <f t="shared" si="2"/>
        <v>0.08 (N/S)</v>
      </c>
      <c r="W10" s="44" t="str">
        <f t="shared" ref="W10:W18" si="17">IF($H10&gt;0.1,ROUND(S10*100,2)&amp;"% (N/S)",S10)</f>
        <v>0.3% (N/S)</v>
      </c>
      <c r="X10" s="54">
        <f t="shared" si="4"/>
        <v>0.82661977879237503</v>
      </c>
      <c r="Y10" s="45">
        <f t="shared" si="16"/>
        <v>7.5094255386783324</v>
      </c>
      <c r="Z10" s="43">
        <f t="shared" si="5"/>
        <v>4.7936259025387402</v>
      </c>
      <c r="AA10" s="46">
        <f t="shared" si="6"/>
        <v>3.5041125018558041E-3</v>
      </c>
      <c r="AB10" s="46">
        <f t="shared" si="7"/>
        <v>0.50677639220671067</v>
      </c>
      <c r="AC10" s="39"/>
      <c r="AD10" s="39"/>
      <c r="AE10" s="17" t="s">
        <v>18</v>
      </c>
      <c r="AF10" s="18" t="str">
        <f t="shared" si="8"/>
        <v>0.08 (N/S)</v>
      </c>
      <c r="AG10" s="19" t="str">
        <f t="shared" si="8"/>
        <v>0.3% (N/S)</v>
      </c>
      <c r="AH10" s="58">
        <f t="shared" si="8"/>
        <v>0.82661977879237503</v>
      </c>
      <c r="AI10" s="20">
        <f t="shared" si="8"/>
        <v>7.5094255386783324</v>
      </c>
      <c r="AJ10" s="39"/>
      <c r="AK10" s="39"/>
      <c r="AL10" s="17" t="s">
        <v>18</v>
      </c>
      <c r="AM10" s="18" t="str">
        <f t="shared" si="9"/>
        <v>-0.15 (N/S)</v>
      </c>
      <c r="AN10" s="19" t="str">
        <f t="shared" si="9"/>
        <v>-0.53% (N/S)</v>
      </c>
      <c r="AO10" s="58">
        <f t="shared" si="9"/>
        <v>0.658963744279356</v>
      </c>
      <c r="AP10" s="20">
        <f t="shared" si="9"/>
        <v>3.726920372060238</v>
      </c>
      <c r="AS10" s="17" t="s">
        <v>18</v>
      </c>
      <c r="AT10" s="18" t="str">
        <f t="shared" si="10"/>
        <v>0.08 (N/S)</v>
      </c>
      <c r="AU10" s="19" t="str">
        <f t="shared" si="10"/>
        <v>0.3% (N/S)</v>
      </c>
      <c r="AV10" s="58">
        <f t="shared" si="10"/>
        <v>0.82662118740227097</v>
      </c>
      <c r="AW10" s="20">
        <f t="shared" si="10"/>
        <v>7.5094883454792614</v>
      </c>
      <c r="AZ10" s="1">
        <f>INDEX('in_211a Sum TOU impacts'!$P$2:$P$13,MATCH('01 Impacts'!$AE10,'in_211a Sum TOU impacts'!$D$2:$D$13,0),1)</f>
        <v>57</v>
      </c>
    </row>
    <row r="11" spans="1:52" x14ac:dyDescent="0.2">
      <c r="A11" s="1" t="str">
        <f t="shared" si="11"/>
        <v>Parts_RT_Conts_RCT_On-Peak</v>
      </c>
      <c r="B11" s="39" t="s">
        <v>13</v>
      </c>
      <c r="D11" s="39" t="str">
        <f t="shared" si="12"/>
        <v>Parts_RT_Conts_RCT_On-Peak</v>
      </c>
      <c r="E11" s="39" t="s">
        <v>19</v>
      </c>
      <c r="F11" s="39" t="s">
        <v>17</v>
      </c>
      <c r="G11" s="39">
        <f>INDEX('in_211a Sum TOU impacts'!$A$2:$P$13,MATCH('01 Impacts'!$E11&amp;"_"&amp;'01 Impacts'!$F11,'in_211a Sum TOU impacts'!$S$2:$S$13,0),MATCH('01 Impacts'!G$6,'in_211a Sum TOU impacts'!$A$1:$P$1,0))*'01 Impacts'!G$5</f>
        <v>0.15584676767022401</v>
      </c>
      <c r="H11" s="59">
        <f>INDEX('in_211a Sum TOU impacts'!$A$2:$P$13,MATCH('01 Impacts'!$E11&amp;"_"&amp;'01 Impacts'!$F11,'in_211a Sum TOU impacts'!$S$2:$S$13,0),MATCH('01 Impacts'!H$6,'in_211a Sum TOU impacts'!$A$1:$P$1,0))*'01 Impacts'!H$5</f>
        <v>0.104577288601773</v>
      </c>
      <c r="I11" s="59">
        <f>INDEX('in_211a Sum TOU impacts'!$A$2:$P$13,MATCH('01 Impacts'!$E11&amp;"_"&amp;'01 Impacts'!$F11,'in_211a Sum TOU impacts'!$S$2:$S$13,0),MATCH('01 Impacts'!I$6,'in_211a Sum TOU impacts'!$A$1:$P$1,0))*'01 Impacts'!I$5</f>
        <v>9.6020404987417596E-2</v>
      </c>
      <c r="J11" s="39">
        <f>INDEX('in_211a Sum TOU impacts'!$A$2:$P$13,MATCH('01 Impacts'!$E11&amp;"_"&amp;'01 Impacts'!$F11,'in_211a Sum TOU impacts'!$S$2:$S$13,0),MATCH('01 Impacts'!J$6,'in_211a Sum TOU impacts'!$A$1:$P$1,0))*'01 Impacts'!J$5</f>
        <v>0.157939726102095</v>
      </c>
      <c r="K11" s="39">
        <f>INDEX('in_211a Sum TOU impacts'!$A$2:$P$13,MATCH('01 Impacts'!$E11&amp;"_"&amp;'01 Impacts'!$F11,'in_211a Sum TOU impacts'!$S$2:$S$13,0),MATCH('01 Impacts'!K$6,'in_211a Sum TOU impacts'!$A$1:$P$1,0))*'01 Impacts'!K$5</f>
        <v>6.4399497953311897</v>
      </c>
      <c r="L11" s="39">
        <f>INDEX('in_211a Sum TOU impacts'!$A$2:$P$13,MATCH('01 Impacts'!$E11&amp;"_"&amp;'01 Impacts'!$F11,'in_211a Sum TOU impacts'!$S$2:$S$13,0),MATCH('01 Impacts'!L$6,'in_211a Sum TOU impacts'!$A$1:$P$1,0))*'01 Impacts'!L$5</f>
        <v>681486</v>
      </c>
      <c r="M11" s="39">
        <f>INDEX('in_211a Sum TOU impacts'!$A$2:$P$13,MATCH('01 Impacts'!$E11&amp;"_"&amp;'01 Impacts'!$F11,'in_211a Sum TOU impacts'!$S$2:$S$13,0),MATCH('01 Impacts'!M$6,'in_211a Sum TOU impacts'!$A$1:$P$1,0))*'01 Impacts'!M$5</f>
        <v>127</v>
      </c>
      <c r="N11" s="39">
        <f>INDEX('Hours Per Day TOU'!$E$5:$E$8,MATCH('01 Impacts'!$F11,'Hours Per Day TOU'!$D$5:$D$8,0),1)</f>
        <v>6</v>
      </c>
      <c r="O11" s="39">
        <f t="shared" si="13"/>
        <v>762</v>
      </c>
      <c r="P11" s="39">
        <f t="shared" si="14"/>
        <v>9.2199181739476901E-3</v>
      </c>
      <c r="Q11" s="39">
        <f t="shared" si="15"/>
        <v>2.3485076918153039E-3</v>
      </c>
      <c r="S11" s="41">
        <f t="shared" si="0"/>
        <v>2.3628195045376905E-2</v>
      </c>
      <c r="T11" s="42">
        <f t="shared" si="1"/>
        <v>1</v>
      </c>
      <c r="V11" s="43" t="str">
        <f t="shared" si="2"/>
        <v>0.16 (N/S)</v>
      </c>
      <c r="W11" s="44" t="str">
        <f t="shared" si="17"/>
        <v>2.36% (N/S)</v>
      </c>
      <c r="X11" s="54">
        <f t="shared" si="4"/>
        <v>0.104577288601773</v>
      </c>
      <c r="Y11" s="45">
        <f t="shared" si="16"/>
        <v>1.0134295915350631</v>
      </c>
      <c r="Z11" s="43">
        <f t="shared" si="5"/>
        <v>19.792539494118451</v>
      </c>
      <c r="AA11" s="46">
        <f t="shared" si="6"/>
        <v>2.5974461278370668E-2</v>
      </c>
      <c r="AB11" s="46">
        <f t="shared" si="7"/>
        <v>0.50469901842726184</v>
      </c>
    </row>
    <row r="12" spans="1:52" x14ac:dyDescent="0.2">
      <c r="A12" s="1" t="str">
        <f t="shared" si="11"/>
        <v>Parts_RT_Conts_RCT_Mid-Peak</v>
      </c>
      <c r="B12" s="39" t="s">
        <v>13</v>
      </c>
      <c r="D12" s="39" t="str">
        <f t="shared" si="12"/>
        <v>Parts_RT_Conts_RCT_Mid-Peak</v>
      </c>
      <c r="E12" s="39" t="s">
        <v>19</v>
      </c>
      <c r="F12" s="39" t="s">
        <v>15</v>
      </c>
      <c r="G12" s="39">
        <f>INDEX('in_211a Sum TOU impacts'!$A$2:$P$13,MATCH('01 Impacts'!$E12&amp;"_"&amp;'01 Impacts'!$F12,'in_211a Sum TOU impacts'!$S$2:$S$13,0),MATCH('01 Impacts'!G$6,'in_211a Sum TOU impacts'!$A$1:$P$1,0))*'01 Impacts'!G$5</f>
        <v>2.6921505531284199E-2</v>
      </c>
      <c r="H12" s="39">
        <f>INDEX('in_211a Sum TOU impacts'!$A$2:$P$13,MATCH('01 Impacts'!$E12&amp;"_"&amp;'01 Impacts'!$F12,'in_211a Sum TOU impacts'!$S$2:$S$13,0),MATCH('01 Impacts'!H$6,'in_211a Sum TOU impacts'!$A$1:$P$1,0))*'01 Impacts'!H$5</f>
        <v>0.75543908431814999</v>
      </c>
      <c r="I12" s="39">
        <f>INDEX('in_211a Sum TOU impacts'!$A$2:$P$13,MATCH('01 Impacts'!$E12&amp;"_"&amp;'01 Impacts'!$F12,'in_211a Sum TOU impacts'!$S$2:$S$13,0),MATCH('01 Impacts'!I$6,'in_211a Sum TOU impacts'!$A$1:$P$1,0))*'01 Impacts'!I$5</f>
        <v>8.6432112577307804E-2</v>
      </c>
      <c r="J12" s="39">
        <f>INDEX('in_211a Sum TOU impacts'!$A$2:$P$13,MATCH('01 Impacts'!$E12&amp;"_"&amp;'01 Impacts'!$F12,'in_211a Sum TOU impacts'!$S$2:$S$13,0),MATCH('01 Impacts'!J$6,'in_211a Sum TOU impacts'!$A$1:$P$1,0))*'01 Impacts'!J$5</f>
        <v>0.142168367116076</v>
      </c>
      <c r="K12" s="39">
        <f>INDEX('in_211a Sum TOU impacts'!$A$2:$P$13,MATCH('01 Impacts'!$E12&amp;"_"&amp;'01 Impacts'!$F12,'in_211a Sum TOU impacts'!$S$2:$S$13,0),MATCH('01 Impacts'!K$6,'in_211a Sum TOU impacts'!$A$1:$P$1,0))*'01 Impacts'!K$5</f>
        <v>6.3714346276000597</v>
      </c>
      <c r="L12" s="39">
        <f>INDEX('in_211a Sum TOU impacts'!$A$2:$P$13,MATCH('01 Impacts'!$E12&amp;"_"&amp;'01 Impacts'!$F12,'in_211a Sum TOU impacts'!$S$2:$S$13,0),MATCH('01 Impacts'!L$6,'in_211a Sum TOU impacts'!$A$1:$P$1,0))*'01 Impacts'!L$5</f>
        <v>681486</v>
      </c>
      <c r="M12" s="39">
        <f>INDEX('in_211a Sum TOU impacts'!$A$2:$P$13,MATCH('01 Impacts'!$E12&amp;"_"&amp;'01 Impacts'!$F12,'in_211a Sum TOU impacts'!$S$2:$S$13,0),MATCH('01 Impacts'!M$6,'in_211a Sum TOU impacts'!$A$1:$P$1,0))*'01 Impacts'!M$5</f>
        <v>127</v>
      </c>
      <c r="N12" s="39">
        <f>INDEX('Hours Per Day TOU'!$E$5:$E$8,MATCH('01 Impacts'!$F12,'Hours Per Day TOU'!$D$5:$D$8,0),1)</f>
        <v>6</v>
      </c>
      <c r="O12" s="39">
        <f t="shared" si="13"/>
        <v>762</v>
      </c>
      <c r="P12" s="39">
        <f t="shared" si="14"/>
        <v>7.4705100845764098E-3</v>
      </c>
      <c r="Q12" s="39">
        <f t="shared" si="15"/>
        <v>1.9028965403387575E-3</v>
      </c>
      <c r="S12" s="41">
        <f t="shared" si="0"/>
        <v>4.2075659702469331E-3</v>
      </c>
      <c r="T12" s="42">
        <f t="shared" si="1"/>
        <v>1</v>
      </c>
      <c r="V12" s="43" t="str">
        <f t="shared" si="2"/>
        <v>0.03 (N/S)</v>
      </c>
      <c r="W12" s="44" t="str">
        <f t="shared" si="17"/>
        <v>0.42% (N/S)</v>
      </c>
      <c r="X12" s="54">
        <f t="shared" si="4"/>
        <v>0.75543908431814999</v>
      </c>
      <c r="Y12" s="45">
        <f t="shared" si="16"/>
        <v>5.2808475718740508</v>
      </c>
      <c r="Z12" s="43">
        <f t="shared" si="5"/>
        <v>3.4190312024730933</v>
      </c>
      <c r="AA12" s="46">
        <f t="shared" si="6"/>
        <v>4.4869175885473662E-3</v>
      </c>
      <c r="AB12" s="46">
        <f t="shared" si="7"/>
        <v>0.50469901842726184</v>
      </c>
      <c r="AE12" s="39" t="s">
        <v>65</v>
      </c>
      <c r="AF12" s="39" t="s">
        <v>66</v>
      </c>
      <c r="AL12" s="39" t="s">
        <v>65</v>
      </c>
      <c r="AM12" s="39" t="s">
        <v>66</v>
      </c>
      <c r="AS12" s="39" t="s">
        <v>65</v>
      </c>
      <c r="AT12" s="39" t="s">
        <v>66</v>
      </c>
    </row>
    <row r="13" spans="1:52" x14ac:dyDescent="0.2">
      <c r="A13" s="1" t="str">
        <f t="shared" si="11"/>
        <v>Parts_RT_Conts_RCT_Off-Peak</v>
      </c>
      <c r="B13" s="39" t="s">
        <v>13</v>
      </c>
      <c r="D13" s="39" t="str">
        <f t="shared" si="12"/>
        <v>Parts_RT_Conts_RCT_Off-Peak</v>
      </c>
      <c r="E13" s="39" t="s">
        <v>19</v>
      </c>
      <c r="F13" s="39" t="s">
        <v>16</v>
      </c>
      <c r="G13" s="39">
        <f>INDEX('in_211a Sum TOU impacts'!$A$2:$P$13,MATCH('01 Impacts'!$E13&amp;"_"&amp;'01 Impacts'!$F13,'in_211a Sum TOU impacts'!$S$2:$S$13,0),MATCH('01 Impacts'!G$6,'in_211a Sum TOU impacts'!$A$1:$P$1,0))*'01 Impacts'!G$5</f>
        <v>-0.19640747231310099</v>
      </c>
      <c r="H13" s="39">
        <f>INDEX('in_211a Sum TOU impacts'!$A$2:$P$13,MATCH('01 Impacts'!$E13&amp;"_"&amp;'01 Impacts'!$F13,'in_211a Sum TOU impacts'!$S$2:$S$13,0),MATCH('01 Impacts'!H$6,'in_211a Sum TOU impacts'!$A$1:$P$1,0))*'01 Impacts'!H$5</f>
        <v>0.22207009751931001</v>
      </c>
      <c r="I13" s="39">
        <f>INDEX('in_211a Sum TOU impacts'!$A$2:$P$13,MATCH('01 Impacts'!$E13&amp;"_"&amp;'01 Impacts'!$F13,'in_211a Sum TOU impacts'!$S$2:$S$13,0),MATCH('01 Impacts'!I$6,'in_211a Sum TOU impacts'!$A$1:$P$1,0))*'01 Impacts'!I$5</f>
        <v>0.160852193568117</v>
      </c>
      <c r="J13" s="39">
        <f>INDEX('in_211a Sum TOU impacts'!$A$2:$P$13,MATCH('01 Impacts'!$E13&amp;"_"&amp;'01 Impacts'!$F13,'in_211a Sum TOU impacts'!$S$2:$S$13,0),MATCH('01 Impacts'!J$6,'in_211a Sum TOU impacts'!$A$1:$P$1,0))*'01 Impacts'!J$5</f>
        <v>0.26457867365169702</v>
      </c>
      <c r="K13" s="39">
        <f>INDEX('in_211a Sum TOU impacts'!$A$2:$P$13,MATCH('01 Impacts'!$E13&amp;"_"&amp;'01 Impacts'!$F13,'in_211a Sum TOU impacts'!$S$2:$S$13,0),MATCH('01 Impacts'!K$6,'in_211a Sum TOU impacts'!$A$1:$P$1,0))*'01 Impacts'!K$5</f>
        <v>12.3112693636155</v>
      </c>
      <c r="L13" s="39">
        <f>INDEX('in_211a Sum TOU impacts'!$A$2:$P$13,MATCH('01 Impacts'!$E13&amp;"_"&amp;'01 Impacts'!$F13,'in_211a Sum TOU impacts'!$S$2:$S$13,0),MATCH('01 Impacts'!L$6,'in_211a Sum TOU impacts'!$A$1:$P$1,0))*'01 Impacts'!L$5</f>
        <v>681486</v>
      </c>
      <c r="M13" s="39">
        <f>INDEX('in_211a Sum TOU impacts'!$A$2:$P$13,MATCH('01 Impacts'!$E13&amp;"_"&amp;'01 Impacts'!$F13,'in_211a Sum TOU impacts'!$S$2:$S$13,0),MATCH('01 Impacts'!M$6,'in_211a Sum TOU impacts'!$A$1:$P$1,0))*'01 Impacts'!M$5</f>
        <v>127</v>
      </c>
      <c r="N13" s="39">
        <f>INDEX('Hours Per Day TOU'!$E$5:$E$8,MATCH('01 Impacts'!$F13,'Hours Per Day TOU'!$D$5:$D$8,0),1)</f>
        <v>12</v>
      </c>
      <c r="O13" s="39">
        <f t="shared" si="13"/>
        <v>1524</v>
      </c>
      <c r="P13" s="39">
        <f t="shared" si="14"/>
        <v>2.5873428175674982E-2</v>
      </c>
      <c r="Q13" s="39">
        <f t="shared" si="15"/>
        <v>6.5905080650174811E-3</v>
      </c>
      <c r="S13" s="41">
        <f t="shared" si="0"/>
        <v>-1.6212109892404753E-2</v>
      </c>
      <c r="T13" s="42">
        <f t="shared" si="1"/>
        <v>1</v>
      </c>
      <c r="V13" s="43" t="str">
        <f t="shared" si="2"/>
        <v>-0.2 (N/S)</v>
      </c>
      <c r="W13" s="44" t="str">
        <f t="shared" si="17"/>
        <v>-1.62% (N/S)</v>
      </c>
      <c r="X13" s="54">
        <f t="shared" si="4"/>
        <v>0.22207009751931001</v>
      </c>
      <c r="Y13" s="45">
        <f t="shared" si="16"/>
        <v>1.3470906709186787</v>
      </c>
      <c r="Z13" s="43">
        <f t="shared" si="5"/>
        <v>-24.943748983763825</v>
      </c>
      <c r="AA13" s="46">
        <f t="shared" si="6"/>
        <v>-1.6367289359425084E-2</v>
      </c>
      <c r="AB13" s="46">
        <f t="shared" si="7"/>
        <v>0.50469901842726184</v>
      </c>
      <c r="AE13" s="39" t="s">
        <v>17</v>
      </c>
      <c r="AF13" s="39">
        <f>INDEX($V$7:$Z$18,MATCH(AF$3&amp;"_"&amp;$AE13,$D$7:$D$18,0),MATCH(AF$12,$V$6:$Z$6,0))</f>
        <v>41.315088398618315</v>
      </c>
      <c r="AL13" s="39" t="s">
        <v>17</v>
      </c>
      <c r="AM13" s="39">
        <f>INDEX($V$7:$Z$18,MATCH(AM$3&amp;"_"&amp;$AE13,$D$7:$D$18,0),MATCH(AM$12,$V$6:$Z$6,0))</f>
        <v>19.792539494118451</v>
      </c>
      <c r="AS13" s="39" t="s">
        <v>17</v>
      </c>
      <c r="AT13" s="39">
        <f>INDEX($V$7:$Z$18,MATCH(AT$3&amp;"_"&amp;$AE13,$D$7:$D$18,0),MATCH(AT$12,$V$6:$Z$6,0))</f>
        <v>37.659325762007086</v>
      </c>
    </row>
    <row r="14" spans="1:52" x14ac:dyDescent="0.2">
      <c r="A14" s="1" t="str">
        <f t="shared" si="11"/>
        <v>Parts_RT_Conts_RCT_Weekend Off-Peak</v>
      </c>
      <c r="B14" s="39" t="s">
        <v>13</v>
      </c>
      <c r="D14" s="39" t="str">
        <f t="shared" si="12"/>
        <v>Parts_RT_Conts_RCT_Weekend Off-Peak</v>
      </c>
      <c r="E14" s="39" t="s">
        <v>19</v>
      </c>
      <c r="F14" s="39" t="s">
        <v>18</v>
      </c>
      <c r="G14" s="39">
        <f>INDEX('in_211a Sum TOU impacts'!$A$2:$P$13,MATCH('01 Impacts'!$E14&amp;"_"&amp;'01 Impacts'!$F14,'in_211a Sum TOU impacts'!$S$2:$S$13,0),MATCH('01 Impacts'!G$6,'in_211a Sum TOU impacts'!$A$1:$P$1,0))*'01 Impacts'!G$5</f>
        <v>-0.14871141576452601</v>
      </c>
      <c r="H14" s="39">
        <f>INDEX('in_211a Sum TOU impacts'!$A$2:$P$13,MATCH('01 Impacts'!$E14&amp;"_"&amp;'01 Impacts'!$F14,'in_211a Sum TOU impacts'!$S$2:$S$13,0),MATCH('01 Impacts'!H$6,'in_211a Sum TOU impacts'!$A$1:$P$1,0))*'01 Impacts'!H$5</f>
        <v>0.658963744279356</v>
      </c>
      <c r="I14" s="39">
        <f>INDEX('in_211a Sum TOU impacts'!$A$2:$P$13,MATCH('01 Impacts'!$E14&amp;"_"&amp;'01 Impacts'!$F14,'in_211a Sum TOU impacts'!$S$2:$S$13,0),MATCH('01 Impacts'!I$6,'in_211a Sum TOU impacts'!$A$1:$P$1,0))*'01 Impacts'!I$5</f>
        <v>0.33695086449203399</v>
      </c>
      <c r="J14" s="39">
        <f>INDEX('in_211a Sum TOU impacts'!$A$2:$P$13,MATCH('01 Impacts'!$E14&amp;"_"&amp;'01 Impacts'!$F14,'in_211a Sum TOU impacts'!$S$2:$S$13,0),MATCH('01 Impacts'!J$6,'in_211a Sum TOU impacts'!$A$1:$P$1,0))*'01 Impacts'!J$5</f>
        <v>0.55423560497073199</v>
      </c>
      <c r="K14" s="39">
        <f>INDEX('in_211a Sum TOU impacts'!$A$2:$P$13,MATCH('01 Impacts'!$E14&amp;"_"&amp;'01 Impacts'!$F14,'in_211a Sum TOU impacts'!$S$2:$S$13,0),MATCH('01 Impacts'!K$6,'in_211a Sum TOU impacts'!$A$1:$P$1,0))*'01 Impacts'!K$5</f>
        <v>28.155934253108502</v>
      </c>
      <c r="L14" s="39">
        <f>INDEX('in_211a Sum TOU impacts'!$A$2:$P$13,MATCH('01 Impacts'!$E14&amp;"_"&amp;'01 Impacts'!$F14,'in_211a Sum TOU impacts'!$S$2:$S$13,0),MATCH('01 Impacts'!L$6,'in_211a Sum TOU impacts'!$A$1:$P$1,0))*'01 Impacts'!L$5</f>
        <v>681486</v>
      </c>
      <c r="M14" s="39">
        <f>INDEX('in_211a Sum TOU impacts'!$A$2:$P$13,MATCH('01 Impacts'!$E14&amp;"_"&amp;'01 Impacts'!$F14,'in_211a Sum TOU impacts'!$S$2:$S$13,0),MATCH('01 Impacts'!M$6,'in_211a Sum TOU impacts'!$A$1:$P$1,0))*'01 Impacts'!M$5</f>
        <v>57</v>
      </c>
      <c r="N14" s="39">
        <f>INDEX('Hours Per Day TOU'!$E$5:$E$8,MATCH('01 Impacts'!$F14,'Hours Per Day TOU'!$D$5:$D$8,0),1)</f>
        <v>24</v>
      </c>
      <c r="O14" s="39">
        <f t="shared" si="13"/>
        <v>1368</v>
      </c>
      <c r="P14" s="39">
        <f t="shared" si="14"/>
        <v>0.11353588508192905</v>
      </c>
      <c r="Q14" s="39">
        <f t="shared" si="15"/>
        <v>2.8919985446877523E-2</v>
      </c>
      <c r="S14" s="41">
        <f t="shared" si="0"/>
        <v>-5.3097522959769774E-3</v>
      </c>
      <c r="T14" s="42">
        <f t="shared" si="1"/>
        <v>1</v>
      </c>
      <c r="V14" s="43" t="str">
        <f t="shared" si="2"/>
        <v>-0.15 (N/S)</v>
      </c>
      <c r="W14" s="44" t="str">
        <f t="shared" si="17"/>
        <v>-0.53% (N/S)</v>
      </c>
      <c r="X14" s="54">
        <f t="shared" si="4"/>
        <v>0.658963744279356</v>
      </c>
      <c r="Y14" s="45">
        <f t="shared" si="16"/>
        <v>3.726920372060238</v>
      </c>
      <c r="Z14" s="43">
        <f t="shared" si="5"/>
        <v>-8.4765506985779826</v>
      </c>
      <c r="AA14" s="46">
        <f t="shared" si="6"/>
        <v>-6.1963089901885841E-3</v>
      </c>
      <c r="AB14" s="46">
        <f t="shared" si="7"/>
        <v>0.50469901842726184</v>
      </c>
      <c r="AE14" s="39" t="s">
        <v>15</v>
      </c>
      <c r="AF14" s="39">
        <f>INDEX($V$7:$Z$18,MATCH(AF$3&amp;"_"&amp;$AE14,$D$7:$D$18,0),MATCH(AF$12,$V$6:$Z$6,0))</f>
        <v>35.344690407737517</v>
      </c>
      <c r="AL14" s="39" t="s">
        <v>15</v>
      </c>
      <c r="AM14" s="39">
        <f>INDEX($V$7:$Z$18,MATCH(AM$3&amp;"_"&amp;$AE14,$D$7:$D$18,0),MATCH(AM$12,$V$6:$Z$6,0))</f>
        <v>3.4190312024730933</v>
      </c>
      <c r="AS14" s="39" t="s">
        <v>15</v>
      </c>
      <c r="AT14" s="39">
        <f>INDEX($V$7:$Z$18,MATCH(AT$3&amp;"_"&amp;$AE14,$D$7:$D$18,0),MATCH(AT$12,$V$6:$Z$6,0))</f>
        <v>22.13986061442986</v>
      </c>
    </row>
    <row r="15" spans="1:52" x14ac:dyDescent="0.2">
      <c r="A15" s="1" t="str">
        <f t="shared" si="11"/>
        <v>NO_CPP_EVENTS_Parts_CPP_CPP/RT_Conts_RCT_On-Peak</v>
      </c>
      <c r="B15" s="39" t="s">
        <v>13</v>
      </c>
      <c r="D15" s="39" t="str">
        <f t="shared" si="12"/>
        <v>NO_CPP_EVENTS_Parts_CPP_CPP/RT_Conts_RCT_On-Peak</v>
      </c>
      <c r="E15" s="39" t="s">
        <v>20</v>
      </c>
      <c r="F15" s="39" t="s">
        <v>17</v>
      </c>
      <c r="G15" s="39">
        <f>INDEX('in_211a Sum TOU impacts'!$A$2:$P$13,MATCH('01 Impacts'!$E15&amp;"_"&amp;'01 Impacts'!$F15,'in_211a Sum TOU impacts'!$S$2:$S$13,0),MATCH('01 Impacts'!G$6,'in_211a Sum TOU impacts'!$A$1:$P$1,0))*'01 Impacts'!G$5</f>
        <v>0.296530124110292</v>
      </c>
      <c r="H15" s="39">
        <f>INDEX('in_211a Sum TOU impacts'!$A$2:$P$13,MATCH('01 Impacts'!$E15&amp;"_"&amp;'01 Impacts'!$F15,'in_211a Sum TOU impacts'!$S$2:$S$13,0),MATCH('01 Impacts'!H$6,'in_211a Sum TOU impacts'!$A$1:$P$1,0))*'01 Impacts'!H$5</f>
        <v>4.4084965568462501E-3</v>
      </c>
      <c r="I15" s="39">
        <f>INDEX('in_211a Sum TOU impacts'!$A$2:$P$13,MATCH('01 Impacts'!$E15&amp;"_"&amp;'01 Impacts'!$F15,'in_211a Sum TOU impacts'!$S$2:$S$13,0),MATCH('01 Impacts'!I$6,'in_211a Sum TOU impacts'!$A$1:$P$1,0))*'01 Impacts'!I$5</f>
        <v>0.104141967288055</v>
      </c>
      <c r="J15" s="39">
        <f>INDEX('in_211a Sum TOU impacts'!$A$2:$P$13,MATCH('01 Impacts'!$E15&amp;"_"&amp;'01 Impacts'!$F15,'in_211a Sum TOU impacts'!$S$2:$S$13,0),MATCH('01 Impacts'!J$6,'in_211a Sum TOU impacts'!$A$1:$P$1,0))*'01 Impacts'!J$5</f>
        <v>0.17129866155548601</v>
      </c>
      <c r="K15" s="39">
        <f>INDEX('in_211a Sum TOU impacts'!$A$2:$P$13,MATCH('01 Impacts'!$E15&amp;"_"&amp;'01 Impacts'!$F15,'in_211a Sum TOU impacts'!$S$2:$S$13,0),MATCH('01 Impacts'!K$6,'in_211a Sum TOU impacts'!$A$1:$P$1,0))*'01 Impacts'!K$5</f>
        <v>5.67088494358857</v>
      </c>
      <c r="L15" s="39">
        <f>INDEX('in_211a Sum TOU impacts'!$A$2:$P$13,MATCH('01 Impacts'!$E15&amp;"_"&amp;'01 Impacts'!$F15,'in_211a Sum TOU impacts'!$S$2:$S$13,0),MATCH('01 Impacts'!L$6,'in_211a Sum TOU impacts'!$A$1:$P$1,0))*'01 Impacts'!L$5</f>
        <v>430116</v>
      </c>
      <c r="M15" s="39">
        <f>INDEX('in_211a Sum TOU impacts'!$A$2:$P$13,MATCH('01 Impacts'!$E15&amp;"_"&amp;'01 Impacts'!$F15,'in_211a Sum TOU impacts'!$S$2:$S$13,0),MATCH('01 Impacts'!M$6,'in_211a Sum TOU impacts'!$A$1:$P$1,0))*'01 Impacts'!M$5</f>
        <v>127</v>
      </c>
      <c r="N15" s="39">
        <f>INDEX('Hours Per Day TOU'!$E$5:$E$8,MATCH('01 Impacts'!$F15,'Hours Per Day TOU'!$D$5:$D$8,0),1)</f>
        <v>6</v>
      </c>
      <c r="O15" s="39">
        <f t="shared" si="13"/>
        <v>762</v>
      </c>
      <c r="P15" s="39">
        <f t="shared" si="14"/>
        <v>1.0845549350626317E-2</v>
      </c>
      <c r="Q15" s="39">
        <f t="shared" si="15"/>
        <v>2.7946658407308434E-3</v>
      </c>
      <c r="S15" s="41">
        <f t="shared" si="0"/>
        <v>4.9691553335276729E-2</v>
      </c>
      <c r="T15" s="42">
        <f t="shared" si="1"/>
        <v>0</v>
      </c>
      <c r="V15" s="43">
        <f t="shared" si="2"/>
        <v>0.296530124110292</v>
      </c>
      <c r="W15" s="44">
        <f t="shared" si="17"/>
        <v>4.9691553335276729E-2</v>
      </c>
      <c r="X15" s="54">
        <f t="shared" si="4"/>
        <v>4.4084965568462501E-3</v>
      </c>
      <c r="Y15" s="45">
        <f t="shared" si="16"/>
        <v>0.57767709796584732</v>
      </c>
      <c r="Z15" s="43">
        <f t="shared" si="5"/>
        <v>37.659325762007086</v>
      </c>
      <c r="AA15" s="46">
        <f t="shared" si="6"/>
        <v>4.9421687351715336E-2</v>
      </c>
      <c r="AB15" s="46">
        <f t="shared" si="7"/>
        <v>0.50762051555614307</v>
      </c>
    </row>
    <row r="16" spans="1:52" x14ac:dyDescent="0.2">
      <c r="A16" s="1" t="str">
        <f t="shared" si="11"/>
        <v>NO_CPP_EVENTS_Parts_CPP_CPP/RT_Conts_RCT_Mid-Peak</v>
      </c>
      <c r="B16" s="39" t="s">
        <v>13</v>
      </c>
      <c r="D16" s="39" t="str">
        <f t="shared" si="12"/>
        <v>NO_CPP_EVENTS_Parts_CPP_CPP/RT_Conts_RCT_Mid-Peak</v>
      </c>
      <c r="E16" s="39" t="s">
        <v>20</v>
      </c>
      <c r="F16" s="39" t="s">
        <v>15</v>
      </c>
      <c r="G16" s="39">
        <f>INDEX('in_211a Sum TOU impacts'!$A$2:$P$13,MATCH('01 Impacts'!$E16&amp;"_"&amp;'01 Impacts'!$F16,'in_211a Sum TOU impacts'!$S$2:$S$13,0),MATCH('01 Impacts'!G$6,'in_211a Sum TOU impacts'!$A$1:$P$1,0))*'01 Impacts'!G$5</f>
        <v>0.17432961113724299</v>
      </c>
      <c r="H16" s="39">
        <f>INDEX('in_211a Sum TOU impacts'!$A$2:$P$13,MATCH('01 Impacts'!$E16&amp;"_"&amp;'01 Impacts'!$F16,'in_211a Sum TOU impacts'!$S$2:$S$13,0),MATCH('01 Impacts'!H$6,'in_211a Sum TOU impacts'!$A$1:$P$1,0))*'01 Impacts'!H$5</f>
        <v>6.6485633432052396E-2</v>
      </c>
      <c r="I16" s="39">
        <f>INDEX('in_211a Sum TOU impacts'!$A$2:$P$13,MATCH('01 Impacts'!$E16&amp;"_"&amp;'01 Impacts'!$F16,'in_211a Sum TOU impacts'!$S$2:$S$13,0),MATCH('01 Impacts'!I$6,'in_211a Sum TOU impacts'!$A$1:$P$1,0))*'01 Impacts'!I$5</f>
        <v>9.4995263471269506E-2</v>
      </c>
      <c r="J16" s="39">
        <f>INDEX('in_211a Sum TOU impacts'!$A$2:$P$13,MATCH('01 Impacts'!$E16&amp;"_"&amp;'01 Impacts'!$F16,'in_211a Sum TOU impacts'!$S$2:$S$13,0),MATCH('01 Impacts'!J$6,'in_211a Sum TOU impacts'!$A$1:$P$1,0))*'01 Impacts'!J$5</f>
        <v>0.15625364020375801</v>
      </c>
      <c r="K16" s="39">
        <f>INDEX('in_211a Sum TOU impacts'!$A$2:$P$13,MATCH('01 Impacts'!$E16&amp;"_"&amp;'01 Impacts'!$F16,'in_211a Sum TOU impacts'!$S$2:$S$13,0),MATCH('01 Impacts'!K$6,'in_211a Sum TOU impacts'!$A$1:$P$1,0))*'01 Impacts'!K$5</f>
        <v>5.8026662275929199</v>
      </c>
      <c r="L16" s="39">
        <f>INDEX('in_211a Sum TOU impacts'!$A$2:$P$13,MATCH('01 Impacts'!$E16&amp;"_"&amp;'01 Impacts'!$F16,'in_211a Sum TOU impacts'!$S$2:$S$13,0),MATCH('01 Impacts'!L$6,'in_211a Sum TOU impacts'!$A$1:$P$1,0))*'01 Impacts'!L$5</f>
        <v>430116</v>
      </c>
      <c r="M16" s="39">
        <f>INDEX('in_211a Sum TOU impacts'!$A$2:$P$13,MATCH('01 Impacts'!$E16&amp;"_"&amp;'01 Impacts'!$F16,'in_211a Sum TOU impacts'!$S$2:$S$13,0),MATCH('01 Impacts'!M$6,'in_211a Sum TOU impacts'!$A$1:$P$1,0))*'01 Impacts'!M$5</f>
        <v>127</v>
      </c>
      <c r="N16" s="39">
        <f>INDEX('Hours Per Day TOU'!$E$5:$E$8,MATCH('01 Impacts'!$F16,'Hours Per Day TOU'!$D$5:$D$8,0),1)</f>
        <v>6</v>
      </c>
      <c r="O16" s="39">
        <f t="shared" si="13"/>
        <v>762</v>
      </c>
      <c r="P16" s="39">
        <f t="shared" si="14"/>
        <v>9.0241000819759106E-3</v>
      </c>
      <c r="Q16" s="39">
        <f t="shared" si="15"/>
        <v>2.3253173654111023E-3</v>
      </c>
      <c r="S16" s="41">
        <f t="shared" si="0"/>
        <v>2.9166761336457618E-2</v>
      </c>
      <c r="T16" s="42">
        <f t="shared" si="1"/>
        <v>0</v>
      </c>
      <c r="V16" s="43">
        <f t="shared" si="2"/>
        <v>0.17432961113724299</v>
      </c>
      <c r="W16" s="44">
        <f t="shared" si="17"/>
        <v>2.9166761336457618E-2</v>
      </c>
      <c r="X16" s="54">
        <f t="shared" si="4"/>
        <v>6.6485633432052396E-2</v>
      </c>
      <c r="Y16" s="45">
        <f t="shared" si="16"/>
        <v>0.89631152839975958</v>
      </c>
      <c r="Z16" s="43">
        <f t="shared" si="5"/>
        <v>22.13986061442986</v>
      </c>
      <c r="AA16" s="46">
        <f t="shared" si="6"/>
        <v>2.9054935189540498E-2</v>
      </c>
      <c r="AB16" s="46">
        <f t="shared" si="7"/>
        <v>0.50762051555614307</v>
      </c>
    </row>
    <row r="17" spans="1:63" x14ac:dyDescent="0.2">
      <c r="A17" s="1" t="str">
        <f t="shared" si="11"/>
        <v>NO_CPP_EVENTS_Parts_CPP_CPP/RT_Conts_RCT_Off-Peak</v>
      </c>
      <c r="B17" s="39" t="s">
        <v>13</v>
      </c>
      <c r="D17" s="39" t="str">
        <f t="shared" si="12"/>
        <v>NO_CPP_EVENTS_Parts_CPP_CPP/RT_Conts_RCT_Off-Peak</v>
      </c>
      <c r="E17" s="39" t="s">
        <v>20</v>
      </c>
      <c r="F17" s="39" t="s">
        <v>16</v>
      </c>
      <c r="G17" s="39">
        <f>INDEX('in_211a Sum TOU impacts'!$A$2:$P$13,MATCH('01 Impacts'!$E17&amp;"_"&amp;'01 Impacts'!$F17,'in_211a Sum TOU impacts'!$S$2:$S$13,0),MATCH('01 Impacts'!G$6,'in_211a Sum TOU impacts'!$A$1:$P$1,0))*'01 Impacts'!G$5</f>
        <v>-0.22434636918053</v>
      </c>
      <c r="H17" s="39">
        <f>INDEX('in_211a Sum TOU impacts'!$A$2:$P$13,MATCH('01 Impacts'!$E17&amp;"_"&amp;'01 Impacts'!$F17,'in_211a Sum TOU impacts'!$S$2:$S$13,0),MATCH('01 Impacts'!H$6,'in_211a Sum TOU impacts'!$A$1:$P$1,0))*'01 Impacts'!H$5</f>
        <v>0.22816319435524901</v>
      </c>
      <c r="I17" s="39">
        <f>INDEX('in_211a Sum TOU impacts'!$A$2:$P$13,MATCH('01 Impacts'!$E17&amp;"_"&amp;'01 Impacts'!$F17,'in_211a Sum TOU impacts'!$S$2:$S$13,0),MATCH('01 Impacts'!I$6,'in_211a Sum TOU impacts'!$A$1:$P$1,0))*'01 Impacts'!I$5</f>
        <v>0.18616324233086801</v>
      </c>
      <c r="J17" s="39">
        <f>INDEX('in_211a Sum TOU impacts'!$A$2:$P$13,MATCH('01 Impacts'!$E17&amp;"_"&amp;'01 Impacts'!$F17,'in_211a Sum TOU impacts'!$S$2:$S$13,0),MATCH('01 Impacts'!J$6,'in_211a Sum TOU impacts'!$A$1:$P$1,0))*'01 Impacts'!J$5</f>
        <v>0.30621194387370798</v>
      </c>
      <c r="K17" s="39">
        <f>INDEX('in_211a Sum TOU impacts'!$A$2:$P$13,MATCH('01 Impacts'!$E17&amp;"_"&amp;'01 Impacts'!$F17,'in_211a Sum TOU impacts'!$S$2:$S$13,0),MATCH('01 Impacts'!K$6,'in_211a Sum TOU impacts'!$A$1:$P$1,0))*'01 Impacts'!K$5</f>
        <v>11.699293916237799</v>
      </c>
      <c r="L17" s="39">
        <f>INDEX('in_211a Sum TOU impacts'!$A$2:$P$13,MATCH('01 Impacts'!$E17&amp;"_"&amp;'01 Impacts'!$F17,'in_211a Sum TOU impacts'!$S$2:$S$13,0),MATCH('01 Impacts'!L$6,'in_211a Sum TOU impacts'!$A$1:$P$1,0))*'01 Impacts'!L$5</f>
        <v>430116</v>
      </c>
      <c r="M17" s="39">
        <f>INDEX('in_211a Sum TOU impacts'!$A$2:$P$13,MATCH('01 Impacts'!$E17&amp;"_"&amp;'01 Impacts'!$F17,'in_211a Sum TOU impacts'!$S$2:$S$13,0),MATCH('01 Impacts'!M$6,'in_211a Sum TOU impacts'!$A$1:$P$1,0))*'01 Impacts'!M$5</f>
        <v>127</v>
      </c>
      <c r="N17" s="39">
        <f>INDEX('Hours Per Day TOU'!$E$5:$E$8,MATCH('01 Impacts'!$F17,'Hours Per Day TOU'!$D$5:$D$8,0),1)</f>
        <v>12</v>
      </c>
      <c r="O17" s="39">
        <f t="shared" si="13"/>
        <v>1524</v>
      </c>
      <c r="P17" s="39">
        <f t="shared" si="14"/>
        <v>3.4656752795141486E-2</v>
      </c>
      <c r="Q17" s="39">
        <f t="shared" si="15"/>
        <v>8.9303031184530899E-3</v>
      </c>
      <c r="S17" s="41">
        <f t="shared" si="0"/>
        <v>-1.9550971214510104E-2</v>
      </c>
      <c r="T17" s="42">
        <f t="shared" si="1"/>
        <v>1</v>
      </c>
      <c r="V17" s="43" t="str">
        <f t="shared" si="2"/>
        <v>-0.22 (N/S)</v>
      </c>
      <c r="W17" s="44" t="str">
        <f t="shared" si="17"/>
        <v>-1.96% (N/S)</v>
      </c>
      <c r="X17" s="54">
        <f t="shared" si="4"/>
        <v>0.22816319435524901</v>
      </c>
      <c r="Y17" s="45">
        <f t="shared" si="16"/>
        <v>1.3649070630927007</v>
      </c>
      <c r="Z17" s="43">
        <f t="shared" si="5"/>
        <v>-28.491988885927309</v>
      </c>
      <c r="AA17" s="46">
        <f t="shared" si="6"/>
        <v>-1.8695530765044165E-2</v>
      </c>
      <c r="AB17" s="46">
        <f t="shared" si="7"/>
        <v>0.50762051555614307</v>
      </c>
    </row>
    <row r="18" spans="1:63" x14ac:dyDescent="0.2">
      <c r="A18" s="1" t="str">
        <f t="shared" si="11"/>
        <v>NO_CPP_EVENTS_Parts_CPP_CPP/RT_Conts_RCT_Weekend Off-Peak</v>
      </c>
      <c r="B18" s="39" t="s">
        <v>13</v>
      </c>
      <c r="D18" s="39" t="str">
        <f t="shared" si="12"/>
        <v>NO_CPP_EVENTS_Parts_CPP_CPP/RT_Conts_RCT_Weekend Off-Peak</v>
      </c>
      <c r="E18" s="39" t="s">
        <v>20</v>
      </c>
      <c r="F18" s="39" t="s">
        <v>18</v>
      </c>
      <c r="G18" s="39">
        <f>INDEX('in_211a Sum TOU impacts'!$A$2:$P$13,MATCH('01 Impacts'!$E18&amp;"_"&amp;'01 Impacts'!$F18,'in_211a Sum TOU impacts'!$S$2:$S$13,0),MATCH('01 Impacts'!G$6,'in_211a Sum TOU impacts'!$A$1:$P$1,0))*'01 Impacts'!G$5</f>
        <v>8.4098700044538496E-2</v>
      </c>
      <c r="H18" s="39">
        <f>INDEX('in_211a Sum TOU impacts'!$A$2:$P$13,MATCH('01 Impacts'!$E18&amp;"_"&amp;'01 Impacts'!$F18,'in_211a Sum TOU impacts'!$S$2:$S$13,0),MATCH('01 Impacts'!H$6,'in_211a Sum TOU impacts'!$A$1:$P$1,0))*'01 Impacts'!H$5</f>
        <v>0.82662118740227097</v>
      </c>
      <c r="I18" s="39">
        <f>INDEX('in_211a Sum TOU impacts'!$A$2:$P$13,MATCH('01 Impacts'!$E18&amp;"_"&amp;'01 Impacts'!$F18,'in_211a Sum TOU impacts'!$S$2:$S$13,0),MATCH('01 Impacts'!I$6,'in_211a Sum TOU impacts'!$A$1:$P$1,0))*'01 Impacts'!I$5</f>
        <v>0.38394714112945799</v>
      </c>
      <c r="J18" s="39">
        <f>INDEX('in_211a Sum TOU impacts'!$A$2:$P$13,MATCH('01 Impacts'!$E18&amp;"_"&amp;'01 Impacts'!$F18,'in_211a Sum TOU impacts'!$S$2:$S$13,0),MATCH('01 Impacts'!J$6,'in_211a Sum TOU impacts'!$A$1:$P$1,0))*'01 Impacts'!J$5</f>
        <v>0.63153820785441805</v>
      </c>
      <c r="K18" s="39">
        <f>INDEX('in_211a Sum TOU impacts'!$A$2:$P$13,MATCH('01 Impacts'!$E18&amp;"_"&amp;'01 Impacts'!$F18,'in_211a Sum TOU impacts'!$S$2:$S$13,0),MATCH('01 Impacts'!K$6,'in_211a Sum TOU impacts'!$A$1:$P$1,0))*'01 Impacts'!K$5</f>
        <v>27.832094398510598</v>
      </c>
      <c r="L18" s="39">
        <f>INDEX('in_211a Sum TOU impacts'!$A$2:$P$13,MATCH('01 Impacts'!$E18&amp;"_"&amp;'01 Impacts'!$F18,'in_211a Sum TOU impacts'!$S$2:$S$13,0),MATCH('01 Impacts'!L$6,'in_211a Sum TOU impacts'!$A$1:$P$1,0))*'01 Impacts'!L$5</f>
        <v>430116</v>
      </c>
      <c r="M18" s="39">
        <f>INDEX('in_211a Sum TOU impacts'!$A$2:$P$13,MATCH('01 Impacts'!$E18&amp;"_"&amp;'01 Impacts'!$F18,'in_211a Sum TOU impacts'!$S$2:$S$13,0),MATCH('01 Impacts'!M$6,'in_211a Sum TOU impacts'!$A$1:$P$1,0))*'01 Impacts'!M$5</f>
        <v>57</v>
      </c>
      <c r="N18" s="39">
        <f>INDEX('Hours Per Day TOU'!$E$5:$E$8,MATCH('01 Impacts'!$F18,'Hours Per Day TOU'!$D$5:$D$8,0),1)</f>
        <v>24</v>
      </c>
      <c r="O18" s="39">
        <f t="shared" si="13"/>
        <v>1368</v>
      </c>
      <c r="P18" s="39">
        <f t="shared" si="14"/>
        <v>0.14741540718148394</v>
      </c>
      <c r="Q18" s="39">
        <f t="shared" si="15"/>
        <v>3.7985793944474586E-2</v>
      </c>
      <c r="S18" s="41">
        <f t="shared" si="0"/>
        <v>3.0125418515209801E-3</v>
      </c>
      <c r="T18" s="42">
        <f t="shared" si="1"/>
        <v>1</v>
      </c>
      <c r="V18" s="43" t="str">
        <f t="shared" si="2"/>
        <v>0.08 (N/S)</v>
      </c>
      <c r="W18" s="44" t="str">
        <f t="shared" si="17"/>
        <v>0.3% (N/S)</v>
      </c>
      <c r="X18" s="54">
        <f t="shared" si="4"/>
        <v>0.82662118740227097</v>
      </c>
      <c r="Y18" s="45">
        <f t="shared" si="16"/>
        <v>7.5094883454792614</v>
      </c>
      <c r="Z18" s="43">
        <f t="shared" si="5"/>
        <v>4.793625902538694</v>
      </c>
      <c r="AA18" s="46">
        <f t="shared" si="6"/>
        <v>3.5041125018557707E-3</v>
      </c>
      <c r="AB18" s="46">
        <f t="shared" si="7"/>
        <v>0.50762051555614307</v>
      </c>
    </row>
    <row r="19" spans="1:63" x14ac:dyDescent="0.2">
      <c r="S19" s="41"/>
      <c r="T19" s="42"/>
      <c r="V19" s="43"/>
      <c r="W19" s="44"/>
      <c r="X19" s="44"/>
      <c r="Y19" s="45"/>
      <c r="Z19" s="43"/>
      <c r="AA19" s="46"/>
      <c r="AB19" s="46"/>
      <c r="AE19" s="39" t="s">
        <v>119</v>
      </c>
      <c r="AS19" s="39" t="s">
        <v>120</v>
      </c>
    </row>
    <row r="20" spans="1:63" x14ac:dyDescent="0.2">
      <c r="S20" s="41"/>
      <c r="T20" s="42"/>
      <c r="V20" s="43"/>
      <c r="W20" s="44"/>
      <c r="X20" s="44"/>
      <c r="Y20" s="45"/>
      <c r="Z20" s="43"/>
      <c r="AA20" s="46"/>
      <c r="AB20" s="46"/>
      <c r="AF20" s="1" t="s">
        <v>117</v>
      </c>
      <c r="AG20" s="1" t="s">
        <v>117</v>
      </c>
      <c r="AH20" s="1" t="s">
        <v>117</v>
      </c>
      <c r="AI20" s="1" t="s">
        <v>117</v>
      </c>
      <c r="AM20" s="39" t="s">
        <v>19</v>
      </c>
      <c r="AN20" s="39" t="s">
        <v>19</v>
      </c>
      <c r="AO20" s="39" t="s">
        <v>19</v>
      </c>
      <c r="AP20" s="39" t="s">
        <v>19</v>
      </c>
      <c r="AT20" s="39" t="s">
        <v>116</v>
      </c>
      <c r="AU20" s="39" t="s">
        <v>116</v>
      </c>
      <c r="AV20" s="39" t="s">
        <v>116</v>
      </c>
      <c r="AW20" s="39" t="s">
        <v>116</v>
      </c>
    </row>
    <row r="21" spans="1:63" x14ac:dyDescent="0.2">
      <c r="AF21" s="39" t="s">
        <v>4</v>
      </c>
      <c r="AG21" s="39" t="s">
        <v>23</v>
      </c>
      <c r="AH21" s="39" t="s">
        <v>125</v>
      </c>
      <c r="AI21" s="39" t="s">
        <v>25</v>
      </c>
      <c r="AM21" s="39" t="s">
        <v>4</v>
      </c>
      <c r="AN21" s="39" t="s">
        <v>23</v>
      </c>
      <c r="AO21" s="39" t="s">
        <v>125</v>
      </c>
      <c r="AP21" s="39" t="s">
        <v>25</v>
      </c>
      <c r="AT21" s="39" t="s">
        <v>4</v>
      </c>
      <c r="AU21" s="39" t="s">
        <v>23</v>
      </c>
      <c r="AV21" s="39" t="s">
        <v>125</v>
      </c>
      <c r="AW21" s="39" t="s">
        <v>25</v>
      </c>
    </row>
    <row r="22" spans="1:63" ht="10.5" x14ac:dyDescent="0.2">
      <c r="AE22" s="94" t="s">
        <v>30</v>
      </c>
      <c r="AF22" s="92" t="s">
        <v>26</v>
      </c>
      <c r="AG22" s="93"/>
      <c r="AH22" s="88" t="s">
        <v>60</v>
      </c>
      <c r="AI22" s="90" t="s">
        <v>29</v>
      </c>
      <c r="AL22" s="94" t="s">
        <v>30</v>
      </c>
      <c r="AM22" s="92" t="s">
        <v>26</v>
      </c>
      <c r="AN22" s="93"/>
      <c r="AO22" s="88" t="s">
        <v>60</v>
      </c>
      <c r="AP22" s="90" t="s">
        <v>29</v>
      </c>
      <c r="AS22" s="94" t="s">
        <v>30</v>
      </c>
      <c r="AT22" s="92" t="s">
        <v>26</v>
      </c>
      <c r="AU22" s="93"/>
      <c r="AV22" s="88" t="s">
        <v>60</v>
      </c>
      <c r="AW22" s="90" t="s">
        <v>29</v>
      </c>
    </row>
    <row r="23" spans="1:63" ht="10.5" customHeight="1" x14ac:dyDescent="0.25">
      <c r="B23" s="40" t="s">
        <v>106</v>
      </c>
      <c r="C23" s="40"/>
      <c r="G23" s="1" t="s">
        <v>31</v>
      </c>
      <c r="H23" s="1" t="s">
        <v>10</v>
      </c>
      <c r="I23" s="1" t="s">
        <v>32</v>
      </c>
      <c r="J23" s="39" t="s">
        <v>12</v>
      </c>
      <c r="K23" s="1" t="s">
        <v>112</v>
      </c>
      <c r="L23" s="39" t="s">
        <v>126</v>
      </c>
      <c r="M23" s="39" t="s">
        <v>63</v>
      </c>
      <c r="N23" s="1" t="s">
        <v>113</v>
      </c>
      <c r="O23" s="1"/>
      <c r="P23" s="1" t="s">
        <v>157</v>
      </c>
      <c r="Q23" s="39" t="s">
        <v>158</v>
      </c>
      <c r="V23" s="39" t="s">
        <v>4</v>
      </c>
      <c r="W23" s="39" t="s">
        <v>23</v>
      </c>
      <c r="X23" s="39" t="s">
        <v>125</v>
      </c>
      <c r="Y23" s="39" t="s">
        <v>25</v>
      </c>
      <c r="Z23" s="39" t="s">
        <v>66</v>
      </c>
      <c r="AA23" s="39" t="s">
        <v>75</v>
      </c>
      <c r="AE23" s="95"/>
      <c r="AF23" s="9" t="s">
        <v>27</v>
      </c>
      <c r="AG23" s="10" t="s">
        <v>28</v>
      </c>
      <c r="AH23" s="89"/>
      <c r="AI23" s="91"/>
      <c r="AL23" s="95"/>
      <c r="AM23" s="9" t="s">
        <v>27</v>
      </c>
      <c r="AN23" s="10" t="s">
        <v>28</v>
      </c>
      <c r="AO23" s="89"/>
      <c r="AP23" s="91"/>
      <c r="AS23" s="95"/>
      <c r="AT23" s="9" t="s">
        <v>27</v>
      </c>
      <c r="AU23" s="10" t="s">
        <v>28</v>
      </c>
      <c r="AV23" s="89"/>
      <c r="AW23" s="91"/>
      <c r="BD23" s="1" t="s">
        <v>31</v>
      </c>
      <c r="BE23" s="1" t="s">
        <v>10</v>
      </c>
      <c r="BF23" s="1" t="s">
        <v>32</v>
      </c>
      <c r="BG23" s="39" t="s">
        <v>126</v>
      </c>
      <c r="BI23" s="39" t="s">
        <v>156</v>
      </c>
      <c r="BJ23" s="39" t="s">
        <v>125</v>
      </c>
    </row>
    <row r="24" spans="1:63" ht="10" customHeight="1" x14ac:dyDescent="0.25">
      <c r="A24" s="39" t="str">
        <f>INDEX(lookups!$E$5:$E$16,MATCH('01 Impacts'!$D24,lookups!$F$5:$F$16,0),1)</f>
        <v>Parts_CPP_CPP/RT_Conts_RCT_On-Peak</v>
      </c>
      <c r="B24" s="39" t="s">
        <v>106</v>
      </c>
      <c r="D24" s="39" t="str">
        <f t="shared" ref="D24:D35" si="18">E24&amp;"_"&amp;F24</f>
        <v>Parts_CPP/Conts_RCT_On-Peak</v>
      </c>
      <c r="E24" s="1" t="s">
        <v>117</v>
      </c>
      <c r="F24" s="39" t="s">
        <v>17</v>
      </c>
      <c r="G24" s="39">
        <f>INDEX('r_in_409a Winter TOU Impacts'!$A$2:$R$29,MATCH('01 Impacts'!$D24,'r_in_409a Winter TOU Impacts'!$T$2:$T$29,0),MATCH('01 Impacts'!G$23,'r_in_409a Winter TOU Impacts'!$A$1:$R$1,0))*'01 Impacts'!G$5</f>
        <v>0.10373477743227601</v>
      </c>
      <c r="H24" s="39">
        <f>INDEX('r_in_409a Winter TOU Impacts'!$A$2:$R$29,MATCH('01 Impacts'!$D24,'r_in_409a Winter TOU Impacts'!$T$2:$T$29,0),MATCH('01 Impacts'!H$23,'r_in_409a Winter TOU Impacts'!$A$1:$R$1,0))*'01 Impacts'!H$5</f>
        <v>0.28314074954319102</v>
      </c>
      <c r="I24" s="39">
        <f>INDEX('r_in_409a Winter TOU Impacts'!$A$2:$R$29,MATCH('01 Impacts'!$D24,'r_in_409a Winter TOU Impacts'!$T$2:$T$29,0),MATCH('01 Impacts'!I$23,'r_in_409a Winter TOU Impacts'!$A$1:$R$1,0))*'01 Impacts'!I$5</f>
        <v>9.66510403043222E-2</v>
      </c>
      <c r="J24" s="39">
        <f>INDEX('r_in_409a Winter TOU Impacts'!$A$2:$R$29,MATCH('01 Impacts'!$D24,'r_in_409a Winter TOU Impacts'!$T$2:$T$29,0),MATCH('01 Impacts'!J$23,'r_in_409a Winter TOU Impacts'!$A$1:$R$1,0))*'01 Impacts'!J$5</f>
        <v>0.158977141392076</v>
      </c>
      <c r="K24" s="39">
        <f>INDEX('r_in_409a Winter TOU Impacts'!$A$2:$R$29,MATCH('01 Impacts'!$D24,'r_in_409a Winter TOU Impacts'!$T$2:$T$29,0),MATCH('01 Impacts'!K$23,'r_in_409a Winter TOU Impacts'!$A$1:$R$1,0))*'01 Impacts'!K$5</f>
        <v>5.8038698354468803</v>
      </c>
      <c r="L24" s="39">
        <f>INDEX('r_in_409a Winter TOU Impacts'!$A$2:$R$29,MATCH('01 Impacts'!$D24,'r_in_409a Winter TOU Impacts'!$T$2:$T$29,0),MATCH('01 Impacts'!L$23,'r_in_409a Winter TOU Impacts'!$A$1:$R$1,0))*'01 Impacts'!L$5</f>
        <v>450106</v>
      </c>
      <c r="M24" s="39">
        <f>INDEX('r_in_409a Winter TOU Impacts'!$A$2:$R$29,MATCH('01 Impacts'!$D24,'r_in_409a Winter TOU Impacts'!$T$2:$T$29,0),MATCH('01 Impacts'!M$23,'r_in_409a Winter TOU Impacts'!$A$1:$R$1,0))*'01 Impacts'!M$5</f>
        <v>124</v>
      </c>
      <c r="N24" s="39">
        <f>INDEX('r_in_409a Winter TOU Impacts'!$A$2:$R$29,MATCH('01 Impacts'!$D24,'r_in_409a Winter TOU Impacts'!$T$2:$T$29,0),MATCH('01 Impacts'!N$23,'r_in_409a Winter TOU Impacts'!$A$1:$R$1,0))*'01 Impacts'!N$5</f>
        <v>6</v>
      </c>
      <c r="O24" s="39">
        <f t="shared" ref="O24:O35" si="19">N24*M24</f>
        <v>744</v>
      </c>
      <c r="P24" s="39">
        <f t="shared" ref="P24:P35" si="20">I24*I24</f>
        <v>9.3414235919077136E-3</v>
      </c>
      <c r="Q24" s="39">
        <f t="shared" ref="Q24:Q35" si="21">P24*(AB24^2)</f>
        <v>2.2724837013688658E-3</v>
      </c>
      <c r="S24" s="41">
        <f t="shared" ref="S24:S35" si="22">G24/(K24+G24)</f>
        <v>1.7559532878372402E-2</v>
      </c>
      <c r="T24" s="42">
        <f t="shared" ref="T24:T35" si="23">IF(H24&gt;0.1,1,0)</f>
        <v>1</v>
      </c>
      <c r="V24" s="43" t="str">
        <f t="shared" ref="V24:V35" si="24">IF($H24&gt;0.1,ROUND(G24,2)&amp;" (N/S)",G24)</f>
        <v>0.1 (N/S)</v>
      </c>
      <c r="W24" s="44" t="str">
        <f t="shared" ref="W24:W25" si="25">IF($H24&gt;0.1,ROUND(S24*100,2)&amp;"% (N/S)",S24)</f>
        <v>1.76% (N/S)</v>
      </c>
      <c r="X24" s="54">
        <f t="shared" ref="X24:X35" si="26">H24</f>
        <v>0.28314074954319102</v>
      </c>
      <c r="Y24" s="45">
        <f t="shared" ref="Y24:Y35" si="27">ABS(J24/G24)</f>
        <v>1.5325346554665851</v>
      </c>
      <c r="Z24" s="43">
        <f t="shared" ref="Z24:Z35" si="28">G24*M24</f>
        <v>12.863112401602224</v>
      </c>
      <c r="AA24" s="46">
        <f t="shared" ref="AA24:AA35" si="29">G24/N24</f>
        <v>1.7289129572046001E-2</v>
      </c>
      <c r="AB24" s="46">
        <f t="shared" ref="AB24:AB35" si="30">L24/SUM(INDEX($L$7:$L$18,MATCH($A24,$A$7:$A$18,0),1),INDEX($L$24:$L$35,MATCH($A24,$A$24:$A$35,0),1))</f>
        <v>0.49322360779328933</v>
      </c>
      <c r="AE24" s="2" t="s">
        <v>17</v>
      </c>
      <c r="AF24" s="5" t="str">
        <f t="shared" ref="AF24:AI27" si="31">INDEX($V$24:$Y$35,MATCH(AF$20&amp;"_"&amp;$AE24,$D$24:$D$35,0),MATCH(AF$21,$V$23:$Y$23,0))</f>
        <v>0.1 (N/S)</v>
      </c>
      <c r="AG24" s="11" t="str">
        <f t="shared" si="31"/>
        <v>1.76% (N/S)</v>
      </c>
      <c r="AH24" s="55">
        <f t="shared" si="31"/>
        <v>0.28314074954319102</v>
      </c>
      <c r="AI24" s="7">
        <f t="shared" si="31"/>
        <v>1.5325346554665851</v>
      </c>
      <c r="AL24" s="2" t="s">
        <v>17</v>
      </c>
      <c r="AM24" s="5" t="str">
        <f t="shared" ref="AM24:AP27" si="32">INDEX($V$24:$Y$35,MATCH(AM$20&amp;"_"&amp;$AE24,$D$24:$D$35,0),MATCH(AM$21,$V$23:$Y$23,0))</f>
        <v>0.07 (N/S)</v>
      </c>
      <c r="AN24" s="38" t="str">
        <f t="shared" si="32"/>
        <v>1.28% (N/S)</v>
      </c>
      <c r="AO24" s="55">
        <f t="shared" si="32"/>
        <v>0.36252883831483501</v>
      </c>
      <c r="AP24" s="7">
        <f t="shared" si="32"/>
        <v>1.8064270435189875</v>
      </c>
      <c r="AS24" s="2" t="s">
        <v>17</v>
      </c>
      <c r="AT24" s="5" t="str">
        <f t="shared" ref="AT24:AW27" si="33">INDEX($V$24:$Y$35,MATCH(AT$20&amp;"_"&amp;$AE24,$D$24:$D$35,0),MATCH(AT$21,$V$23:$Y$23,0))</f>
        <v>0.1 (N/S)</v>
      </c>
      <c r="AU24" s="38" t="str">
        <f t="shared" si="33"/>
        <v>1.74% (N/S)</v>
      </c>
      <c r="AV24" s="55">
        <f t="shared" si="33"/>
        <v>0.27582107262632399</v>
      </c>
      <c r="AW24" s="7">
        <f t="shared" si="33"/>
        <v>1.5093806344159932</v>
      </c>
      <c r="BC24" s="39" t="s">
        <v>17</v>
      </c>
      <c r="BD24" s="39">
        <f>INDEX($G$24:$O$35,MATCH($A24,$A$24:$A$35,0),MATCH(BD$23,$G$23:$N$23,0))</f>
        <v>0.10373477743227601</v>
      </c>
      <c r="BE24" s="39">
        <f>INDEX($G$24:$O$35,MATCH($A24,$A$24:$A$35,0),MATCH(BE$23,$G$23:$N$23,0))</f>
        <v>0.28314074954319102</v>
      </c>
      <c r="BF24" s="39">
        <f>INDEX($G$24:$O$35,MATCH($A24,$A$24:$A$35,0),MATCH(BF$23,$G$23:$N$23,0))</f>
        <v>9.66510403043222E-2</v>
      </c>
      <c r="BG24" s="39">
        <f>INDEX($G$24:$O$35,MATCH($A24,$A$24:$A$35,0),MATCH(BG$23,$G$23:$N$23,0))</f>
        <v>450106</v>
      </c>
      <c r="BI24" s="39">
        <f>BD24/BF24</f>
        <v>1.0732918870365953</v>
      </c>
      <c r="BJ24" s="39">
        <f>TDIST(BI24,BG24,2)</f>
        <v>0.28314074954318935</v>
      </c>
      <c r="BK24" s="40" t="str">
        <f>IF(ROUND(BJ24,5)=ROUND(BE24,5),"Success!", "Fail!")</f>
        <v>Success!</v>
      </c>
    </row>
    <row r="25" spans="1:63" x14ac:dyDescent="0.2">
      <c r="A25" s="39" t="str">
        <f>INDEX(lookups!$E$5:$E$16,MATCH('01 Impacts'!$D25,lookups!$F$5:$F$16,0),1)</f>
        <v>Parts_CPP_CPP/RT_Conts_RCT_Mid-Peak</v>
      </c>
      <c r="B25" s="39" t="s">
        <v>106</v>
      </c>
      <c r="D25" s="39" t="str">
        <f t="shared" si="18"/>
        <v>Parts_CPP/Conts_RCT_Mid-Peak</v>
      </c>
      <c r="E25" s="1" t="s">
        <v>117</v>
      </c>
      <c r="F25" s="39" t="s">
        <v>15</v>
      </c>
      <c r="G25" s="39">
        <f>INDEX('r_in_409a Winter TOU Impacts'!$A$2:$R$29,MATCH('01 Impacts'!$D25,'r_in_409a Winter TOU Impacts'!$T$2:$T$29,0),MATCH('01 Impacts'!G$23,'r_in_409a Winter TOU Impacts'!$A$1:$R$1,0))*'01 Impacts'!G$5</f>
        <v>-4.7402760012844103E-2</v>
      </c>
      <c r="H25" s="39">
        <f>INDEX('r_in_409a Winter TOU Impacts'!$A$2:$R$29,MATCH('01 Impacts'!$D25,'r_in_409a Winter TOU Impacts'!$T$2:$T$29,0),MATCH('01 Impacts'!H$23,'r_in_409a Winter TOU Impacts'!$A$1:$R$1,0))*'01 Impacts'!H$5</f>
        <v>0.62995300599075299</v>
      </c>
      <c r="I25" s="39">
        <f>INDEX('r_in_409a Winter TOU Impacts'!$A$2:$R$29,MATCH('01 Impacts'!$D25,'r_in_409a Winter TOU Impacts'!$T$2:$T$29,0),MATCH('01 Impacts'!I$23,'r_in_409a Winter TOU Impacts'!$A$1:$R$1,0))*'01 Impacts'!I$5</f>
        <v>9.8388162655296096E-2</v>
      </c>
      <c r="J25" s="39">
        <f>INDEX('r_in_409a Winter TOU Impacts'!$A$2:$R$29,MATCH('01 Impacts'!$D25,'r_in_409a Winter TOU Impacts'!$T$2:$T$29,0),MATCH('01 Impacts'!J$23,'r_in_409a Winter TOU Impacts'!$A$1:$R$1,0))*'01 Impacts'!J$5</f>
        <v>0.16183445927232301</v>
      </c>
      <c r="K25" s="39">
        <f>INDEX('r_in_409a Winter TOU Impacts'!$A$2:$R$29,MATCH('01 Impacts'!$D25,'r_in_409a Winter TOU Impacts'!$T$2:$T$29,0),MATCH('01 Impacts'!K$23,'r_in_409a Winter TOU Impacts'!$A$1:$R$1,0))*'01 Impacts'!K$5</f>
        <v>5.1985906493712104</v>
      </c>
      <c r="L25" s="39">
        <f>INDEX('r_in_409a Winter TOU Impacts'!$A$2:$R$29,MATCH('01 Impacts'!$D25,'r_in_409a Winter TOU Impacts'!$T$2:$T$29,0),MATCH('01 Impacts'!L$23,'r_in_409a Winter TOU Impacts'!$A$1:$R$1,0))*'01 Impacts'!L$5</f>
        <v>450106</v>
      </c>
      <c r="M25" s="39">
        <f>INDEX('r_in_409a Winter TOU Impacts'!$A$2:$R$29,MATCH('01 Impacts'!$D25,'r_in_409a Winter TOU Impacts'!$T$2:$T$29,0),MATCH('01 Impacts'!M$23,'r_in_409a Winter TOU Impacts'!$A$1:$R$1,0))*'01 Impacts'!M$5</f>
        <v>124</v>
      </c>
      <c r="N25" s="39">
        <f>INDEX('r_in_409a Winter TOU Impacts'!$A$2:$R$29,MATCH('01 Impacts'!$D25,'r_in_409a Winter TOU Impacts'!$T$2:$T$29,0),MATCH('01 Impacts'!N$23,'r_in_409a Winter TOU Impacts'!$A$1:$R$1,0))*'01 Impacts'!N$5</f>
        <v>6</v>
      </c>
      <c r="O25" s="39">
        <f t="shared" si="19"/>
        <v>744</v>
      </c>
      <c r="P25" s="39">
        <f t="shared" si="20"/>
        <v>9.6802305506850008E-3</v>
      </c>
      <c r="Q25" s="39">
        <f t="shared" si="21"/>
        <v>2.3549051100713592E-3</v>
      </c>
      <c r="S25" s="41">
        <f t="shared" si="22"/>
        <v>-9.2022968354098615E-3</v>
      </c>
      <c r="T25" s="42">
        <f t="shared" si="23"/>
        <v>1</v>
      </c>
      <c r="V25" s="43" t="str">
        <f t="shared" si="24"/>
        <v>-0.05 (N/S)</v>
      </c>
      <c r="W25" s="44" t="str">
        <f t="shared" si="25"/>
        <v>-0.92% (N/S)</v>
      </c>
      <c r="X25" s="54">
        <f t="shared" si="26"/>
        <v>0.62995300599075299</v>
      </c>
      <c r="Y25" s="45">
        <f t="shared" si="27"/>
        <v>3.4140303060090353</v>
      </c>
      <c r="Z25" s="43">
        <f t="shared" si="28"/>
        <v>-5.8779422415926685</v>
      </c>
      <c r="AA25" s="46">
        <f t="shared" si="29"/>
        <v>-7.9004600021406832E-3</v>
      </c>
      <c r="AB25" s="46">
        <f t="shared" si="30"/>
        <v>0.49322360779328933</v>
      </c>
      <c r="AE25" s="13" t="s">
        <v>15</v>
      </c>
      <c r="AF25" s="14" t="str">
        <f t="shared" si="31"/>
        <v>-0.05 (N/S)</v>
      </c>
      <c r="AG25" s="15" t="str">
        <f t="shared" si="31"/>
        <v>-0.92% (N/S)</v>
      </c>
      <c r="AH25" s="56">
        <f t="shared" si="31"/>
        <v>0.62995300599075299</v>
      </c>
      <c r="AI25" s="16">
        <f t="shared" si="31"/>
        <v>3.4140303060090353</v>
      </c>
      <c r="AL25" s="13" t="s">
        <v>15</v>
      </c>
      <c r="AM25" s="14" t="str">
        <f t="shared" si="32"/>
        <v>0.05 (N/S)</v>
      </c>
      <c r="AN25" s="15" t="str">
        <f t="shared" si="32"/>
        <v>0.87% (N/S)</v>
      </c>
      <c r="AO25" s="56">
        <f t="shared" si="32"/>
        <v>0.59579760625984401</v>
      </c>
      <c r="AP25" s="16">
        <f t="shared" si="32"/>
        <v>3.1008475004384959</v>
      </c>
      <c r="AS25" s="13" t="s">
        <v>15</v>
      </c>
      <c r="AT25" s="14" t="str">
        <f t="shared" si="33"/>
        <v>-0.04 (N/S)</v>
      </c>
      <c r="AU25" s="15" t="str">
        <f t="shared" si="33"/>
        <v>-0.68% (N/S)</v>
      </c>
      <c r="AV25" s="56">
        <f t="shared" si="33"/>
        <v>0.71351558699763895</v>
      </c>
      <c r="AW25" s="16">
        <f t="shared" si="33"/>
        <v>4.4802041147523877</v>
      </c>
    </row>
    <row r="26" spans="1:63" x14ac:dyDescent="0.2">
      <c r="A26" s="39" t="str">
        <f>INDEX(lookups!$E$5:$E$16,MATCH('01 Impacts'!$D26,lookups!$F$5:$F$16,0),1)</f>
        <v>Parts_CPP_CPP/RT_Conts_RCT_Off-Peak</v>
      </c>
      <c r="B26" s="39" t="s">
        <v>106</v>
      </c>
      <c r="D26" s="39" t="str">
        <f t="shared" si="18"/>
        <v>Parts_CPP/Conts_RCT_Off-Peak</v>
      </c>
      <c r="E26" s="1" t="s">
        <v>117</v>
      </c>
      <c r="F26" s="39" t="s">
        <v>16</v>
      </c>
      <c r="G26" s="39">
        <f>INDEX('r_in_409a Winter TOU Impacts'!$A$2:$R$29,MATCH('01 Impacts'!$D26,'r_in_409a Winter TOU Impacts'!$T$2:$T$29,0),MATCH('01 Impacts'!G$23,'r_in_409a Winter TOU Impacts'!$A$1:$R$1,0))*'01 Impacts'!G$5</f>
        <v>-0.18745481224445501</v>
      </c>
      <c r="H26" s="39">
        <f>INDEX('r_in_409a Winter TOU Impacts'!$A$2:$R$29,MATCH('01 Impacts'!$D26,'r_in_409a Winter TOU Impacts'!$T$2:$T$29,0),MATCH('01 Impacts'!H$23,'r_in_409a Winter TOU Impacts'!$A$1:$R$1,0))*'01 Impacts'!H$5</f>
        <v>0.32157613959672698</v>
      </c>
      <c r="I26" s="39">
        <f>INDEX('r_in_409a Winter TOU Impacts'!$A$2:$R$29,MATCH('01 Impacts'!$D26,'r_in_409a Winter TOU Impacts'!$T$2:$T$29,0),MATCH('01 Impacts'!I$23,'r_in_409a Winter TOU Impacts'!$A$1:$R$1,0))*'01 Impacts'!I$5</f>
        <v>0.189114243639142</v>
      </c>
      <c r="J26" s="39">
        <f>INDEX('r_in_409a Winter TOU Impacts'!$A$2:$R$29,MATCH('01 Impacts'!$D26,'r_in_409a Winter TOU Impacts'!$T$2:$T$29,0),MATCH('01 Impacts'!J$23,'r_in_409a Winter TOU Impacts'!$A$1:$R$1,0))*'01 Impacts'!J$5</f>
        <v>0.31106588977843402</v>
      </c>
      <c r="K26" s="39">
        <f>INDEX('r_in_409a Winter TOU Impacts'!$A$2:$R$29,MATCH('01 Impacts'!$D26,'r_in_409a Winter TOU Impacts'!$T$2:$T$29,0),MATCH('01 Impacts'!K$23,'r_in_409a Winter TOU Impacts'!$A$1:$R$1,0))*'01 Impacts'!K$5</f>
        <v>11.156694773234101</v>
      </c>
      <c r="L26" s="39">
        <f>INDEX('r_in_409a Winter TOU Impacts'!$A$2:$R$29,MATCH('01 Impacts'!$D26,'r_in_409a Winter TOU Impacts'!$T$2:$T$29,0),MATCH('01 Impacts'!L$23,'r_in_409a Winter TOU Impacts'!$A$1:$R$1,0))*'01 Impacts'!L$5</f>
        <v>450106</v>
      </c>
      <c r="M26" s="39">
        <f>INDEX('r_in_409a Winter TOU Impacts'!$A$2:$R$29,MATCH('01 Impacts'!$D26,'r_in_409a Winter TOU Impacts'!$T$2:$T$29,0),MATCH('01 Impacts'!M$23,'r_in_409a Winter TOU Impacts'!$A$1:$R$1,0))*'01 Impacts'!M$5</f>
        <v>124</v>
      </c>
      <c r="N26" s="39">
        <f>INDEX('r_in_409a Winter TOU Impacts'!$A$2:$R$29,MATCH('01 Impacts'!$D26,'r_in_409a Winter TOU Impacts'!$T$2:$T$29,0),MATCH('01 Impacts'!N$23,'r_in_409a Winter TOU Impacts'!$A$1:$R$1,0))*'01 Impacts'!N$5</f>
        <v>12</v>
      </c>
      <c r="O26" s="39">
        <f t="shared" si="19"/>
        <v>1488</v>
      </c>
      <c r="P26" s="39">
        <f t="shared" si="20"/>
        <v>3.576419714720476E-2</v>
      </c>
      <c r="Q26" s="39">
        <f t="shared" si="21"/>
        <v>8.7003393337147603E-3</v>
      </c>
      <c r="S26" s="41">
        <f t="shared" si="22"/>
        <v>-1.7089134061348661E-2</v>
      </c>
      <c r="T26" s="42">
        <f t="shared" si="23"/>
        <v>1</v>
      </c>
      <c r="V26" s="43" t="str">
        <f t="shared" si="24"/>
        <v>-0.19 (N/S)</v>
      </c>
      <c r="W26" s="44" t="str">
        <f t="shared" ref="W26:W31" si="34">IF($H26&gt;0.1,ROUND(S26*100,2)&amp;"% (N/S)",S26)</f>
        <v>-1.71% (N/S)</v>
      </c>
      <c r="X26" s="54">
        <f t="shared" si="26"/>
        <v>0.32157613959672698</v>
      </c>
      <c r="Y26" s="45">
        <f t="shared" si="27"/>
        <v>1.6594180008181438</v>
      </c>
      <c r="Z26" s="43">
        <f t="shared" si="28"/>
        <v>-23.244396718312423</v>
      </c>
      <c r="AA26" s="46">
        <f t="shared" si="29"/>
        <v>-1.5621234353704584E-2</v>
      </c>
      <c r="AB26" s="46">
        <f t="shared" si="30"/>
        <v>0.49322360779328933</v>
      </c>
      <c r="AE26" s="3" t="s">
        <v>16</v>
      </c>
      <c r="AF26" s="6" t="str">
        <f t="shared" si="31"/>
        <v>-0.19 (N/S)</v>
      </c>
      <c r="AG26" s="12" t="str">
        <f t="shared" si="31"/>
        <v>-1.71% (N/S)</v>
      </c>
      <c r="AH26" s="57">
        <f t="shared" si="31"/>
        <v>0.32157613959672698</v>
      </c>
      <c r="AI26" s="8">
        <f t="shared" si="31"/>
        <v>1.6594180008181438</v>
      </c>
      <c r="AL26" s="3" t="s">
        <v>16</v>
      </c>
      <c r="AM26" s="6" t="str">
        <f t="shared" si="32"/>
        <v>0.06 (N/S)</v>
      </c>
      <c r="AN26" s="12" t="str">
        <f t="shared" si="32"/>
        <v>0.54% (N/S)</v>
      </c>
      <c r="AO26" s="57">
        <f t="shared" si="32"/>
        <v>0.71411961315539096</v>
      </c>
      <c r="AP26" s="8">
        <f t="shared" si="32"/>
        <v>4.4901040663953928</v>
      </c>
      <c r="AS26" s="3" t="s">
        <v>16</v>
      </c>
      <c r="AT26" s="6" t="str">
        <f t="shared" si="33"/>
        <v>-0.19 (N/S)</v>
      </c>
      <c r="AU26" s="12" t="str">
        <f t="shared" si="33"/>
        <v>-1.74% (N/S)</v>
      </c>
      <c r="AV26" s="57">
        <f t="shared" si="33"/>
        <v>0.300943447770258</v>
      </c>
      <c r="AW26" s="8">
        <f t="shared" si="33"/>
        <v>1.5901350059117676</v>
      </c>
    </row>
    <row r="27" spans="1:63" x14ac:dyDescent="0.2">
      <c r="A27" s="39" t="str">
        <f>INDEX(lookups!$E$5:$E$16,MATCH('01 Impacts'!$D27,lookups!$F$5:$F$16,0),1)</f>
        <v>Parts_CPP_CPP/RT_Conts_RCT_Weekend Off-Peak</v>
      </c>
      <c r="B27" s="39" t="s">
        <v>106</v>
      </c>
      <c r="D27" s="39" t="str">
        <f t="shared" si="18"/>
        <v>Parts_CPP/Conts_RCT_Weekend Off-Peak</v>
      </c>
      <c r="E27" s="1" t="s">
        <v>117</v>
      </c>
      <c r="F27" s="39" t="s">
        <v>18</v>
      </c>
      <c r="G27" s="39">
        <f>INDEX('r_in_409a Winter TOU Impacts'!$A$2:$R$29,MATCH('01 Impacts'!$D27,'r_in_409a Winter TOU Impacts'!$T$2:$T$29,0),MATCH('01 Impacts'!G$23,'r_in_409a Winter TOU Impacts'!$A$1:$R$1,0))*'01 Impacts'!G$5</f>
        <v>-0.39746516302470603</v>
      </c>
      <c r="H27" s="39">
        <f>INDEX('r_in_409a Winter TOU Impacts'!$A$2:$R$29,MATCH('01 Impacts'!$D27,'r_in_409a Winter TOU Impacts'!$T$2:$T$29,0),MATCH('01 Impacts'!H$23,'r_in_409a Winter TOU Impacts'!$A$1:$R$1,0))*'01 Impacts'!H$5</f>
        <v>0.27664767676033802</v>
      </c>
      <c r="I27" s="39">
        <f>INDEX('r_in_409a Winter TOU Impacts'!$A$2:$R$29,MATCH('01 Impacts'!$D27,'r_in_409a Winter TOU Impacts'!$T$2:$T$29,0),MATCH('01 Impacts'!I$23,'r_in_409a Winter TOU Impacts'!$A$1:$R$1,0))*'01 Impacts'!I$5</f>
        <v>0.36535678750602202</v>
      </c>
      <c r="J27" s="39">
        <f>INDEX('r_in_409a Winter TOU Impacts'!$A$2:$R$29,MATCH('01 Impacts'!$D27,'r_in_409a Winter TOU Impacts'!$T$2:$T$29,0),MATCH('01 Impacts'!J$23,'r_in_409a Winter TOU Impacts'!$A$1:$R$1,0))*'01 Impacts'!J$5</f>
        <v>0.60095967392605298</v>
      </c>
      <c r="K27" s="39">
        <f>INDEX('r_in_409a Winter TOU Impacts'!$A$2:$R$29,MATCH('01 Impacts'!$D27,'r_in_409a Winter TOU Impacts'!$T$2:$T$29,0),MATCH('01 Impacts'!K$23,'r_in_409a Winter TOU Impacts'!$A$1:$R$1,0))*'01 Impacts'!K$5</f>
        <v>25.044258769564198</v>
      </c>
      <c r="L27" s="39">
        <f>INDEX('r_in_409a Winter TOU Impacts'!$A$2:$R$29,MATCH('01 Impacts'!$D27,'r_in_409a Winter TOU Impacts'!$T$2:$T$29,0),MATCH('01 Impacts'!L$23,'r_in_409a Winter TOU Impacts'!$A$1:$R$1,0))*'01 Impacts'!L$5</f>
        <v>450106</v>
      </c>
      <c r="M27" s="39">
        <f>INDEX('r_in_409a Winter TOU Impacts'!$A$2:$R$29,MATCH('01 Impacts'!$D27,'r_in_409a Winter TOU Impacts'!$T$2:$T$29,0),MATCH('01 Impacts'!M$23,'r_in_409a Winter TOU Impacts'!$A$1:$R$1,0))*'01 Impacts'!M$5</f>
        <v>57</v>
      </c>
      <c r="N27" s="39">
        <f>INDEX('r_in_409a Winter TOU Impacts'!$A$2:$R$29,MATCH('01 Impacts'!$D27,'r_in_409a Winter TOU Impacts'!$T$2:$T$29,0),MATCH('01 Impacts'!N$23,'r_in_409a Winter TOU Impacts'!$A$1:$R$1,0))*'01 Impacts'!N$5</f>
        <v>24</v>
      </c>
      <c r="O27" s="39">
        <f t="shared" si="19"/>
        <v>1368</v>
      </c>
      <c r="P27" s="39">
        <f t="shared" si="20"/>
        <v>0.13348558217672052</v>
      </c>
      <c r="Q27" s="39">
        <f t="shared" si="21"/>
        <v>3.2472974475444234E-2</v>
      </c>
      <c r="S27" s="41">
        <f t="shared" si="22"/>
        <v>-1.6126445060961083E-2</v>
      </c>
      <c r="T27" s="42">
        <f t="shared" si="23"/>
        <v>1</v>
      </c>
      <c r="V27" s="43" t="str">
        <f t="shared" si="24"/>
        <v>-0.4 (N/S)</v>
      </c>
      <c r="W27" s="44" t="str">
        <f t="shared" si="34"/>
        <v>-1.61% (N/S)</v>
      </c>
      <c r="X27" s="54">
        <f t="shared" si="26"/>
        <v>0.27664767676033802</v>
      </c>
      <c r="Y27" s="45">
        <f t="shared" si="27"/>
        <v>1.5119807465709842</v>
      </c>
      <c r="Z27" s="43">
        <f t="shared" si="28"/>
        <v>-22.655514292408242</v>
      </c>
      <c r="AA27" s="46">
        <f t="shared" si="29"/>
        <v>-1.6561048459362751E-2</v>
      </c>
      <c r="AB27" s="46">
        <f t="shared" si="30"/>
        <v>0.49322360779328933</v>
      </c>
      <c r="AE27" s="17" t="s">
        <v>18</v>
      </c>
      <c r="AF27" s="18" t="str">
        <f t="shared" si="31"/>
        <v>-0.4 (N/S)</v>
      </c>
      <c r="AG27" s="19" t="str">
        <f t="shared" si="31"/>
        <v>-1.61% (N/S)</v>
      </c>
      <c r="AH27" s="58">
        <f t="shared" si="31"/>
        <v>0.27664767676033802</v>
      </c>
      <c r="AI27" s="20">
        <f t="shared" si="31"/>
        <v>1.5119807465709842</v>
      </c>
      <c r="AL27" s="17" t="s">
        <v>18</v>
      </c>
      <c r="AM27" s="18" t="str">
        <f t="shared" si="32"/>
        <v>-0.19 (N/S)</v>
      </c>
      <c r="AN27" s="19" t="str">
        <f t="shared" si="32"/>
        <v>-0.77% (N/S)</v>
      </c>
      <c r="AO27" s="58">
        <f t="shared" si="32"/>
        <v>0.55987778375699804</v>
      </c>
      <c r="AP27" s="20">
        <f t="shared" si="32"/>
        <v>2.821252234991265</v>
      </c>
      <c r="AS27" s="17" t="s">
        <v>18</v>
      </c>
      <c r="AT27" s="18" t="str">
        <f t="shared" si="33"/>
        <v>-0.4 (N/S)</v>
      </c>
      <c r="AU27" s="19" t="str">
        <f t="shared" si="33"/>
        <v>-1.61% (N/S)</v>
      </c>
      <c r="AV27" s="58">
        <f t="shared" si="33"/>
        <v>0.27665167747708103</v>
      </c>
      <c r="AW27" s="20">
        <f t="shared" si="33"/>
        <v>1.5119934411368428</v>
      </c>
    </row>
    <row r="28" spans="1:63" x14ac:dyDescent="0.2">
      <c r="A28" s="39" t="str">
        <f>INDEX(lookups!$E$5:$E$16,MATCH('01 Impacts'!$D28,lookups!$F$5:$F$16,0),1)</f>
        <v>NO_CPP_EVENTS_Parts_CPP_CPP/RT_Conts_RCT_On-Peak</v>
      </c>
      <c r="B28" s="39" t="s">
        <v>106</v>
      </c>
      <c r="D28" s="39" t="str">
        <f t="shared" si="18"/>
        <v>NO_CPP_EVENTS_Parts_CPP/Conts_RCT_On-Peak</v>
      </c>
      <c r="E28" s="39" t="s">
        <v>116</v>
      </c>
      <c r="F28" s="39" t="s">
        <v>17</v>
      </c>
      <c r="G28" s="39">
        <f>INDEX('r_in_409a Winter TOU Impacts'!$A$2:$R$29,MATCH('01 Impacts'!$D28,'r_in_409a Winter TOU Impacts'!$T$2:$T$29,0),MATCH('01 Impacts'!G$23,'r_in_409a Winter TOU Impacts'!$A$1:$R$1,0))*'01 Impacts'!G$5</f>
        <v>0.10255401115486899</v>
      </c>
      <c r="H28" s="39">
        <f>INDEX('r_in_409a Winter TOU Impacts'!$A$2:$R$29,MATCH('01 Impacts'!$D28,'r_in_409a Winter TOU Impacts'!$T$2:$T$29,0),MATCH('01 Impacts'!H$23,'r_in_409a Winter TOU Impacts'!$A$1:$R$1,0))*'01 Impacts'!H$5</f>
        <v>0.27582107262632399</v>
      </c>
      <c r="I28" s="39">
        <f>INDEX('r_in_409a Winter TOU Impacts'!$A$2:$R$29,MATCH('01 Impacts'!$D28,'r_in_409a Winter TOU Impacts'!$T$2:$T$29,0),MATCH('01 Impacts'!I$23,'r_in_409a Winter TOU Impacts'!$A$1:$R$1,0))*'01 Impacts'!I$5</f>
        <v>9.4107276275962604E-2</v>
      </c>
      <c r="J28" s="39">
        <f>INDEX('r_in_409a Winter TOU Impacts'!$A$2:$R$29,MATCH('01 Impacts'!$D28,'r_in_409a Winter TOU Impacts'!$T$2:$T$29,0),MATCH('01 Impacts'!J$23,'r_in_409a Winter TOU Impacts'!$A$1:$R$1,0))*'01 Impacts'!J$5</f>
        <v>0.15479303841884101</v>
      </c>
      <c r="K28" s="39">
        <f>INDEX('r_in_409a Winter TOU Impacts'!$A$2:$R$29,MATCH('01 Impacts'!$D28,'r_in_409a Winter TOU Impacts'!$T$2:$T$29,0),MATCH('01 Impacts'!K$23,'r_in_409a Winter TOU Impacts'!$A$1:$R$1,0))*'01 Impacts'!K$5</f>
        <v>5.8038698354468803</v>
      </c>
      <c r="L28" s="39">
        <f>INDEX('r_in_409a Winter TOU Impacts'!$A$2:$R$29,MATCH('01 Impacts'!$D28,'r_in_409a Winter TOU Impacts'!$T$2:$T$29,0),MATCH('01 Impacts'!L$23,'r_in_409a Winter TOU Impacts'!$A$1:$R$1,0))*'01 Impacts'!L$5</f>
        <v>417202</v>
      </c>
      <c r="M28" s="39">
        <f>INDEX('r_in_409a Winter TOU Impacts'!$A$2:$R$29,MATCH('01 Impacts'!$D28,'r_in_409a Winter TOU Impacts'!$T$2:$T$29,0),MATCH('01 Impacts'!M$23,'r_in_409a Winter TOU Impacts'!$A$1:$R$1,0))*'01 Impacts'!M$5</f>
        <v>124</v>
      </c>
      <c r="N28" s="39">
        <f>INDEX('r_in_409a Winter TOU Impacts'!$A$2:$R$29,MATCH('01 Impacts'!$D28,'r_in_409a Winter TOU Impacts'!$T$2:$T$29,0),MATCH('01 Impacts'!N$23,'r_in_409a Winter TOU Impacts'!$A$1:$R$1,0))*'01 Impacts'!N$5</f>
        <v>6</v>
      </c>
      <c r="O28" s="39">
        <f t="shared" si="19"/>
        <v>744</v>
      </c>
      <c r="P28" s="39">
        <f t="shared" si="20"/>
        <v>8.8561794480803546E-3</v>
      </c>
      <c r="Q28" s="39">
        <f t="shared" si="21"/>
        <v>2.1470705070999688E-3</v>
      </c>
      <c r="S28" s="41">
        <f t="shared" si="22"/>
        <v>1.7363131027901643E-2</v>
      </c>
      <c r="T28" s="42">
        <f t="shared" si="23"/>
        <v>1</v>
      </c>
      <c r="V28" s="43" t="str">
        <f t="shared" si="24"/>
        <v>0.1 (N/S)</v>
      </c>
      <c r="W28" s="44" t="str">
        <f t="shared" si="34"/>
        <v>1.74% (N/S)</v>
      </c>
      <c r="X28" s="54">
        <f t="shared" si="26"/>
        <v>0.27582107262632399</v>
      </c>
      <c r="Y28" s="45">
        <f t="shared" si="27"/>
        <v>1.5093806344159932</v>
      </c>
      <c r="Z28" s="43">
        <f t="shared" si="28"/>
        <v>12.716697383203755</v>
      </c>
      <c r="AA28" s="46">
        <f t="shared" si="29"/>
        <v>1.7092335192478166E-2</v>
      </c>
      <c r="AB28" s="46">
        <f t="shared" si="30"/>
        <v>0.49237948444385699</v>
      </c>
    </row>
    <row r="29" spans="1:63" x14ac:dyDescent="0.2">
      <c r="A29" s="39" t="str">
        <f>INDEX(lookups!$E$5:$E$16,MATCH('01 Impacts'!$D29,lookups!$F$5:$F$16,0),1)</f>
        <v>NO_CPP_EVENTS_Parts_CPP_CPP/RT_Conts_RCT_Mid-Peak</v>
      </c>
      <c r="B29" s="39" t="s">
        <v>106</v>
      </c>
      <c r="D29" s="39" t="str">
        <f t="shared" si="18"/>
        <v>NO_CPP_EVENTS_Parts_CPP/Conts_RCT_Mid-Peak</v>
      </c>
      <c r="E29" s="39" t="s">
        <v>116</v>
      </c>
      <c r="F29" s="39" t="s">
        <v>15</v>
      </c>
      <c r="G29" s="39">
        <f>INDEX('r_in_409a Winter TOU Impacts'!$A$2:$R$29,MATCH('01 Impacts'!$D29,'r_in_409a Winter TOU Impacts'!$T$2:$T$29,0),MATCH('01 Impacts'!G$23,'r_in_409a Winter TOU Impacts'!$A$1:$R$1,0))*'01 Impacts'!G$5</f>
        <v>-3.5290128454885203E-2</v>
      </c>
      <c r="H29" s="39">
        <f>INDEX('r_in_409a Winter TOU Impacts'!$A$2:$R$29,MATCH('01 Impacts'!$D29,'r_in_409a Winter TOU Impacts'!$T$2:$T$29,0),MATCH('01 Impacts'!H$23,'r_in_409a Winter TOU Impacts'!$A$1:$R$1,0))*'01 Impacts'!H$5</f>
        <v>0.71351558699763895</v>
      </c>
      <c r="I29" s="39">
        <f>INDEX('r_in_409a Winter TOU Impacts'!$A$2:$R$29,MATCH('01 Impacts'!$D29,'r_in_409a Winter TOU Impacts'!$T$2:$T$29,0),MATCH('01 Impacts'!I$23,'r_in_409a Winter TOU Impacts'!$A$1:$R$1,0))*'01 Impacts'!I$5</f>
        <v>9.6122004445120299E-2</v>
      </c>
      <c r="J29" s="39">
        <f>INDEX('r_in_409a Winter TOU Impacts'!$A$2:$R$29,MATCH('01 Impacts'!$D29,'r_in_409a Winter TOU Impacts'!$T$2:$T$29,0),MATCH('01 Impacts'!J$23,'r_in_409a Winter TOU Impacts'!$A$1:$R$1,0))*'01 Impacts'!J$5</f>
        <v>0.15810697871371701</v>
      </c>
      <c r="K29" s="39">
        <f>INDEX('r_in_409a Winter TOU Impacts'!$A$2:$R$29,MATCH('01 Impacts'!$D29,'r_in_409a Winter TOU Impacts'!$T$2:$T$29,0),MATCH('01 Impacts'!K$23,'r_in_409a Winter TOU Impacts'!$A$1:$R$1,0))*'01 Impacts'!K$5</f>
        <v>5.1985906493712104</v>
      </c>
      <c r="L29" s="39">
        <f>INDEX('r_in_409a Winter TOU Impacts'!$A$2:$R$29,MATCH('01 Impacts'!$D29,'r_in_409a Winter TOU Impacts'!$T$2:$T$29,0),MATCH('01 Impacts'!L$23,'r_in_409a Winter TOU Impacts'!$A$1:$R$1,0))*'01 Impacts'!L$5</f>
        <v>417202</v>
      </c>
      <c r="M29" s="39">
        <f>INDEX('r_in_409a Winter TOU Impacts'!$A$2:$R$29,MATCH('01 Impacts'!$D29,'r_in_409a Winter TOU Impacts'!$T$2:$T$29,0),MATCH('01 Impacts'!M$23,'r_in_409a Winter TOU Impacts'!$A$1:$R$1,0))*'01 Impacts'!M$5</f>
        <v>124</v>
      </c>
      <c r="N29" s="39">
        <f>INDEX('r_in_409a Winter TOU Impacts'!$A$2:$R$29,MATCH('01 Impacts'!$D29,'r_in_409a Winter TOU Impacts'!$T$2:$T$29,0),MATCH('01 Impacts'!N$23,'r_in_409a Winter TOU Impacts'!$A$1:$R$1,0))*'01 Impacts'!N$5</f>
        <v>6</v>
      </c>
      <c r="O29" s="39">
        <f t="shared" si="19"/>
        <v>744</v>
      </c>
      <c r="P29" s="39">
        <f t="shared" si="20"/>
        <v>9.2394397385477268E-3</v>
      </c>
      <c r="Q29" s="39">
        <f t="shared" si="21"/>
        <v>2.2399871955014702E-3</v>
      </c>
      <c r="S29" s="41">
        <f t="shared" si="22"/>
        <v>-6.8348003979094947E-3</v>
      </c>
      <c r="T29" s="42">
        <f t="shared" si="23"/>
        <v>1</v>
      </c>
      <c r="V29" s="43" t="str">
        <f t="shared" si="24"/>
        <v>-0.04 (N/S)</v>
      </c>
      <c r="W29" s="44" t="str">
        <f t="shared" si="34"/>
        <v>-0.68% (N/S)</v>
      </c>
      <c r="X29" s="54">
        <f t="shared" si="26"/>
        <v>0.71351558699763895</v>
      </c>
      <c r="Y29" s="45">
        <f t="shared" si="27"/>
        <v>4.4802041147523877</v>
      </c>
      <c r="Z29" s="43">
        <f t="shared" si="28"/>
        <v>-4.3759759284057651</v>
      </c>
      <c r="AA29" s="46">
        <f t="shared" si="29"/>
        <v>-5.8816880758142008E-3</v>
      </c>
      <c r="AB29" s="46">
        <f t="shared" si="30"/>
        <v>0.49237948444385699</v>
      </c>
      <c r="AE29" s="39" t="s">
        <v>65</v>
      </c>
      <c r="AF29" s="39" t="s">
        <v>66</v>
      </c>
      <c r="AL29" s="39" t="s">
        <v>65</v>
      </c>
      <c r="AM29" s="39" t="s">
        <v>66</v>
      </c>
      <c r="AS29" s="39" t="s">
        <v>65</v>
      </c>
      <c r="AT29" s="39" t="s">
        <v>66</v>
      </c>
    </row>
    <row r="30" spans="1:63" x14ac:dyDescent="0.2">
      <c r="A30" s="39" t="str">
        <f>INDEX(lookups!$E$5:$E$16,MATCH('01 Impacts'!$D30,lookups!$F$5:$F$16,0),1)</f>
        <v>NO_CPP_EVENTS_Parts_CPP_CPP/RT_Conts_RCT_Off-Peak</v>
      </c>
      <c r="B30" s="39" t="s">
        <v>106</v>
      </c>
      <c r="D30" s="39" t="str">
        <f t="shared" si="18"/>
        <v>NO_CPP_EVENTS_Parts_CPP/Conts_RCT_Off-Peak</v>
      </c>
      <c r="E30" s="39" t="s">
        <v>116</v>
      </c>
      <c r="F30" s="39" t="s">
        <v>16</v>
      </c>
      <c r="G30" s="39">
        <f>INDEX('r_in_409a Winter TOU Impacts'!$A$2:$R$29,MATCH('01 Impacts'!$D30,'r_in_409a Winter TOU Impacts'!$T$2:$T$29,0),MATCH('01 Impacts'!G$23,'r_in_409a Winter TOU Impacts'!$A$1:$R$1,0))*'01 Impacts'!G$5</f>
        <v>-0.190372899677336</v>
      </c>
      <c r="H30" s="39">
        <f>INDEX('r_in_409a Winter TOU Impacts'!$A$2:$R$29,MATCH('01 Impacts'!$D30,'r_in_409a Winter TOU Impacts'!$T$2:$T$29,0),MATCH('01 Impacts'!H$23,'r_in_409a Winter TOU Impacts'!$A$1:$R$1,0))*'01 Impacts'!H$5</f>
        <v>0.300943447770258</v>
      </c>
      <c r="I30" s="39">
        <f>INDEX('r_in_409a Winter TOU Impacts'!$A$2:$R$29,MATCH('01 Impacts'!$D30,'r_in_409a Winter TOU Impacts'!$T$2:$T$29,0),MATCH('01 Impacts'!I$23,'r_in_409a Winter TOU Impacts'!$A$1:$R$1,0))*'01 Impacts'!I$5</f>
        <v>0.18403943962864</v>
      </c>
      <c r="J30" s="39">
        <f>INDEX('r_in_409a Winter TOU Impacts'!$A$2:$R$29,MATCH('01 Impacts'!$D30,'r_in_409a Winter TOU Impacts'!$T$2:$T$29,0),MATCH('01 Impacts'!J$23,'r_in_409a Winter TOU Impacts'!$A$1:$R$1,0))*'01 Impacts'!J$5</f>
        <v>0.30271861195386102</v>
      </c>
      <c r="K30" s="39">
        <f>INDEX('r_in_409a Winter TOU Impacts'!$A$2:$R$29,MATCH('01 Impacts'!$D30,'r_in_409a Winter TOU Impacts'!$T$2:$T$29,0),MATCH('01 Impacts'!K$23,'r_in_409a Winter TOU Impacts'!$A$1:$R$1,0))*'01 Impacts'!K$5</f>
        <v>11.156694773234101</v>
      </c>
      <c r="L30" s="39">
        <f>INDEX('r_in_409a Winter TOU Impacts'!$A$2:$R$29,MATCH('01 Impacts'!$D30,'r_in_409a Winter TOU Impacts'!$T$2:$T$29,0),MATCH('01 Impacts'!L$23,'r_in_409a Winter TOU Impacts'!$A$1:$R$1,0))*'01 Impacts'!L$5</f>
        <v>417202</v>
      </c>
      <c r="M30" s="39">
        <f>INDEX('r_in_409a Winter TOU Impacts'!$A$2:$R$29,MATCH('01 Impacts'!$D30,'r_in_409a Winter TOU Impacts'!$T$2:$T$29,0),MATCH('01 Impacts'!M$23,'r_in_409a Winter TOU Impacts'!$A$1:$R$1,0))*'01 Impacts'!M$5</f>
        <v>124</v>
      </c>
      <c r="N30" s="39">
        <f>INDEX('r_in_409a Winter TOU Impacts'!$A$2:$R$29,MATCH('01 Impacts'!$D30,'r_in_409a Winter TOU Impacts'!$T$2:$T$29,0),MATCH('01 Impacts'!N$23,'r_in_409a Winter TOU Impacts'!$A$1:$R$1,0))*'01 Impacts'!N$5</f>
        <v>12</v>
      </c>
      <c r="O30" s="39">
        <f t="shared" si="19"/>
        <v>1488</v>
      </c>
      <c r="P30" s="39">
        <f t="shared" si="20"/>
        <v>3.3870515338823827E-2</v>
      </c>
      <c r="Q30" s="39">
        <f t="shared" si="21"/>
        <v>8.2114849829549117E-3</v>
      </c>
      <c r="S30" s="41">
        <f t="shared" si="22"/>
        <v>-1.7359776766755739E-2</v>
      </c>
      <c r="T30" s="42">
        <f t="shared" si="23"/>
        <v>1</v>
      </c>
      <c r="V30" s="43" t="str">
        <f t="shared" si="24"/>
        <v>-0.19 (N/S)</v>
      </c>
      <c r="W30" s="44" t="str">
        <f t="shared" si="34"/>
        <v>-1.74% (N/S)</v>
      </c>
      <c r="X30" s="54">
        <f t="shared" si="26"/>
        <v>0.300943447770258</v>
      </c>
      <c r="Y30" s="45">
        <f t="shared" si="27"/>
        <v>1.5901350059117676</v>
      </c>
      <c r="Z30" s="43">
        <f t="shared" si="28"/>
        <v>-23.606239559989664</v>
      </c>
      <c r="AA30" s="46">
        <f t="shared" si="29"/>
        <v>-1.5864408306444668E-2</v>
      </c>
      <c r="AB30" s="46">
        <f t="shared" si="30"/>
        <v>0.49237948444385699</v>
      </c>
      <c r="AE30" s="39" t="s">
        <v>17</v>
      </c>
      <c r="AF30" s="39">
        <f>INDEX($V$24:$Z$35,MATCH(AF$20&amp;"_"&amp;$AE30,$D$24:$D$35,0),MATCH(AF$29,$V$23:$Z$23,0))</f>
        <v>12.863112401602224</v>
      </c>
      <c r="AL30" s="39" t="s">
        <v>17</v>
      </c>
      <c r="AM30" s="39">
        <f>INDEX($V$24:$Z$35,MATCH(AM$20&amp;"_"&amp;$AE30,$D$24:$D$35,0),MATCH(AM$29,$V$23:$Z$23,0))</f>
        <v>9.288062714176089</v>
      </c>
      <c r="AS30" s="39" t="s">
        <v>17</v>
      </c>
      <c r="AT30" s="39">
        <f>INDEX($V$24:$Z$35,MATCH(AT$20&amp;"_"&amp;$AE30,$D$24:$D$35,0),MATCH(AT$29,$V$23:$Z$23,0))</f>
        <v>12.716697383203755</v>
      </c>
    </row>
    <row r="31" spans="1:63" x14ac:dyDescent="0.2">
      <c r="A31" s="39" t="str">
        <f>INDEX(lookups!$E$5:$E$16,MATCH('01 Impacts'!$D31,lookups!$F$5:$F$16,0),1)</f>
        <v>NO_CPP_EVENTS_Parts_CPP_CPP/RT_Conts_RCT_Weekend Off-Peak</v>
      </c>
      <c r="B31" s="39" t="s">
        <v>106</v>
      </c>
      <c r="D31" s="39" t="str">
        <f t="shared" si="18"/>
        <v>NO_CPP_EVENTS_Parts_CPP/Conts_RCT_Weekend Off-Peak</v>
      </c>
      <c r="E31" s="39" t="s">
        <v>116</v>
      </c>
      <c r="F31" s="39" t="s">
        <v>18</v>
      </c>
      <c r="G31" s="39">
        <f>INDEX('r_in_409a Winter TOU Impacts'!$A$2:$R$29,MATCH('01 Impacts'!$D31,'r_in_409a Winter TOU Impacts'!$T$2:$T$29,0),MATCH('01 Impacts'!G$23,'r_in_409a Winter TOU Impacts'!$A$1:$R$1,0))*'01 Impacts'!G$5</f>
        <v>-0.39746516302470503</v>
      </c>
      <c r="H31" s="39">
        <f>INDEX('r_in_409a Winter TOU Impacts'!$A$2:$R$29,MATCH('01 Impacts'!$D31,'r_in_409a Winter TOU Impacts'!$T$2:$T$29,0),MATCH('01 Impacts'!H$23,'r_in_409a Winter TOU Impacts'!$A$1:$R$1,0))*'01 Impacts'!H$5</f>
        <v>0.27665167747708103</v>
      </c>
      <c r="I31" s="39">
        <f>INDEX('r_in_409a Winter TOU Impacts'!$A$2:$R$29,MATCH('01 Impacts'!$D31,'r_in_409a Winter TOU Impacts'!$T$2:$T$29,0),MATCH('01 Impacts'!I$23,'r_in_409a Winter TOU Impacts'!$A$1:$R$1,0))*'01 Impacts'!I$5</f>
        <v>0.36535979572934502</v>
      </c>
      <c r="J31" s="39">
        <f>INDEX('r_in_409a Winter TOU Impacts'!$A$2:$R$29,MATCH('01 Impacts'!$D31,'r_in_409a Winter TOU Impacts'!$T$2:$T$29,0),MATCH('01 Impacts'!J$23,'r_in_409a Winter TOU Impacts'!$A$1:$R$1,0))*'01 Impacts'!J$5</f>
        <v>0.60096471957373998</v>
      </c>
      <c r="K31" s="39">
        <f>INDEX('r_in_409a Winter TOU Impacts'!$A$2:$R$29,MATCH('01 Impacts'!$D31,'r_in_409a Winter TOU Impacts'!$T$2:$T$29,0),MATCH('01 Impacts'!K$23,'r_in_409a Winter TOU Impacts'!$A$1:$R$1,0))*'01 Impacts'!K$5</f>
        <v>25.044258769564198</v>
      </c>
      <c r="L31" s="39">
        <f>INDEX('r_in_409a Winter TOU Impacts'!$A$2:$R$29,MATCH('01 Impacts'!$D31,'r_in_409a Winter TOU Impacts'!$T$2:$T$29,0),MATCH('01 Impacts'!L$23,'r_in_409a Winter TOU Impacts'!$A$1:$R$1,0))*'01 Impacts'!L$5</f>
        <v>417202</v>
      </c>
      <c r="M31" s="39">
        <f>INDEX('r_in_409a Winter TOU Impacts'!$A$2:$R$29,MATCH('01 Impacts'!$D31,'r_in_409a Winter TOU Impacts'!$T$2:$T$29,0),MATCH('01 Impacts'!M$23,'r_in_409a Winter TOU Impacts'!$A$1:$R$1,0))*'01 Impacts'!M$5</f>
        <v>57</v>
      </c>
      <c r="N31" s="39">
        <f>INDEX('r_in_409a Winter TOU Impacts'!$A$2:$R$29,MATCH('01 Impacts'!$D31,'r_in_409a Winter TOU Impacts'!$T$2:$T$29,0),MATCH('01 Impacts'!N$23,'r_in_409a Winter TOU Impacts'!$A$1:$R$1,0))*'01 Impacts'!N$5</f>
        <v>24</v>
      </c>
      <c r="O31" s="39">
        <f t="shared" si="19"/>
        <v>1368</v>
      </c>
      <c r="P31" s="39">
        <f t="shared" si="20"/>
        <v>0.13348778033538872</v>
      </c>
      <c r="Q31" s="39">
        <f t="shared" si="21"/>
        <v>3.236245131397792E-2</v>
      </c>
      <c r="S31" s="41">
        <f t="shared" si="22"/>
        <v>-1.6126445060961045E-2</v>
      </c>
      <c r="T31" s="42">
        <f t="shared" si="23"/>
        <v>1</v>
      </c>
      <c r="V31" s="43" t="str">
        <f t="shared" si="24"/>
        <v>-0.4 (N/S)</v>
      </c>
      <c r="W31" s="44" t="str">
        <f t="shared" si="34"/>
        <v>-1.61% (N/S)</v>
      </c>
      <c r="X31" s="54">
        <f t="shared" si="26"/>
        <v>0.27665167747708103</v>
      </c>
      <c r="Y31" s="45">
        <f t="shared" si="27"/>
        <v>1.5119934411368428</v>
      </c>
      <c r="Z31" s="43">
        <f t="shared" si="28"/>
        <v>-22.655514292408185</v>
      </c>
      <c r="AA31" s="46">
        <f t="shared" si="29"/>
        <v>-1.6561048459362709E-2</v>
      </c>
      <c r="AB31" s="46">
        <f t="shared" si="30"/>
        <v>0.49237948444385699</v>
      </c>
      <c r="AE31" s="39" t="s">
        <v>15</v>
      </c>
      <c r="AF31" s="39">
        <f>INDEX($V$24:$Z$35,MATCH(AF$20&amp;"_"&amp;$AE31,$D$24:$D$35,0),MATCH(AF$29,$V$23:$Z$23,0))</f>
        <v>-5.8779422415926685</v>
      </c>
      <c r="AL31" s="39" t="s">
        <v>15</v>
      </c>
      <c r="AM31" s="39">
        <f>INDEX($V$24:$Z$35,MATCH(AM$20&amp;"_"&amp;$AE31,$D$24:$D$35,0),MATCH(AM$29,$V$23:$Z$23,0))</f>
        <v>5.5830919239837886</v>
      </c>
      <c r="AS31" s="39" t="s">
        <v>15</v>
      </c>
      <c r="AT31" s="39">
        <f>INDEX($V$24:$Z$35,MATCH(AT$20&amp;"_"&amp;$AE31,$D$24:$D$35,0),MATCH(AT$29,$V$23:$Z$23,0))</f>
        <v>-4.3759759284057651</v>
      </c>
    </row>
    <row r="32" spans="1:63" x14ac:dyDescent="0.2">
      <c r="A32" s="39" t="str">
        <f>INDEX(lookups!$E$5:$E$16,MATCH('01 Impacts'!$D32,lookups!$F$5:$F$16,0),1)</f>
        <v>Parts_RT_Conts_RCT_On-Peak</v>
      </c>
      <c r="B32" s="39" t="s">
        <v>106</v>
      </c>
      <c r="D32" s="39" t="str">
        <f t="shared" si="18"/>
        <v>Parts_RT_Conts_RCT_On-Peak</v>
      </c>
      <c r="E32" s="39" t="s">
        <v>19</v>
      </c>
      <c r="F32" s="39" t="s">
        <v>17</v>
      </c>
      <c r="G32" s="39">
        <f>INDEX('r_in_409a Winter TOU Impacts'!$A$2:$R$29,MATCH('01 Impacts'!$D32,'r_in_409a Winter TOU Impacts'!$T$2:$T$29,0),MATCH('01 Impacts'!G$23,'r_in_409a Winter TOU Impacts'!$A$1:$R$1,0))*'01 Impacts'!G$5</f>
        <v>7.4903731565936202E-2</v>
      </c>
      <c r="H32" s="59">
        <f>INDEX('r_in_409a Winter TOU Impacts'!$A$2:$R$29,MATCH('01 Impacts'!$D32,'r_in_409a Winter TOU Impacts'!$T$2:$T$29,0),MATCH('01 Impacts'!H$23,'r_in_409a Winter TOU Impacts'!$A$1:$R$1,0))*'01 Impacts'!H$5</f>
        <v>0.36252883831483501</v>
      </c>
      <c r="I32" s="59">
        <f>INDEX('r_in_409a Winter TOU Impacts'!$A$2:$R$29,MATCH('01 Impacts'!$D32,'r_in_409a Winter TOU Impacts'!$T$2:$T$29,0),MATCH('01 Impacts'!I$23,'r_in_409a Winter TOU Impacts'!$A$1:$R$1,0))*'01 Impacts'!I$5</f>
        <v>8.2261385889572103E-2</v>
      </c>
      <c r="J32" s="39">
        <f>INDEX('r_in_409a Winter TOU Impacts'!$A$2:$R$29,MATCH('01 Impacts'!$D32,'r_in_409a Winter TOU Impacts'!$T$2:$T$29,0),MATCH('01 Impacts'!J$23,'r_in_409a Winter TOU Impacts'!$A$1:$R$1,0))*'01 Impacts'!J$5</f>
        <v>0.13530812636119399</v>
      </c>
      <c r="K32" s="39">
        <f>INDEX('r_in_409a Winter TOU Impacts'!$A$2:$R$29,MATCH('01 Impacts'!$D32,'r_in_409a Winter TOU Impacts'!$T$2:$T$29,0),MATCH('01 Impacts'!K$23,'r_in_409a Winter TOU Impacts'!$A$1:$R$1,0))*'01 Impacts'!K$5</f>
        <v>5.7701777992041796</v>
      </c>
      <c r="L32" s="39">
        <f>INDEX('r_in_409a Winter TOU Impacts'!$A$2:$R$29,MATCH('01 Impacts'!$D32,'r_in_409a Winter TOU Impacts'!$T$2:$T$29,0),MATCH('01 Impacts'!L$23,'r_in_409a Winter TOU Impacts'!$A$1:$R$1,0))*'01 Impacts'!L$5</f>
        <v>668796</v>
      </c>
      <c r="M32" s="39">
        <f>INDEX('r_in_409a Winter TOU Impacts'!$A$2:$R$29,MATCH('01 Impacts'!$D32,'r_in_409a Winter TOU Impacts'!$T$2:$T$29,0),MATCH('01 Impacts'!M$23,'r_in_409a Winter TOU Impacts'!$A$1:$R$1,0))*'01 Impacts'!M$5</f>
        <v>124</v>
      </c>
      <c r="N32" s="39">
        <f>INDEX('r_in_409a Winter TOU Impacts'!$A$2:$R$29,MATCH('01 Impacts'!$D32,'r_in_409a Winter TOU Impacts'!$T$2:$T$29,0),MATCH('01 Impacts'!N$23,'r_in_409a Winter TOU Impacts'!$A$1:$R$1,0))*'01 Impacts'!N$5</f>
        <v>6</v>
      </c>
      <c r="O32" s="39">
        <f t="shared" si="19"/>
        <v>744</v>
      </c>
      <c r="P32" s="39">
        <f t="shared" si="20"/>
        <v>6.7669356084730922E-3</v>
      </c>
      <c r="Q32" s="39">
        <f t="shared" si="21"/>
        <v>1.6600853661750234E-3</v>
      </c>
      <c r="S32" s="41">
        <f t="shared" si="22"/>
        <v>1.2814830926073892E-2</v>
      </c>
      <c r="T32" s="42">
        <f t="shared" si="23"/>
        <v>1</v>
      </c>
      <c r="V32" s="43" t="str">
        <f t="shared" si="24"/>
        <v>0.07 (N/S)</v>
      </c>
      <c r="W32" s="44" t="str">
        <f t="shared" ref="W32:W35" si="35">IF($H32&gt;0.1,ROUND(S32*100,2)&amp;"% (N/S)",S32)</f>
        <v>1.28% (N/S)</v>
      </c>
      <c r="X32" s="54">
        <f t="shared" si="26"/>
        <v>0.36252883831483501</v>
      </c>
      <c r="Y32" s="45">
        <f t="shared" si="27"/>
        <v>1.8064270435189875</v>
      </c>
      <c r="Z32" s="43">
        <f t="shared" si="28"/>
        <v>9.288062714176089</v>
      </c>
      <c r="AA32" s="46">
        <f t="shared" si="29"/>
        <v>1.2483955260989367E-2</v>
      </c>
      <c r="AB32" s="46">
        <f t="shared" si="30"/>
        <v>0.49530098157273816</v>
      </c>
      <c r="AE32" s="39" t="s">
        <v>16</v>
      </c>
      <c r="AF32" s="39">
        <f>INDEX($V$24:$Z$35,MATCH(AF$20&amp;"_"&amp;$AE32,$D$24:$D$35,0),MATCH(AF$29,$V$23:$Z$23,0))</f>
        <v>-23.244396718312423</v>
      </c>
      <c r="AL32" s="39" t="s">
        <v>16</v>
      </c>
      <c r="AM32" s="39">
        <f>INDEX($V$24:$Z$35,MATCH(AM$20&amp;"_"&amp;$AE32,$D$24:$D$35,0),MATCH(AM$29,$V$23:$Z$23,0))</f>
        <v>7.304112455149296</v>
      </c>
      <c r="AS32" s="39" t="s">
        <v>16</v>
      </c>
      <c r="AT32" s="39">
        <f>INDEX($V$24:$Z$35,MATCH(AT$20&amp;"_"&amp;$AE32,$D$24:$D$35,0),MATCH(AT$29,$V$23:$Z$23,0))</f>
        <v>-23.606239559989664</v>
      </c>
    </row>
    <row r="33" spans="1:49" x14ac:dyDescent="0.2">
      <c r="A33" s="39" t="str">
        <f>INDEX(lookups!$E$5:$E$16,MATCH('01 Impacts'!$D33,lookups!$F$5:$F$16,0),1)</f>
        <v>Parts_RT_Conts_RCT_Mid-Peak</v>
      </c>
      <c r="B33" s="39" t="s">
        <v>106</v>
      </c>
      <c r="D33" s="39" t="str">
        <f t="shared" si="18"/>
        <v>Parts_RT_Conts_RCT_Mid-Peak</v>
      </c>
      <c r="E33" s="39" t="s">
        <v>19</v>
      </c>
      <c r="F33" s="39" t="s">
        <v>15</v>
      </c>
      <c r="G33" s="39">
        <f>INDEX('r_in_409a Winter TOU Impacts'!$A$2:$R$29,MATCH('01 Impacts'!$D33,'r_in_409a Winter TOU Impacts'!$T$2:$T$29,0),MATCH('01 Impacts'!G$23,'r_in_409a Winter TOU Impacts'!$A$1:$R$1,0))*'01 Impacts'!G$5</f>
        <v>4.5024934870837002E-2</v>
      </c>
      <c r="H33" s="39">
        <f>INDEX('r_in_409a Winter TOU Impacts'!$A$2:$R$29,MATCH('01 Impacts'!$D33,'r_in_409a Winter TOU Impacts'!$T$2:$T$29,0),MATCH('01 Impacts'!H$23,'r_in_409a Winter TOU Impacts'!$A$1:$R$1,0))*'01 Impacts'!H$5</f>
        <v>0.59579760625984401</v>
      </c>
      <c r="I33" s="39">
        <f>INDEX('r_in_409a Winter TOU Impacts'!$A$2:$R$29,MATCH('01 Impacts'!$D33,'r_in_409a Winter TOU Impacts'!$T$2:$T$29,0),MATCH('01 Impacts'!I$23,'r_in_409a Winter TOU Impacts'!$A$1:$R$1,0))*'01 Impacts'!I$5</f>
        <v>8.4880053200481503E-2</v>
      </c>
      <c r="J33" s="39">
        <f>INDEX('r_in_409a Winter TOU Impacts'!$A$2:$R$29,MATCH('01 Impacts'!$D33,'r_in_409a Winter TOU Impacts'!$T$2:$T$29,0),MATCH('01 Impacts'!J$23,'r_in_409a Winter TOU Impacts'!$A$1:$R$1,0))*'01 Impacts'!J$5</f>
        <v>0.139615456751641</v>
      </c>
      <c r="K33" s="39">
        <f>INDEX('r_in_409a Winter TOU Impacts'!$A$2:$R$29,MATCH('01 Impacts'!$D33,'r_in_409a Winter TOU Impacts'!$T$2:$T$29,0),MATCH('01 Impacts'!K$23,'r_in_409a Winter TOU Impacts'!$A$1:$R$1,0))*'01 Impacts'!K$5</f>
        <v>5.1295056016463203</v>
      </c>
      <c r="L33" s="39">
        <f>INDEX('r_in_409a Winter TOU Impacts'!$A$2:$R$29,MATCH('01 Impacts'!$D33,'r_in_409a Winter TOU Impacts'!$T$2:$T$29,0),MATCH('01 Impacts'!L$23,'r_in_409a Winter TOU Impacts'!$A$1:$R$1,0))*'01 Impacts'!L$5</f>
        <v>668796</v>
      </c>
      <c r="M33" s="39">
        <f>INDEX('r_in_409a Winter TOU Impacts'!$A$2:$R$29,MATCH('01 Impacts'!$D33,'r_in_409a Winter TOU Impacts'!$T$2:$T$29,0),MATCH('01 Impacts'!M$23,'r_in_409a Winter TOU Impacts'!$A$1:$R$1,0))*'01 Impacts'!M$5</f>
        <v>124</v>
      </c>
      <c r="N33" s="39">
        <f>INDEX('r_in_409a Winter TOU Impacts'!$A$2:$R$29,MATCH('01 Impacts'!$D33,'r_in_409a Winter TOU Impacts'!$T$2:$T$29,0),MATCH('01 Impacts'!N$23,'r_in_409a Winter TOU Impacts'!$A$1:$R$1,0))*'01 Impacts'!N$5</f>
        <v>6</v>
      </c>
      <c r="O33" s="39">
        <f t="shared" si="19"/>
        <v>744</v>
      </c>
      <c r="P33" s="39">
        <f t="shared" si="20"/>
        <v>7.2046234313165704E-3</v>
      </c>
      <c r="Q33" s="39">
        <f t="shared" si="21"/>
        <v>1.7674602832269408E-3</v>
      </c>
      <c r="S33" s="41">
        <f t="shared" si="22"/>
        <v>8.7012598636903825E-3</v>
      </c>
      <c r="T33" s="42">
        <f t="shared" si="23"/>
        <v>1</v>
      </c>
      <c r="V33" s="43" t="str">
        <f t="shared" si="24"/>
        <v>0.05 (N/S)</v>
      </c>
      <c r="W33" s="44" t="str">
        <f t="shared" si="35"/>
        <v>0.87% (N/S)</v>
      </c>
      <c r="X33" s="54">
        <f t="shared" si="26"/>
        <v>0.59579760625984401</v>
      </c>
      <c r="Y33" s="45">
        <f t="shared" si="27"/>
        <v>3.1008475004384959</v>
      </c>
      <c r="Z33" s="43">
        <f t="shared" si="28"/>
        <v>5.5830919239837886</v>
      </c>
      <c r="AA33" s="46">
        <f t="shared" si="29"/>
        <v>7.5041558118061668E-3</v>
      </c>
      <c r="AB33" s="46">
        <f t="shared" si="30"/>
        <v>0.49530098157273816</v>
      </c>
      <c r="AE33" s="39" t="s">
        <v>18</v>
      </c>
      <c r="AF33" s="39">
        <f>INDEX($V$24:$Z$35,MATCH(AF$20&amp;"_"&amp;$AE33,$D$24:$D$35,0),MATCH(AF$29,$V$23:$Z$23,0))</f>
        <v>-22.655514292408242</v>
      </c>
      <c r="AL33" s="39" t="s">
        <v>18</v>
      </c>
      <c r="AM33" s="39">
        <f>INDEX($V$24:$Z$35,MATCH(AM$20&amp;"_"&amp;$AE33,$D$24:$D$35,0),MATCH(AM$29,$V$23:$Z$23,0))</f>
        <v>-10.728090943094019</v>
      </c>
      <c r="AS33" s="39" t="s">
        <v>18</v>
      </c>
      <c r="AT33" s="39">
        <f>INDEX($V$24:$Z$35,MATCH(AT$20&amp;"_"&amp;$AE33,$D$24:$D$35,0),MATCH(AT$29,$V$23:$Z$23,0))</f>
        <v>-22.655514292408185</v>
      </c>
    </row>
    <row r="34" spans="1:49" x14ac:dyDescent="0.2">
      <c r="A34" s="39" t="str">
        <f>INDEX(lookups!$E$5:$E$16,MATCH('01 Impacts'!$D34,lookups!$F$5:$F$16,0),1)</f>
        <v>Parts_RT_Conts_RCT_Off-Peak</v>
      </c>
      <c r="B34" s="39" t="s">
        <v>106</v>
      </c>
      <c r="D34" s="39" t="str">
        <f t="shared" si="18"/>
        <v>Parts_RT_Conts_RCT_Off-Peak</v>
      </c>
      <c r="E34" s="39" t="s">
        <v>19</v>
      </c>
      <c r="F34" s="39" t="s">
        <v>16</v>
      </c>
      <c r="G34" s="39">
        <f>INDEX('r_in_409a Winter TOU Impacts'!$A$2:$R$29,MATCH('01 Impacts'!$D34,'r_in_409a Winter TOU Impacts'!$T$2:$T$29,0),MATCH('01 Impacts'!G$23,'r_in_409a Winter TOU Impacts'!$A$1:$R$1,0))*'01 Impacts'!G$5</f>
        <v>5.89041327028169E-2</v>
      </c>
      <c r="H34" s="39">
        <f>INDEX('r_in_409a Winter TOU Impacts'!$A$2:$R$29,MATCH('01 Impacts'!$D34,'r_in_409a Winter TOU Impacts'!$T$2:$T$29,0),MATCH('01 Impacts'!H$23,'r_in_409a Winter TOU Impacts'!$A$1:$R$1,0))*'01 Impacts'!H$5</f>
        <v>0.71411961315539096</v>
      </c>
      <c r="I34" s="39">
        <f>INDEX('r_in_409a Winter TOU Impacts'!$A$2:$R$29,MATCH('01 Impacts'!$D34,'r_in_409a Winter TOU Impacts'!$T$2:$T$29,0),MATCH('01 Impacts'!I$23,'r_in_409a Winter TOU Impacts'!$A$1:$R$1,0))*'01 Impacts'!I$5</f>
        <v>0.16079565688348299</v>
      </c>
      <c r="J34" s="39">
        <f>INDEX('r_in_409a Winter TOU Impacts'!$A$2:$R$29,MATCH('01 Impacts'!$D34,'r_in_409a Winter TOU Impacts'!$T$2:$T$29,0),MATCH('01 Impacts'!J$23,'r_in_409a Winter TOU Impacts'!$A$1:$R$1,0))*'01 Impacts'!J$5</f>
        <v>0.26448568577641202</v>
      </c>
      <c r="K34" s="39">
        <f>INDEX('r_in_409a Winter TOU Impacts'!$A$2:$R$29,MATCH('01 Impacts'!$D34,'r_in_409a Winter TOU Impacts'!$T$2:$T$29,0),MATCH('01 Impacts'!K$23,'r_in_409a Winter TOU Impacts'!$A$1:$R$1,0))*'01 Impacts'!K$5</f>
        <v>10.828958297358</v>
      </c>
      <c r="L34" s="39">
        <f>INDEX('r_in_409a Winter TOU Impacts'!$A$2:$R$29,MATCH('01 Impacts'!$D34,'r_in_409a Winter TOU Impacts'!$T$2:$T$29,0),MATCH('01 Impacts'!L$23,'r_in_409a Winter TOU Impacts'!$A$1:$R$1,0))*'01 Impacts'!L$5</f>
        <v>668796</v>
      </c>
      <c r="M34" s="39">
        <f>INDEX('r_in_409a Winter TOU Impacts'!$A$2:$R$29,MATCH('01 Impacts'!$D34,'r_in_409a Winter TOU Impacts'!$T$2:$T$29,0),MATCH('01 Impacts'!M$23,'r_in_409a Winter TOU Impacts'!$A$1:$R$1,0))*'01 Impacts'!M$5</f>
        <v>124</v>
      </c>
      <c r="N34" s="39">
        <f>INDEX('r_in_409a Winter TOU Impacts'!$A$2:$R$29,MATCH('01 Impacts'!$D34,'r_in_409a Winter TOU Impacts'!$T$2:$T$29,0),MATCH('01 Impacts'!N$23,'r_in_409a Winter TOU Impacts'!$A$1:$R$1,0))*'01 Impacts'!N$5</f>
        <v>12</v>
      </c>
      <c r="O34" s="39">
        <f t="shared" si="19"/>
        <v>1488</v>
      </c>
      <c r="P34" s="39">
        <f t="shared" si="20"/>
        <v>2.585524327259079E-2</v>
      </c>
      <c r="Q34" s="39">
        <f t="shared" si="21"/>
        <v>6.3428874573565209E-3</v>
      </c>
      <c r="S34" s="41">
        <f t="shared" si="22"/>
        <v>5.4100731967539999E-3</v>
      </c>
      <c r="T34" s="42">
        <f t="shared" si="23"/>
        <v>1</v>
      </c>
      <c r="V34" s="43" t="str">
        <f t="shared" si="24"/>
        <v>0.06 (N/S)</v>
      </c>
      <c r="W34" s="44" t="str">
        <f t="shared" si="35"/>
        <v>0.54% (N/S)</v>
      </c>
      <c r="X34" s="54">
        <f t="shared" si="26"/>
        <v>0.71411961315539096</v>
      </c>
      <c r="Y34" s="45">
        <f t="shared" si="27"/>
        <v>4.4901040663953928</v>
      </c>
      <c r="Z34" s="43">
        <f t="shared" si="28"/>
        <v>7.304112455149296</v>
      </c>
      <c r="AA34" s="46">
        <f t="shared" si="29"/>
        <v>4.9086777252347414E-3</v>
      </c>
      <c r="AB34" s="46">
        <f t="shared" si="30"/>
        <v>0.49530098157273816</v>
      </c>
    </row>
    <row r="35" spans="1:49" x14ac:dyDescent="0.2">
      <c r="A35" s="39" t="str">
        <f>INDEX(lookups!$E$5:$E$16,MATCH('01 Impacts'!$D35,lookups!$F$5:$F$16,0),1)</f>
        <v>Parts_RT_Conts_RCT_Weekend Off-Peak</v>
      </c>
      <c r="B35" s="39" t="s">
        <v>106</v>
      </c>
      <c r="D35" s="39" t="str">
        <f t="shared" si="18"/>
        <v>Parts_RT_Conts_RCT_Weekend Off-Peak</v>
      </c>
      <c r="E35" s="39" t="s">
        <v>19</v>
      </c>
      <c r="F35" s="39" t="s">
        <v>18</v>
      </c>
      <c r="G35" s="39">
        <f>INDEX('r_in_409a Winter TOU Impacts'!$A$2:$R$29,MATCH('01 Impacts'!$D35,'r_in_409a Winter TOU Impacts'!$T$2:$T$29,0),MATCH('01 Impacts'!G$23,'r_in_409a Winter TOU Impacts'!$A$1:$R$1,0))*'01 Impacts'!G$5</f>
        <v>-0.188212121808667</v>
      </c>
      <c r="H35" s="39">
        <f>INDEX('r_in_409a Winter TOU Impacts'!$A$2:$R$29,MATCH('01 Impacts'!$D35,'r_in_409a Winter TOU Impacts'!$T$2:$T$29,0),MATCH('01 Impacts'!H$23,'r_in_409a Winter TOU Impacts'!$A$1:$R$1,0))*'01 Impacts'!H$5</f>
        <v>0.55987778375699804</v>
      </c>
      <c r="I35" s="39">
        <f>INDEX('r_in_409a Winter TOU Impacts'!$A$2:$R$29,MATCH('01 Impacts'!$D35,'r_in_409a Winter TOU Impacts'!$T$2:$T$29,0),MATCH('01 Impacts'!I$23,'r_in_409a Winter TOU Impacts'!$A$1:$R$1,0))*'01 Impacts'!I$5</f>
        <v>0.32282090338984498</v>
      </c>
      <c r="J35" s="39">
        <f>INDEX('r_in_409a Winter TOU Impacts'!$A$2:$R$29,MATCH('01 Impacts'!$D35,'r_in_409a Winter TOU Impacts'!$T$2:$T$29,0),MATCH('01 Impacts'!J$23,'r_in_409a Winter TOU Impacts'!$A$1:$R$1,0))*'01 Impacts'!J$5</f>
        <v>0.53099386930515002</v>
      </c>
      <c r="K35" s="39">
        <f>INDEX('r_in_409a Winter TOU Impacts'!$A$2:$R$29,MATCH('01 Impacts'!$D35,'r_in_409a Winter TOU Impacts'!$T$2:$T$29,0),MATCH('01 Impacts'!K$23,'r_in_409a Winter TOU Impacts'!$A$1:$R$1,0))*'01 Impacts'!K$5</f>
        <v>24.6512895003358</v>
      </c>
      <c r="L35" s="39">
        <f>INDEX('r_in_409a Winter TOU Impacts'!$A$2:$R$29,MATCH('01 Impacts'!$D35,'r_in_409a Winter TOU Impacts'!$T$2:$T$29,0),MATCH('01 Impacts'!L$23,'r_in_409a Winter TOU Impacts'!$A$1:$R$1,0))*'01 Impacts'!L$5</f>
        <v>668796</v>
      </c>
      <c r="M35" s="39">
        <f>INDEX('r_in_409a Winter TOU Impacts'!$A$2:$R$29,MATCH('01 Impacts'!$D35,'r_in_409a Winter TOU Impacts'!$T$2:$T$29,0),MATCH('01 Impacts'!M$23,'r_in_409a Winter TOU Impacts'!$A$1:$R$1,0))*'01 Impacts'!M$5</f>
        <v>57</v>
      </c>
      <c r="N35" s="39">
        <f>INDEX('r_in_409a Winter TOU Impacts'!$A$2:$R$29,MATCH('01 Impacts'!$D35,'r_in_409a Winter TOU Impacts'!$T$2:$T$29,0),MATCH('01 Impacts'!N$23,'r_in_409a Winter TOU Impacts'!$A$1:$R$1,0))*'01 Impacts'!N$5</f>
        <v>24</v>
      </c>
      <c r="O35" s="39">
        <f t="shared" si="19"/>
        <v>1368</v>
      </c>
      <c r="P35" s="39">
        <f t="shared" si="20"/>
        <v>0.10421333566543563</v>
      </c>
      <c r="Q35" s="39">
        <f t="shared" si="21"/>
        <v>2.5565934642831949E-2</v>
      </c>
      <c r="S35" s="41">
        <f t="shared" si="22"/>
        <v>-7.6937222123114116E-3</v>
      </c>
      <c r="T35" s="42">
        <f t="shared" si="23"/>
        <v>1</v>
      </c>
      <c r="V35" s="43" t="str">
        <f t="shared" si="24"/>
        <v>-0.19 (N/S)</v>
      </c>
      <c r="W35" s="44" t="str">
        <f t="shared" si="35"/>
        <v>-0.77% (N/S)</v>
      </c>
      <c r="X35" s="54">
        <f t="shared" si="26"/>
        <v>0.55987778375699804</v>
      </c>
      <c r="Y35" s="45">
        <f t="shared" si="27"/>
        <v>2.821252234991265</v>
      </c>
      <c r="Z35" s="43">
        <f t="shared" si="28"/>
        <v>-10.728090943094019</v>
      </c>
      <c r="AA35" s="46">
        <f t="shared" si="29"/>
        <v>-7.8421717420277919E-3</v>
      </c>
      <c r="AB35" s="46">
        <f t="shared" si="30"/>
        <v>0.49530098157273816</v>
      </c>
    </row>
    <row r="36" spans="1:49" hidden="1" outlineLevel="1" x14ac:dyDescent="0.2"/>
    <row r="37" spans="1:49" hidden="1" outlineLevel="1" x14ac:dyDescent="0.2">
      <c r="AE37" s="39" t="s">
        <v>119</v>
      </c>
      <c r="AS37" s="39" t="s">
        <v>120</v>
      </c>
    </row>
    <row r="38" spans="1:49" hidden="1" outlineLevel="1" x14ac:dyDescent="0.2">
      <c r="AF38" s="1" t="s">
        <v>117</v>
      </c>
      <c r="AG38" s="1" t="s">
        <v>117</v>
      </c>
      <c r="AH38" s="1" t="s">
        <v>117</v>
      </c>
      <c r="AI38" s="1" t="s">
        <v>117</v>
      </c>
      <c r="AM38" s="39" t="s">
        <v>19</v>
      </c>
      <c r="AN38" s="39" t="s">
        <v>19</v>
      </c>
      <c r="AO38" s="39" t="s">
        <v>19</v>
      </c>
      <c r="AP38" s="39" t="s">
        <v>19</v>
      </c>
      <c r="AT38" s="39" t="s">
        <v>116</v>
      </c>
      <c r="AU38" s="39" t="s">
        <v>116</v>
      </c>
      <c r="AV38" s="39" t="s">
        <v>116</v>
      </c>
      <c r="AW38" s="39" t="s">
        <v>116</v>
      </c>
    </row>
    <row r="39" spans="1:49" hidden="1" outlineLevel="1" x14ac:dyDescent="0.2">
      <c r="AF39" s="39" t="s">
        <v>4</v>
      </c>
      <c r="AG39" s="39" t="s">
        <v>23</v>
      </c>
      <c r="AH39" s="39" t="s">
        <v>125</v>
      </c>
      <c r="AI39" s="39" t="s">
        <v>25</v>
      </c>
      <c r="AM39" s="39" t="s">
        <v>4</v>
      </c>
      <c r="AN39" s="39" t="s">
        <v>23</v>
      </c>
      <c r="AO39" s="39" t="s">
        <v>125</v>
      </c>
      <c r="AP39" s="39" t="s">
        <v>25</v>
      </c>
      <c r="AT39" s="39" t="s">
        <v>4</v>
      </c>
      <c r="AU39" s="39" t="s">
        <v>23</v>
      </c>
      <c r="AV39" s="39" t="s">
        <v>125</v>
      </c>
      <c r="AW39" s="39" t="s">
        <v>25</v>
      </c>
    </row>
    <row r="40" spans="1:49" ht="10.5" hidden="1" outlineLevel="1" x14ac:dyDescent="0.2">
      <c r="AE40" s="94" t="s">
        <v>30</v>
      </c>
      <c r="AF40" s="92" t="s">
        <v>26</v>
      </c>
      <c r="AG40" s="93"/>
      <c r="AH40" s="88" t="s">
        <v>60</v>
      </c>
      <c r="AI40" s="90" t="s">
        <v>29</v>
      </c>
      <c r="AL40" s="94" t="s">
        <v>30</v>
      </c>
      <c r="AM40" s="92" t="s">
        <v>26</v>
      </c>
      <c r="AN40" s="93"/>
      <c r="AO40" s="88" t="s">
        <v>60</v>
      </c>
      <c r="AP40" s="90" t="s">
        <v>29</v>
      </c>
      <c r="AS40" s="94" t="s">
        <v>30</v>
      </c>
      <c r="AT40" s="92" t="s">
        <v>26</v>
      </c>
      <c r="AU40" s="93"/>
      <c r="AV40" s="88" t="s">
        <v>60</v>
      </c>
      <c r="AW40" s="90" t="s">
        <v>29</v>
      </c>
    </row>
    <row r="41" spans="1:49" ht="10.5" hidden="1" outlineLevel="1" x14ac:dyDescent="0.2">
      <c r="G41" s="39" t="s">
        <v>4</v>
      </c>
      <c r="H41" s="39" t="s">
        <v>10</v>
      </c>
      <c r="I41" s="39" t="s">
        <v>8</v>
      </c>
      <c r="J41" s="39" t="s">
        <v>12</v>
      </c>
      <c r="K41" s="39" t="s">
        <v>21</v>
      </c>
      <c r="L41" s="39" t="s">
        <v>126</v>
      </c>
      <c r="M41" s="39" t="s">
        <v>63</v>
      </c>
      <c r="N41" s="1" t="s">
        <v>113</v>
      </c>
      <c r="O41" s="39" t="s">
        <v>154</v>
      </c>
      <c r="V41" s="39" t="s">
        <v>4</v>
      </c>
      <c r="W41" s="39" t="s">
        <v>23</v>
      </c>
      <c r="X41" s="39" t="s">
        <v>125</v>
      </c>
      <c r="Y41" s="39" t="s">
        <v>25</v>
      </c>
      <c r="Z41" s="39" t="s">
        <v>66</v>
      </c>
      <c r="AA41" s="39" t="s">
        <v>75</v>
      </c>
      <c r="AE41" s="95"/>
      <c r="AF41" s="9" t="s">
        <v>27</v>
      </c>
      <c r="AG41" s="10" t="s">
        <v>28</v>
      </c>
      <c r="AH41" s="89"/>
      <c r="AI41" s="91"/>
      <c r="AL41" s="95"/>
      <c r="AM41" s="9" t="s">
        <v>27</v>
      </c>
      <c r="AN41" s="10" t="s">
        <v>28</v>
      </c>
      <c r="AO41" s="89"/>
      <c r="AP41" s="91"/>
      <c r="AS41" s="95"/>
      <c r="AT41" s="9" t="s">
        <v>27</v>
      </c>
      <c r="AU41" s="10" t="s">
        <v>28</v>
      </c>
      <c r="AV41" s="89"/>
      <c r="AW41" s="91"/>
    </row>
    <row r="42" spans="1:49" hidden="1" outlineLevel="1" x14ac:dyDescent="0.2">
      <c r="A42" s="39" t="str">
        <f>INDEX(lookups!$E$5:$E$16,MATCH('01 Impacts'!$D42,lookups!$F$5:$F$16,0),1)</f>
        <v>Parts_CPP_CPP/RT_Conts_RCT_On-Peak</v>
      </c>
      <c r="B42" s="39" t="s">
        <v>155</v>
      </c>
      <c r="D42" s="39" t="str">
        <f t="shared" ref="D42:D53" si="36">E42&amp;"_"&amp;F42</f>
        <v>Parts_CPP/Conts_RCT_On-Peak</v>
      </c>
      <c r="E42" s="1" t="s">
        <v>117</v>
      </c>
      <c r="F42" s="39" t="s">
        <v>17</v>
      </c>
      <c r="G42" s="39">
        <f t="shared" ref="G42:G53" si="37">INDEX(G$7:G$18,MATCH($A42,$A$7:$A$18,0),1)*INDEX($AB$7:$AB$18,MATCH($A42,$A$7:$A$18,0),1)+INDEX(G$24:G$35, MATCH($A42,$A$24:$A$35,0),1)*INDEX($AB$24:$AB$35,MATCH($A42,$A$24:$A$35,0),1)</f>
        <v>0.21602673600045919</v>
      </c>
      <c r="H42" s="39">
        <f t="shared" ref="H42:H53" si="38">TDIST(ABS(G42/I42),$L42,2)</f>
        <v>3.0042118632048402E-3</v>
      </c>
      <c r="I42" s="39">
        <f>SQRT(INDEX($Q$7:$Q$18,MATCH($A42,$A$7:$A$18,0),1)+INDEX($Q$24:$Q$35,MATCH($A42,$A$24:$A$35,0),1))</f>
        <v>7.2802100559029151E-2</v>
      </c>
      <c r="J42" s="39">
        <f>(TINV(0.1,L42)*$I42)</f>
        <v>0.11974892071656069</v>
      </c>
      <c r="K42" s="39">
        <f t="shared" ref="K42:K53" si="39">INDEX(K$7:K$18,MATCH($A42,$A$7:$A$18,0),1)*INDEX($AB$7:$AB$18,MATCH($A42,$A$7:$A$18,0),1)+INDEX(K$24:K$35, MATCH($A42,$A$24:$A$35,0),1)*INDEX($AB$24:$AB$35,MATCH($A42,$A$24:$A$35,0),1)</f>
        <v>5.9615678400433278</v>
      </c>
      <c r="L42" s="39">
        <f>SUM(L24,L7)</f>
        <v>912580</v>
      </c>
      <c r="N42" s="39">
        <f>INDEX('r_in_409a Winter TOU Impacts'!$A$2:$R$29,MATCH('01 Impacts'!$D42,'r_in_409a Winter TOU Impacts'!$T$2:$T$29,0),MATCH('01 Impacts'!N$23,'r_in_409a Winter TOU Impacts'!$A$1:$R$1,0))*'01 Impacts'!N$5</f>
        <v>6</v>
      </c>
      <c r="S42" s="41">
        <f t="shared" ref="S42:S53" si="40">G42/(K42+G42)</f>
        <v>3.4969393562697272E-2</v>
      </c>
      <c r="T42" s="42"/>
      <c r="V42" s="43">
        <f t="shared" ref="V42:V53" si="41">IF($H42&gt;0.1,ROUND(G42,2)&amp;" (N/S)",G42)</f>
        <v>0.21602673600045919</v>
      </c>
      <c r="W42" s="44">
        <f t="shared" ref="W42:W53" si="42">IF($H42&gt;0.1,ROUND(S42*100,2)&amp;"% (N/S)",S42)</f>
        <v>3.4969393562697272E-2</v>
      </c>
      <c r="X42" s="54">
        <f t="shared" ref="X42:X53" si="43">H42</f>
        <v>3.0042118632048402E-3</v>
      </c>
      <c r="Y42" s="45">
        <f t="shared" ref="Y42:Y53" si="44">ABS(J42/G42)</f>
        <v>0.55432453840484897</v>
      </c>
      <c r="Z42" s="43">
        <f t="shared" ref="Z42:Z53" si="45">G42*M42</f>
        <v>0</v>
      </c>
      <c r="AA42" s="46">
        <f t="shared" ref="AA42:AA53" si="46">G42/N42</f>
        <v>3.6004456000076533E-2</v>
      </c>
      <c r="AB42" s="46"/>
      <c r="AE42" s="2" t="s">
        <v>17</v>
      </c>
      <c r="AF42" s="5">
        <f t="shared" ref="AF42:AI45" si="47">INDEX($V$42:$Y$53,MATCH(AF$38&amp;"_"&amp;$AE42,$D$42:$D$53,0),MATCH(AF$39,$V$41:$Y$41,0))</f>
        <v>0.21602673600045919</v>
      </c>
      <c r="AG42" s="11">
        <f t="shared" si="47"/>
        <v>3.4969393562697272E-2</v>
      </c>
      <c r="AH42" s="55">
        <f t="shared" si="47"/>
        <v>3.0042118632048402E-3</v>
      </c>
      <c r="AI42" s="7">
        <f t="shared" si="47"/>
        <v>0.55432453840484897</v>
      </c>
      <c r="AL42" s="2" t="s">
        <v>17</v>
      </c>
      <c r="AM42" s="5">
        <f t="shared" ref="AM42:AP45" si="48">INDEX($V$42:$Y$53,MATCH(AM$38&amp;"_"&amp;$AE42,$D$42:$D$53,0),MATCH(AM$39,$V$41:$Y$41,0))</f>
        <v>0.11575560243629267</v>
      </c>
      <c r="AN42" s="60">
        <f t="shared" si="48"/>
        <v>1.8598364766644077E-2</v>
      </c>
      <c r="AO42" s="55">
        <f t="shared" si="48"/>
        <v>6.7505710445846814E-2</v>
      </c>
      <c r="AP42" s="7">
        <f t="shared" si="48"/>
        <v>0.89966658076584449</v>
      </c>
      <c r="AS42" s="2" t="s">
        <v>17</v>
      </c>
      <c r="AT42" s="5">
        <f t="shared" ref="AT42:AW45" si="49">INDEX($V$42:$Y$53,MATCH(AT$38&amp;"_"&amp;$AE42,$D$42:$D$53,0),MATCH(AT$39,$V$41:$Y$41,0))</f>
        <v>0.20102026561887745</v>
      </c>
      <c r="AU42" s="60">
        <f t="shared" si="49"/>
        <v>3.3856704810692723E-2</v>
      </c>
      <c r="AV42" s="55">
        <f t="shared" si="49"/>
        <v>4.2422971697279018E-3</v>
      </c>
      <c r="AW42" s="7">
        <f t="shared" si="49"/>
        <v>0.57521150778009433</v>
      </c>
    </row>
    <row r="43" spans="1:49" hidden="1" outlineLevel="1" x14ac:dyDescent="0.2">
      <c r="A43" s="39" t="str">
        <f>INDEX(lookups!$E$5:$E$16,MATCH('01 Impacts'!$D43,lookups!$F$5:$F$16,0),1)</f>
        <v>Parts_CPP_CPP/RT_Conts_RCT_Mid-Peak</v>
      </c>
      <c r="D43" s="39" t="str">
        <f t="shared" si="36"/>
        <v>Parts_CPP/Conts_RCT_Mid-Peak</v>
      </c>
      <c r="E43" s="1" t="s">
        <v>117</v>
      </c>
      <c r="F43" s="39" t="s">
        <v>15</v>
      </c>
      <c r="G43" s="39">
        <f t="shared" si="37"/>
        <v>0.11765806558077763</v>
      </c>
      <c r="H43" s="39">
        <f t="shared" si="38"/>
        <v>9.0270585495965075E-2</v>
      </c>
      <c r="I43" s="39">
        <f t="shared" ref="I43:I53" si="50">SQRT(INDEX($Q$7:$Q$18,MATCH($A43,$A$7:$A$18,0),1)+INDEX($Q$24:$Q$35,MATCH($A43,$A$24:$A$35,0),1))</f>
        <v>6.9456835271962461E-2</v>
      </c>
      <c r="J43" s="39">
        <f t="shared" ref="J43:J53" si="51">(TINV(0.1,L43)*$I43)</f>
        <v>0.11424644339020931</v>
      </c>
      <c r="K43" s="39">
        <f t="shared" si="39"/>
        <v>5.626117319774206</v>
      </c>
      <c r="L43" s="39">
        <f t="shared" ref="L43:L53" si="52">SUM(L25,L8)</f>
        <v>912580</v>
      </c>
      <c r="N43" s="39">
        <f>INDEX('r_in_409a Winter TOU Impacts'!$A$2:$R$29,MATCH('01 Impacts'!$D43,'r_in_409a Winter TOU Impacts'!$T$2:$T$29,0),MATCH('01 Impacts'!N$23,'r_in_409a Winter TOU Impacts'!$A$1:$R$1,0))*'01 Impacts'!N$5</f>
        <v>6</v>
      </c>
      <c r="S43" s="41">
        <f t="shared" si="40"/>
        <v>2.0484447543121672E-2</v>
      </c>
      <c r="T43" s="42"/>
      <c r="V43" s="43">
        <f t="shared" si="41"/>
        <v>0.11765806558077763</v>
      </c>
      <c r="W43" s="44">
        <f t="shared" si="42"/>
        <v>2.0484447543121672E-2</v>
      </c>
      <c r="X43" s="54">
        <f t="shared" si="43"/>
        <v>9.0270585495965075E-2</v>
      </c>
      <c r="Y43" s="45">
        <f t="shared" si="44"/>
        <v>0.97100392417869497</v>
      </c>
      <c r="Z43" s="43">
        <f t="shared" si="45"/>
        <v>0</v>
      </c>
      <c r="AA43" s="46">
        <f t="shared" si="46"/>
        <v>1.9609677596796271E-2</v>
      </c>
      <c r="AB43" s="46"/>
      <c r="AE43" s="13" t="s">
        <v>15</v>
      </c>
      <c r="AF43" s="14">
        <f t="shared" si="47"/>
        <v>0.11765806558077763</v>
      </c>
      <c r="AG43" s="15">
        <f t="shared" si="47"/>
        <v>2.0484447543121672E-2</v>
      </c>
      <c r="AH43" s="56">
        <f t="shared" si="47"/>
        <v>9.0270585495965075E-2</v>
      </c>
      <c r="AI43" s="16">
        <f t="shared" si="47"/>
        <v>0.97100392417869497</v>
      </c>
      <c r="AL43" s="13" t="s">
        <v>15</v>
      </c>
      <c r="AM43" s="14" t="str">
        <f t="shared" si="48"/>
        <v>0.04 (N/S)</v>
      </c>
      <c r="AN43" s="15" t="str">
        <f t="shared" si="48"/>
        <v>0.62% (N/S)</v>
      </c>
      <c r="AO43" s="56">
        <f t="shared" si="48"/>
        <v>0.55359941662477596</v>
      </c>
      <c r="AP43" s="16">
        <f t="shared" si="48"/>
        <v>2.7767109487824264</v>
      </c>
      <c r="AS43" s="13" t="s">
        <v>15</v>
      </c>
      <c r="AT43" s="14" t="str">
        <f t="shared" si="49"/>
        <v>0.07 (N/S)</v>
      </c>
      <c r="AU43" s="15" t="str">
        <f t="shared" si="49"/>
        <v>1.28% (N/S)</v>
      </c>
      <c r="AV43" s="56">
        <f t="shared" si="49"/>
        <v>0.29255113545007005</v>
      </c>
      <c r="AW43" s="16">
        <f t="shared" si="49"/>
        <v>1.5627450987142444</v>
      </c>
    </row>
    <row r="44" spans="1:49" hidden="1" outlineLevel="1" x14ac:dyDescent="0.2">
      <c r="A44" s="39" t="str">
        <f>INDEX(lookups!$E$5:$E$16,MATCH('01 Impacts'!$D44,lookups!$F$5:$F$16,0),1)</f>
        <v>Parts_CPP_CPP/RT_Conts_RCT_Off-Peak</v>
      </c>
      <c r="D44" s="39" t="str">
        <f t="shared" si="36"/>
        <v>Parts_CPP/Conts_RCT_Off-Peak</v>
      </c>
      <c r="E44" s="1" t="s">
        <v>117</v>
      </c>
      <c r="F44" s="39" t="s">
        <v>16</v>
      </c>
      <c r="G44" s="39">
        <f t="shared" si="37"/>
        <v>-0.20942789328882827</v>
      </c>
      <c r="H44" s="39">
        <f t="shared" si="38"/>
        <v>0.11910331133024964</v>
      </c>
      <c r="I44" s="39">
        <f t="shared" si="50"/>
        <v>0.13437356241304352</v>
      </c>
      <c r="J44" s="39">
        <f t="shared" si="51"/>
        <v>0.22102506587367554</v>
      </c>
      <c r="K44" s="39">
        <f t="shared" si="39"/>
        <v>11.782635513309234</v>
      </c>
      <c r="L44" s="39">
        <f t="shared" si="52"/>
        <v>912580</v>
      </c>
      <c r="N44" s="39">
        <f>INDEX('r_in_409a Winter TOU Impacts'!$A$2:$R$29,MATCH('01 Impacts'!$D44,'r_in_409a Winter TOU Impacts'!$T$2:$T$29,0),MATCH('01 Impacts'!N$23,'r_in_409a Winter TOU Impacts'!$A$1:$R$1,0))*'01 Impacts'!N$5</f>
        <v>12</v>
      </c>
      <c r="S44" s="41">
        <f t="shared" si="40"/>
        <v>-1.8095924670576247E-2</v>
      </c>
      <c r="T44" s="42"/>
      <c r="V44" s="43" t="str">
        <f t="shared" si="41"/>
        <v>-0.21 (N/S)</v>
      </c>
      <c r="W44" s="44" t="str">
        <f t="shared" si="42"/>
        <v>-1.81% (N/S)</v>
      </c>
      <c r="X44" s="54">
        <f t="shared" si="43"/>
        <v>0.11910331133024964</v>
      </c>
      <c r="Y44" s="45">
        <f t="shared" si="44"/>
        <v>1.0553754917873011</v>
      </c>
      <c r="Z44" s="43">
        <f t="shared" si="45"/>
        <v>0</v>
      </c>
      <c r="AA44" s="46">
        <f t="shared" si="46"/>
        <v>-1.7452324440735689E-2</v>
      </c>
      <c r="AB44" s="46"/>
      <c r="AE44" s="3" t="s">
        <v>16</v>
      </c>
      <c r="AF44" s="6" t="str">
        <f t="shared" si="47"/>
        <v>-0.21 (N/S)</v>
      </c>
      <c r="AG44" s="12" t="str">
        <f t="shared" si="47"/>
        <v>-1.81% (N/S)</v>
      </c>
      <c r="AH44" s="57">
        <f t="shared" si="47"/>
        <v>0.11910331133024964</v>
      </c>
      <c r="AI44" s="8">
        <f t="shared" si="47"/>
        <v>1.0553754917873011</v>
      </c>
      <c r="AL44" s="3" t="s">
        <v>16</v>
      </c>
      <c r="AM44" s="6" t="str">
        <f t="shared" si="48"/>
        <v>-0.07 (N/S)</v>
      </c>
      <c r="AN44" s="12" t="str">
        <f t="shared" si="48"/>
        <v>-0.61% (N/S)</v>
      </c>
      <c r="AO44" s="57">
        <f t="shared" si="48"/>
        <v>0.53849413746262043</v>
      </c>
      <c r="AP44" s="8">
        <f t="shared" si="48"/>
        <v>2.6741612574529929</v>
      </c>
      <c r="AS44" s="3" t="s">
        <v>16</v>
      </c>
      <c r="AT44" s="6" t="str">
        <f t="shared" si="49"/>
        <v>-0.21 (N/S)</v>
      </c>
      <c r="AU44" s="12" t="str">
        <f t="shared" si="49"/>
        <v>-1.85% (N/S)</v>
      </c>
      <c r="AV44" s="57">
        <f t="shared" si="49"/>
        <v>0.11279356041431904</v>
      </c>
      <c r="AW44" s="8">
        <f t="shared" si="49"/>
        <v>1.0372646389755471</v>
      </c>
    </row>
    <row r="45" spans="1:49" hidden="1" outlineLevel="1" x14ac:dyDescent="0.2">
      <c r="A45" s="39" t="str">
        <f>INDEX(lookups!$E$5:$E$16,MATCH('01 Impacts'!$D45,lookups!$F$5:$F$16,0),1)</f>
        <v>Parts_CPP_CPP/RT_Conts_RCT_Weekend Off-Peak</v>
      </c>
      <c r="D45" s="39" t="str">
        <f t="shared" si="36"/>
        <v>Parts_CPP/Conts_RCT_Weekend Off-Peak</v>
      </c>
      <c r="E45" s="1" t="s">
        <v>117</v>
      </c>
      <c r="F45" s="39" t="s">
        <v>18</v>
      </c>
      <c r="G45" s="39">
        <f t="shared" si="37"/>
        <v>-0.15341996588134746</v>
      </c>
      <c r="H45" s="39">
        <f t="shared" si="38"/>
        <v>0.56292468380975302</v>
      </c>
      <c r="I45" s="39">
        <f t="shared" si="50"/>
        <v>0.26520165582387134</v>
      </c>
      <c r="J45" s="39">
        <f t="shared" si="51"/>
        <v>0.43621834827971467</v>
      </c>
      <c r="K45" s="39">
        <f t="shared" si="39"/>
        <v>26.45706805166698</v>
      </c>
      <c r="L45" s="39">
        <f t="shared" si="52"/>
        <v>912580</v>
      </c>
      <c r="N45" s="39">
        <f>INDEX('r_in_409a Winter TOU Impacts'!$A$2:$R$29,MATCH('01 Impacts'!$D45,'r_in_409a Winter TOU Impacts'!$T$2:$T$29,0),MATCH('01 Impacts'!N$23,'r_in_409a Winter TOU Impacts'!$A$1:$R$1,0))*'01 Impacts'!N$5</f>
        <v>24</v>
      </c>
      <c r="S45" s="41">
        <f t="shared" si="40"/>
        <v>-5.8326497290790208E-3</v>
      </c>
      <c r="T45" s="42"/>
      <c r="V45" s="43" t="str">
        <f t="shared" si="41"/>
        <v>-0.15 (N/S)</v>
      </c>
      <c r="W45" s="44" t="str">
        <f t="shared" si="42"/>
        <v>-0.58% (N/S)</v>
      </c>
      <c r="X45" s="54">
        <f t="shared" si="43"/>
        <v>0.56292468380975302</v>
      </c>
      <c r="Y45" s="45">
        <f t="shared" si="44"/>
        <v>2.8432958238113475</v>
      </c>
      <c r="Z45" s="43">
        <f t="shared" si="45"/>
        <v>0</v>
      </c>
      <c r="AA45" s="46">
        <f t="shared" si="46"/>
        <v>-6.3924985783894777E-3</v>
      </c>
      <c r="AB45" s="46"/>
      <c r="AE45" s="17" t="s">
        <v>18</v>
      </c>
      <c r="AF45" s="18" t="str">
        <f t="shared" si="47"/>
        <v>-0.15 (N/S)</v>
      </c>
      <c r="AG45" s="19" t="str">
        <f t="shared" si="47"/>
        <v>-0.58% (N/S)</v>
      </c>
      <c r="AH45" s="58">
        <f t="shared" si="47"/>
        <v>0.56292468380975302</v>
      </c>
      <c r="AI45" s="20">
        <f t="shared" si="47"/>
        <v>2.8432958238113475</v>
      </c>
      <c r="AL45" s="17" t="s">
        <v>18</v>
      </c>
      <c r="AM45" s="18" t="str">
        <f t="shared" si="48"/>
        <v>-0.17 (N/S)</v>
      </c>
      <c r="AN45" s="19" t="str">
        <f t="shared" si="48"/>
        <v>-0.64% (N/S)</v>
      </c>
      <c r="AO45" s="58">
        <f t="shared" si="48"/>
        <v>0.47096567259942135</v>
      </c>
      <c r="AP45" s="20">
        <f t="shared" si="48"/>
        <v>2.2816403537677541</v>
      </c>
      <c r="AS45" s="17" t="s">
        <v>18</v>
      </c>
      <c r="AT45" s="18" t="str">
        <f t="shared" si="49"/>
        <v>-0.15 (N/S)</v>
      </c>
      <c r="AU45" s="19" t="str">
        <f t="shared" si="49"/>
        <v>-0.58% (N/S)</v>
      </c>
      <c r="AV45" s="58">
        <f t="shared" si="49"/>
        <v>0.56400490242109036</v>
      </c>
      <c r="AW45" s="20">
        <f t="shared" si="49"/>
        <v>2.8511797843638185</v>
      </c>
    </row>
    <row r="46" spans="1:49" hidden="1" outlineLevel="1" x14ac:dyDescent="0.2">
      <c r="A46" s="39" t="str">
        <f>INDEX(lookups!$E$5:$E$16,MATCH('01 Impacts'!$D46,lookups!$F$5:$F$16,0),1)</f>
        <v>NO_CPP_EVENTS_Parts_CPP_CPP/RT_Conts_RCT_On-Peak</v>
      </c>
      <c r="D46" s="39" t="str">
        <f t="shared" si="36"/>
        <v>NO_CPP_EVENTS_Parts_CPP/Conts_RCT_On-Peak</v>
      </c>
      <c r="E46" s="39" t="s">
        <v>116</v>
      </c>
      <c r="F46" s="39" t="s">
        <v>17</v>
      </c>
      <c r="G46" s="39">
        <f t="shared" si="37"/>
        <v>0.20102026561887745</v>
      </c>
      <c r="H46" s="39">
        <f t="shared" si="38"/>
        <v>4.2422971697279018E-3</v>
      </c>
      <c r="I46" s="39">
        <f t="shared" si="50"/>
        <v>7.029748464796455E-2</v>
      </c>
      <c r="J46" s="39">
        <f t="shared" si="51"/>
        <v>0.11562917008098955</v>
      </c>
      <c r="K46" s="39">
        <f t="shared" si="39"/>
        <v>5.7363639760805878</v>
      </c>
      <c r="L46" s="39">
        <f t="shared" si="52"/>
        <v>1098688</v>
      </c>
      <c r="N46" s="39">
        <f>INDEX('r_in_409a Winter TOU Impacts'!$A$2:$R$29,MATCH('01 Impacts'!$D46,'r_in_409a Winter TOU Impacts'!$T$2:$T$29,0),MATCH('01 Impacts'!N$23,'r_in_409a Winter TOU Impacts'!$A$1:$R$1,0))*'01 Impacts'!N$5</f>
        <v>6</v>
      </c>
      <c r="S46" s="41">
        <f t="shared" si="40"/>
        <v>3.3856704810692723E-2</v>
      </c>
      <c r="T46" s="42"/>
      <c r="V46" s="43">
        <f t="shared" si="41"/>
        <v>0.20102026561887745</v>
      </c>
      <c r="W46" s="44">
        <f t="shared" si="42"/>
        <v>3.3856704810692723E-2</v>
      </c>
      <c r="X46" s="54">
        <f t="shared" si="43"/>
        <v>4.2422971697279018E-3</v>
      </c>
      <c r="Y46" s="45">
        <f t="shared" si="44"/>
        <v>0.57521150778009433</v>
      </c>
      <c r="Z46" s="43">
        <f t="shared" si="45"/>
        <v>0</v>
      </c>
      <c r="AA46" s="46">
        <f t="shared" si="46"/>
        <v>3.3503377603146242E-2</v>
      </c>
      <c r="AB46" s="46"/>
    </row>
    <row r="47" spans="1:49" hidden="1" outlineLevel="1" x14ac:dyDescent="0.2">
      <c r="A47" s="39" t="str">
        <f>INDEX(lookups!$E$5:$E$16,MATCH('01 Impacts'!$D47,lookups!$F$5:$F$16,0),1)</f>
        <v>NO_CPP_EVENTS_Parts_CPP_CPP/RT_Conts_RCT_Mid-Peak</v>
      </c>
      <c r="D47" s="39" t="str">
        <f t="shared" si="36"/>
        <v>NO_CPP_EVENTS_Parts_CPP/Conts_RCT_Mid-Peak</v>
      </c>
      <c r="E47" s="39" t="s">
        <v>116</v>
      </c>
      <c r="F47" s="39" t="s">
        <v>15</v>
      </c>
      <c r="G47" s="39">
        <f t="shared" si="37"/>
        <v>7.1117151827615369E-2</v>
      </c>
      <c r="H47" s="39">
        <f t="shared" si="38"/>
        <v>0.29255113545007005</v>
      </c>
      <c r="I47" s="39">
        <f t="shared" si="50"/>
        <v>6.756703753245788E-2</v>
      </c>
      <c r="J47" s="39">
        <f t="shared" si="51"/>
        <v>0.11113798045312269</v>
      </c>
      <c r="K47" s="39">
        <f t="shared" si="39"/>
        <v>5.5052318058229908</v>
      </c>
      <c r="L47" s="39">
        <f t="shared" si="52"/>
        <v>1098688</v>
      </c>
      <c r="N47" s="39">
        <f>INDEX('r_in_409a Winter TOU Impacts'!$A$2:$R$29,MATCH('01 Impacts'!$D47,'r_in_409a Winter TOU Impacts'!$T$2:$T$29,0),MATCH('01 Impacts'!N$23,'r_in_409a Winter TOU Impacts'!$A$1:$R$1,0))*'01 Impacts'!N$5</f>
        <v>6</v>
      </c>
      <c r="S47" s="41">
        <f t="shared" si="40"/>
        <v>1.2753353918076537E-2</v>
      </c>
      <c r="T47" s="42"/>
      <c r="V47" s="43" t="str">
        <f t="shared" si="41"/>
        <v>0.07 (N/S)</v>
      </c>
      <c r="W47" s="44" t="str">
        <f t="shared" si="42"/>
        <v>1.28% (N/S)</v>
      </c>
      <c r="X47" s="54">
        <f t="shared" si="43"/>
        <v>0.29255113545007005</v>
      </c>
      <c r="Y47" s="45">
        <f t="shared" si="44"/>
        <v>1.5627450987142444</v>
      </c>
      <c r="Z47" s="43">
        <f t="shared" si="45"/>
        <v>0</v>
      </c>
      <c r="AA47" s="46">
        <f t="shared" si="46"/>
        <v>1.1852858637935894E-2</v>
      </c>
      <c r="AB47" s="46"/>
      <c r="AE47" s="39" t="s">
        <v>65</v>
      </c>
      <c r="AF47" s="39" t="s">
        <v>66</v>
      </c>
      <c r="AL47" s="39" t="s">
        <v>65</v>
      </c>
      <c r="AM47" s="39" t="s">
        <v>66</v>
      </c>
      <c r="AS47" s="39" t="s">
        <v>65</v>
      </c>
      <c r="AT47" s="39" t="s">
        <v>66</v>
      </c>
    </row>
    <row r="48" spans="1:49" hidden="1" outlineLevel="1" x14ac:dyDescent="0.2">
      <c r="A48" s="39" t="str">
        <f>INDEX(lookups!$E$5:$E$16,MATCH('01 Impacts'!$D48,lookups!$F$5:$F$16,0),1)</f>
        <v>NO_CPP_EVENTS_Parts_CPP_CPP/RT_Conts_RCT_Off-Peak</v>
      </c>
      <c r="D48" s="39" t="str">
        <f t="shared" si="36"/>
        <v>NO_CPP_EVENTS_Parts_CPP/Conts_RCT_Off-Peak</v>
      </c>
      <c r="E48" s="39" t="s">
        <v>116</v>
      </c>
      <c r="F48" s="39" t="s">
        <v>16</v>
      </c>
      <c r="G48" s="39">
        <f t="shared" si="37"/>
        <v>-0.20761852978177825</v>
      </c>
      <c r="H48" s="39">
        <f t="shared" si="38"/>
        <v>0.11279356041431904</v>
      </c>
      <c r="I48" s="39">
        <f t="shared" si="50"/>
        <v>0.13092665160847886</v>
      </c>
      <c r="J48" s="39">
        <f t="shared" si="51"/>
        <v>0.21535535933873007</v>
      </c>
      <c r="K48" s="39">
        <f t="shared" si="39"/>
        <v>11.432129229945961</v>
      </c>
      <c r="L48" s="39">
        <f t="shared" si="52"/>
        <v>1098688</v>
      </c>
      <c r="N48" s="39">
        <f>INDEX('r_in_409a Winter TOU Impacts'!$A$2:$R$29,MATCH('01 Impacts'!$D48,'r_in_409a Winter TOU Impacts'!$T$2:$T$29,0),MATCH('01 Impacts'!N$23,'r_in_409a Winter TOU Impacts'!$A$1:$R$1,0))*'01 Impacts'!N$5</f>
        <v>12</v>
      </c>
      <c r="S48" s="41">
        <f t="shared" si="40"/>
        <v>-1.8496889114172379E-2</v>
      </c>
      <c r="T48" s="42"/>
      <c r="V48" s="43" t="str">
        <f t="shared" si="41"/>
        <v>-0.21 (N/S)</v>
      </c>
      <c r="W48" s="44" t="str">
        <f t="shared" si="42"/>
        <v>-1.85% (N/S)</v>
      </c>
      <c r="X48" s="54">
        <f t="shared" si="43"/>
        <v>0.11279356041431904</v>
      </c>
      <c r="Y48" s="45">
        <f t="shared" si="44"/>
        <v>1.0372646389755471</v>
      </c>
      <c r="Z48" s="43">
        <f t="shared" si="45"/>
        <v>0</v>
      </c>
      <c r="AA48" s="46">
        <f t="shared" si="46"/>
        <v>-1.7301544148481521E-2</v>
      </c>
      <c r="AB48" s="46"/>
      <c r="AE48" s="39" t="s">
        <v>17</v>
      </c>
      <c r="AF48" s="39">
        <f>INDEX($V$24:$Z$35,MATCH(AF$20&amp;"_"&amp;$AE48,$D$24:$D$35,0),MATCH(AF$29,$V$23:$Z$23,0))</f>
        <v>12.863112401602224</v>
      </c>
      <c r="AL48" s="39" t="s">
        <v>17</v>
      </c>
      <c r="AM48" s="39">
        <f>INDEX($V$24:$Z$35,MATCH(AM$20&amp;"_"&amp;$AE48,$D$24:$D$35,0),MATCH(AM$29,$V$23:$Z$23,0))</f>
        <v>9.288062714176089</v>
      </c>
      <c r="AS48" s="39" t="s">
        <v>17</v>
      </c>
      <c r="AT48" s="39">
        <f>INDEX($V$24:$Z$35,MATCH(AT$20&amp;"_"&amp;$AE48,$D$24:$D$35,0),MATCH(AT$29,$V$23:$Z$23,0))</f>
        <v>12.716697383203755</v>
      </c>
    </row>
    <row r="49" spans="1:46" hidden="1" outlineLevel="1" x14ac:dyDescent="0.2">
      <c r="A49" s="39" t="str">
        <f>INDEX(lookups!$E$5:$E$16,MATCH('01 Impacts'!$D49,lookups!$F$5:$F$16,0),1)</f>
        <v>NO_CPP_EVENTS_Parts_CPP_CPP/RT_Conts_RCT_Weekend Off-Peak</v>
      </c>
      <c r="D49" s="39" t="str">
        <f t="shared" si="36"/>
        <v>NO_CPP_EVENTS_Parts_CPP/Conts_RCT_Weekend Off-Peak</v>
      </c>
      <c r="E49" s="39" t="s">
        <v>116</v>
      </c>
      <c r="F49" s="39" t="s">
        <v>18</v>
      </c>
      <c r="G49" s="39">
        <f t="shared" si="37"/>
        <v>-0.15301346658028778</v>
      </c>
      <c r="H49" s="39">
        <f t="shared" si="38"/>
        <v>0.56400490242109036</v>
      </c>
      <c r="I49" s="39">
        <f t="shared" si="50"/>
        <v>0.26523243628646276</v>
      </c>
      <c r="J49" s="39">
        <f t="shared" si="51"/>
        <v>0.43626890264914525</v>
      </c>
      <c r="K49" s="39">
        <f t="shared" si="39"/>
        <v>26.459421328815758</v>
      </c>
      <c r="L49" s="39">
        <f t="shared" si="52"/>
        <v>1098688</v>
      </c>
      <c r="N49" s="39">
        <f>INDEX('r_in_409a Winter TOU Impacts'!$A$2:$R$29,MATCH('01 Impacts'!$D49,'r_in_409a Winter TOU Impacts'!$T$2:$T$29,0),MATCH('01 Impacts'!N$23,'r_in_409a Winter TOU Impacts'!$A$1:$R$1,0))*'01 Impacts'!N$5</f>
        <v>24</v>
      </c>
      <c r="S49" s="41">
        <f t="shared" si="40"/>
        <v>-5.8165853499119648E-3</v>
      </c>
      <c r="T49" s="42"/>
      <c r="V49" s="43" t="str">
        <f t="shared" si="41"/>
        <v>-0.15 (N/S)</v>
      </c>
      <c r="W49" s="44" t="str">
        <f t="shared" si="42"/>
        <v>-0.58% (N/S)</v>
      </c>
      <c r="X49" s="54">
        <f t="shared" si="43"/>
        <v>0.56400490242109036</v>
      </c>
      <c r="Y49" s="45">
        <f t="shared" si="44"/>
        <v>2.8511797843638185</v>
      </c>
      <c r="Z49" s="43">
        <f t="shared" si="45"/>
        <v>0</v>
      </c>
      <c r="AA49" s="46">
        <f t="shared" si="46"/>
        <v>-6.3755611075119907E-3</v>
      </c>
      <c r="AB49" s="46"/>
      <c r="AE49" s="39" t="s">
        <v>15</v>
      </c>
      <c r="AF49" s="39">
        <f>INDEX($V$24:$Z$35,MATCH(AF$20&amp;"_"&amp;$AE49,$D$24:$D$35,0),MATCH(AF$29,$V$23:$Z$23,0))</f>
        <v>-5.8779422415926685</v>
      </c>
      <c r="AL49" s="39" t="s">
        <v>15</v>
      </c>
      <c r="AM49" s="39">
        <f>INDEX($V$24:$Z$35,MATCH(AM$20&amp;"_"&amp;$AE49,$D$24:$D$35,0),MATCH(AM$29,$V$23:$Z$23,0))</f>
        <v>5.5830919239837886</v>
      </c>
      <c r="AS49" s="39" t="s">
        <v>15</v>
      </c>
      <c r="AT49" s="39">
        <f>INDEX($V$24:$Z$35,MATCH(AT$20&amp;"_"&amp;$AE49,$D$24:$D$35,0),MATCH(AT$29,$V$23:$Z$23,0))</f>
        <v>-4.3759759284057651</v>
      </c>
    </row>
    <row r="50" spans="1:46" hidden="1" outlineLevel="1" x14ac:dyDescent="0.2">
      <c r="A50" s="39" t="str">
        <f>INDEX(lookups!$E$5:$E$16,MATCH('01 Impacts'!$D50,lookups!$F$5:$F$16,0),1)</f>
        <v>Parts_RT_Conts_RCT_On-Peak</v>
      </c>
      <c r="D50" s="39" t="str">
        <f t="shared" si="36"/>
        <v>Parts_RT_Conts_RCT_On-Peak</v>
      </c>
      <c r="E50" s="39" t="s">
        <v>19</v>
      </c>
      <c r="F50" s="39" t="s">
        <v>17</v>
      </c>
      <c r="G50" s="39">
        <f t="shared" si="37"/>
        <v>0.11575560243629267</v>
      </c>
      <c r="H50" s="59">
        <f t="shared" si="38"/>
        <v>6.7505710445846814E-2</v>
      </c>
      <c r="I50" s="39">
        <f t="shared" si="50"/>
        <v>6.3313450845695715E-2</v>
      </c>
      <c r="J50" s="39">
        <f t="shared" si="51"/>
        <v>0.10414144704834988</v>
      </c>
      <c r="K50" s="39">
        <f t="shared" si="39"/>
        <v>6.1082110682195498</v>
      </c>
      <c r="L50" s="39">
        <f t="shared" si="52"/>
        <v>1098912</v>
      </c>
      <c r="N50" s="39">
        <f>INDEX('r_in_409a Winter TOU Impacts'!$A$2:$R$29,MATCH('01 Impacts'!$D50,'r_in_409a Winter TOU Impacts'!$T$2:$T$29,0),MATCH('01 Impacts'!N$23,'r_in_409a Winter TOU Impacts'!$A$1:$R$1,0))*'01 Impacts'!N$5</f>
        <v>6</v>
      </c>
      <c r="S50" s="41">
        <f t="shared" si="40"/>
        <v>1.8598364766644077E-2</v>
      </c>
      <c r="T50" s="42"/>
      <c r="V50" s="43">
        <f t="shared" si="41"/>
        <v>0.11575560243629267</v>
      </c>
      <c r="W50" s="44">
        <f t="shared" si="42"/>
        <v>1.8598364766644077E-2</v>
      </c>
      <c r="X50" s="54">
        <f t="shared" si="43"/>
        <v>6.7505710445846814E-2</v>
      </c>
      <c r="Y50" s="45">
        <f t="shared" si="44"/>
        <v>0.89966658076584449</v>
      </c>
      <c r="Z50" s="43">
        <f t="shared" si="45"/>
        <v>0</v>
      </c>
      <c r="AA50" s="46">
        <f t="shared" si="46"/>
        <v>1.9292600406048778E-2</v>
      </c>
      <c r="AB50" s="46"/>
      <c r="AE50" s="39" t="s">
        <v>16</v>
      </c>
      <c r="AF50" s="39">
        <f>INDEX($V$24:$Z$35,MATCH(AF$20&amp;"_"&amp;$AE50,$D$24:$D$35,0),MATCH(AF$29,$V$23:$Z$23,0))</f>
        <v>-23.244396718312423</v>
      </c>
      <c r="AL50" s="39" t="s">
        <v>16</v>
      </c>
      <c r="AM50" s="39">
        <f>INDEX($V$24:$Z$35,MATCH(AM$20&amp;"_"&amp;$AE50,$D$24:$D$35,0),MATCH(AM$29,$V$23:$Z$23,0))</f>
        <v>7.304112455149296</v>
      </c>
      <c r="AS50" s="39" t="s">
        <v>16</v>
      </c>
      <c r="AT50" s="39">
        <f>INDEX($V$24:$Z$35,MATCH(AT$20&amp;"_"&amp;$AE50,$D$24:$D$35,0),MATCH(AT$29,$V$23:$Z$23,0))</f>
        <v>-23.606239559989664</v>
      </c>
    </row>
    <row r="51" spans="1:46" hidden="1" outlineLevel="1" x14ac:dyDescent="0.2">
      <c r="A51" s="39" t="str">
        <f>INDEX(lookups!$E$5:$E$16,MATCH('01 Impacts'!$D51,lookups!$F$5:$F$16,0),1)</f>
        <v>Parts_RT_Conts_RCT_Mid-Peak</v>
      </c>
      <c r="D51" s="39" t="str">
        <f t="shared" si="36"/>
        <v>Parts_RT_Conts_RCT_Mid-Peak</v>
      </c>
      <c r="E51" s="39" t="s">
        <v>19</v>
      </c>
      <c r="F51" s="39" t="s">
        <v>15</v>
      </c>
      <c r="G51" s="39">
        <f t="shared" si="37"/>
        <v>3.5888151852997409E-2</v>
      </c>
      <c r="H51" s="39">
        <f t="shared" si="38"/>
        <v>0.55359941662477596</v>
      </c>
      <c r="I51" s="39">
        <f t="shared" si="50"/>
        <v>6.0583469887137517E-2</v>
      </c>
      <c r="J51" s="39">
        <f t="shared" si="51"/>
        <v>9.9651024181784231E-2</v>
      </c>
      <c r="K51" s="39">
        <f t="shared" si="39"/>
        <v>5.7563059620014982</v>
      </c>
      <c r="L51" s="39">
        <f t="shared" si="52"/>
        <v>1098912</v>
      </c>
      <c r="N51" s="39">
        <f>INDEX('r_in_409a Winter TOU Impacts'!$A$2:$R$29,MATCH('01 Impacts'!$D51,'r_in_409a Winter TOU Impacts'!$T$2:$T$29,0),MATCH('01 Impacts'!N$23,'r_in_409a Winter TOU Impacts'!$A$1:$R$1,0))*'01 Impacts'!N$5</f>
        <v>6</v>
      </c>
      <c r="S51" s="41">
        <f t="shared" si="40"/>
        <v>6.195951162471511E-3</v>
      </c>
      <c r="T51" s="42"/>
      <c r="V51" s="43" t="str">
        <f t="shared" si="41"/>
        <v>0.04 (N/S)</v>
      </c>
      <c r="W51" s="44" t="str">
        <f t="shared" si="42"/>
        <v>0.62% (N/S)</v>
      </c>
      <c r="X51" s="54">
        <f t="shared" si="43"/>
        <v>0.55359941662477596</v>
      </c>
      <c r="Y51" s="45">
        <f t="shared" si="44"/>
        <v>2.7767109487824264</v>
      </c>
      <c r="Z51" s="43">
        <f t="shared" si="45"/>
        <v>0</v>
      </c>
      <c r="AA51" s="46">
        <f t="shared" si="46"/>
        <v>5.9813586421662351E-3</v>
      </c>
      <c r="AB51" s="46"/>
      <c r="AE51" s="39" t="s">
        <v>18</v>
      </c>
      <c r="AF51" s="39">
        <f>INDEX($V$24:$Z$35,MATCH(AF$20&amp;"_"&amp;$AE51,$D$24:$D$35,0),MATCH(AF$29,$V$23:$Z$23,0))</f>
        <v>-22.655514292408242</v>
      </c>
      <c r="AL51" s="39" t="s">
        <v>18</v>
      </c>
      <c r="AM51" s="39">
        <f>INDEX($V$24:$Z$35,MATCH(AM$20&amp;"_"&amp;$AE51,$D$24:$D$35,0),MATCH(AM$29,$V$23:$Z$23,0))</f>
        <v>-10.728090943094019</v>
      </c>
      <c r="AS51" s="39" t="s">
        <v>18</v>
      </c>
      <c r="AT51" s="39">
        <f>INDEX($V$24:$Z$35,MATCH(AT$20&amp;"_"&amp;$AE51,$D$24:$D$35,0),MATCH(AT$29,$V$23:$Z$23,0))</f>
        <v>-22.655514292408185</v>
      </c>
    </row>
    <row r="52" spans="1:46" hidden="1" outlineLevel="1" x14ac:dyDescent="0.2">
      <c r="A52" s="39" t="str">
        <f>INDEX(lookups!$E$5:$E$16,MATCH('01 Impacts'!$D52,lookups!$F$5:$F$16,0),1)</f>
        <v>Parts_RT_Conts_RCT_Off-Peak</v>
      </c>
      <c r="D52" s="39" t="str">
        <f t="shared" si="36"/>
        <v>Parts_RT_Conts_RCT_Off-Peak</v>
      </c>
      <c r="E52" s="39" t="s">
        <v>19</v>
      </c>
      <c r="F52" s="39" t="s">
        <v>16</v>
      </c>
      <c r="G52" s="39">
        <f t="shared" si="37"/>
        <v>-6.9951383741805651E-2</v>
      </c>
      <c r="H52" s="39">
        <f t="shared" si="38"/>
        <v>0.53849413746262043</v>
      </c>
      <c r="I52" s="39">
        <f t="shared" si="50"/>
        <v>0.1137250874801774</v>
      </c>
      <c r="J52" s="39">
        <f t="shared" si="51"/>
        <v>0.18706128030756386</v>
      </c>
      <c r="K52" s="39">
        <f t="shared" si="39"/>
        <v>11.577079237502028</v>
      </c>
      <c r="L52" s="39">
        <f t="shared" si="52"/>
        <v>1098912</v>
      </c>
      <c r="N52" s="39">
        <f>INDEX('r_in_409a Winter TOU Impacts'!$A$2:$R$29,MATCH('01 Impacts'!$D52,'r_in_409a Winter TOU Impacts'!$T$2:$T$29,0),MATCH('01 Impacts'!N$23,'r_in_409a Winter TOU Impacts'!$A$1:$R$1,0))*'01 Impacts'!N$5</f>
        <v>12</v>
      </c>
      <c r="S52" s="41">
        <f t="shared" si="40"/>
        <v>-6.078961199596597E-3</v>
      </c>
      <c r="T52" s="42"/>
      <c r="V52" s="43" t="str">
        <f t="shared" si="41"/>
        <v>-0.07 (N/S)</v>
      </c>
      <c r="W52" s="44" t="str">
        <f t="shared" si="42"/>
        <v>-0.61% (N/S)</v>
      </c>
      <c r="X52" s="54">
        <f t="shared" si="43"/>
        <v>0.53849413746262043</v>
      </c>
      <c r="Y52" s="45">
        <f t="shared" si="44"/>
        <v>2.6741612574529929</v>
      </c>
      <c r="Z52" s="43">
        <f t="shared" si="45"/>
        <v>0</v>
      </c>
      <c r="AA52" s="46">
        <f t="shared" si="46"/>
        <v>-5.8292819784838039E-3</v>
      </c>
      <c r="AB52" s="46"/>
    </row>
    <row r="53" spans="1:46" hidden="1" outlineLevel="1" x14ac:dyDescent="0.2">
      <c r="A53" s="39" t="str">
        <f>INDEX(lookups!$E$5:$E$16,MATCH('01 Impacts'!$D53,lookups!$F$5:$F$16,0),1)</f>
        <v>Parts_RT_Conts_RCT_Weekend Off-Peak</v>
      </c>
      <c r="D53" s="39" t="str">
        <f t="shared" si="36"/>
        <v>Parts_RT_Conts_RCT_Weekend Off-Peak</v>
      </c>
      <c r="E53" s="39" t="s">
        <v>19</v>
      </c>
      <c r="F53" s="39" t="s">
        <v>18</v>
      </c>
      <c r="G53" s="39">
        <f t="shared" si="37"/>
        <v>-0.16827615424100523</v>
      </c>
      <c r="H53" s="39">
        <f t="shared" si="38"/>
        <v>0.47096567259942135</v>
      </c>
      <c r="I53" s="39">
        <f t="shared" si="50"/>
        <v>0.23342219279603529</v>
      </c>
      <c r="J53" s="39">
        <f t="shared" si="51"/>
        <v>0.38394566409312431</v>
      </c>
      <c r="K53" s="39">
        <f t="shared" si="39"/>
        <v>26.420080266996436</v>
      </c>
      <c r="L53" s="39">
        <f t="shared" si="52"/>
        <v>1098912</v>
      </c>
      <c r="N53" s="39">
        <f>INDEX('r_in_409a Winter TOU Impacts'!$A$2:$R$29,MATCH('01 Impacts'!$D53,'r_in_409a Winter TOU Impacts'!$T$2:$T$29,0),MATCH('01 Impacts'!N$23,'r_in_409a Winter TOU Impacts'!$A$1:$R$1,0))*'01 Impacts'!N$5</f>
        <v>24</v>
      </c>
      <c r="S53" s="41">
        <f t="shared" si="40"/>
        <v>-6.4100796089378827E-3</v>
      </c>
      <c r="T53" s="42"/>
      <c r="V53" s="43" t="str">
        <f t="shared" si="41"/>
        <v>-0.17 (N/S)</v>
      </c>
      <c r="W53" s="44" t="str">
        <f t="shared" si="42"/>
        <v>-0.64% (N/S)</v>
      </c>
      <c r="X53" s="54">
        <f t="shared" si="43"/>
        <v>0.47096567259942135</v>
      </c>
      <c r="Y53" s="45">
        <f t="shared" si="44"/>
        <v>2.2816403537677541</v>
      </c>
      <c r="Z53" s="43">
        <f t="shared" si="45"/>
        <v>0</v>
      </c>
      <c r="AA53" s="46">
        <f t="shared" si="46"/>
        <v>-7.0115064267085511E-3</v>
      </c>
      <c r="AB53" s="46"/>
    </row>
    <row r="54" spans="1:46" collapsed="1" x14ac:dyDescent="0.2">
      <c r="S54" s="41"/>
    </row>
  </sheetData>
  <mergeCells count="36">
    <mergeCell ref="AS22:AS23"/>
    <mergeCell ref="AT22:AU22"/>
    <mergeCell ref="AW22:AW23"/>
    <mergeCell ref="AE22:AE23"/>
    <mergeCell ref="AF22:AG22"/>
    <mergeCell ref="AI22:AI23"/>
    <mergeCell ref="AL22:AL23"/>
    <mergeCell ref="AM22:AN22"/>
    <mergeCell ref="AP22:AP23"/>
    <mergeCell ref="AH22:AH23"/>
    <mergeCell ref="AO22:AO23"/>
    <mergeCell ref="AV22:AV23"/>
    <mergeCell ref="AT5:AU5"/>
    <mergeCell ref="AW5:AW6"/>
    <mergeCell ref="AI5:AI6"/>
    <mergeCell ref="AF5:AG5"/>
    <mergeCell ref="AE5:AE6"/>
    <mergeCell ref="AL5:AL6"/>
    <mergeCell ref="AM5:AN5"/>
    <mergeCell ref="AP5:AP6"/>
    <mergeCell ref="AS5:AS6"/>
    <mergeCell ref="AH5:AH6"/>
    <mergeCell ref="AO5:AO6"/>
    <mergeCell ref="AV5:AV6"/>
    <mergeCell ref="AE40:AE41"/>
    <mergeCell ref="AF40:AG40"/>
    <mergeCell ref="AH40:AH41"/>
    <mergeCell ref="AI40:AI41"/>
    <mergeCell ref="AL40:AL41"/>
    <mergeCell ref="AV40:AV41"/>
    <mergeCell ref="AW40:AW41"/>
    <mergeCell ref="AM40:AN40"/>
    <mergeCell ref="AO40:AO41"/>
    <mergeCell ref="AP40:AP41"/>
    <mergeCell ref="AS40:AS41"/>
    <mergeCell ref="AT40:AU4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35D53-B4E9-4D20-B63D-0D9F8116BD12}">
  <sheetPr>
    <tabColor theme="5"/>
  </sheetPr>
  <dimension ref="A2:V28"/>
  <sheetViews>
    <sheetView workbookViewId="0">
      <selection activeCell="O25" sqref="O25"/>
    </sheetView>
  </sheetViews>
  <sheetFormatPr defaultRowHeight="10" outlineLevelCol="1" x14ac:dyDescent="0.2"/>
  <cols>
    <col min="1" max="2" width="8.88671875" style="39"/>
    <col min="3" max="7" width="8.88671875" style="39" hidden="1" customWidth="1" outlineLevel="1"/>
    <col min="8" max="8" width="8" style="39" hidden="1" customWidth="1" outlineLevel="1"/>
    <col min="9" max="9" width="8.88671875" style="39" collapsed="1"/>
    <col min="10" max="10" width="16.88671875" style="39" customWidth="1"/>
    <col min="11" max="14" width="13.5546875" style="39" customWidth="1"/>
    <col min="15" max="15" width="8.88671875" style="39"/>
    <col min="16" max="16" width="16.88671875" style="39" customWidth="1"/>
    <col min="17" max="20" width="13.5546875" style="39" customWidth="1"/>
    <col min="21" max="16384" width="8.88671875" style="39"/>
  </cols>
  <sheetData>
    <row r="2" spans="1:22" ht="14" x14ac:dyDescent="0.3">
      <c r="A2" s="47" t="s">
        <v>13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4" spans="1:22" x14ac:dyDescent="0.2">
      <c r="E4" s="39">
        <v>0</v>
      </c>
      <c r="F4" s="39">
        <v>0</v>
      </c>
      <c r="G4" s="39">
        <v>1</v>
      </c>
      <c r="H4" s="39">
        <v>1</v>
      </c>
      <c r="K4" s="39">
        <v>0</v>
      </c>
      <c r="L4" s="39">
        <v>0</v>
      </c>
      <c r="M4" s="39">
        <v>1</v>
      </c>
      <c r="N4" s="39">
        <v>1</v>
      </c>
      <c r="Q4" s="39">
        <v>0</v>
      </c>
      <c r="R4" s="39">
        <v>0</v>
      </c>
      <c r="S4" s="39">
        <v>1</v>
      </c>
      <c r="T4" s="39">
        <v>1</v>
      </c>
    </row>
    <row r="5" spans="1:22" x14ac:dyDescent="0.2">
      <c r="E5" s="39" t="s">
        <v>38</v>
      </c>
      <c r="F5" s="39" t="s">
        <v>38</v>
      </c>
      <c r="G5" s="39" t="s">
        <v>38</v>
      </c>
      <c r="H5" s="39" t="s">
        <v>38</v>
      </c>
      <c r="K5" s="39" t="s">
        <v>47</v>
      </c>
      <c r="L5" s="39" t="s">
        <v>47</v>
      </c>
      <c r="M5" s="39" t="s">
        <v>47</v>
      </c>
      <c r="N5" s="39" t="s">
        <v>47</v>
      </c>
      <c r="Q5" s="39" t="s">
        <v>38</v>
      </c>
      <c r="R5" s="39" t="s">
        <v>38</v>
      </c>
      <c r="S5" s="39" t="s">
        <v>38</v>
      </c>
      <c r="T5" s="39" t="s">
        <v>38</v>
      </c>
    </row>
    <row r="6" spans="1:22" x14ac:dyDescent="0.2">
      <c r="E6" s="39" t="s">
        <v>14</v>
      </c>
      <c r="F6" s="39" t="s">
        <v>14</v>
      </c>
      <c r="G6" s="39" t="s">
        <v>14</v>
      </c>
      <c r="H6" s="39" t="s">
        <v>14</v>
      </c>
      <c r="K6" s="39" t="s">
        <v>19</v>
      </c>
      <c r="L6" s="39" t="s">
        <v>19</v>
      </c>
      <c r="M6" s="39" t="s">
        <v>19</v>
      </c>
      <c r="N6" s="39" t="s">
        <v>19</v>
      </c>
      <c r="Q6" s="39" t="s">
        <v>20</v>
      </c>
      <c r="R6" s="39" t="s">
        <v>20</v>
      </c>
      <c r="S6" s="39" t="s">
        <v>20</v>
      </c>
      <c r="T6" s="39" t="s">
        <v>20</v>
      </c>
    </row>
    <row r="7" spans="1:22" x14ac:dyDescent="0.2">
      <c r="E7" s="39" t="s">
        <v>31</v>
      </c>
      <c r="F7" s="39" t="s">
        <v>10</v>
      </c>
      <c r="G7" s="39" t="s">
        <v>31</v>
      </c>
      <c r="H7" s="39" t="s">
        <v>10</v>
      </c>
      <c r="K7" s="39" t="s">
        <v>31</v>
      </c>
      <c r="L7" s="39" t="s">
        <v>10</v>
      </c>
      <c r="M7" s="39" t="s">
        <v>31</v>
      </c>
      <c r="N7" s="39" t="s">
        <v>10</v>
      </c>
      <c r="Q7" s="39" t="s">
        <v>31</v>
      </c>
      <c r="R7" s="39" t="s">
        <v>10</v>
      </c>
      <c r="S7" s="39" t="s">
        <v>31</v>
      </c>
      <c r="T7" s="39" t="s">
        <v>10</v>
      </c>
    </row>
    <row r="8" spans="1:22" x14ac:dyDescent="0.2">
      <c r="J8" s="27"/>
      <c r="K8" s="96" t="s">
        <v>57</v>
      </c>
      <c r="L8" s="97"/>
      <c r="M8" s="96" t="s">
        <v>58</v>
      </c>
      <c r="N8" s="97"/>
      <c r="P8" s="27"/>
      <c r="Q8" s="96" t="s">
        <v>57</v>
      </c>
      <c r="R8" s="97"/>
      <c r="S8" s="96" t="s">
        <v>58</v>
      </c>
      <c r="T8" s="97"/>
    </row>
    <row r="9" spans="1:22" x14ac:dyDescent="0.2">
      <c r="J9" s="28"/>
      <c r="K9" s="24" t="s">
        <v>59</v>
      </c>
      <c r="L9" s="25" t="s">
        <v>60</v>
      </c>
      <c r="M9" s="26" t="s">
        <v>59</v>
      </c>
      <c r="N9" s="25" t="s">
        <v>60</v>
      </c>
      <c r="P9" s="28"/>
      <c r="Q9" s="24" t="s">
        <v>59</v>
      </c>
      <c r="R9" s="25" t="s">
        <v>60</v>
      </c>
      <c r="S9" s="26" t="s">
        <v>59</v>
      </c>
      <c r="T9" s="25" t="s">
        <v>60</v>
      </c>
    </row>
    <row r="10" spans="1:22" x14ac:dyDescent="0.2">
      <c r="D10" s="39" t="s">
        <v>17</v>
      </c>
      <c r="E10" s="46">
        <f>INDEX('in_211a Parameters'!$A$2:$K$25,MATCH('02 Parms of Interest'!E$6&amp;"_"&amp;'02 Parms of Interest'!$D10&amp;"_"&amp;'02 Parms of Interest'!E$5&amp;"_"&amp;'02 Parms of Interest'!E$4,'in_211a Parameters'!$M$2:$M$25,0),MATCH('02 Parms of Interest'!E$7,'in_211a Parameters'!$A$1:$K$1,0))</f>
        <v>-0.114752595104016</v>
      </c>
      <c r="F10" s="46">
        <f>INDEX('in_211a Parameters'!$A$2:$K$25,MATCH('02 Parms of Interest'!F$6&amp;"_"&amp;'02 Parms of Interest'!$D10&amp;"_"&amp;'02 Parms of Interest'!F$5&amp;"_"&amp;'02 Parms of Interest'!F$4,'in_211a Parameters'!$M$2:$M$25,0),MATCH('02 Parms of Interest'!F$7,'in_211a Parameters'!$A$1:$K$1,0))</f>
        <v>0.15428768438418999</v>
      </c>
      <c r="G10" s="46">
        <f>INDEX('in_211a Parameters'!$A$2:$K$25,MATCH('02 Parms of Interest'!G$6&amp;"_"&amp;'02 Parms of Interest'!$D10&amp;"_"&amp;'02 Parms of Interest'!G$5&amp;"_"&amp;'02 Parms of Interest'!G$4,'in_211a Parameters'!$M$2:$M$25,0),MATCH('02 Parms of Interest'!G$7,'in_211a Parameters'!$A$1:$K$1,0))</f>
        <v>-7.1233951929104604E-3</v>
      </c>
      <c r="H10" s="46">
        <f>INDEX('in_211a Parameters'!$A$2:$K$25,MATCH('02 Parms of Interest'!H$6&amp;"_"&amp;'02 Parms of Interest'!$D10&amp;"_"&amp;'02 Parms of Interest'!H$5&amp;"_"&amp;'02 Parms of Interest'!H$4,'in_211a Parameters'!$M$2:$M$25,0),MATCH('02 Parms of Interest'!H$7,'in_211a Parameters'!$A$1:$K$1,0))</f>
        <v>2.6437354367711699E-3</v>
      </c>
      <c r="I10" s="46"/>
      <c r="J10" s="3" t="s">
        <v>17</v>
      </c>
      <c r="K10" s="21">
        <f>INDEX('in_211a Parameters'!$A$2:$K$25,MATCH('02 Parms of Interest'!K$6&amp;"_"&amp;'02 Parms of Interest'!$D10&amp;"_"&amp;'02 Parms of Interest'!K$5&amp;"_"&amp;'02 Parms of Interest'!K$4,'in_211a Parameters'!$M$2:$M$25,0),MATCH('02 Parms of Interest'!K$7,'in_211a Parameters'!$A$1:$K$1,0))</f>
        <v>-9.1424286099251198E-2</v>
      </c>
      <c r="L10" s="21">
        <f>INDEX('in_211a Parameters'!$A$2:$K$25,MATCH('02 Parms of Interest'!L$6&amp;"_"&amp;'02 Parms of Interest'!$D10&amp;"_"&amp;'02 Parms of Interest'!L$5&amp;"_"&amp;'02 Parms of Interest'!L$4,'in_211a Parameters'!$M$2:$M$25,0),MATCH('02 Parms of Interest'!L$7,'in_211a Parameters'!$A$1:$K$1,0))</f>
        <v>0.193014472541888</v>
      </c>
      <c r="M10" s="21">
        <f>INDEX('in_211a Parameters'!$A$2:$K$25,MATCH('02 Parms of Interest'!M$6&amp;"_"&amp;'02 Parms of Interest'!$D10&amp;"_"&amp;'02 Parms of Interest'!M$5&amp;"_"&amp;'02 Parms of Interest'!M$4,'in_211a Parameters'!$M$2:$M$25,0),MATCH('02 Parms of Interest'!M$7,'in_211a Parameters'!$A$1:$K$1,0))</f>
        <v>-2.1851947365084702E-3</v>
      </c>
      <c r="N10" s="22">
        <f>INDEX('in_211a Parameters'!$A$2:$K$25,MATCH('02 Parms of Interest'!N$6&amp;"_"&amp;'02 Parms of Interest'!$D10&amp;"_"&amp;'02 Parms of Interest'!N$5&amp;"_"&amp;'02 Parms of Interest'!N$4,'in_211a Parameters'!$M$2:$M$25,0),MATCH('02 Parms of Interest'!N$7,'in_211a Parameters'!$A$1:$K$1,0))</f>
        <v>0.31442292161272301</v>
      </c>
      <c r="O10" s="46"/>
      <c r="P10" s="3" t="s">
        <v>17</v>
      </c>
      <c r="Q10" s="21">
        <f>INDEX('in_211a Parameters'!$A$2:$K$25,MATCH('02 Parms of Interest'!Q$6&amp;"_"&amp;'02 Parms of Interest'!$D10&amp;"_"&amp;'02 Parms of Interest'!Q$5&amp;"_"&amp;'02 Parms of Interest'!Q$4,'in_211a Parameters'!$M$2:$M$25,0),MATCH('02 Parms of Interest'!Q$7,'in_211a Parameters'!$A$1:$K$1,0))</f>
        <v>-7.8583214773864304E-2</v>
      </c>
      <c r="R10" s="21">
        <f>INDEX('in_211a Parameters'!$A$2:$K$25,MATCH('02 Parms of Interest'!R$6&amp;"_"&amp;'02 Parms of Interest'!$D10&amp;"_"&amp;'02 Parms of Interest'!R$5&amp;"_"&amp;'02 Parms of Interest'!R$4,'in_211a Parameters'!$M$2:$M$25,0),MATCH('02 Parms of Interest'!R$7,'in_211a Parameters'!$A$1:$K$1,0))</f>
        <v>0.32706763012986501</v>
      </c>
      <c r="S10" s="21">
        <f>INDEX('in_211a Parameters'!$A$2:$K$25,MATCH('02 Parms of Interest'!S$6&amp;"_"&amp;'02 Parms of Interest'!$D10&amp;"_"&amp;'02 Parms of Interest'!S$5&amp;"_"&amp;'02 Parms of Interest'!S$4,'in_211a Parameters'!$M$2:$M$25,0),MATCH('02 Parms of Interest'!S$7,'in_211a Parameters'!$A$1:$K$1,0))</f>
        <v>-7.8949309988485296E-3</v>
      </c>
      <c r="T10" s="22">
        <f>INDEX('in_211a Parameters'!$A$2:$K$25,MATCH('02 Parms of Interest'!T$6&amp;"_"&amp;'02 Parms of Interest'!$D10&amp;"_"&amp;'02 Parms of Interest'!T$5&amp;"_"&amp;'02 Parms of Interest'!T$4,'in_211a Parameters'!$M$2:$M$25,0),MATCH('02 Parms of Interest'!T$7,'in_211a Parameters'!$A$1:$K$1,0))</f>
        <v>6.6501053087860101E-4</v>
      </c>
    </row>
    <row r="11" spans="1:22" x14ac:dyDescent="0.2">
      <c r="D11" s="39" t="s">
        <v>15</v>
      </c>
      <c r="E11" s="46">
        <f>INDEX('in_211a Parameters'!$A$2:$K$25,MATCH('02 Parms of Interest'!E$6&amp;"_"&amp;'02 Parms of Interest'!$D11&amp;"_"&amp;'02 Parms of Interest'!E$5&amp;"_"&amp;'02 Parms of Interest'!E$4,'in_211a Parameters'!$M$2:$M$25,0),MATCH('02 Parms of Interest'!E$7,'in_211a Parameters'!$A$1:$K$1,0))</f>
        <v>-2.8267275054201499E-2</v>
      </c>
      <c r="F11" s="46">
        <f>INDEX('in_211a Parameters'!$A$2:$K$25,MATCH('02 Parms of Interest'!F$6&amp;"_"&amp;'02 Parms of Interest'!$D11&amp;"_"&amp;'02 Parms of Interest'!F$5&amp;"_"&amp;'02 Parms of Interest'!F$4,'in_211a Parameters'!$M$2:$M$25,0),MATCH('02 Parms of Interest'!F$7,'in_211a Parameters'!$A$1:$K$1,0))</f>
        <v>0.72471792762008203</v>
      </c>
      <c r="G11" s="46">
        <f>INDEX('in_211a Parameters'!$A$2:$K$25,MATCH('02 Parms of Interest'!G$6&amp;"_"&amp;'02 Parms of Interest'!$D11&amp;"_"&amp;'02 Parms of Interest'!G$5&amp;"_"&amp;'02 Parms of Interest'!G$4,'in_211a Parameters'!$M$2:$M$25,0),MATCH('02 Parms of Interest'!G$7,'in_211a Parameters'!$A$1:$K$1,0))</f>
        <v>-1.38165342888582E-2</v>
      </c>
      <c r="H11" s="46">
        <f>INDEX('in_211a Parameters'!$A$2:$K$25,MATCH('02 Parms of Interest'!H$6&amp;"_"&amp;'02 Parms of Interest'!$D11&amp;"_"&amp;'02 Parms of Interest'!H$5&amp;"_"&amp;'02 Parms of Interest'!H$4,'in_211a Parameters'!$M$2:$M$25,0),MATCH('02 Parms of Interest'!H$7,'in_211a Parameters'!$A$1:$K$1,0))</f>
        <v>1.07984614337369E-7</v>
      </c>
      <c r="I11" s="46"/>
      <c r="J11" s="4" t="s">
        <v>15</v>
      </c>
      <c r="K11" s="23">
        <f>INDEX('in_211a Parameters'!$A$2:$K$25,MATCH('02 Parms of Interest'!K$6&amp;"_"&amp;'02 Parms of Interest'!$D11&amp;"_"&amp;'02 Parms of Interest'!K$5&amp;"_"&amp;'02 Parms of Interest'!K$4,'in_211a Parameters'!$M$2:$M$25,0),MATCH('02 Parms of Interest'!K$7,'in_211a Parameters'!$A$1:$K$1,0))</f>
        <v>-8.4743720406190695E-4</v>
      </c>
      <c r="L11" s="23">
        <f>INDEX('in_211a Parameters'!$A$2:$K$25,MATCH('02 Parms of Interest'!L$6&amp;"_"&amp;'02 Parms of Interest'!$D11&amp;"_"&amp;'02 Parms of Interest'!L$5&amp;"_"&amp;'02 Parms of Interest'!L$4,'in_211a Parameters'!$M$2:$M$25,0),MATCH('02 Parms of Interest'!L$7,'in_211a Parameters'!$A$1:$K$1,0))</f>
        <v>0.99027295960029504</v>
      </c>
      <c r="M11" s="23">
        <f>INDEX('in_211a Parameters'!$A$2:$K$25,MATCH('02 Parms of Interest'!M$6&amp;"_"&amp;'02 Parms of Interest'!$D11&amp;"_"&amp;'02 Parms of Interest'!M$5&amp;"_"&amp;'02 Parms of Interest'!M$4,'in_211a Parameters'!$M$2:$M$25,0),MATCH('02 Parms of Interest'!M$7,'in_211a Parameters'!$A$1:$K$1,0))</f>
        <v>-1.4445250905447001E-3</v>
      </c>
      <c r="N11" s="23">
        <f>INDEX('in_211a Parameters'!$A$2:$K$25,MATCH('02 Parms of Interest'!N$6&amp;"_"&amp;'02 Parms of Interest'!$D11&amp;"_"&amp;'02 Parms of Interest'!N$5&amp;"_"&amp;'02 Parms of Interest'!N$4,'in_211a Parameters'!$M$2:$M$25,0),MATCH('02 Parms of Interest'!N$7,'in_211a Parameters'!$A$1:$K$1,0))</f>
        <v>0.54416222202723197</v>
      </c>
      <c r="O11" s="46"/>
      <c r="P11" s="4" t="s">
        <v>15</v>
      </c>
      <c r="Q11" s="23">
        <f>INDEX('in_211a Parameters'!$A$2:$K$25,MATCH('02 Parms of Interest'!Q$6&amp;"_"&amp;'02 Parms of Interest'!$D11&amp;"_"&amp;'02 Parms of Interest'!Q$5&amp;"_"&amp;'02 Parms of Interest'!Q$4,'in_211a Parameters'!$M$2:$M$25,0),MATCH('02 Parms of Interest'!Q$7,'in_211a Parameters'!$A$1:$K$1,0))</f>
        <v>-6.7585684259264603E-2</v>
      </c>
      <c r="R11" s="23">
        <f>INDEX('in_211a Parameters'!$A$2:$K$25,MATCH('02 Parms of Interest'!R$6&amp;"_"&amp;'02 Parms of Interest'!$D11&amp;"_"&amp;'02 Parms of Interest'!R$5&amp;"_"&amp;'02 Parms of Interest'!R$4,'in_211a Parameters'!$M$2:$M$25,0),MATCH('02 Parms of Interest'!R$7,'in_211a Parameters'!$A$1:$K$1,0))</f>
        <v>0.39920542580465601</v>
      </c>
      <c r="S11" s="23">
        <f>INDEX('in_211a Parameters'!$A$2:$K$25,MATCH('02 Parms of Interest'!S$6&amp;"_"&amp;'02 Parms of Interest'!$D11&amp;"_"&amp;'02 Parms of Interest'!S$5&amp;"_"&amp;'02 Parms of Interest'!S$4,'in_211a Parameters'!$M$2:$M$25,0),MATCH('02 Parms of Interest'!S$7,'in_211a Parameters'!$A$1:$K$1,0))</f>
        <v>-6.5364453620767801E-3</v>
      </c>
      <c r="T11" s="23">
        <f>INDEX('in_211a Parameters'!$A$2:$K$25,MATCH('02 Parms of Interest'!T$6&amp;"_"&amp;'02 Parms of Interest'!$D11&amp;"_"&amp;'02 Parms of Interest'!T$5&amp;"_"&amp;'02 Parms of Interest'!T$4,'in_211a Parameters'!$M$2:$M$25,0),MATCH('02 Parms of Interest'!T$7,'in_211a Parameters'!$A$1:$K$1,0))</f>
        <v>1.40992381883383E-2</v>
      </c>
    </row>
    <row r="13" spans="1:22" x14ac:dyDescent="0.2">
      <c r="J13" s="39" t="s">
        <v>56</v>
      </c>
      <c r="P13" s="39" t="s">
        <v>56</v>
      </c>
    </row>
    <row r="14" spans="1:22" x14ac:dyDescent="0.2">
      <c r="J14" s="39" t="s">
        <v>17</v>
      </c>
      <c r="K14" s="45">
        <f>K10*(-1)/'01 Impacts'!G11</f>
        <v>0.58662933768833414</v>
      </c>
      <c r="P14" s="39" t="s">
        <v>17</v>
      </c>
      <c r="Q14" s="45">
        <f>Q10*(-1)/'01 Impacts'!AT7</f>
        <v>0.26500921284016293</v>
      </c>
    </row>
    <row r="15" spans="1:22" x14ac:dyDescent="0.2">
      <c r="J15" s="39" t="s">
        <v>15</v>
      </c>
      <c r="K15" s="45">
        <f>K11*(-1)/'01 Impacts'!G12</f>
        <v>3.14780762568104E-2</v>
      </c>
      <c r="P15" s="39" t="s">
        <v>15</v>
      </c>
      <c r="Q15" s="45">
        <f>Q11*(-1)/'01 Impacts'!AT8</f>
        <v>0.38768906681066934</v>
      </c>
    </row>
    <row r="20" spans="1:22" ht="14" x14ac:dyDescent="0.3">
      <c r="A20" s="47" t="s">
        <v>106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</row>
    <row r="21" spans="1:22" x14ac:dyDescent="0.2">
      <c r="K21" s="39" t="s">
        <v>47</v>
      </c>
      <c r="L21" s="39" t="s">
        <v>47</v>
      </c>
      <c r="Q21" s="39" t="s">
        <v>38</v>
      </c>
      <c r="R21" s="39" t="s">
        <v>38</v>
      </c>
    </row>
    <row r="22" spans="1:22" x14ac:dyDescent="0.2">
      <c r="K22" s="39" t="s">
        <v>19</v>
      </c>
      <c r="L22" s="39" t="s">
        <v>19</v>
      </c>
      <c r="Q22" s="1" t="s">
        <v>116</v>
      </c>
      <c r="R22" s="1" t="s">
        <v>116</v>
      </c>
    </row>
    <row r="23" spans="1:22" x14ac:dyDescent="0.2">
      <c r="K23" s="39" t="s">
        <v>31</v>
      </c>
      <c r="L23" s="39" t="s">
        <v>10</v>
      </c>
      <c r="Q23" s="39" t="s">
        <v>31</v>
      </c>
      <c r="R23" s="39" t="s">
        <v>10</v>
      </c>
    </row>
    <row r="24" spans="1:22" x14ac:dyDescent="0.2">
      <c r="J24" s="49"/>
      <c r="K24" s="50" t="s">
        <v>59</v>
      </c>
      <c r="L24" s="51" t="s">
        <v>60</v>
      </c>
      <c r="P24" s="49"/>
      <c r="Q24" s="50" t="s">
        <v>59</v>
      </c>
      <c r="R24" s="51" t="s">
        <v>60</v>
      </c>
    </row>
    <row r="25" spans="1:22" x14ac:dyDescent="0.2">
      <c r="J25" s="3" t="s">
        <v>17</v>
      </c>
      <c r="K25" s="21">
        <f>INDEX('r_in_409a Winter TOU Impacts'!$A$2:$R$29,MATCH('02 Parms of Interest'!K$22&amp;"_"&amp;'02 Parms of Interest'!$J25,'r_in_409a Winter TOU Impacts'!$T$2:$T$29,0),MATCH('02 Parms of Interest'!K$23,'r_in_409a Winter TOU Impacts'!$A$1:$R$1,0))</f>
        <v>-7.4903731565936202E-2</v>
      </c>
      <c r="L25" s="21">
        <f>INDEX('r_in_409a Winter TOU Impacts'!$A$2:$R$29,MATCH('02 Parms of Interest'!L$22&amp;"_"&amp;'02 Parms of Interest'!$J25,'r_in_409a Winter TOU Impacts'!$T$2:$T$29,0),MATCH('02 Parms of Interest'!L$23,'r_in_409a Winter TOU Impacts'!$A$1:$R$1,0))</f>
        <v>0.36252883831483501</v>
      </c>
      <c r="P25" s="3" t="s">
        <v>17</v>
      </c>
      <c r="Q25" s="21">
        <f>INDEX('r_in_409a Winter TOU Impacts'!$A$2:$R$29,MATCH('02 Parms of Interest'!Q$22&amp;"_"&amp;'02 Parms of Interest'!$J25,'r_in_409a Winter TOU Impacts'!$T$2:$T$29,0),MATCH('02 Parms of Interest'!Q$23,'r_in_409a Winter TOU Impacts'!$A$1:$R$1,0))</f>
        <v>-0.10255401115486899</v>
      </c>
      <c r="R25" s="21">
        <f>INDEX('r_in_409a Winter TOU Impacts'!$A$2:$R$29,MATCH('02 Parms of Interest'!R$22&amp;"_"&amp;'02 Parms of Interest'!$J25,'r_in_409a Winter TOU Impacts'!$T$2:$T$29,0),MATCH('02 Parms of Interest'!R$23,'r_in_409a Winter TOU Impacts'!$A$1:$R$1,0))</f>
        <v>0.27582107262632399</v>
      </c>
    </row>
    <row r="26" spans="1:22" x14ac:dyDescent="0.2">
      <c r="J26" s="3" t="s">
        <v>15</v>
      </c>
      <c r="K26" s="21">
        <f>INDEX('r_in_409a Winter TOU Impacts'!$A$2:$R$29,MATCH('02 Parms of Interest'!K$22&amp;"_"&amp;'02 Parms of Interest'!$J26,'r_in_409a Winter TOU Impacts'!$T$2:$T$29,0),MATCH('02 Parms of Interest'!K$23,'r_in_409a Winter TOU Impacts'!$A$1:$R$1,0))</f>
        <v>-4.5024934870837002E-2</v>
      </c>
      <c r="L26" s="21">
        <f>INDEX('r_in_409a Winter TOU Impacts'!$A$2:$R$29,MATCH('02 Parms of Interest'!L$22&amp;"_"&amp;'02 Parms of Interest'!$J26,'r_in_409a Winter TOU Impacts'!$T$2:$T$29,0),MATCH('02 Parms of Interest'!L$23,'r_in_409a Winter TOU Impacts'!$A$1:$R$1,0))</f>
        <v>0.59579760625984401</v>
      </c>
      <c r="P26" s="3" t="s">
        <v>15</v>
      </c>
      <c r="Q26" s="21">
        <f>INDEX('r_in_409a Winter TOU Impacts'!$A$2:$R$29,MATCH('02 Parms of Interest'!Q$22&amp;"_"&amp;'02 Parms of Interest'!$J26,'r_in_409a Winter TOU Impacts'!$T$2:$T$29,0),MATCH('02 Parms of Interest'!Q$23,'r_in_409a Winter TOU Impacts'!$A$1:$R$1,0))</f>
        <v>3.5290128454885203E-2</v>
      </c>
      <c r="R26" s="21">
        <f>INDEX('r_in_409a Winter TOU Impacts'!$A$2:$R$29,MATCH('02 Parms of Interest'!R$22&amp;"_"&amp;'02 Parms of Interest'!$J26,'r_in_409a Winter TOU Impacts'!$T$2:$T$29,0),MATCH('02 Parms of Interest'!R$23,'r_in_409a Winter TOU Impacts'!$A$1:$R$1,0))</f>
        <v>0.71351558699763895</v>
      </c>
    </row>
    <row r="27" spans="1:22" x14ac:dyDescent="0.2">
      <c r="J27" s="3" t="s">
        <v>16</v>
      </c>
      <c r="K27" s="21">
        <f>INDEX('r_in_409a Winter TOU Impacts'!$A$2:$R$29,MATCH('02 Parms of Interest'!K$22&amp;"_"&amp;'02 Parms of Interest'!$J27,'r_in_409a Winter TOU Impacts'!$T$2:$T$29,0),MATCH('02 Parms of Interest'!K$23,'r_in_409a Winter TOU Impacts'!$A$1:$R$1,0))</f>
        <v>-5.89041327028169E-2</v>
      </c>
      <c r="L27" s="21">
        <f>INDEX('r_in_409a Winter TOU Impacts'!$A$2:$R$29,MATCH('02 Parms of Interest'!L$22&amp;"_"&amp;'02 Parms of Interest'!$J27,'r_in_409a Winter TOU Impacts'!$T$2:$T$29,0),MATCH('02 Parms of Interest'!L$23,'r_in_409a Winter TOU Impacts'!$A$1:$R$1,0))</f>
        <v>0.71411961315539096</v>
      </c>
      <c r="P27" s="3" t="s">
        <v>16</v>
      </c>
      <c r="Q27" s="21">
        <f>INDEX('r_in_409a Winter TOU Impacts'!$A$2:$R$29,MATCH('02 Parms of Interest'!Q$22&amp;"_"&amp;'02 Parms of Interest'!$J27,'r_in_409a Winter TOU Impacts'!$T$2:$T$29,0),MATCH('02 Parms of Interest'!Q$23,'r_in_409a Winter TOU Impacts'!$A$1:$R$1,0))</f>
        <v>0.190372899677336</v>
      </c>
      <c r="R27" s="21">
        <f>INDEX('r_in_409a Winter TOU Impacts'!$A$2:$R$29,MATCH('02 Parms of Interest'!R$22&amp;"_"&amp;'02 Parms of Interest'!$J27,'r_in_409a Winter TOU Impacts'!$T$2:$T$29,0),MATCH('02 Parms of Interest'!R$23,'r_in_409a Winter TOU Impacts'!$A$1:$R$1,0))</f>
        <v>0.300943447770258</v>
      </c>
    </row>
    <row r="28" spans="1:22" x14ac:dyDescent="0.2">
      <c r="J28" s="4" t="s">
        <v>18</v>
      </c>
      <c r="K28" s="23">
        <f>INDEX('r_in_409a Winter TOU Impacts'!$A$2:$R$29,MATCH('02 Parms of Interest'!K$22&amp;"_"&amp;'02 Parms of Interest'!$J28,'r_in_409a Winter TOU Impacts'!$T$2:$T$29,0),MATCH('02 Parms of Interest'!K$23,'r_in_409a Winter TOU Impacts'!$A$1:$R$1,0))</f>
        <v>0.188212121808667</v>
      </c>
      <c r="L28" s="23">
        <f>INDEX('r_in_409a Winter TOU Impacts'!$A$2:$R$29,MATCH('02 Parms of Interest'!L$22&amp;"_"&amp;'02 Parms of Interest'!$J28,'r_in_409a Winter TOU Impacts'!$T$2:$T$29,0),MATCH('02 Parms of Interest'!L$23,'r_in_409a Winter TOU Impacts'!$A$1:$R$1,0))</f>
        <v>0.55987778375699804</v>
      </c>
      <c r="P28" s="4" t="s">
        <v>18</v>
      </c>
      <c r="Q28" s="23">
        <f>INDEX('r_in_409a Winter TOU Impacts'!$A$2:$R$29,MATCH('02 Parms of Interest'!Q$22&amp;"_"&amp;'02 Parms of Interest'!$J28,'r_in_409a Winter TOU Impacts'!$T$2:$T$29,0),MATCH('02 Parms of Interest'!Q$23,'r_in_409a Winter TOU Impacts'!$A$1:$R$1,0))</f>
        <v>0.39746516302470503</v>
      </c>
      <c r="R28" s="23">
        <f>INDEX('r_in_409a Winter TOU Impacts'!$A$2:$R$29,MATCH('02 Parms of Interest'!R$22&amp;"_"&amp;'02 Parms of Interest'!$J28,'r_in_409a Winter TOU Impacts'!$T$2:$T$29,0),MATCH('02 Parms of Interest'!R$23,'r_in_409a Winter TOU Impacts'!$A$1:$R$1,0))</f>
        <v>0.27665167747708103</v>
      </c>
    </row>
  </sheetData>
  <mergeCells count="4">
    <mergeCell ref="S8:T8"/>
    <mergeCell ref="Q8:R8"/>
    <mergeCell ref="K8:L8"/>
    <mergeCell ref="M8:N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B42D-C203-4320-9C65-8BBB2A590A18}">
  <sheetPr>
    <tabColor theme="5"/>
  </sheetPr>
  <dimension ref="A1:W31"/>
  <sheetViews>
    <sheetView workbookViewId="0">
      <selection activeCell="S5" sqref="S5:U7"/>
    </sheetView>
  </sheetViews>
  <sheetFormatPr defaultRowHeight="10" outlineLevelCol="1" x14ac:dyDescent="0.2"/>
  <cols>
    <col min="1" max="1" width="8.88671875" style="39"/>
    <col min="2" max="2" width="47" style="39" customWidth="1"/>
    <col min="3" max="3" width="23.88671875" style="39" customWidth="1"/>
    <col min="4" max="18" width="8.88671875" style="39" hidden="1" customWidth="1" outlineLevel="1"/>
    <col min="19" max="19" width="8.88671875" style="39" collapsed="1"/>
    <col min="20" max="16384" width="8.88671875" style="39"/>
  </cols>
  <sheetData>
    <row r="1" spans="1:23" ht="10.5" x14ac:dyDescent="0.25">
      <c r="B1" s="40" t="s">
        <v>121</v>
      </c>
    </row>
    <row r="2" spans="1:23" ht="10.5" x14ac:dyDescent="0.2">
      <c r="D2" s="39">
        <v>-1</v>
      </c>
      <c r="E2" s="39">
        <v>1</v>
      </c>
      <c r="F2" s="39">
        <v>1</v>
      </c>
      <c r="G2" s="39">
        <v>1</v>
      </c>
      <c r="H2" s="39">
        <v>1</v>
      </c>
      <c r="S2" s="92" t="s">
        <v>26</v>
      </c>
      <c r="T2" s="93"/>
      <c r="U2" s="88" t="s">
        <v>60</v>
      </c>
      <c r="V2" s="90" t="s">
        <v>29</v>
      </c>
    </row>
    <row r="3" spans="1:23" ht="10.5" x14ac:dyDescent="0.2">
      <c r="C3" s="39" t="s">
        <v>0</v>
      </c>
      <c r="D3" s="39" t="s">
        <v>61</v>
      </c>
      <c r="E3" s="39" t="s">
        <v>10</v>
      </c>
      <c r="F3" s="39" t="s">
        <v>68</v>
      </c>
      <c r="G3" s="1" t="s">
        <v>62</v>
      </c>
      <c r="H3" s="1" t="s">
        <v>126</v>
      </c>
      <c r="I3" s="39" t="s">
        <v>165</v>
      </c>
      <c r="P3" s="39" t="s">
        <v>11</v>
      </c>
      <c r="Q3" s="39" t="s">
        <v>12</v>
      </c>
      <c r="S3" s="9" t="s">
        <v>27</v>
      </c>
      <c r="T3" s="10" t="s">
        <v>28</v>
      </c>
      <c r="U3" s="89"/>
      <c r="V3" s="91"/>
    </row>
    <row r="4" spans="1:23" x14ac:dyDescent="0.2">
      <c r="F4" s="39" t="s">
        <v>92</v>
      </c>
      <c r="K4" s="39" t="s">
        <v>90</v>
      </c>
      <c r="L4" s="39" t="s">
        <v>91</v>
      </c>
      <c r="M4" s="39" t="s">
        <v>94</v>
      </c>
      <c r="N4" s="39" t="s">
        <v>93</v>
      </c>
      <c r="O4" s="39" t="s">
        <v>69</v>
      </c>
    </row>
    <row r="5" spans="1:23" x14ac:dyDescent="0.2">
      <c r="A5" s="39">
        <v>1</v>
      </c>
      <c r="B5" s="39" t="s">
        <v>19</v>
      </c>
      <c r="C5" s="39" t="s">
        <v>13</v>
      </c>
      <c r="D5" s="39">
        <f>INDEX('r_in_211a Sum Seasonal Energy'!$A$2:$M$4,MATCH('03 Seasonal Impacts'!$B5,'r_in_211a Sum Seasonal Energy'!$B$2:$B$4,0),MATCH('03 Seasonal Impacts'!D$3,'r_in_211a Sum Seasonal Energy'!$A$1:$M$1,0))*D$2</f>
        <v>-10.2087289857503</v>
      </c>
      <c r="E5" s="39">
        <f>INDEX('r_in_211a Sum Seasonal Energy'!$A$2:$M$4,MATCH('03 Seasonal Impacts'!$B5,'r_in_211a Sum Seasonal Energy'!$B$2:$B$4,0),MATCH('03 Seasonal Impacts'!E$3,'r_in_211a Sum Seasonal Energy'!$A$1:$M$1,0))*E$2</f>
        <v>0.86026779280684995</v>
      </c>
      <c r="F5" s="39">
        <f>INDEX('r_in_211a Sum Seasonal Energy'!$A$2:$M$4,MATCH('03 Seasonal Impacts'!$B5,'r_in_211a Sum Seasonal Energy'!$B$2:$B$4,0),MATCH('03 Seasonal Impacts'!F$3,'r_in_211a Sum Seasonal Energy'!$A$1:$M$1,0))*F$2</f>
        <v>4795.4652833186201</v>
      </c>
      <c r="G5" s="39">
        <f>INDEX('r_in_211a Sum Seasonal Energy'!$A$2:$M$4,MATCH('03 Seasonal Impacts'!$B5,'r_in_211a Sum Seasonal Energy'!$B$2:$B$4,0),MATCH('03 Seasonal Impacts'!G$3,'r_in_211a Sum Seasonal Energy'!$A$1:$M$1,0))*G$2</f>
        <v>57.993152282100098</v>
      </c>
      <c r="H5" s="39">
        <f>INDEX('r_in_211a Sum Seasonal Energy'!$A$2:$M$4,MATCH('03 Seasonal Impacts'!$B5,'r_in_211a Sum Seasonal Energy'!$B$2:$B$4,0),MATCH('03 Seasonal Impacts'!H$3,'r_in_211a Sum Seasonal Energy'!$A$1:$M$1,0))*H$2</f>
        <v>681486</v>
      </c>
      <c r="I5" s="39">
        <f>TINV(0.1,H5)*G5</f>
        <v>95.390376540446951</v>
      </c>
      <c r="K5" s="39">
        <f>SUMPRODUCT('01 Impacts'!$M$7:$M$18*'01 Impacts'!$N$7:$N$18*('01 Impacts'!$E$7:$E$18='03 Seasonal Impacts'!$B5))</f>
        <v>4416</v>
      </c>
      <c r="L5" s="39">
        <f>D5</f>
        <v>-10.2087289857503</v>
      </c>
      <c r="M5" s="39">
        <f>L5/K5</f>
        <v>-2.3117592811934557E-3</v>
      </c>
      <c r="N5" s="39">
        <f>F5/K5</f>
        <v>1.0859296384326584</v>
      </c>
      <c r="O5" s="52">
        <f>D5/(F5+D5)</f>
        <v>-2.1333712978265874E-3</v>
      </c>
      <c r="P5" s="52"/>
      <c r="S5" s="39" t="str">
        <f>IF(E5&gt;0.1,ROUND(D5,2)&amp; "(N/S)",D5)</f>
        <v>-10.21(N/S)</v>
      </c>
      <c r="T5" s="39" t="str">
        <f>IF(E5&gt;0.1,ROUND(O5*100,2)&amp;"% (N/S)",O5)</f>
        <v>-0.21% (N/S)</v>
      </c>
      <c r="U5" s="39">
        <f>E5</f>
        <v>0.86026779280684995</v>
      </c>
      <c r="V5" s="45">
        <f>ABS(I5/D5)</f>
        <v>9.3440012633890248</v>
      </c>
    </row>
    <row r="6" spans="1:23" x14ac:dyDescent="0.2">
      <c r="A6" s="39">
        <v>2</v>
      </c>
      <c r="B6" s="39" t="s">
        <v>20</v>
      </c>
      <c r="C6" s="39" t="s">
        <v>13</v>
      </c>
      <c r="D6" s="39">
        <f>INDEX('r_in_211a Sum Seasonal Energy'!$A$2:$M$4,MATCH('03 Seasonal Impacts'!$B6,'r_in_211a Sum Seasonal Energy'!$B$2:$B$4,0),MATCH('03 Seasonal Impacts'!D$3,'r_in_211a Sum Seasonal Energy'!$A$1:$M$1,0))*D$2</f>
        <v>36.100823393048202</v>
      </c>
      <c r="E6" s="39">
        <f>INDEX('r_in_211a Sum Seasonal Energy'!$A$2:$M$4,MATCH('03 Seasonal Impacts'!$B6,'r_in_211a Sum Seasonal Energy'!$B$2:$B$4,0),MATCH('03 Seasonal Impacts'!E$3,'r_in_211a Sum Seasonal Energy'!$A$1:$M$1,0))*E$2</f>
        <v>0.58185027523237198</v>
      </c>
      <c r="F6" s="39">
        <f>INDEX('r_in_211a Sum Seasonal Energy'!$A$2:$M$4,MATCH('03 Seasonal Impacts'!$B6,'r_in_211a Sum Seasonal Energy'!$B$2:$B$4,0),MATCH('03 Seasonal Impacts'!F$3,'r_in_211a Sum Seasonal Energy'!$A$1:$M$1,0))*F$2</f>
        <v>4529.3807068173601</v>
      </c>
      <c r="G6" s="39">
        <f>INDEX('r_in_211a Sum Seasonal Energy'!$A$2:$M$4,MATCH('03 Seasonal Impacts'!$B6,'r_in_211a Sum Seasonal Energy'!$B$2:$B$4,0),MATCH('03 Seasonal Impacts'!G$3,'r_in_211a Sum Seasonal Energy'!$A$1:$M$1,0))*G$2</f>
        <v>65.556275971796794</v>
      </c>
      <c r="H6" s="39">
        <f>INDEX('r_in_211a Sum Seasonal Energy'!$A$2:$M$4,MATCH('03 Seasonal Impacts'!$B6,'r_in_211a Sum Seasonal Energy'!$B$2:$B$4,0),MATCH('03 Seasonal Impacts'!H$3,'r_in_211a Sum Seasonal Energy'!$A$1:$M$1,0))*H$2</f>
        <v>430116</v>
      </c>
      <c r="I6" s="39">
        <f t="shared" ref="I6:I7" si="0">TINV(0.1,H6)*G6</f>
        <v>107.8307105476939</v>
      </c>
      <c r="K6" s="39">
        <f>SUMPRODUCT('01 Impacts'!$M$7:$M$18*'01 Impacts'!$N$7:$N$18*('01 Impacts'!$E$7:$E$18='03 Seasonal Impacts'!$B6))</f>
        <v>4416</v>
      </c>
      <c r="L6" s="39">
        <f>D6</f>
        <v>36.100823393048202</v>
      </c>
      <c r="M6" s="39">
        <f>L6/K6</f>
        <v>8.1750052973388141E-3</v>
      </c>
      <c r="N6" s="39">
        <f>F6/K6</f>
        <v>1.0256749788988586</v>
      </c>
      <c r="O6" s="52">
        <f>D6/(F6+D6)</f>
        <v>7.9073418990229568E-3</v>
      </c>
      <c r="P6" s="52"/>
      <c r="S6" s="39" t="str">
        <f t="shared" ref="S6:S7" si="1">IF(E6&gt;0.1,ROUND(D6,2)&amp; "(N/S)",D6)</f>
        <v>36.1(N/S)</v>
      </c>
      <c r="T6" s="39" t="str">
        <f t="shared" ref="T6:T7" si="2">IF(E6&gt;0.1,ROUND(O6*100,2)&amp;"% (N/S)",O6)</f>
        <v>0.79% (N/S)</v>
      </c>
      <c r="U6" s="39">
        <f t="shared" ref="U6:U7" si="3">E6</f>
        <v>0.58185027523237198</v>
      </c>
      <c r="V6" s="45">
        <f t="shared" ref="V6:V7" si="4">ABS(I6/D6)</f>
        <v>2.9869321642247764</v>
      </c>
    </row>
    <row r="7" spans="1:23" x14ac:dyDescent="0.2">
      <c r="A7" s="39">
        <v>3</v>
      </c>
      <c r="B7" s="39" t="s">
        <v>14</v>
      </c>
      <c r="C7" s="39" t="s">
        <v>13</v>
      </c>
      <c r="D7" s="39">
        <f>INDEX('r_in_211a Sum Seasonal Energy'!$A$2:$M$4,MATCH('03 Seasonal Impacts'!$B7,'r_in_211a Sum Seasonal Energy'!$B$2:$B$4,0),MATCH('03 Seasonal Impacts'!D$3,'r_in_211a Sum Seasonal Energy'!$A$1:$M$1,0))*D$2</f>
        <v>52.140109832962402</v>
      </c>
      <c r="E7" s="39">
        <f>INDEX('r_in_211a Sum Seasonal Energy'!$A$2:$M$4,MATCH('03 Seasonal Impacts'!$B7,'r_in_211a Sum Seasonal Energy'!$B$2:$B$4,0),MATCH('03 Seasonal Impacts'!E$3,'r_in_211a Sum Seasonal Energy'!$A$1:$M$1,0))*E$2</f>
        <v>0.43531986913937798</v>
      </c>
      <c r="F7" s="39">
        <f>INDEX('r_in_211a Sum Seasonal Energy'!$A$2:$M$4,MATCH('03 Seasonal Impacts'!$B7,'r_in_211a Sum Seasonal Energy'!$B$2:$B$4,0),MATCH('03 Seasonal Impacts'!F$3,'r_in_211a Sum Seasonal Energy'!$A$1:$M$1,0))*F$2</f>
        <v>4704.1645397062102</v>
      </c>
      <c r="G7" s="39">
        <f>INDEX('r_in_211a Sum Seasonal Energy'!$A$2:$M$4,MATCH('03 Seasonal Impacts'!$B7,'r_in_211a Sum Seasonal Energy'!$B$2:$B$4,0),MATCH('03 Seasonal Impacts'!G$3,'r_in_211a Sum Seasonal Energy'!$A$1:$M$1,0))*G$2</f>
        <v>66.835899324551605</v>
      </c>
      <c r="H7" s="39">
        <f>INDEX('r_in_211a Sum Seasonal Energy'!$A$2:$M$4,MATCH('03 Seasonal Impacts'!$B7,'r_in_211a Sum Seasonal Energy'!$B$2:$B$4,0),MATCH('03 Seasonal Impacts'!H$3,'r_in_211a Sum Seasonal Energy'!$A$1:$M$1,0))*H$2</f>
        <v>462474</v>
      </c>
      <c r="I7" s="39">
        <f t="shared" si="0"/>
        <v>109.93549162677675</v>
      </c>
      <c r="K7" s="39">
        <f>SUMPRODUCT('01 Impacts'!$M$7:$M$18*'01 Impacts'!$N$7:$N$18*('01 Impacts'!$E$7:$E$18='03 Seasonal Impacts'!$B7))</f>
        <v>4416</v>
      </c>
      <c r="L7" s="39">
        <f>D7</f>
        <v>52.140109832962402</v>
      </c>
      <c r="M7" s="39">
        <f>L7/K7</f>
        <v>1.180709008898605E-2</v>
      </c>
      <c r="N7" s="39">
        <f>F7/K7</f>
        <v>1.0652546512015875</v>
      </c>
      <c r="O7" s="52">
        <f>D7/(F7+D7)</f>
        <v>1.0962315006044479E-2</v>
      </c>
      <c r="S7" s="39" t="str">
        <f t="shared" si="1"/>
        <v>52.14(N/S)</v>
      </c>
      <c r="T7" s="39" t="str">
        <f t="shared" si="2"/>
        <v>1.1% (N/S)</v>
      </c>
      <c r="U7" s="39">
        <f t="shared" si="3"/>
        <v>0.43531986913937798</v>
      </c>
      <c r="V7" s="45">
        <f t="shared" si="4"/>
        <v>2.1084629851944952</v>
      </c>
    </row>
    <row r="8" spans="1:23" x14ac:dyDescent="0.2">
      <c r="N8" s="53"/>
    </row>
    <row r="9" spans="1:23" x14ac:dyDescent="0.2">
      <c r="M9" s="39">
        <v>-1</v>
      </c>
    </row>
    <row r="10" spans="1:23" x14ac:dyDescent="0.2">
      <c r="D10" s="39" t="s">
        <v>127</v>
      </c>
      <c r="E10" s="39" t="s">
        <v>10</v>
      </c>
      <c r="F10" s="39" t="s">
        <v>128</v>
      </c>
      <c r="G10" s="1" t="s">
        <v>62</v>
      </c>
      <c r="H10" s="1" t="s">
        <v>126</v>
      </c>
      <c r="I10" s="1"/>
      <c r="K10" s="39" t="s">
        <v>124</v>
      </c>
      <c r="L10" s="39" t="s">
        <v>91</v>
      </c>
      <c r="M10" s="39" t="s">
        <v>114</v>
      </c>
      <c r="N10" s="53" t="s">
        <v>115</v>
      </c>
      <c r="O10" s="39" t="s">
        <v>69</v>
      </c>
    </row>
    <row r="11" spans="1:23" x14ac:dyDescent="0.2">
      <c r="A11" s="39">
        <v>1</v>
      </c>
      <c r="B11" s="39" t="s">
        <v>19</v>
      </c>
      <c r="C11" s="39" t="s">
        <v>106</v>
      </c>
      <c r="D11" s="39">
        <f>INDEX('r_in_409a Wint Seasonal Impacts'!$A$2:$N$8,MATCH('03 Seasonal Impacts'!$B11,'r_in_409a Wint Seasonal Impacts'!$B$2:$B$8,0),MATCH('03 Seasonal Impacts'!D$10,'r_in_409a Wint Seasonal Impacts'!$A$1:$N$1,0))*D$2</f>
        <v>11.447176150215199</v>
      </c>
      <c r="E11" s="39">
        <f>INDEX('r_in_409a Wint Seasonal Impacts'!$A$2:$N$8,MATCH('03 Seasonal Impacts'!$B11,'r_in_409a Wint Seasonal Impacts'!$B$2:$B$8,0),MATCH('03 Seasonal Impacts'!E$10,'r_in_409a Wint Seasonal Impacts'!$A$1:$N$1,0))*E$2</f>
        <v>0.83766886910805205</v>
      </c>
      <c r="F11" s="39">
        <f>INDEX('r_in_409a Wint Seasonal Impacts'!$A$2:$N$8,MATCH('03 Seasonal Impacts'!$B11,'r_in_409a Wint Seasonal Impacts'!$B$2:$B$8,0),MATCH('03 Seasonal Impacts'!F$10,'r_in_409a Wint Seasonal Impacts'!$A$1:$N$1,0))*F$2</f>
        <v>4099.4750720969896</v>
      </c>
      <c r="G11" s="39">
        <f>INDEX('r_in_409a Wint Seasonal Impacts'!$A$2:$N$8,MATCH('03 Seasonal Impacts'!$B11,'r_in_409a Wint Seasonal Impacts'!$B$2:$B$8,0),MATCH('03 Seasonal Impacts'!G$10,'r_in_409a Wint Seasonal Impacts'!$A$1:$N$1,0))*G$2</f>
        <v>55.873610631926397</v>
      </c>
      <c r="H11" s="39">
        <f>INDEX('r_in_409a Wint Seasonal Impacts'!$A$2:$N$8,MATCH('03 Seasonal Impacts'!$B11,'r_in_409a Wint Seasonal Impacts'!$B$2:$B$8,0),MATCH('03 Seasonal Impacts'!H$10,'r_in_409a Wint Seasonal Impacts'!$A$1:$N$1,0))*H$2</f>
        <v>668796</v>
      </c>
      <c r="I11" s="39">
        <f t="shared" ref="I11:I13" si="5">TINV(0.1,H11)*G11</f>
        <v>91.904038400118651</v>
      </c>
      <c r="K11" s="39">
        <f>SUMPRODUCT('01 Impacts'!$M$24:$M$35*'01 Impacts'!$N$24:$N$35*('01 Impacts'!$E$24:$E$35='03 Seasonal Impacts'!$B11))</f>
        <v>4344</v>
      </c>
      <c r="L11" s="39">
        <f>D11</f>
        <v>11.447176150215199</v>
      </c>
      <c r="M11" s="39">
        <f>L11/K11</f>
        <v>2.6351694636775318E-3</v>
      </c>
      <c r="N11" s="39">
        <f>F11/K11</f>
        <v>0.94370973114571588</v>
      </c>
      <c r="O11" s="52">
        <f>D11/(F11+D11)</f>
        <v>2.784576175113988E-3</v>
      </c>
      <c r="S11" s="39" t="str">
        <f>IF(E11&gt;0.1,ROUND(D11,2)&amp; "(N/S)",D11)</f>
        <v>11.45(N/S)</v>
      </c>
      <c r="T11" s="39" t="str">
        <f>IF(E11&gt;0.1,ROUND(O11*100,2)&amp;"% (N/S)",O11)</f>
        <v>0.28% (N/S)</v>
      </c>
      <c r="U11" s="39">
        <f>E11</f>
        <v>0.83766886910805205</v>
      </c>
      <c r="V11" s="45">
        <f>ABS(I11/D11)</f>
        <v>8.0285336046297253</v>
      </c>
      <c r="W11" s="45"/>
    </row>
    <row r="12" spans="1:23" x14ac:dyDescent="0.2">
      <c r="A12" s="39">
        <v>2</v>
      </c>
      <c r="B12" s="39" t="s">
        <v>116</v>
      </c>
      <c r="C12" s="39" t="s">
        <v>106</v>
      </c>
      <c r="D12" s="39">
        <f>INDEX('r_in_409a Wint Seasonal Impacts'!$A$2:$N$8,MATCH('03 Seasonal Impacts'!$B12,'r_in_409a Wint Seasonal Impacts'!$B$2:$B$8,0),MATCH('03 Seasonal Impacts'!D$10,'r_in_409a Wint Seasonal Impacts'!$A$1:$N$1,0))*D$2</f>
        <v>-37.921032397599902</v>
      </c>
      <c r="E12" s="39">
        <f>INDEX('r_in_409a Wint Seasonal Impacts'!$A$2:$N$8,MATCH('03 Seasonal Impacts'!$B12,'r_in_409a Wint Seasonal Impacts'!$B$2:$B$8,0),MATCH('03 Seasonal Impacts'!E$10,'r_in_409a Wint Seasonal Impacts'!$A$1:$N$1,0))*E$2</f>
        <v>0.54771850779583697</v>
      </c>
      <c r="F12" s="39">
        <f>INDEX('r_in_409a Wint Seasonal Impacts'!$A$2:$N$8,MATCH('03 Seasonal Impacts'!$B12,'r_in_409a Wint Seasonal Impacts'!$B$2:$B$8,0),MATCH('03 Seasonal Impacts'!F$10,'r_in_409a Wint Seasonal Impacts'!$A$1:$N$1,0))*F$2</f>
        <v>4175.2580018636299</v>
      </c>
      <c r="G12" s="39">
        <f>INDEX('r_in_409a Wint Seasonal Impacts'!$A$2:$N$8,MATCH('03 Seasonal Impacts'!$B12,'r_in_409a Wint Seasonal Impacts'!$B$2:$B$8,0),MATCH('03 Seasonal Impacts'!G$10,'r_in_409a Wint Seasonal Impacts'!$A$1:$N$1,0))*G$2</f>
        <v>63.077364988573599</v>
      </c>
      <c r="H12" s="39">
        <f>INDEX('r_in_409a Wint Seasonal Impacts'!$A$2:$N$8,MATCH('03 Seasonal Impacts'!$B12,'r_in_409a Wint Seasonal Impacts'!$B$2:$B$8,0),MATCH('03 Seasonal Impacts'!H$10,'r_in_409a Wint Seasonal Impacts'!$A$1:$N$1,0))*H$2</f>
        <v>417202</v>
      </c>
      <c r="I12" s="39">
        <f t="shared" si="5"/>
        <v>103.75326296058674</v>
      </c>
      <c r="K12" s="39">
        <f>SUMPRODUCT('01 Impacts'!$M$24:$M$35*'01 Impacts'!$N$24:$N$35*('01 Impacts'!$E$24:$E$35='03 Seasonal Impacts'!$B12))</f>
        <v>4344</v>
      </c>
      <c r="L12" s="39">
        <f>D12</f>
        <v>-37.921032397599902</v>
      </c>
      <c r="M12" s="39">
        <f>L12/K12</f>
        <v>-8.7295194285450968E-3</v>
      </c>
      <c r="N12" s="39">
        <f>F12/K12</f>
        <v>0.96115515696676568</v>
      </c>
      <c r="O12" s="52">
        <f>D12/(F12+D12)</f>
        <v>-9.1655653570064492E-3</v>
      </c>
      <c r="S12" s="39" t="str">
        <f t="shared" ref="S12:S13" si="6">IF(E12&gt;0.1,ROUND(D12,2)&amp; "(N/S)",D12)</f>
        <v>-37.92(N/S)</v>
      </c>
      <c r="T12" s="39" t="str">
        <f t="shared" ref="T12:T13" si="7">IF(E12&gt;0.1,ROUND(O12*100,2)&amp;"% (N/S)",O12)</f>
        <v>-0.92% (N/S)</v>
      </c>
      <c r="U12" s="39">
        <f t="shared" ref="U12:U13" si="8">E12</f>
        <v>0.54771850779583697</v>
      </c>
      <c r="V12" s="45">
        <f t="shared" ref="V12:V13" si="9">ABS(I12/D12)</f>
        <v>2.7360347648961554</v>
      </c>
      <c r="W12" s="45"/>
    </row>
    <row r="13" spans="1:23" x14ac:dyDescent="0.2">
      <c r="A13" s="39">
        <v>3</v>
      </c>
      <c r="B13" s="1" t="s">
        <v>117</v>
      </c>
      <c r="C13" s="39" t="s">
        <v>106</v>
      </c>
      <c r="D13" s="39">
        <f>INDEX('r_in_409a Wint Seasonal Impacts'!$A$2:$N$8,MATCH('03 Seasonal Impacts'!$B13,'r_in_409a Wint Seasonal Impacts'!$B$2:$B$8,0),MATCH('03 Seasonal Impacts'!D$10,'r_in_409a Wint Seasonal Impacts'!$A$1:$N$1,0))*D$2</f>
        <v>-38.914740850711098</v>
      </c>
      <c r="E13" s="39">
        <f>INDEX('r_in_409a Wint Seasonal Impacts'!$A$2:$N$8,MATCH('03 Seasonal Impacts'!$B13,'r_in_409a Wint Seasonal Impacts'!$B$2:$B$8,0),MATCH('03 Seasonal Impacts'!E$10,'r_in_409a Wint Seasonal Impacts'!$A$1:$N$1,0))*E$2</f>
        <v>0.54536763491731399</v>
      </c>
      <c r="F13" s="39">
        <f>INDEX('r_in_409a Wint Seasonal Impacts'!$A$2:$N$8,MATCH('03 Seasonal Impacts'!$B13,'r_in_409a Wint Seasonal Impacts'!$B$2:$B$8,0),MATCH('03 Seasonal Impacts'!F$10,'r_in_409a Wint Seasonal Impacts'!$A$1:$N$1,0))*F$2</f>
        <v>4175.2580018636299</v>
      </c>
      <c r="G13" s="39">
        <f>INDEX('r_in_409a Wint Seasonal Impacts'!$A$2:$N$8,MATCH('03 Seasonal Impacts'!$B13,'r_in_409a Wint Seasonal Impacts'!$B$2:$B$8,0),MATCH('03 Seasonal Impacts'!G$10,'r_in_409a Wint Seasonal Impacts'!$A$1:$N$1,0))*G$2</f>
        <v>64.3520322966706</v>
      </c>
      <c r="H13" s="39">
        <f>INDEX('r_in_409a Wint Seasonal Impacts'!$A$2:$N$8,MATCH('03 Seasonal Impacts'!$B13,'r_in_409a Wint Seasonal Impacts'!$B$2:$B$8,0),MATCH('03 Seasonal Impacts'!H$10,'r_in_409a Wint Seasonal Impacts'!$A$1:$N$1,0))*H$2</f>
        <v>450106</v>
      </c>
      <c r="I13" s="39">
        <f t="shared" si="5"/>
        <v>105.84989158000829</v>
      </c>
      <c r="K13" s="39">
        <f>SUMPRODUCT('01 Impacts'!$M$24:$M$35*'01 Impacts'!$N$24:$N$35*('01 Impacts'!$E$24:$E$35='03 Seasonal Impacts'!$B13))</f>
        <v>4344</v>
      </c>
      <c r="L13" s="39">
        <f>D13</f>
        <v>-38.914740850711098</v>
      </c>
      <c r="M13" s="39">
        <f>L13/K13</f>
        <v>-8.9582736764988718E-3</v>
      </c>
      <c r="N13" s="39">
        <f>F13/K13</f>
        <v>0.96115515696676568</v>
      </c>
      <c r="O13" s="52">
        <f>D13/(F13+D13)</f>
        <v>-9.4080056695250089E-3</v>
      </c>
      <c r="S13" s="39" t="str">
        <f t="shared" si="6"/>
        <v>-38.91(N/S)</v>
      </c>
      <c r="T13" s="39" t="str">
        <f t="shared" si="7"/>
        <v>-0.94% (N/S)</v>
      </c>
      <c r="U13" s="39">
        <f t="shared" si="8"/>
        <v>0.54536763491731399</v>
      </c>
      <c r="V13" s="45">
        <f t="shared" si="9"/>
        <v>2.7200461641536045</v>
      </c>
      <c r="W13" s="45"/>
    </row>
    <row r="14" spans="1:23" x14ac:dyDescent="0.2">
      <c r="N14" s="53"/>
    </row>
    <row r="15" spans="1:23" x14ac:dyDescent="0.2">
      <c r="N15" s="53"/>
    </row>
    <row r="16" spans="1:23" x14ac:dyDescent="0.2">
      <c r="N16" s="53"/>
    </row>
    <row r="17" spans="1:22" x14ac:dyDescent="0.2">
      <c r="B17" s="39" t="s">
        <v>122</v>
      </c>
      <c r="N17" s="53"/>
    </row>
    <row r="18" spans="1:22" x14ac:dyDescent="0.2">
      <c r="D18" s="39" t="s">
        <v>70</v>
      </c>
      <c r="E18" s="39" t="s">
        <v>10</v>
      </c>
      <c r="G18" s="1" t="s">
        <v>62</v>
      </c>
      <c r="H18" s="1" t="s">
        <v>126</v>
      </c>
      <c r="I18" s="1"/>
      <c r="L18" s="39" t="s">
        <v>67</v>
      </c>
      <c r="N18" s="53"/>
    </row>
    <row r="19" spans="1:22" x14ac:dyDescent="0.2">
      <c r="B19" s="39" t="s">
        <v>19</v>
      </c>
      <c r="C19" s="39" t="s">
        <v>17</v>
      </c>
      <c r="D19" s="39">
        <f>INDEX('01 Impacts'!$AF$13:$AW$14,MATCH('03 Seasonal Impacts'!$C19,'01 Impacts'!$AE$13:$AE$14,0),MATCH('03 Seasonal Impacts'!$B19,'01 Impacts'!$AF$3:$AW$3,0))</f>
        <v>19.792539494118451</v>
      </c>
      <c r="N19" s="53"/>
    </row>
    <row r="20" spans="1:22" x14ac:dyDescent="0.2">
      <c r="B20" s="39" t="s">
        <v>20</v>
      </c>
      <c r="C20" s="39" t="s">
        <v>17</v>
      </c>
      <c r="D20" s="39">
        <f>INDEX('01 Impacts'!$AF$13:$AW$14,MATCH('03 Seasonal Impacts'!$C20,'01 Impacts'!$AE$13:$AE$14,0),MATCH('03 Seasonal Impacts'!$B20,'01 Impacts'!$AF$3:$AW$3,0))</f>
        <v>37.659325762007086</v>
      </c>
      <c r="N20" s="53"/>
    </row>
    <row r="21" spans="1:22" x14ac:dyDescent="0.2">
      <c r="B21" s="39" t="s">
        <v>20</v>
      </c>
      <c r="C21" s="39" t="s">
        <v>15</v>
      </c>
      <c r="D21" s="39">
        <f>INDEX('01 Impacts'!$AF$13:$AW$14,MATCH('03 Seasonal Impacts'!$C21,'01 Impacts'!$AE$13:$AE$14,0),MATCH('03 Seasonal Impacts'!$B21,'01 Impacts'!$AF$3:$AW$3,0))</f>
        <v>22.13986061442986</v>
      </c>
      <c r="N21" s="53"/>
    </row>
    <row r="22" spans="1:22" x14ac:dyDescent="0.2">
      <c r="N22" s="53"/>
    </row>
    <row r="23" spans="1:22" x14ac:dyDescent="0.2">
      <c r="B23" s="39" t="s">
        <v>19</v>
      </c>
      <c r="C23" s="39" t="s">
        <v>71</v>
      </c>
      <c r="D23" s="39">
        <f>SUMIFS($D$19:$D$21,$B$19:$B$21,$B23)</f>
        <v>19.792539494118451</v>
      </c>
      <c r="L23" s="39">
        <f>INDEX('r_in_211a Sum Seasonal Energy'!$A$2:$M$4,MATCH('03 Seasonal Impacts'!$B23,'r_in_211a Sum Seasonal Energy'!$B$2:$B$4,0),MATCH('03 Seasonal Impacts'!F$3,'r_in_211a Sum Seasonal Energy'!$A$1:$M$1,0))</f>
        <v>4795.4652833186201</v>
      </c>
      <c r="N23" s="52">
        <f>D23/(L23+D23)</f>
        <v>4.1103800092176634E-3</v>
      </c>
    </row>
    <row r="24" spans="1:22" x14ac:dyDescent="0.2">
      <c r="B24" s="39" t="s">
        <v>20</v>
      </c>
      <c r="C24" s="39" t="s">
        <v>71</v>
      </c>
      <c r="D24" s="39">
        <f>SUMIFS($D$19:$D$21,$B$19:$B$21,$B24)</f>
        <v>59.79918637643695</v>
      </c>
      <c r="L24" s="39">
        <f>INDEX('r_in_211a Sum Seasonal Energy'!$A$2:$M$4,MATCH('03 Seasonal Impacts'!$B24,'r_in_211a Sum Seasonal Energy'!$B$2:$B$4,0),MATCH('03 Seasonal Impacts'!F$3,'r_in_211a Sum Seasonal Energy'!$A$1:$M$1,0))</f>
        <v>4529.3807068173601</v>
      </c>
      <c r="N24" s="52">
        <f>D24/(L24+D24)</f>
        <v>1.303047336739294E-2</v>
      </c>
    </row>
    <row r="27" spans="1:22" x14ac:dyDescent="0.2">
      <c r="B27" s="39" t="s">
        <v>159</v>
      </c>
      <c r="D27" s="39" t="s">
        <v>70</v>
      </c>
      <c r="E27" s="39" t="s">
        <v>10</v>
      </c>
      <c r="F27" s="39" t="s">
        <v>92</v>
      </c>
      <c r="G27" s="1" t="s">
        <v>62</v>
      </c>
      <c r="H27" s="1" t="s">
        <v>126</v>
      </c>
      <c r="I27" s="1"/>
      <c r="L27" s="39" t="s">
        <v>67</v>
      </c>
    </row>
    <row r="28" spans="1:22" x14ac:dyDescent="0.2">
      <c r="K28" s="39" t="s">
        <v>160</v>
      </c>
      <c r="L28" s="39" t="s">
        <v>91</v>
      </c>
      <c r="M28" s="39" t="s">
        <v>114</v>
      </c>
      <c r="N28" s="53" t="s">
        <v>115</v>
      </c>
      <c r="O28" s="39" t="s">
        <v>69</v>
      </c>
    </row>
    <row r="29" spans="1:22" x14ac:dyDescent="0.2">
      <c r="A29" s="39">
        <v>1</v>
      </c>
      <c r="B29" s="39" t="s">
        <v>19</v>
      </c>
      <c r="D29" s="39">
        <f>SUMIFS(D$5:D$13,$A$5:$A$13,$A29)</f>
        <v>1.2384471644648993</v>
      </c>
      <c r="E29" s="39">
        <f t="shared" ref="E29" si="10">TDIST(ABS(D29/G29),H29,2)</f>
        <v>0.98773004011373366</v>
      </c>
      <c r="F29" s="39">
        <f>SUMIFS(F$5:F$13,$A$5:$A$13,$A29)</f>
        <v>8894.9403554156088</v>
      </c>
      <c r="G29" s="39">
        <f>SQRT(G11^2+G5^2)</f>
        <v>80.52990796383024</v>
      </c>
      <c r="H29" s="39">
        <f>SUM(H5,H11)</f>
        <v>1350282</v>
      </c>
      <c r="I29" s="39">
        <f t="shared" ref="I29:I31" si="11">TINV(0.1,H29)*G29</f>
        <v>132.46000206961722</v>
      </c>
      <c r="O29" s="52">
        <f>D29/(F29+D29)</f>
        <v>1.392111368204205E-4</v>
      </c>
      <c r="S29" s="39" t="str">
        <f>IF(E29&gt;0.1,ROUND(D29,2)&amp; "(N/S)",D29)</f>
        <v>1.24(N/S)</v>
      </c>
      <c r="T29" s="39" t="str">
        <f>IF(E29&gt;0.1,ROUND(O29*100,2)&amp;"% (N/S)",O29)</f>
        <v>0.01% (N/S)</v>
      </c>
      <c r="U29" s="39">
        <f>E29</f>
        <v>0.98773004011373366</v>
      </c>
      <c r="V29" s="45">
        <f>ABS(I29/D29)</f>
        <v>106.95652254720913</v>
      </c>
    </row>
    <row r="30" spans="1:22" x14ac:dyDescent="0.2">
      <c r="A30" s="39">
        <v>2</v>
      </c>
      <c r="B30" s="39" t="s">
        <v>20</v>
      </c>
      <c r="D30" s="39">
        <f t="shared" ref="D30:D31" si="12">SUMIFS(D$5:D$13,$A$5:$A$13,$A30)</f>
        <v>-1.8202090045516996</v>
      </c>
      <c r="E30" s="39">
        <f>TDIST(ABS(D30/G30),H30,2)</f>
        <v>0.9840370915075467</v>
      </c>
      <c r="F30" s="39">
        <f t="shared" ref="F30:F31" si="13">SUMIFS(F$5:F$13,$A$5:$A$13,$A30)</f>
        <v>8704.63870868099</v>
      </c>
      <c r="G30" s="39">
        <f t="shared" ref="G30:G31" si="14">SQRT(G12^2+G6^2)</f>
        <v>90.974607958441425</v>
      </c>
      <c r="H30" s="39">
        <f t="shared" ref="H30:H31" si="15">SUM(H6,H12)</f>
        <v>847318</v>
      </c>
      <c r="I30" s="39">
        <f t="shared" si="11"/>
        <v>149.64007746270346</v>
      </c>
      <c r="O30" s="52">
        <f>D30/(F30+D30)</f>
        <v>-2.0915166789004888E-4</v>
      </c>
      <c r="S30" s="39" t="str">
        <f t="shared" ref="S30:S31" si="16">IF(E30&gt;0.1,ROUND(D30,2)&amp; "(N/S)",D30)</f>
        <v>-1.82(N/S)</v>
      </c>
      <c r="T30" s="39" t="str">
        <f t="shared" ref="T30:T31" si="17">IF(E30&gt;0.1,ROUND(O30*100,2)&amp;"% (N/S)",O30)</f>
        <v>-0.02% (N/S)</v>
      </c>
      <c r="U30" s="39">
        <f t="shared" ref="U30:U31" si="18">E30</f>
        <v>0.9840370915075467</v>
      </c>
      <c r="V30" s="45">
        <f t="shared" ref="V30:V31" si="19">ABS(I30/D30)</f>
        <v>82.210381933341992</v>
      </c>
    </row>
    <row r="31" spans="1:22" x14ac:dyDescent="0.2">
      <c r="A31" s="39">
        <v>3</v>
      </c>
      <c r="B31" s="39" t="s">
        <v>14</v>
      </c>
      <c r="D31" s="39">
        <f t="shared" si="12"/>
        <v>13.225368982251304</v>
      </c>
      <c r="E31" s="39">
        <f t="shared" ref="E31" si="20">TDIST(ABS(D31/G31),H31,2)</f>
        <v>0.88664980410332583</v>
      </c>
      <c r="F31" s="39">
        <f t="shared" si="13"/>
        <v>8879.4225415698402</v>
      </c>
      <c r="G31" s="39">
        <f t="shared" si="14"/>
        <v>92.780501719021402</v>
      </c>
      <c r="H31" s="39">
        <f t="shared" si="15"/>
        <v>912580</v>
      </c>
      <c r="I31" s="39">
        <f t="shared" si="11"/>
        <v>152.61049968448847</v>
      </c>
      <c r="O31" s="52">
        <f>D31/(F31+D31)</f>
        <v>1.4872250779835742E-3</v>
      </c>
      <c r="S31" s="39" t="str">
        <f t="shared" si="16"/>
        <v>13.23(N/S)</v>
      </c>
      <c r="T31" s="39" t="str">
        <f t="shared" si="17"/>
        <v>0.15% (N/S)</v>
      </c>
      <c r="U31" s="39">
        <f t="shared" si="18"/>
        <v>0.88664980410332583</v>
      </c>
      <c r="V31" s="45">
        <f t="shared" si="19"/>
        <v>11.539224341437631</v>
      </c>
    </row>
  </sheetData>
  <mergeCells count="3">
    <mergeCell ref="S2:T2"/>
    <mergeCell ref="U2:U3"/>
    <mergeCell ref="V2:V3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77DC3-FCC1-4DA3-9310-E10FBA0D729E}">
  <sheetPr>
    <tabColor theme="5"/>
  </sheetPr>
  <dimension ref="F7:L30"/>
  <sheetViews>
    <sheetView topLeftCell="A4" workbookViewId="0">
      <selection activeCell="F7" sqref="F7:L30"/>
    </sheetView>
  </sheetViews>
  <sheetFormatPr defaultRowHeight="10" x14ac:dyDescent="0.2"/>
  <cols>
    <col min="1" max="5" width="8.88671875" style="39"/>
    <col min="6" max="7" width="17.109375" style="39" customWidth="1"/>
    <col min="8" max="8" width="17.44140625" style="39" customWidth="1"/>
    <col min="9" max="10" width="15.88671875" style="39" customWidth="1"/>
    <col min="11" max="11" width="21.88671875" style="39" customWidth="1"/>
    <col min="12" max="12" width="20.44140625" style="39" customWidth="1"/>
    <col min="13" max="16384" width="8.88671875" style="39"/>
  </cols>
  <sheetData>
    <row r="7" spans="6:12" ht="10.5" x14ac:dyDescent="0.2">
      <c r="F7" s="94" t="s">
        <v>161</v>
      </c>
      <c r="G7" s="98" t="s">
        <v>167</v>
      </c>
      <c r="H7" s="98" t="s">
        <v>163</v>
      </c>
      <c r="I7" s="92" t="s">
        <v>26</v>
      </c>
      <c r="J7" s="93"/>
      <c r="K7" s="88" t="s">
        <v>60</v>
      </c>
      <c r="L7" s="90" t="s">
        <v>29</v>
      </c>
    </row>
    <row r="8" spans="6:12" ht="10.5" x14ac:dyDescent="0.2">
      <c r="F8" s="102" t="s">
        <v>161</v>
      </c>
      <c r="G8" s="99"/>
      <c r="H8" s="99"/>
      <c r="I8" s="67" t="s">
        <v>27</v>
      </c>
      <c r="J8" s="68" t="s">
        <v>28</v>
      </c>
      <c r="K8" s="100"/>
      <c r="L8" s="101"/>
    </row>
    <row r="9" spans="6:12" x14ac:dyDescent="0.2">
      <c r="F9" s="61" t="s">
        <v>162</v>
      </c>
      <c r="G9" s="2" t="s">
        <v>13</v>
      </c>
      <c r="H9" s="2" t="str">
        <f>'01 Impacts'!AL7</f>
        <v>On-Peak</v>
      </c>
      <c r="I9" s="63" t="str">
        <f>'01 Impacts'!AM7</f>
        <v>0.16 (N/S)</v>
      </c>
      <c r="J9" s="63" t="str">
        <f>'01 Impacts'!AN7</f>
        <v>2.36% (N/S)</v>
      </c>
      <c r="K9" s="22">
        <f>'01 Impacts'!AO7</f>
        <v>0.104577288601773</v>
      </c>
      <c r="L9" s="64">
        <f>'01 Impacts'!AP7</f>
        <v>1.0134295915350631</v>
      </c>
    </row>
    <row r="10" spans="6:12" x14ac:dyDescent="0.2">
      <c r="F10" s="69" t="s">
        <v>162</v>
      </c>
      <c r="G10" s="13" t="s">
        <v>13</v>
      </c>
      <c r="H10" s="13" t="str">
        <f>'01 Impacts'!AL8</f>
        <v>Mid-Peak</v>
      </c>
      <c r="I10" s="70" t="str">
        <f>'01 Impacts'!AM8</f>
        <v>0.03 (N/S)</v>
      </c>
      <c r="J10" s="70" t="str">
        <f>'01 Impacts'!AN8</f>
        <v>0.42% (N/S)</v>
      </c>
      <c r="K10" s="71">
        <f>'01 Impacts'!AO8</f>
        <v>0.75543908431814999</v>
      </c>
      <c r="L10" s="72">
        <f>'01 Impacts'!AP8</f>
        <v>5.2808475718740508</v>
      </c>
    </row>
    <row r="11" spans="6:12" x14ac:dyDescent="0.2">
      <c r="F11" s="62" t="s">
        <v>162</v>
      </c>
      <c r="G11" s="3" t="s">
        <v>13</v>
      </c>
      <c r="H11" s="3" t="str">
        <f>'01 Impacts'!AL9</f>
        <v>Off-Peak</v>
      </c>
      <c r="I11" s="65" t="str">
        <f>'01 Impacts'!AM9</f>
        <v>-0.2 (N/S)</v>
      </c>
      <c r="J11" s="65" t="str">
        <f>'01 Impacts'!AN9</f>
        <v>-1.62% (N/S)</v>
      </c>
      <c r="K11" s="21">
        <f>'01 Impacts'!AO9</f>
        <v>0.22207009751931001</v>
      </c>
      <c r="L11" s="66">
        <f>'01 Impacts'!AP9</f>
        <v>1.3470906709186787</v>
      </c>
    </row>
    <row r="12" spans="6:12" x14ac:dyDescent="0.2">
      <c r="F12" s="69" t="s">
        <v>162</v>
      </c>
      <c r="G12" s="13" t="s">
        <v>13</v>
      </c>
      <c r="H12" s="13" t="str">
        <f>'01 Impacts'!AL10</f>
        <v>Weekend Off-Peak</v>
      </c>
      <c r="I12" s="70" t="str">
        <f>'01 Impacts'!AM10</f>
        <v>-0.15 (N/S)</v>
      </c>
      <c r="J12" s="70" t="str">
        <f>'01 Impacts'!AN10</f>
        <v>-0.53% (N/S)</v>
      </c>
      <c r="K12" s="71">
        <f>'01 Impacts'!AO10</f>
        <v>0.658963744279356</v>
      </c>
      <c r="L12" s="72">
        <f>'01 Impacts'!AP10</f>
        <v>3.726920372060238</v>
      </c>
    </row>
    <row r="13" spans="6:12" x14ac:dyDescent="0.2">
      <c r="F13" s="83" t="s">
        <v>162</v>
      </c>
      <c r="G13" s="84" t="s">
        <v>13</v>
      </c>
      <c r="H13" s="84" t="s">
        <v>168</v>
      </c>
      <c r="I13" s="85" t="str">
        <f>'03 Seasonal Impacts'!S5</f>
        <v>-10.21(N/S)</v>
      </c>
      <c r="J13" s="85" t="str">
        <f>'03 Seasonal Impacts'!T5</f>
        <v>-0.21% (N/S)</v>
      </c>
      <c r="K13" s="86">
        <f>'03 Seasonal Impacts'!U5</f>
        <v>0.86026779280684995</v>
      </c>
      <c r="L13" s="87">
        <f>'03 Seasonal Impacts'!V5</f>
        <v>9.3440012633890248</v>
      </c>
    </row>
    <row r="14" spans="6:12" x14ac:dyDescent="0.2">
      <c r="F14" s="61" t="s">
        <v>162</v>
      </c>
      <c r="G14" s="2" t="s">
        <v>106</v>
      </c>
      <c r="H14" s="2" t="str">
        <f>'01 Impacts'!AL24</f>
        <v>On-Peak</v>
      </c>
      <c r="I14" s="63" t="str">
        <f>'01 Impacts'!AM24</f>
        <v>0.07 (N/S)</v>
      </c>
      <c r="J14" s="63" t="str">
        <f>'01 Impacts'!AN24</f>
        <v>1.28% (N/S)</v>
      </c>
      <c r="K14" s="22">
        <f>'01 Impacts'!AO24</f>
        <v>0.36252883831483501</v>
      </c>
      <c r="L14" s="64">
        <f>'01 Impacts'!AP24</f>
        <v>1.8064270435189875</v>
      </c>
    </row>
    <row r="15" spans="6:12" x14ac:dyDescent="0.2">
      <c r="F15" s="69" t="s">
        <v>162</v>
      </c>
      <c r="G15" s="13" t="s">
        <v>106</v>
      </c>
      <c r="H15" s="13" t="str">
        <f>'01 Impacts'!AL25</f>
        <v>Mid-Peak</v>
      </c>
      <c r="I15" s="70" t="str">
        <f>'01 Impacts'!AM25</f>
        <v>0.05 (N/S)</v>
      </c>
      <c r="J15" s="70" t="str">
        <f>'01 Impacts'!AN25</f>
        <v>0.87% (N/S)</v>
      </c>
      <c r="K15" s="71">
        <f>'01 Impacts'!AO25</f>
        <v>0.59579760625984401</v>
      </c>
      <c r="L15" s="72">
        <f>'01 Impacts'!AP25</f>
        <v>3.1008475004384959</v>
      </c>
    </row>
    <row r="16" spans="6:12" x14ac:dyDescent="0.2">
      <c r="F16" s="62" t="s">
        <v>162</v>
      </c>
      <c r="G16" s="3" t="s">
        <v>106</v>
      </c>
      <c r="H16" s="3" t="str">
        <f>'01 Impacts'!AL26</f>
        <v>Off-Peak</v>
      </c>
      <c r="I16" s="65" t="str">
        <f>'01 Impacts'!AM26</f>
        <v>0.06 (N/S)</v>
      </c>
      <c r="J16" s="65" t="str">
        <f>'01 Impacts'!AN26</f>
        <v>0.54% (N/S)</v>
      </c>
      <c r="K16" s="21">
        <f>'01 Impacts'!AO26</f>
        <v>0.71411961315539096</v>
      </c>
      <c r="L16" s="66">
        <f>'01 Impacts'!AP26</f>
        <v>4.4901040663953928</v>
      </c>
    </row>
    <row r="17" spans="6:12" x14ac:dyDescent="0.2">
      <c r="F17" s="69" t="s">
        <v>162</v>
      </c>
      <c r="G17" s="13" t="s">
        <v>106</v>
      </c>
      <c r="H17" s="13" t="str">
        <f>'01 Impacts'!AL27</f>
        <v>Weekend Off-Peak</v>
      </c>
      <c r="I17" s="70" t="str">
        <f>'01 Impacts'!AM27</f>
        <v>-0.19 (N/S)</v>
      </c>
      <c r="J17" s="70" t="str">
        <f>'01 Impacts'!AN27</f>
        <v>-0.77% (N/S)</v>
      </c>
      <c r="K17" s="71">
        <f>'01 Impacts'!AO27</f>
        <v>0.55987778375699804</v>
      </c>
      <c r="L17" s="72">
        <f>'01 Impacts'!AP27</f>
        <v>2.821252234991265</v>
      </c>
    </row>
    <row r="18" spans="6:12" x14ac:dyDescent="0.2">
      <c r="F18" s="78" t="s">
        <v>162</v>
      </c>
      <c r="G18" s="79" t="s">
        <v>106</v>
      </c>
      <c r="H18" s="79" t="s">
        <v>168</v>
      </c>
      <c r="I18" s="80" t="str">
        <f>'03 Seasonal Impacts'!S11</f>
        <v>11.45(N/S)</v>
      </c>
      <c r="J18" s="80" t="str">
        <f>'03 Seasonal Impacts'!T11</f>
        <v>0.28% (N/S)</v>
      </c>
      <c r="K18" s="81">
        <f>'03 Seasonal Impacts'!U11</f>
        <v>0.83766886910805205</v>
      </c>
      <c r="L18" s="82">
        <f>'03 Seasonal Impacts'!V11</f>
        <v>8.0285336046297253</v>
      </c>
    </row>
    <row r="19" spans="6:12" ht="10.5" x14ac:dyDescent="0.25">
      <c r="F19" s="73" t="s">
        <v>162</v>
      </c>
      <c r="G19" s="74" t="s">
        <v>164</v>
      </c>
      <c r="H19" s="74" t="s">
        <v>168</v>
      </c>
      <c r="I19" s="75" t="str">
        <f>'03 Seasonal Impacts'!S29</f>
        <v>1.24(N/S)</v>
      </c>
      <c r="J19" s="75" t="str">
        <f>'03 Seasonal Impacts'!T29</f>
        <v>0.01% (N/S)</v>
      </c>
      <c r="K19" s="76">
        <f>'03 Seasonal Impacts'!U29</f>
        <v>0.98773004011373366</v>
      </c>
      <c r="L19" s="77">
        <f>'03 Seasonal Impacts'!V29</f>
        <v>106.95652254720913</v>
      </c>
    </row>
    <row r="20" spans="6:12" x14ac:dyDescent="0.2">
      <c r="F20" s="61" t="s">
        <v>166</v>
      </c>
      <c r="G20" s="2" t="s">
        <v>13</v>
      </c>
      <c r="H20" s="2" t="str">
        <f>'01 Impacts'!AS7</f>
        <v>On-Peak</v>
      </c>
      <c r="I20" s="22">
        <f>'01 Impacts'!AT7</f>
        <v>0.296530124110292</v>
      </c>
      <c r="J20" s="22">
        <f>'01 Impacts'!AU7</f>
        <v>4.9691553335276729E-2</v>
      </c>
      <c r="K20" s="22">
        <f>'01 Impacts'!AV7</f>
        <v>4.4084965568462501E-3</v>
      </c>
      <c r="L20" s="64">
        <f>'01 Impacts'!AW7</f>
        <v>0.57767709796584732</v>
      </c>
    </row>
    <row r="21" spans="6:12" x14ac:dyDescent="0.2">
      <c r="F21" s="69" t="s">
        <v>166</v>
      </c>
      <c r="G21" s="13" t="s">
        <v>13</v>
      </c>
      <c r="H21" s="13" t="str">
        <f>'01 Impacts'!AS8</f>
        <v>Mid-Peak</v>
      </c>
      <c r="I21" s="71">
        <f>'01 Impacts'!AT8</f>
        <v>0.17432961113724299</v>
      </c>
      <c r="J21" s="71">
        <f>'01 Impacts'!AU8</f>
        <v>2.9166761336457618E-2</v>
      </c>
      <c r="K21" s="71">
        <f>'01 Impacts'!AV8</f>
        <v>6.6485633432052396E-2</v>
      </c>
      <c r="L21" s="72">
        <f>'01 Impacts'!AW8</f>
        <v>0.89631152839975958</v>
      </c>
    </row>
    <row r="22" spans="6:12" x14ac:dyDescent="0.2">
      <c r="F22" s="62" t="s">
        <v>166</v>
      </c>
      <c r="G22" s="3" t="s">
        <v>13</v>
      </c>
      <c r="H22" s="3" t="str">
        <f>'01 Impacts'!AS9</f>
        <v>Off-Peak</v>
      </c>
      <c r="I22" s="65" t="str">
        <f>'01 Impacts'!AT9</f>
        <v>-0.22 (N/S)</v>
      </c>
      <c r="J22" s="65" t="str">
        <f>'01 Impacts'!AU9</f>
        <v>-1.96% (N/S)</v>
      </c>
      <c r="K22" s="21">
        <f>'01 Impacts'!AV9</f>
        <v>0.22816319435524901</v>
      </c>
      <c r="L22" s="66">
        <f>'01 Impacts'!AW9</f>
        <v>1.3649070630927007</v>
      </c>
    </row>
    <row r="23" spans="6:12" x14ac:dyDescent="0.2">
      <c r="F23" s="69" t="s">
        <v>166</v>
      </c>
      <c r="G23" s="13" t="s">
        <v>13</v>
      </c>
      <c r="H23" s="13" t="str">
        <f>'01 Impacts'!AS10</f>
        <v>Weekend Off-Peak</v>
      </c>
      <c r="I23" s="70" t="str">
        <f>'01 Impacts'!AT10</f>
        <v>0.08 (N/S)</v>
      </c>
      <c r="J23" s="70" t="str">
        <f>'01 Impacts'!AU10</f>
        <v>0.3% (N/S)</v>
      </c>
      <c r="K23" s="71">
        <f>'01 Impacts'!AV10</f>
        <v>0.82662118740227097</v>
      </c>
      <c r="L23" s="72">
        <f>'01 Impacts'!AW10</f>
        <v>7.5094883454792614</v>
      </c>
    </row>
    <row r="24" spans="6:12" x14ac:dyDescent="0.2">
      <c r="F24" s="83" t="s">
        <v>166</v>
      </c>
      <c r="G24" s="84" t="s">
        <v>13</v>
      </c>
      <c r="H24" s="79" t="s">
        <v>168</v>
      </c>
      <c r="I24" s="85" t="str">
        <f>'03 Seasonal Impacts'!S6</f>
        <v>36.1(N/S)</v>
      </c>
      <c r="J24" s="85" t="str">
        <f>'03 Seasonal Impacts'!T6</f>
        <v>0.79% (N/S)</v>
      </c>
      <c r="K24" s="86">
        <f>'03 Seasonal Impacts'!U6</f>
        <v>0.58185027523237198</v>
      </c>
      <c r="L24" s="87">
        <f>'03 Seasonal Impacts'!V6</f>
        <v>2.9869321642247764</v>
      </c>
    </row>
    <row r="25" spans="6:12" x14ac:dyDescent="0.2">
      <c r="F25" s="61" t="s">
        <v>166</v>
      </c>
      <c r="G25" s="2" t="s">
        <v>106</v>
      </c>
      <c r="H25" s="2" t="str">
        <f>'01 Impacts'!AS24</f>
        <v>On-Peak</v>
      </c>
      <c r="I25" s="63" t="str">
        <f>'01 Impacts'!AT24</f>
        <v>0.1 (N/S)</v>
      </c>
      <c r="J25" s="63" t="str">
        <f>'01 Impacts'!AU24</f>
        <v>1.74% (N/S)</v>
      </c>
      <c r="K25" s="22">
        <f>'01 Impacts'!AV24</f>
        <v>0.27582107262632399</v>
      </c>
      <c r="L25" s="64">
        <f>'01 Impacts'!AW24</f>
        <v>1.5093806344159932</v>
      </c>
    </row>
    <row r="26" spans="6:12" x14ac:dyDescent="0.2">
      <c r="F26" s="69" t="s">
        <v>166</v>
      </c>
      <c r="G26" s="13" t="s">
        <v>106</v>
      </c>
      <c r="H26" s="13" t="str">
        <f>'01 Impacts'!AS25</f>
        <v>Mid-Peak</v>
      </c>
      <c r="I26" s="70" t="str">
        <f>'01 Impacts'!AT25</f>
        <v>-0.04 (N/S)</v>
      </c>
      <c r="J26" s="70" t="str">
        <f>'01 Impacts'!AU25</f>
        <v>-0.68% (N/S)</v>
      </c>
      <c r="K26" s="71">
        <f>'01 Impacts'!AV25</f>
        <v>0.71351558699763895</v>
      </c>
      <c r="L26" s="72">
        <f>'01 Impacts'!AW25</f>
        <v>4.4802041147523877</v>
      </c>
    </row>
    <row r="27" spans="6:12" x14ac:dyDescent="0.2">
      <c r="F27" s="62" t="s">
        <v>166</v>
      </c>
      <c r="G27" s="3" t="s">
        <v>106</v>
      </c>
      <c r="H27" s="3" t="str">
        <f>'01 Impacts'!AS26</f>
        <v>Off-Peak</v>
      </c>
      <c r="I27" s="65" t="str">
        <f>'01 Impacts'!AT26</f>
        <v>-0.19 (N/S)</v>
      </c>
      <c r="J27" s="65" t="str">
        <f>'01 Impacts'!AU26</f>
        <v>-1.74% (N/S)</v>
      </c>
      <c r="K27" s="21">
        <f>'01 Impacts'!AV26</f>
        <v>0.300943447770258</v>
      </c>
      <c r="L27" s="66">
        <f>'01 Impacts'!AW26</f>
        <v>1.5901350059117676</v>
      </c>
    </row>
    <row r="28" spans="6:12" x14ac:dyDescent="0.2">
      <c r="F28" s="69" t="s">
        <v>166</v>
      </c>
      <c r="G28" s="13" t="s">
        <v>106</v>
      </c>
      <c r="H28" s="13" t="str">
        <f>'01 Impacts'!AS27</f>
        <v>Weekend Off-Peak</v>
      </c>
      <c r="I28" s="70" t="str">
        <f>'01 Impacts'!AT27</f>
        <v>-0.4 (N/S)</v>
      </c>
      <c r="J28" s="70" t="str">
        <f>'01 Impacts'!AU27</f>
        <v>-1.61% (N/S)</v>
      </c>
      <c r="K28" s="71">
        <f>'01 Impacts'!AV27</f>
        <v>0.27665167747708103</v>
      </c>
      <c r="L28" s="72">
        <f>'01 Impacts'!AW27</f>
        <v>1.5119934411368428</v>
      </c>
    </row>
    <row r="29" spans="6:12" x14ac:dyDescent="0.2">
      <c r="F29" s="78" t="s">
        <v>166</v>
      </c>
      <c r="G29" s="79" t="s">
        <v>106</v>
      </c>
      <c r="H29" s="79" t="s">
        <v>168</v>
      </c>
      <c r="I29" s="80" t="str">
        <f>'03 Seasonal Impacts'!S12</f>
        <v>-37.92(N/S)</v>
      </c>
      <c r="J29" s="80" t="str">
        <f>'03 Seasonal Impacts'!T12</f>
        <v>-0.92% (N/S)</v>
      </c>
      <c r="K29" s="81">
        <f>'03 Seasonal Impacts'!U12</f>
        <v>0.54771850779583697</v>
      </c>
      <c r="L29" s="82">
        <f>'03 Seasonal Impacts'!V12</f>
        <v>2.7360347648961554</v>
      </c>
    </row>
    <row r="30" spans="6:12" ht="10.5" x14ac:dyDescent="0.25">
      <c r="F30" s="73" t="s">
        <v>166</v>
      </c>
      <c r="G30" s="74" t="s">
        <v>164</v>
      </c>
      <c r="H30" s="74" t="s">
        <v>168</v>
      </c>
      <c r="I30" s="75" t="str">
        <f>'03 Seasonal Impacts'!S30</f>
        <v>-1.82(N/S)</v>
      </c>
      <c r="J30" s="75" t="str">
        <f>'03 Seasonal Impacts'!T30</f>
        <v>-0.02% (N/S)</v>
      </c>
      <c r="K30" s="76">
        <f>'03 Seasonal Impacts'!U30</f>
        <v>0.9840370915075467</v>
      </c>
      <c r="L30" s="77">
        <f>'03 Seasonal Impacts'!V30</f>
        <v>82.210381933341992</v>
      </c>
    </row>
  </sheetData>
  <mergeCells count="6">
    <mergeCell ref="H7:H8"/>
    <mergeCell ref="I7:J7"/>
    <mergeCell ref="K7:K8"/>
    <mergeCell ref="L7:L8"/>
    <mergeCell ref="F7:F8"/>
    <mergeCell ref="G7:G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13588-19E5-4372-84F2-395D53695875}">
  <sheetPr>
    <tabColor theme="1"/>
  </sheetPr>
  <dimension ref="A1:T29"/>
  <sheetViews>
    <sheetView workbookViewId="0">
      <selection activeCell="B1" sqref="B1"/>
    </sheetView>
  </sheetViews>
  <sheetFormatPr defaultRowHeight="10" x14ac:dyDescent="0.2"/>
  <cols>
    <col min="1" max="7" width="8.88671875" style="1"/>
    <col min="8" max="8" width="50.21875" style="1" customWidth="1"/>
    <col min="9" max="11" width="8.88671875" style="1"/>
    <col min="12" max="12" width="18.77734375" style="1" customWidth="1"/>
    <col min="13" max="16384" width="8.88671875" style="1"/>
  </cols>
  <sheetData>
    <row r="1" spans="1:20" x14ac:dyDescent="0.2">
      <c r="A1" s="1" t="s">
        <v>31</v>
      </c>
      <c r="B1" s="1" t="s">
        <v>32</v>
      </c>
      <c r="C1" s="1" t="s">
        <v>10</v>
      </c>
      <c r="D1" s="1" t="s">
        <v>126</v>
      </c>
      <c r="E1" s="1" t="s">
        <v>33</v>
      </c>
      <c r="F1" s="1" t="s">
        <v>34</v>
      </c>
      <c r="G1" s="1" t="s">
        <v>0</v>
      </c>
      <c r="H1" s="1" t="s">
        <v>1</v>
      </c>
      <c r="I1" s="1" t="s">
        <v>2</v>
      </c>
      <c r="J1" s="1" t="s">
        <v>11</v>
      </c>
      <c r="K1" s="1" t="s">
        <v>12</v>
      </c>
      <c r="L1" s="1" t="s">
        <v>3</v>
      </c>
      <c r="M1" s="1" t="s">
        <v>112</v>
      </c>
      <c r="N1" s="1" t="s">
        <v>63</v>
      </c>
      <c r="O1" s="1" t="s">
        <v>113</v>
      </c>
      <c r="P1" s="1" t="s">
        <v>114</v>
      </c>
      <c r="Q1" s="1" t="s">
        <v>115</v>
      </c>
      <c r="R1" s="1" t="s">
        <v>36</v>
      </c>
      <c r="T1" s="1" t="s">
        <v>22</v>
      </c>
    </row>
    <row r="2" spans="1:20" x14ac:dyDescent="0.2">
      <c r="A2" s="1">
        <v>3.03480855826559E-2</v>
      </c>
      <c r="B2" s="1">
        <v>0.115473241959319</v>
      </c>
      <c r="C2" s="1">
        <v>0.79269339062115796</v>
      </c>
      <c r="D2" s="1">
        <v>450102</v>
      </c>
      <c r="E2" s="1" t="s">
        <v>37</v>
      </c>
      <c r="F2" s="1">
        <v>1</v>
      </c>
      <c r="G2" s="1" t="s">
        <v>106</v>
      </c>
      <c r="H2" s="1" t="s">
        <v>14</v>
      </c>
      <c r="I2" s="1">
        <v>1</v>
      </c>
      <c r="J2" s="1">
        <v>1.6448570123447901</v>
      </c>
      <c r="K2" s="1">
        <v>0.18993697177497201</v>
      </c>
      <c r="L2" s="1" t="s">
        <v>15</v>
      </c>
      <c r="M2" s="1">
        <v>5.1985906493712104</v>
      </c>
      <c r="N2" s="1">
        <v>124</v>
      </c>
      <c r="O2" s="1">
        <v>6</v>
      </c>
      <c r="P2" s="1">
        <v>5.0580142637759902E-3</v>
      </c>
      <c r="Q2" s="1">
        <v>0.86643177489520196</v>
      </c>
      <c r="R2" s="1" t="s">
        <v>38</v>
      </c>
      <c r="T2" s="1" t="str">
        <f>H2&amp;"_"&amp;$L2</f>
        <v>Parts_CPP_CPP/RT_Conts_RCT_Mid-Peak</v>
      </c>
    </row>
    <row r="3" spans="1:20" x14ac:dyDescent="0.2">
      <c r="A3" s="1">
        <v>0.134611506388508</v>
      </c>
      <c r="B3" s="1">
        <v>0.21915361127261801</v>
      </c>
      <c r="C3" s="1">
        <v>0.53906129930916802</v>
      </c>
      <c r="D3" s="1">
        <v>450102</v>
      </c>
      <c r="E3" s="1" t="s">
        <v>39</v>
      </c>
      <c r="F3" s="1">
        <v>1</v>
      </c>
      <c r="G3" s="1" t="s">
        <v>106</v>
      </c>
      <c r="H3" s="1" t="s">
        <v>14</v>
      </c>
      <c r="I3" s="1">
        <v>1</v>
      </c>
      <c r="J3" s="1">
        <v>1.6448570123447901</v>
      </c>
      <c r="K3" s="1">
        <v>0.36047635428245001</v>
      </c>
      <c r="L3" s="1" t="s">
        <v>16</v>
      </c>
      <c r="M3" s="1">
        <v>11.156694773234101</v>
      </c>
      <c r="N3" s="1">
        <v>124</v>
      </c>
      <c r="O3" s="1">
        <v>12</v>
      </c>
      <c r="P3" s="1">
        <v>1.1217625532375699E-2</v>
      </c>
      <c r="Q3" s="1">
        <v>0.92972456443617502</v>
      </c>
      <c r="R3" s="1" t="s">
        <v>38</v>
      </c>
      <c r="T3" s="1" t="str">
        <f t="shared" ref="T3:T29" si="0">H3&amp;"_"&amp;$L3</f>
        <v>Parts_CPP_CPP/RT_Conts_RCT_Off-Peak</v>
      </c>
    </row>
    <row r="4" spans="1:20" x14ac:dyDescent="0.2">
      <c r="A4" s="1">
        <v>-0.117150055236293</v>
      </c>
      <c r="B4" s="1">
        <v>0.11609115619137</v>
      </c>
      <c r="C4" s="1">
        <v>0.31291701971694802</v>
      </c>
      <c r="D4" s="1">
        <v>450102</v>
      </c>
      <c r="E4" s="1" t="s">
        <v>40</v>
      </c>
      <c r="F4" s="1">
        <v>1</v>
      </c>
      <c r="G4" s="1" t="s">
        <v>106</v>
      </c>
      <c r="H4" s="1" t="s">
        <v>14</v>
      </c>
      <c r="I4" s="1">
        <v>1</v>
      </c>
      <c r="J4" s="1">
        <v>1.6448570123447901</v>
      </c>
      <c r="K4" s="1">
        <v>0.190953352332589</v>
      </c>
      <c r="L4" s="1" t="s">
        <v>17</v>
      </c>
      <c r="M4" s="1">
        <v>5.8038698354468803</v>
      </c>
      <c r="N4" s="1">
        <v>124</v>
      </c>
      <c r="O4" s="1">
        <v>6</v>
      </c>
      <c r="P4" s="1">
        <v>-1.9525009206048799E-2</v>
      </c>
      <c r="Q4" s="1">
        <v>0.96731163924114705</v>
      </c>
      <c r="R4" s="1" t="s">
        <v>38</v>
      </c>
      <c r="T4" s="1" t="str">
        <f t="shared" si="0"/>
        <v>Parts_CPP_CPP/RT_Conts_RCT_On-Peak</v>
      </c>
    </row>
    <row r="5" spans="1:20" x14ac:dyDescent="0.2">
      <c r="A5" s="1">
        <v>0.15907476700640399</v>
      </c>
      <c r="B5" s="1">
        <v>0.435986018224651</v>
      </c>
      <c r="C5" s="1">
        <v>0.71521453034278304</v>
      </c>
      <c r="D5" s="1">
        <v>450102</v>
      </c>
      <c r="E5" s="1" t="s">
        <v>41</v>
      </c>
      <c r="F5" s="1">
        <v>1</v>
      </c>
      <c r="G5" s="1" t="s">
        <v>106</v>
      </c>
      <c r="H5" s="1" t="s">
        <v>14</v>
      </c>
      <c r="I5" s="1">
        <v>1</v>
      </c>
      <c r="J5" s="1">
        <v>1.6448570123447901</v>
      </c>
      <c r="K5" s="1">
        <v>0.71713465936109999</v>
      </c>
      <c r="L5" s="1" t="s">
        <v>18</v>
      </c>
      <c r="M5" s="1">
        <v>25.044258769564198</v>
      </c>
      <c r="N5" s="1">
        <v>57</v>
      </c>
      <c r="O5" s="1">
        <v>24</v>
      </c>
      <c r="P5" s="1">
        <v>6.6281152919334804E-3</v>
      </c>
      <c r="Q5" s="1">
        <v>1.0435107820651801</v>
      </c>
      <c r="R5" s="1" t="s">
        <v>38</v>
      </c>
      <c r="T5" s="1" t="str">
        <f t="shared" si="0"/>
        <v>Parts_CPP_CPP/RT_Conts_RCT_Weekend Off-Peak</v>
      </c>
    </row>
    <row r="6" spans="1:20" x14ac:dyDescent="0.2">
      <c r="A6" s="1">
        <v>3.3426450434068902E-2</v>
      </c>
      <c r="B6" s="1">
        <v>0.124375740943616</v>
      </c>
      <c r="C6" s="1">
        <v>0.78811928697795097</v>
      </c>
      <c r="D6" s="1">
        <v>450102</v>
      </c>
      <c r="E6" s="1" t="s">
        <v>107</v>
      </c>
      <c r="F6" s="1">
        <v>1</v>
      </c>
      <c r="G6" s="1" t="s">
        <v>106</v>
      </c>
      <c r="H6" s="1" t="s">
        <v>14</v>
      </c>
      <c r="I6" s="1">
        <v>1</v>
      </c>
      <c r="J6" s="1">
        <v>1.6448570123447901</v>
      </c>
      <c r="K6" s="1">
        <v>0.204580309656686</v>
      </c>
      <c r="L6" s="1" t="s">
        <v>15</v>
      </c>
      <c r="M6" s="1">
        <v>5.1985906493712104</v>
      </c>
      <c r="N6" s="1">
        <v>124</v>
      </c>
      <c r="O6" s="1">
        <v>6</v>
      </c>
      <c r="P6" s="1">
        <v>5.5710750723448202E-3</v>
      </c>
      <c r="Q6" s="1">
        <v>0.86643177489520196</v>
      </c>
      <c r="R6" s="1" t="s">
        <v>108</v>
      </c>
      <c r="T6" s="1" t="str">
        <f t="shared" si="0"/>
        <v>Parts_CPP_CPP/RT_Conts_RCT_Mid-Peak</v>
      </c>
    </row>
    <row r="7" spans="1:20" x14ac:dyDescent="0.2">
      <c r="A7" s="1">
        <v>0.103542500371688</v>
      </c>
      <c r="B7" s="1">
        <v>0.246445017611676</v>
      </c>
      <c r="C7" s="1">
        <v>0.67438015087617698</v>
      </c>
      <c r="D7" s="1">
        <v>450102</v>
      </c>
      <c r="E7" s="1" t="s">
        <v>109</v>
      </c>
      <c r="F7" s="1">
        <v>1</v>
      </c>
      <c r="G7" s="1" t="s">
        <v>106</v>
      </c>
      <c r="H7" s="1" t="s">
        <v>14</v>
      </c>
      <c r="I7" s="1">
        <v>1</v>
      </c>
      <c r="J7" s="1">
        <v>1.6448570123447901</v>
      </c>
      <c r="K7" s="1">
        <v>0.405366815376001</v>
      </c>
      <c r="L7" s="1" t="s">
        <v>16</v>
      </c>
      <c r="M7" s="1">
        <v>11.156694773234101</v>
      </c>
      <c r="N7" s="1">
        <v>124</v>
      </c>
      <c r="O7" s="1">
        <v>12</v>
      </c>
      <c r="P7" s="1">
        <v>8.6285416976406796E-3</v>
      </c>
      <c r="Q7" s="1">
        <v>0.92972456443617502</v>
      </c>
      <c r="R7" s="1" t="s">
        <v>108</v>
      </c>
      <c r="T7" s="1" t="str">
        <f t="shared" si="0"/>
        <v>Parts_CPP_CPP/RT_Conts_RCT_Off-Peak</v>
      </c>
    </row>
    <row r="8" spans="1:20" x14ac:dyDescent="0.2">
      <c r="A8" s="1">
        <v>2.6292207757259101E-2</v>
      </c>
      <c r="B8" s="1">
        <v>0.120762372830021</v>
      </c>
      <c r="C8" s="1">
        <v>0.82764851437617204</v>
      </c>
      <c r="D8" s="1">
        <v>450102</v>
      </c>
      <c r="E8" s="1" t="s">
        <v>110</v>
      </c>
      <c r="F8" s="1">
        <v>1</v>
      </c>
      <c r="G8" s="1" t="s">
        <v>106</v>
      </c>
      <c r="H8" s="1" t="s">
        <v>14</v>
      </c>
      <c r="I8" s="1">
        <v>1</v>
      </c>
      <c r="J8" s="1">
        <v>1.6448570123447901</v>
      </c>
      <c r="K8" s="1">
        <v>0.19863683577685701</v>
      </c>
      <c r="L8" s="1" t="s">
        <v>17</v>
      </c>
      <c r="M8" s="1">
        <v>5.8038698354468803</v>
      </c>
      <c r="N8" s="1">
        <v>124</v>
      </c>
      <c r="O8" s="1">
        <v>6</v>
      </c>
      <c r="P8" s="1">
        <v>4.38203462620984E-3</v>
      </c>
      <c r="Q8" s="1">
        <v>0.96731163924114705</v>
      </c>
      <c r="R8" s="1" t="s">
        <v>108</v>
      </c>
      <c r="T8" s="1" t="str">
        <f t="shared" si="0"/>
        <v>Parts_CPP_CPP/RT_Conts_RCT_On-Peak</v>
      </c>
    </row>
    <row r="9" spans="1:20" x14ac:dyDescent="0.2">
      <c r="A9" s="1">
        <v>0.46722536073468801</v>
      </c>
      <c r="B9" s="1">
        <v>0.44346899892522701</v>
      </c>
      <c r="C9" s="1">
        <v>0.29208067719887398</v>
      </c>
      <c r="D9" s="1">
        <v>450102</v>
      </c>
      <c r="E9" s="1" t="s">
        <v>111</v>
      </c>
      <c r="F9" s="1">
        <v>1</v>
      </c>
      <c r="G9" s="1" t="s">
        <v>106</v>
      </c>
      <c r="H9" s="1" t="s">
        <v>14</v>
      </c>
      <c r="I9" s="1">
        <v>1</v>
      </c>
      <c r="J9" s="1">
        <v>1.6448570123447901</v>
      </c>
      <c r="K9" s="1">
        <v>0.72944309263968399</v>
      </c>
      <c r="L9" s="1" t="s">
        <v>18</v>
      </c>
      <c r="M9" s="1">
        <v>25.044258769564198</v>
      </c>
      <c r="N9" s="1">
        <v>57</v>
      </c>
      <c r="O9" s="1">
        <v>24</v>
      </c>
      <c r="P9" s="1">
        <v>1.94677233639453E-2</v>
      </c>
      <c r="Q9" s="1">
        <v>1.0435107820651801</v>
      </c>
      <c r="R9" s="1" t="s">
        <v>108</v>
      </c>
      <c r="T9" s="1" t="str">
        <f t="shared" si="0"/>
        <v>Parts_CPP_CPP/RT_Conts_RCT_Weekend Off-Peak</v>
      </c>
    </row>
    <row r="10" spans="1:20" x14ac:dyDescent="0.2">
      <c r="A10" s="1">
        <v>-4.5024934870837002E-2</v>
      </c>
      <c r="B10" s="1">
        <v>8.4880053200481503E-2</v>
      </c>
      <c r="C10" s="1">
        <v>0.59579760625984401</v>
      </c>
      <c r="D10" s="1">
        <v>668796</v>
      </c>
      <c r="E10" s="1" t="s">
        <v>46</v>
      </c>
      <c r="F10" s="1">
        <v>1</v>
      </c>
      <c r="G10" s="1" t="s">
        <v>106</v>
      </c>
      <c r="H10" s="1" t="s">
        <v>19</v>
      </c>
      <c r="I10" s="1">
        <v>2</v>
      </c>
      <c r="J10" s="1">
        <v>1.6448559053312299</v>
      </c>
      <c r="K10" s="1">
        <v>0.139615456751641</v>
      </c>
      <c r="L10" s="1" t="s">
        <v>15</v>
      </c>
      <c r="M10" s="1">
        <v>5.1295056016463203</v>
      </c>
      <c r="N10" s="1">
        <v>124</v>
      </c>
      <c r="O10" s="1">
        <v>6</v>
      </c>
      <c r="P10" s="1">
        <v>-7.5041558118061702E-3</v>
      </c>
      <c r="Q10" s="1">
        <v>0.85491760027438601</v>
      </c>
      <c r="R10" s="1" t="s">
        <v>47</v>
      </c>
      <c r="T10" s="1" t="str">
        <f t="shared" si="0"/>
        <v>Parts_RT_Conts_RCT_Mid-Peak</v>
      </c>
    </row>
    <row r="11" spans="1:20" x14ac:dyDescent="0.2">
      <c r="A11" s="1">
        <v>-5.89041327028169E-2</v>
      </c>
      <c r="B11" s="1">
        <v>0.16079565688348299</v>
      </c>
      <c r="C11" s="1">
        <v>0.71411961315539096</v>
      </c>
      <c r="D11" s="1">
        <v>668796</v>
      </c>
      <c r="E11" s="1" t="s">
        <v>48</v>
      </c>
      <c r="F11" s="1">
        <v>1</v>
      </c>
      <c r="G11" s="1" t="s">
        <v>106</v>
      </c>
      <c r="H11" s="1" t="s">
        <v>19</v>
      </c>
      <c r="I11" s="1">
        <v>2</v>
      </c>
      <c r="J11" s="1">
        <v>1.6448559053312299</v>
      </c>
      <c r="K11" s="1">
        <v>0.26448568577641202</v>
      </c>
      <c r="L11" s="1" t="s">
        <v>16</v>
      </c>
      <c r="M11" s="1">
        <v>10.828958297358</v>
      </c>
      <c r="N11" s="1">
        <v>124</v>
      </c>
      <c r="O11" s="1">
        <v>12</v>
      </c>
      <c r="P11" s="1">
        <v>-4.9086777252347396E-3</v>
      </c>
      <c r="Q11" s="1">
        <v>0.90241319144649701</v>
      </c>
      <c r="R11" s="1" t="s">
        <v>47</v>
      </c>
      <c r="T11" s="1" t="str">
        <f t="shared" si="0"/>
        <v>Parts_RT_Conts_RCT_Off-Peak</v>
      </c>
    </row>
    <row r="12" spans="1:20" x14ac:dyDescent="0.2">
      <c r="A12" s="1">
        <v>-7.4903731565936202E-2</v>
      </c>
      <c r="B12" s="1">
        <v>8.2261385889572103E-2</v>
      </c>
      <c r="C12" s="1">
        <v>0.36252883831483501</v>
      </c>
      <c r="D12" s="1">
        <v>668796</v>
      </c>
      <c r="E12" s="1" t="s">
        <v>49</v>
      </c>
      <c r="F12" s="1">
        <v>1</v>
      </c>
      <c r="G12" s="1" t="s">
        <v>106</v>
      </c>
      <c r="H12" s="1" t="s">
        <v>19</v>
      </c>
      <c r="I12" s="1">
        <v>2</v>
      </c>
      <c r="J12" s="1">
        <v>1.6448559053312299</v>
      </c>
      <c r="K12" s="1">
        <v>0.13530812636119399</v>
      </c>
      <c r="L12" s="1" t="s">
        <v>17</v>
      </c>
      <c r="M12" s="1">
        <v>5.7701777992041796</v>
      </c>
      <c r="N12" s="1">
        <v>124</v>
      </c>
      <c r="O12" s="1">
        <v>6</v>
      </c>
      <c r="P12" s="1">
        <v>-1.24839552609894E-2</v>
      </c>
      <c r="Q12" s="1">
        <v>0.96169629986736405</v>
      </c>
      <c r="R12" s="1" t="s">
        <v>47</v>
      </c>
      <c r="T12" s="1" t="str">
        <f t="shared" si="0"/>
        <v>Parts_RT_Conts_RCT_On-Peak</v>
      </c>
    </row>
    <row r="13" spans="1:20" x14ac:dyDescent="0.2">
      <c r="A13" s="1">
        <v>0.188212121808667</v>
      </c>
      <c r="B13" s="1">
        <v>0.32282090338984498</v>
      </c>
      <c r="C13" s="1">
        <v>0.55987778375699804</v>
      </c>
      <c r="D13" s="1">
        <v>668796</v>
      </c>
      <c r="E13" s="1" t="s">
        <v>50</v>
      </c>
      <c r="F13" s="1">
        <v>1</v>
      </c>
      <c r="G13" s="1" t="s">
        <v>106</v>
      </c>
      <c r="H13" s="1" t="s">
        <v>19</v>
      </c>
      <c r="I13" s="1">
        <v>2</v>
      </c>
      <c r="J13" s="1">
        <v>1.6448559053312299</v>
      </c>
      <c r="K13" s="1">
        <v>0.53099386930515002</v>
      </c>
      <c r="L13" s="1" t="s">
        <v>18</v>
      </c>
      <c r="M13" s="1">
        <v>24.6512895003358</v>
      </c>
      <c r="N13" s="1">
        <v>57</v>
      </c>
      <c r="O13" s="1">
        <v>24</v>
      </c>
      <c r="P13" s="1">
        <v>7.8421717420277797E-3</v>
      </c>
      <c r="Q13" s="1">
        <v>1.02713706251399</v>
      </c>
      <c r="R13" s="1" t="s">
        <v>47</v>
      </c>
      <c r="T13" s="1" t="str">
        <f t="shared" si="0"/>
        <v>Parts_RT_Conts_RCT_Weekend Off-Peak</v>
      </c>
    </row>
    <row r="14" spans="1:20" x14ac:dyDescent="0.2">
      <c r="A14" s="1">
        <v>1.9685621558848801E-2</v>
      </c>
      <c r="B14" s="1">
        <v>0.113354441384358</v>
      </c>
      <c r="C14" s="1">
        <v>0.86212936707452303</v>
      </c>
      <c r="D14" s="1">
        <v>417198</v>
      </c>
      <c r="E14" s="1" t="s">
        <v>37</v>
      </c>
      <c r="F14" s="1">
        <v>1</v>
      </c>
      <c r="G14" s="1" t="s">
        <v>106</v>
      </c>
      <c r="H14" s="1" t="s">
        <v>20</v>
      </c>
      <c r="I14" s="1">
        <v>3</v>
      </c>
      <c r="J14" s="1">
        <v>1.64485727934806</v>
      </c>
      <c r="K14" s="1">
        <v>0.186451878057495</v>
      </c>
      <c r="L14" s="1" t="s">
        <v>15</v>
      </c>
      <c r="M14" s="1">
        <v>5.1985906493712104</v>
      </c>
      <c r="N14" s="1">
        <v>124</v>
      </c>
      <c r="O14" s="1">
        <v>6</v>
      </c>
      <c r="P14" s="1">
        <v>3.2809369264748E-3</v>
      </c>
      <c r="Q14" s="1">
        <v>0.86643177489520196</v>
      </c>
      <c r="R14" s="1" t="s">
        <v>38</v>
      </c>
      <c r="T14" s="1" t="str">
        <f t="shared" si="0"/>
        <v>NO_CPP_EVENTS_Parts_CPP_CPP/RT_Conts_RCT_Mid-Peak</v>
      </c>
    </row>
    <row r="15" spans="1:20" x14ac:dyDescent="0.2">
      <c r="A15" s="1">
        <v>0.13429980652534301</v>
      </c>
      <c r="B15" s="1">
        <v>0.21275923830075699</v>
      </c>
      <c r="C15" s="1">
        <v>0.52789113234659202</v>
      </c>
      <c r="D15" s="1">
        <v>417198</v>
      </c>
      <c r="E15" s="1" t="s">
        <v>39</v>
      </c>
      <c r="F15" s="1">
        <v>1</v>
      </c>
      <c r="G15" s="1" t="s">
        <v>106</v>
      </c>
      <c r="H15" s="1" t="s">
        <v>20</v>
      </c>
      <c r="I15" s="1">
        <v>3</v>
      </c>
      <c r="J15" s="1">
        <v>1.64485727934806</v>
      </c>
      <c r="K15" s="1">
        <v>0.34995858186755002</v>
      </c>
      <c r="L15" s="1" t="s">
        <v>16</v>
      </c>
      <c r="M15" s="1">
        <v>11.156694773234101</v>
      </c>
      <c r="N15" s="1">
        <v>124</v>
      </c>
      <c r="O15" s="1">
        <v>12</v>
      </c>
      <c r="P15" s="1">
        <v>1.1191650543778501E-2</v>
      </c>
      <c r="Q15" s="1">
        <v>0.92972456443617502</v>
      </c>
      <c r="R15" s="1" t="s">
        <v>38</v>
      </c>
      <c r="T15" s="1" t="str">
        <f t="shared" si="0"/>
        <v>NO_CPP_EVENTS_Parts_CPP_CPP/RT_Conts_RCT_Off-Peak</v>
      </c>
    </row>
    <row r="16" spans="1:20" x14ac:dyDescent="0.2">
      <c r="A16" s="1">
        <v>-0.115426104210857</v>
      </c>
      <c r="B16" s="1">
        <v>0.113738611438314</v>
      </c>
      <c r="C16" s="1">
        <v>0.31018431880383401</v>
      </c>
      <c r="D16" s="1">
        <v>417198</v>
      </c>
      <c r="E16" s="1" t="s">
        <v>40</v>
      </c>
      <c r="F16" s="1">
        <v>1</v>
      </c>
      <c r="G16" s="1" t="s">
        <v>106</v>
      </c>
      <c r="H16" s="1" t="s">
        <v>20</v>
      </c>
      <c r="I16" s="1">
        <v>3</v>
      </c>
      <c r="J16" s="1">
        <v>1.64485727934806</v>
      </c>
      <c r="K16" s="1">
        <v>0.187083782967252</v>
      </c>
      <c r="L16" s="1" t="s">
        <v>17</v>
      </c>
      <c r="M16" s="1">
        <v>5.8038698354468803</v>
      </c>
      <c r="N16" s="1">
        <v>124</v>
      </c>
      <c r="O16" s="1">
        <v>6</v>
      </c>
      <c r="P16" s="1">
        <v>-1.92376840351428E-2</v>
      </c>
      <c r="Q16" s="1">
        <v>0.96731163924114705</v>
      </c>
      <c r="R16" s="1" t="s">
        <v>38</v>
      </c>
      <c r="T16" s="1" t="str">
        <f t="shared" si="0"/>
        <v>NO_CPP_EVENTS_Parts_CPP_CPP/RT_Conts_RCT_On-Peak</v>
      </c>
    </row>
    <row r="17" spans="1:20" x14ac:dyDescent="0.2">
      <c r="A17" s="1">
        <v>0.159074767006403</v>
      </c>
      <c r="B17" s="1">
        <v>0.435989760775985</v>
      </c>
      <c r="C17" s="1">
        <v>0.71521688190633204</v>
      </c>
      <c r="D17" s="1">
        <v>417198</v>
      </c>
      <c r="E17" s="1" t="s">
        <v>41</v>
      </c>
      <c r="F17" s="1">
        <v>1</v>
      </c>
      <c r="G17" s="1" t="s">
        <v>106</v>
      </c>
      <c r="H17" s="1" t="s">
        <v>20</v>
      </c>
      <c r="I17" s="1">
        <v>3</v>
      </c>
      <c r="J17" s="1">
        <v>1.64485727934806</v>
      </c>
      <c r="K17" s="1">
        <v>0.71714093173359805</v>
      </c>
      <c r="L17" s="1" t="s">
        <v>18</v>
      </c>
      <c r="M17" s="1">
        <v>25.044258769564198</v>
      </c>
      <c r="N17" s="1">
        <v>57</v>
      </c>
      <c r="O17" s="1">
        <v>24</v>
      </c>
      <c r="P17" s="1">
        <v>6.6281152919334804E-3</v>
      </c>
      <c r="Q17" s="1">
        <v>1.0435107820651801</v>
      </c>
      <c r="R17" s="1" t="s">
        <v>38</v>
      </c>
      <c r="T17" s="1" t="str">
        <f t="shared" si="0"/>
        <v>NO_CPP_EVENTS_Parts_CPP_CPP/RT_Conts_RCT_Weekend Off-Peak</v>
      </c>
    </row>
    <row r="18" spans="1:20" x14ac:dyDescent="0.2">
      <c r="A18" s="1">
        <v>3.0577776824232201E-2</v>
      </c>
      <c r="B18" s="1">
        <v>0.121556162234634</v>
      </c>
      <c r="C18" s="1">
        <v>0.80138697222788402</v>
      </c>
      <c r="D18" s="1">
        <v>417198</v>
      </c>
      <c r="E18" s="1" t="s">
        <v>107</v>
      </c>
      <c r="F18" s="1">
        <v>1</v>
      </c>
      <c r="G18" s="1" t="s">
        <v>106</v>
      </c>
      <c r="H18" s="1" t="s">
        <v>20</v>
      </c>
      <c r="I18" s="1">
        <v>3</v>
      </c>
      <c r="J18" s="1">
        <v>1.64485727934806</v>
      </c>
      <c r="K18" s="1">
        <v>0.199942538301251</v>
      </c>
      <c r="L18" s="1" t="s">
        <v>15</v>
      </c>
      <c r="M18" s="1">
        <v>5.1985906493712104</v>
      </c>
      <c r="N18" s="1">
        <v>124</v>
      </c>
      <c r="O18" s="1">
        <v>6</v>
      </c>
      <c r="P18" s="1">
        <v>5.0962961373720297E-3</v>
      </c>
      <c r="Q18" s="1">
        <v>0.86643177489520196</v>
      </c>
      <c r="R18" s="1" t="s">
        <v>108</v>
      </c>
      <c r="T18" s="1" t="str">
        <f t="shared" si="0"/>
        <v>NO_CPP_EVENTS_Parts_CPP_CPP/RT_Conts_RCT_Mid-Peak</v>
      </c>
    </row>
    <row r="19" spans="1:20" x14ac:dyDescent="0.2">
      <c r="A19" s="1">
        <v>0.109854662342132</v>
      </c>
      <c r="B19" s="1">
        <v>0.24001640371157201</v>
      </c>
      <c r="C19" s="1">
        <v>0.64717075796024404</v>
      </c>
      <c r="D19" s="1">
        <v>417198</v>
      </c>
      <c r="E19" s="1" t="s">
        <v>109</v>
      </c>
      <c r="F19" s="1">
        <v>1</v>
      </c>
      <c r="G19" s="1" t="s">
        <v>106</v>
      </c>
      <c r="H19" s="1" t="s">
        <v>20</v>
      </c>
      <c r="I19" s="1">
        <v>3</v>
      </c>
      <c r="J19" s="1">
        <v>1.64485727934806</v>
      </c>
      <c r="K19" s="1">
        <v>0.39479272880792299</v>
      </c>
      <c r="L19" s="1" t="s">
        <v>16</v>
      </c>
      <c r="M19" s="1">
        <v>11.156694773234101</v>
      </c>
      <c r="N19" s="1">
        <v>124</v>
      </c>
      <c r="O19" s="1">
        <v>12</v>
      </c>
      <c r="P19" s="1">
        <v>9.1545551951777004E-3</v>
      </c>
      <c r="Q19" s="1">
        <v>0.92972456443617502</v>
      </c>
      <c r="R19" s="1" t="s">
        <v>108</v>
      </c>
      <c r="T19" s="1" t="str">
        <f t="shared" si="0"/>
        <v>NO_CPP_EVENTS_Parts_CPP_CPP/RT_Conts_RCT_Off-Peak</v>
      </c>
    </row>
    <row r="20" spans="1:20" x14ac:dyDescent="0.2">
      <c r="A20" s="1">
        <v>2.52242748820697E-2</v>
      </c>
      <c r="B20" s="1">
        <v>0.11785540839695</v>
      </c>
      <c r="C20" s="1">
        <v>0.83052587247694698</v>
      </c>
      <c r="D20" s="1">
        <v>417198</v>
      </c>
      <c r="E20" s="1" t="s">
        <v>110</v>
      </c>
      <c r="F20" s="1">
        <v>1</v>
      </c>
      <c r="G20" s="1" t="s">
        <v>106</v>
      </c>
      <c r="H20" s="1" t="s">
        <v>20</v>
      </c>
      <c r="I20" s="1">
        <v>3</v>
      </c>
      <c r="J20" s="1">
        <v>1.64485727934806</v>
      </c>
      <c r="K20" s="1">
        <v>0.193855326412261</v>
      </c>
      <c r="L20" s="1" t="s">
        <v>17</v>
      </c>
      <c r="M20" s="1">
        <v>5.8038698354468803</v>
      </c>
      <c r="N20" s="1">
        <v>124</v>
      </c>
      <c r="O20" s="1">
        <v>6</v>
      </c>
      <c r="P20" s="1">
        <v>4.2040458136782801E-3</v>
      </c>
      <c r="Q20" s="1">
        <v>0.96731163924114705</v>
      </c>
      <c r="R20" s="1" t="s">
        <v>108</v>
      </c>
      <c r="T20" s="1" t="str">
        <f t="shared" si="0"/>
        <v>NO_CPP_EVENTS_Parts_CPP_CPP/RT_Conts_RCT_On-Peak</v>
      </c>
    </row>
    <row r="21" spans="1:20" x14ac:dyDescent="0.2">
      <c r="A21" s="1">
        <v>0.46722536073468601</v>
      </c>
      <c r="B21" s="1">
        <v>0.443472805711281</v>
      </c>
      <c r="C21" s="1">
        <v>0.29208486428938701</v>
      </c>
      <c r="D21" s="1">
        <v>417198</v>
      </c>
      <c r="E21" s="1" t="s">
        <v>111</v>
      </c>
      <c r="F21" s="1">
        <v>1</v>
      </c>
      <c r="G21" s="1" t="s">
        <v>106</v>
      </c>
      <c r="H21" s="1" t="s">
        <v>20</v>
      </c>
      <c r="I21" s="1">
        <v>3</v>
      </c>
      <c r="J21" s="1">
        <v>1.64485727934806</v>
      </c>
      <c r="K21" s="1">
        <v>0.72944947266710802</v>
      </c>
      <c r="L21" s="1" t="s">
        <v>18</v>
      </c>
      <c r="M21" s="1">
        <v>25.044258769564198</v>
      </c>
      <c r="N21" s="1">
        <v>57</v>
      </c>
      <c r="O21" s="1">
        <v>24</v>
      </c>
      <c r="P21" s="1">
        <v>1.94677233639453E-2</v>
      </c>
      <c r="Q21" s="1">
        <v>1.0435107820651801</v>
      </c>
      <c r="R21" s="1" t="s">
        <v>108</v>
      </c>
      <c r="T21" s="1" t="str">
        <f t="shared" si="0"/>
        <v>NO_CPP_EVENTS_Parts_CPP_CPP/RT_Conts_RCT_Weekend Off-Peak</v>
      </c>
    </row>
    <row r="22" spans="1:20" x14ac:dyDescent="0.2">
      <c r="A22" s="1">
        <v>3.5290128454885203E-2</v>
      </c>
      <c r="B22" s="1">
        <v>9.6122004445120299E-2</v>
      </c>
      <c r="C22" s="1">
        <v>0.71351558699763895</v>
      </c>
      <c r="D22" s="1">
        <v>417202</v>
      </c>
      <c r="E22" s="1" t="s">
        <v>37</v>
      </c>
      <c r="F22" s="1">
        <v>1</v>
      </c>
      <c r="G22" s="1" t="s">
        <v>106</v>
      </c>
      <c r="H22" s="1" t="s">
        <v>116</v>
      </c>
      <c r="I22" s="1">
        <v>4</v>
      </c>
      <c r="J22" s="1">
        <v>1.64485727931304</v>
      </c>
      <c r="K22" s="1">
        <v>0.15810697871371701</v>
      </c>
      <c r="L22" s="1" t="s">
        <v>15</v>
      </c>
      <c r="M22" s="1">
        <v>5.1985906493712104</v>
      </c>
      <c r="N22" s="1">
        <v>124</v>
      </c>
      <c r="O22" s="1">
        <v>6</v>
      </c>
      <c r="P22" s="1">
        <v>5.8816880758141999E-3</v>
      </c>
      <c r="Q22" s="1">
        <v>0.86643177489520196</v>
      </c>
      <c r="R22" s="1" t="s">
        <v>38</v>
      </c>
      <c r="T22" s="1" t="str">
        <f t="shared" si="0"/>
        <v>NO_CPP_EVENTS_Parts_CPP/Conts_RCT_Mid-Peak</v>
      </c>
    </row>
    <row r="23" spans="1:20" x14ac:dyDescent="0.2">
      <c r="A23" s="1">
        <v>0.190372899677336</v>
      </c>
      <c r="B23" s="1">
        <v>0.18403943962864</v>
      </c>
      <c r="C23" s="1">
        <v>0.300943447770258</v>
      </c>
      <c r="D23" s="1">
        <v>417202</v>
      </c>
      <c r="E23" s="1" t="s">
        <v>39</v>
      </c>
      <c r="F23" s="1">
        <v>1</v>
      </c>
      <c r="G23" s="1" t="s">
        <v>106</v>
      </c>
      <c r="H23" s="1" t="s">
        <v>116</v>
      </c>
      <c r="I23" s="1">
        <v>4</v>
      </c>
      <c r="J23" s="1">
        <v>1.64485727931304</v>
      </c>
      <c r="K23" s="1">
        <v>0.30271861195386102</v>
      </c>
      <c r="L23" s="1" t="s">
        <v>16</v>
      </c>
      <c r="M23" s="1">
        <v>11.156694773234101</v>
      </c>
      <c r="N23" s="1">
        <v>124</v>
      </c>
      <c r="O23" s="1">
        <v>12</v>
      </c>
      <c r="P23" s="1">
        <v>1.5864408306444699E-2</v>
      </c>
      <c r="Q23" s="1">
        <v>0.92972456443617502</v>
      </c>
      <c r="R23" s="1" t="s">
        <v>38</v>
      </c>
      <c r="T23" s="1" t="str">
        <f t="shared" si="0"/>
        <v>NO_CPP_EVENTS_Parts_CPP/Conts_RCT_Off-Peak</v>
      </c>
    </row>
    <row r="24" spans="1:20" x14ac:dyDescent="0.2">
      <c r="A24" s="1">
        <v>-0.10255401115486899</v>
      </c>
      <c r="B24" s="1">
        <v>9.4107276275962604E-2</v>
      </c>
      <c r="C24" s="1">
        <v>0.27582107262632399</v>
      </c>
      <c r="D24" s="1">
        <v>417202</v>
      </c>
      <c r="E24" s="1" t="s">
        <v>40</v>
      </c>
      <c r="F24" s="1">
        <v>1</v>
      </c>
      <c r="G24" s="1" t="s">
        <v>106</v>
      </c>
      <c r="H24" s="1" t="s">
        <v>116</v>
      </c>
      <c r="I24" s="1">
        <v>4</v>
      </c>
      <c r="J24" s="1">
        <v>1.64485727931304</v>
      </c>
      <c r="K24" s="1">
        <v>0.15479303841884101</v>
      </c>
      <c r="L24" s="1" t="s">
        <v>17</v>
      </c>
      <c r="M24" s="1">
        <v>5.8038698354468803</v>
      </c>
      <c r="N24" s="1">
        <v>124</v>
      </c>
      <c r="O24" s="1">
        <v>6</v>
      </c>
      <c r="P24" s="1">
        <v>-1.70923351924782E-2</v>
      </c>
      <c r="Q24" s="1">
        <v>0.96731163924114705</v>
      </c>
      <c r="R24" s="1" t="s">
        <v>38</v>
      </c>
      <c r="T24" s="1" t="str">
        <f t="shared" si="0"/>
        <v>NO_CPP_EVENTS_Parts_CPP/Conts_RCT_On-Peak</v>
      </c>
    </row>
    <row r="25" spans="1:20" x14ac:dyDescent="0.2">
      <c r="A25" s="1">
        <v>0.39746516302470503</v>
      </c>
      <c r="B25" s="1">
        <v>0.36535979572934502</v>
      </c>
      <c r="C25" s="1">
        <v>0.27665167747708103</v>
      </c>
      <c r="D25" s="1">
        <v>417202</v>
      </c>
      <c r="E25" s="1" t="s">
        <v>41</v>
      </c>
      <c r="F25" s="1">
        <v>1</v>
      </c>
      <c r="G25" s="1" t="s">
        <v>106</v>
      </c>
      <c r="H25" s="1" t="s">
        <v>116</v>
      </c>
      <c r="I25" s="1">
        <v>4</v>
      </c>
      <c r="J25" s="1">
        <v>1.64485727931304</v>
      </c>
      <c r="K25" s="1">
        <v>0.60096471957373998</v>
      </c>
      <c r="L25" s="1" t="s">
        <v>18</v>
      </c>
      <c r="M25" s="1">
        <v>25.044258769564198</v>
      </c>
      <c r="N25" s="1">
        <v>57</v>
      </c>
      <c r="O25" s="1">
        <v>24</v>
      </c>
      <c r="P25" s="1">
        <v>1.6561048459362699E-2</v>
      </c>
      <c r="Q25" s="1">
        <v>1.0435107820651801</v>
      </c>
      <c r="R25" s="1" t="s">
        <v>38</v>
      </c>
      <c r="T25" s="1" t="str">
        <f t="shared" si="0"/>
        <v>NO_CPP_EVENTS_Parts_CPP/Conts_RCT_Weekend Off-Peak</v>
      </c>
    </row>
    <row r="26" spans="1:20" x14ac:dyDescent="0.2">
      <c r="A26" s="1">
        <v>4.7402760012844103E-2</v>
      </c>
      <c r="B26" s="1">
        <v>9.8388162655296096E-2</v>
      </c>
      <c r="C26" s="1">
        <v>0.62995300599075299</v>
      </c>
      <c r="D26" s="1">
        <v>450106</v>
      </c>
      <c r="E26" s="1" t="s">
        <v>37</v>
      </c>
      <c r="F26" s="1">
        <v>1</v>
      </c>
      <c r="G26" s="1" t="s">
        <v>106</v>
      </c>
      <c r="H26" s="1" t="s">
        <v>117</v>
      </c>
      <c r="I26" s="1">
        <v>5</v>
      </c>
      <c r="J26" s="1">
        <v>1.6448570123146999</v>
      </c>
      <c r="K26" s="1">
        <v>0.16183445927232301</v>
      </c>
      <c r="L26" s="1" t="s">
        <v>15</v>
      </c>
      <c r="M26" s="1">
        <v>5.1985906493712104</v>
      </c>
      <c r="N26" s="1">
        <v>124</v>
      </c>
      <c r="O26" s="1">
        <v>6</v>
      </c>
      <c r="P26" s="1">
        <v>7.9004600021406798E-3</v>
      </c>
      <c r="Q26" s="1">
        <v>0.86643177489520196</v>
      </c>
      <c r="R26" s="1" t="s">
        <v>38</v>
      </c>
      <c r="T26" s="1" t="str">
        <f t="shared" si="0"/>
        <v>Parts_CPP/Conts_RCT_Mid-Peak</v>
      </c>
    </row>
    <row r="27" spans="1:20" x14ac:dyDescent="0.2">
      <c r="A27" s="1">
        <v>0.18745481224445501</v>
      </c>
      <c r="B27" s="1">
        <v>0.189114243639142</v>
      </c>
      <c r="C27" s="1">
        <v>0.32157613959672698</v>
      </c>
      <c r="D27" s="1">
        <v>450106</v>
      </c>
      <c r="E27" s="1" t="s">
        <v>39</v>
      </c>
      <c r="F27" s="1">
        <v>1</v>
      </c>
      <c r="G27" s="1" t="s">
        <v>106</v>
      </c>
      <c r="H27" s="1" t="s">
        <v>117</v>
      </c>
      <c r="I27" s="1">
        <v>5</v>
      </c>
      <c r="J27" s="1">
        <v>1.6448570123146999</v>
      </c>
      <c r="K27" s="1">
        <v>0.31106588977843402</v>
      </c>
      <c r="L27" s="1" t="s">
        <v>16</v>
      </c>
      <c r="M27" s="1">
        <v>11.156694773234101</v>
      </c>
      <c r="N27" s="1">
        <v>124</v>
      </c>
      <c r="O27" s="1">
        <v>12</v>
      </c>
      <c r="P27" s="1">
        <v>1.56212343537046E-2</v>
      </c>
      <c r="Q27" s="1">
        <v>0.92972456443617502</v>
      </c>
      <c r="R27" s="1" t="s">
        <v>38</v>
      </c>
      <c r="T27" s="1" t="str">
        <f t="shared" si="0"/>
        <v>Parts_CPP/Conts_RCT_Off-Peak</v>
      </c>
    </row>
    <row r="28" spans="1:20" x14ac:dyDescent="0.2">
      <c r="A28" s="1">
        <v>-0.10373477743227601</v>
      </c>
      <c r="B28" s="1">
        <v>9.66510403043222E-2</v>
      </c>
      <c r="C28" s="1">
        <v>0.28314074954319102</v>
      </c>
      <c r="D28" s="1">
        <v>450106</v>
      </c>
      <c r="E28" s="1" t="s">
        <v>40</v>
      </c>
      <c r="F28" s="1">
        <v>1</v>
      </c>
      <c r="G28" s="1" t="s">
        <v>106</v>
      </c>
      <c r="H28" s="1" t="s">
        <v>117</v>
      </c>
      <c r="I28" s="1">
        <v>5</v>
      </c>
      <c r="J28" s="1">
        <v>1.6448570123146999</v>
      </c>
      <c r="K28" s="1">
        <v>0.158977141392076</v>
      </c>
      <c r="L28" s="1" t="s">
        <v>17</v>
      </c>
      <c r="M28" s="1">
        <v>5.8038698354468803</v>
      </c>
      <c r="N28" s="1">
        <v>124</v>
      </c>
      <c r="O28" s="1">
        <v>6</v>
      </c>
      <c r="P28" s="1">
        <v>-1.7289129572046001E-2</v>
      </c>
      <c r="Q28" s="1">
        <v>0.96731163924114705</v>
      </c>
      <c r="R28" s="1" t="s">
        <v>38</v>
      </c>
      <c r="T28" s="1" t="str">
        <f t="shared" si="0"/>
        <v>Parts_CPP/Conts_RCT_On-Peak</v>
      </c>
    </row>
    <row r="29" spans="1:20" x14ac:dyDescent="0.2">
      <c r="A29" s="1">
        <v>0.39746516302470603</v>
      </c>
      <c r="B29" s="1">
        <v>0.36535678750602202</v>
      </c>
      <c r="C29" s="1">
        <v>0.27664767676033802</v>
      </c>
      <c r="D29" s="1">
        <v>450106</v>
      </c>
      <c r="E29" s="1" t="s">
        <v>41</v>
      </c>
      <c r="F29" s="1">
        <v>1</v>
      </c>
      <c r="G29" s="1" t="s">
        <v>106</v>
      </c>
      <c r="H29" s="1" t="s">
        <v>117</v>
      </c>
      <c r="I29" s="1">
        <v>5</v>
      </c>
      <c r="J29" s="1">
        <v>1.6448570123146999</v>
      </c>
      <c r="K29" s="1">
        <v>0.60095967392605298</v>
      </c>
      <c r="L29" s="1" t="s">
        <v>18</v>
      </c>
      <c r="M29" s="1">
        <v>25.044258769564198</v>
      </c>
      <c r="N29" s="1">
        <v>57</v>
      </c>
      <c r="O29" s="1">
        <v>24</v>
      </c>
      <c r="P29" s="1">
        <v>1.65610484593628E-2</v>
      </c>
      <c r="Q29" s="1">
        <v>1.0435107820651801</v>
      </c>
      <c r="R29" s="1" t="s">
        <v>38</v>
      </c>
      <c r="T29" s="1" t="str">
        <f t="shared" si="0"/>
        <v>Parts_CPP/Conts_RCT_Weekend Off-Peak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32BD0-884B-4781-A286-22BF95F93D08}">
  <sheetPr>
    <tabColor theme="1"/>
  </sheetPr>
  <dimension ref="A1:N8"/>
  <sheetViews>
    <sheetView workbookViewId="0">
      <selection activeCell="I1" sqref="I1"/>
    </sheetView>
  </sheetViews>
  <sheetFormatPr defaultRowHeight="10" x14ac:dyDescent="0.2"/>
  <cols>
    <col min="9" max="9" width="19.44140625" customWidth="1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36</v>
      </c>
      <c r="E1" s="1" t="s">
        <v>127</v>
      </c>
      <c r="F1" s="1" t="s">
        <v>128</v>
      </c>
      <c r="G1" s="1" t="s">
        <v>63</v>
      </c>
      <c r="H1" s="1" t="s">
        <v>7</v>
      </c>
      <c r="I1" s="1" t="s">
        <v>62</v>
      </c>
      <c r="J1" s="1" t="s">
        <v>9</v>
      </c>
      <c r="K1" s="1" t="s">
        <v>10</v>
      </c>
      <c r="L1" s="1" t="s">
        <v>126</v>
      </c>
      <c r="M1" s="1" t="s">
        <v>11</v>
      </c>
      <c r="N1" s="1" t="s">
        <v>12</v>
      </c>
    </row>
    <row r="2" spans="1:14" x14ac:dyDescent="0.2">
      <c r="A2" s="1" t="s">
        <v>106</v>
      </c>
      <c r="B2" s="1" t="s">
        <v>14</v>
      </c>
      <c r="C2" s="1">
        <v>1</v>
      </c>
      <c r="D2" s="1" t="s">
        <v>38</v>
      </c>
      <c r="E2" s="1">
        <v>14.995644274489001</v>
      </c>
      <c r="F2" s="1">
        <v>4175.2580018636299</v>
      </c>
      <c r="G2" s="1">
        <v>181</v>
      </c>
      <c r="H2" s="1" t="s">
        <v>129</v>
      </c>
      <c r="I2" s="1">
        <v>76.094481094378295</v>
      </c>
      <c r="J2" s="1">
        <v>0.197066121732144</v>
      </c>
      <c r="K2" s="1">
        <v>0.843775883455127</v>
      </c>
      <c r="L2" s="1">
        <v>450102</v>
      </c>
      <c r="M2" s="1">
        <v>1.6448570123447901</v>
      </c>
      <c r="N2" s="1">
        <v>125.16454082882601</v>
      </c>
    </row>
    <row r="3" spans="1:14" x14ac:dyDescent="0.2">
      <c r="A3" s="1" t="s">
        <v>106</v>
      </c>
      <c r="B3" s="1" t="s">
        <v>14</v>
      </c>
      <c r="C3" s="1">
        <v>1</v>
      </c>
      <c r="D3" s="1" t="s">
        <v>108</v>
      </c>
      <c r="E3" s="1">
        <v>46.876229223691197</v>
      </c>
      <c r="F3" s="1">
        <v>4175.2580018636299</v>
      </c>
      <c r="G3" s="1">
        <v>181</v>
      </c>
      <c r="H3" s="1" t="s">
        <v>130</v>
      </c>
      <c r="I3" s="1">
        <v>79.448905148182504</v>
      </c>
      <c r="J3" s="1">
        <v>0.59001730906500205</v>
      </c>
      <c r="K3" s="1">
        <v>0.55517934130112701</v>
      </c>
      <c r="L3" s="1">
        <v>450102</v>
      </c>
      <c r="M3" s="1">
        <v>1.6448570123447901</v>
      </c>
      <c r="N3" s="1">
        <v>130.68208875610401</v>
      </c>
    </row>
    <row r="4" spans="1:14" x14ac:dyDescent="0.2">
      <c r="A4" s="1" t="s">
        <v>106</v>
      </c>
      <c r="B4" s="1" t="s">
        <v>19</v>
      </c>
      <c r="C4" s="1">
        <v>2</v>
      </c>
      <c r="D4" s="1" t="s">
        <v>47</v>
      </c>
      <c r="E4" s="1">
        <v>-11.447176150215199</v>
      </c>
      <c r="F4" s="1">
        <v>4099.4750720969896</v>
      </c>
      <c r="G4" s="1">
        <v>181</v>
      </c>
      <c r="H4" s="1" t="s">
        <v>131</v>
      </c>
      <c r="I4" s="1">
        <v>55.873610631926397</v>
      </c>
      <c r="J4" s="1">
        <v>-0.204876255905936</v>
      </c>
      <c r="K4" s="1">
        <v>0.83766886910805205</v>
      </c>
      <c r="L4" s="1">
        <v>668796</v>
      </c>
      <c r="M4" s="1">
        <v>1.6448559053312299</v>
      </c>
      <c r="N4" s="1">
        <v>91.904038400102095</v>
      </c>
    </row>
    <row r="5" spans="1:14" x14ac:dyDescent="0.2">
      <c r="A5" s="1" t="s">
        <v>106</v>
      </c>
      <c r="B5" s="1" t="s">
        <v>20</v>
      </c>
      <c r="C5" s="1">
        <v>3</v>
      </c>
      <c r="D5" s="1" t="s">
        <v>38</v>
      </c>
      <c r="E5" s="1">
        <v>13.8486178796585</v>
      </c>
      <c r="F5" s="1">
        <v>4175.2580018636299</v>
      </c>
      <c r="G5" s="1">
        <v>181</v>
      </c>
      <c r="H5" s="1" t="s">
        <v>129</v>
      </c>
      <c r="I5" s="1">
        <v>74.740729334642097</v>
      </c>
      <c r="J5" s="1">
        <v>0.18528877096787499</v>
      </c>
      <c r="K5" s="1">
        <v>0.85300263507858698</v>
      </c>
      <c r="L5" s="1">
        <v>417198</v>
      </c>
      <c r="M5" s="1">
        <v>1.64485727934806</v>
      </c>
      <c r="N5" s="1">
        <v>122.937832709869</v>
      </c>
    </row>
    <row r="6" spans="1:14" x14ac:dyDescent="0.2">
      <c r="A6" s="1" t="s">
        <v>106</v>
      </c>
      <c r="B6" s="1" t="s">
        <v>20</v>
      </c>
      <c r="C6" s="1">
        <v>3</v>
      </c>
      <c r="D6" s="1" t="s">
        <v>108</v>
      </c>
      <c r="E6" s="1">
        <v>47.173278103883</v>
      </c>
      <c r="F6" s="1">
        <v>4175.2580018636299</v>
      </c>
      <c r="G6" s="1">
        <v>181</v>
      </c>
      <c r="H6" s="1" t="s">
        <v>130</v>
      </c>
      <c r="I6" s="1">
        <v>77.922768629485205</v>
      </c>
      <c r="J6" s="1">
        <v>0.60538503615274597</v>
      </c>
      <c r="K6" s="1">
        <v>0.544923520629501</v>
      </c>
      <c r="L6" s="1">
        <v>417198</v>
      </c>
      <c r="M6" s="1">
        <v>1.64485727934806</v>
      </c>
      <c r="N6" s="1">
        <v>128.17183320716299</v>
      </c>
    </row>
    <row r="7" spans="1:14" x14ac:dyDescent="0.2">
      <c r="A7" s="1" t="s">
        <v>106</v>
      </c>
      <c r="B7" s="1" t="s">
        <v>116</v>
      </c>
      <c r="C7" s="1">
        <v>4</v>
      </c>
      <c r="D7" s="1" t="s">
        <v>38</v>
      </c>
      <c r="E7" s="1">
        <v>37.921032397599902</v>
      </c>
      <c r="F7" s="1">
        <v>4175.2580018636299</v>
      </c>
      <c r="G7" s="1">
        <v>181</v>
      </c>
      <c r="H7" s="1" t="s">
        <v>129</v>
      </c>
      <c r="I7" s="1">
        <v>63.077364988573599</v>
      </c>
      <c r="J7" s="1">
        <v>0.60118288714928403</v>
      </c>
      <c r="K7" s="1">
        <v>0.54771850779583697</v>
      </c>
      <c r="L7" s="1">
        <v>417202</v>
      </c>
      <c r="M7" s="1">
        <v>1.64485727931304</v>
      </c>
      <c r="N7" s="1">
        <v>103.75326296134099</v>
      </c>
    </row>
    <row r="8" spans="1:14" x14ac:dyDescent="0.2">
      <c r="A8" s="1" t="s">
        <v>106</v>
      </c>
      <c r="B8" s="1" t="s">
        <v>117</v>
      </c>
      <c r="C8" s="1">
        <v>5</v>
      </c>
      <c r="D8" s="1" t="s">
        <v>38</v>
      </c>
      <c r="E8" s="1">
        <v>38.914740850711098</v>
      </c>
      <c r="F8" s="1">
        <v>4175.2580018636299</v>
      </c>
      <c r="G8" s="1">
        <v>181</v>
      </c>
      <c r="H8" s="1" t="s">
        <v>129</v>
      </c>
      <c r="I8" s="1">
        <v>64.3520322966706</v>
      </c>
      <c r="J8" s="1">
        <v>0.60471657944397905</v>
      </c>
      <c r="K8" s="1">
        <v>0.54536763491731399</v>
      </c>
      <c r="L8" s="1">
        <v>450106</v>
      </c>
      <c r="M8" s="1">
        <v>1.6448570123146999</v>
      </c>
      <c r="N8" s="1">
        <v>105.849891579881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BE867-E746-4AEA-9503-25E9D763F5A4}">
  <sheetPr>
    <tabColor theme="1"/>
  </sheetPr>
  <dimension ref="A1:M4"/>
  <sheetViews>
    <sheetView workbookViewId="0">
      <selection activeCell="K1" sqref="K1"/>
    </sheetView>
  </sheetViews>
  <sheetFormatPr defaultRowHeight="10" x14ac:dyDescent="0.2"/>
  <cols>
    <col min="2" max="2" width="25.77734375" customWidth="1"/>
    <col min="5" max="5" width="15.44140625" style="1" customWidth="1"/>
    <col min="6" max="6" width="8.88671875" style="1"/>
    <col min="8" max="8" width="19.21875" customWidth="1"/>
    <col min="11" max="11" width="8.88671875" style="1"/>
  </cols>
  <sheetData>
    <row r="1" spans="1:13" x14ac:dyDescent="0.2">
      <c r="A1" s="1" t="s">
        <v>0</v>
      </c>
      <c r="B1" s="1" t="s">
        <v>1</v>
      </c>
      <c r="C1" s="1" t="s">
        <v>2</v>
      </c>
      <c r="D1" s="1" t="s">
        <v>61</v>
      </c>
      <c r="E1" s="1" t="s">
        <v>68</v>
      </c>
      <c r="F1" s="1" t="s">
        <v>63</v>
      </c>
      <c r="G1" s="1" t="s">
        <v>7</v>
      </c>
      <c r="H1" s="1" t="s">
        <v>62</v>
      </c>
      <c r="I1" s="1" t="s">
        <v>9</v>
      </c>
      <c r="J1" s="1" t="s">
        <v>10</v>
      </c>
      <c r="K1" s="1" t="s">
        <v>126</v>
      </c>
      <c r="L1" s="1" t="s">
        <v>11</v>
      </c>
      <c r="M1" s="1" t="s">
        <v>12</v>
      </c>
    </row>
    <row r="2" spans="1:13" x14ac:dyDescent="0.2">
      <c r="A2" s="1" t="s">
        <v>13</v>
      </c>
      <c r="B2" s="1" t="s">
        <v>14</v>
      </c>
      <c r="C2" s="1">
        <v>1</v>
      </c>
      <c r="D2" s="1">
        <v>-52.140109832962402</v>
      </c>
      <c r="E2" s="1">
        <v>4704.1645397062102</v>
      </c>
      <c r="F2" s="1">
        <v>184</v>
      </c>
      <c r="G2" s="1" t="s">
        <v>83</v>
      </c>
      <c r="H2" s="1">
        <v>66.835899324551605</v>
      </c>
      <c r="I2" s="1">
        <v>-0.78012131743410396</v>
      </c>
      <c r="J2" s="1">
        <v>0.43531986913937798</v>
      </c>
      <c r="K2" s="1">
        <v>462474</v>
      </c>
      <c r="L2" s="1">
        <v>1.6448569217793301</v>
      </c>
      <c r="M2" s="1">
        <v>109.935491627335</v>
      </c>
    </row>
    <row r="3" spans="1:13" x14ac:dyDescent="0.2">
      <c r="A3" s="1" t="s">
        <v>13</v>
      </c>
      <c r="B3" s="1" t="s">
        <v>19</v>
      </c>
      <c r="C3" s="1">
        <v>2</v>
      </c>
      <c r="D3" s="1">
        <v>10.2087289857503</v>
      </c>
      <c r="E3" s="1">
        <v>4795.4652833186201</v>
      </c>
      <c r="F3" s="1">
        <v>184</v>
      </c>
      <c r="G3" s="1" t="s">
        <v>85</v>
      </c>
      <c r="H3" s="1">
        <v>57.993152282100098</v>
      </c>
      <c r="I3" s="1">
        <v>0.176033351939403</v>
      </c>
      <c r="J3" s="1">
        <v>0.86026779280684995</v>
      </c>
      <c r="K3" s="1">
        <v>681486</v>
      </c>
      <c r="L3" s="1">
        <v>1.6448558629053001</v>
      </c>
      <c r="M3" s="1">
        <v>95.390376539572401</v>
      </c>
    </row>
    <row r="4" spans="1:13" x14ac:dyDescent="0.2">
      <c r="A4" s="1" t="s">
        <v>13</v>
      </c>
      <c r="B4" s="1" t="s">
        <v>20</v>
      </c>
      <c r="C4" s="1">
        <v>3</v>
      </c>
      <c r="D4" s="1">
        <v>-36.100823393048202</v>
      </c>
      <c r="E4" s="1">
        <v>4529.3807068173601</v>
      </c>
      <c r="F4" s="1">
        <v>184</v>
      </c>
      <c r="G4" s="1" t="s">
        <v>84</v>
      </c>
      <c r="H4" s="1">
        <v>65.556275971796794</v>
      </c>
      <c r="I4" s="1">
        <v>-0.55068447464250903</v>
      </c>
      <c r="J4" s="1">
        <v>0.58185027523237198</v>
      </c>
      <c r="K4" s="1">
        <v>430116</v>
      </c>
      <c r="L4" s="1">
        <v>1.64485716965263</v>
      </c>
      <c r="M4" s="1">
        <v>107.83071054793599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</sheetPr>
  <dimension ref="A1:S13"/>
  <sheetViews>
    <sheetView showGridLines="0" workbookViewId="0">
      <selection sqref="A1:P13"/>
    </sheetView>
  </sheetViews>
  <sheetFormatPr defaultRowHeight="10" x14ac:dyDescent="0.2"/>
  <cols>
    <col min="12" max="12" width="8.88671875" style="1"/>
    <col min="16" max="16" width="8.88671875" style="1"/>
  </cols>
  <sheetData>
    <row r="1" spans="1:1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126</v>
      </c>
      <c r="M1" s="1" t="s">
        <v>11</v>
      </c>
      <c r="N1" s="1" t="s">
        <v>12</v>
      </c>
      <c r="O1" s="1" t="s">
        <v>21</v>
      </c>
      <c r="P1" s="1" t="s">
        <v>63</v>
      </c>
      <c r="S1" t="s">
        <v>22</v>
      </c>
    </row>
    <row r="2" spans="1:19" x14ac:dyDescent="0.2">
      <c r="A2" s="1" t="s">
        <v>13</v>
      </c>
      <c r="B2" s="1" t="s">
        <v>14</v>
      </c>
      <c r="C2" s="1">
        <v>1</v>
      </c>
      <c r="D2" s="1" t="s">
        <v>15</v>
      </c>
      <c r="E2" s="1">
        <v>-0.27830464887982298</v>
      </c>
      <c r="F2" s="1">
        <v>18.0969676329942</v>
      </c>
      <c r="G2" s="1">
        <v>18.776498126942201</v>
      </c>
      <c r="H2" s="1" t="s">
        <v>76</v>
      </c>
      <c r="I2" s="1">
        <v>9.8056112919289798E-2</v>
      </c>
      <c r="J2" s="1">
        <v>-2.8382182466165702</v>
      </c>
      <c r="K2" s="1">
        <v>4.5368126431394604E-3</v>
      </c>
      <c r="L2" s="1">
        <v>462474</v>
      </c>
      <c r="M2" s="1">
        <v>1.6448569217793301</v>
      </c>
      <c r="N2" s="1">
        <v>0.161288276058069</v>
      </c>
      <c r="O2" s="1">
        <v>6.0422105909816901</v>
      </c>
      <c r="P2" s="1">
        <v>127</v>
      </c>
      <c r="S2" t="str">
        <f>$B2&amp;"_"&amp;$D2</f>
        <v>Parts_CPP_CPP/RT_Conts_RCT_Mid-Peak</v>
      </c>
    </row>
    <row r="3" spans="1:19" x14ac:dyDescent="0.2">
      <c r="A3" s="1" t="s">
        <v>13</v>
      </c>
      <c r="B3" s="1" t="s">
        <v>14</v>
      </c>
      <c r="C3" s="1">
        <v>1</v>
      </c>
      <c r="D3" s="1" t="s">
        <v>16</v>
      </c>
      <c r="E3" s="1">
        <v>0.230813345479781</v>
      </c>
      <c r="F3" s="1">
        <v>13.9836153006394</v>
      </c>
      <c r="G3" s="1">
        <v>15.495639229593399</v>
      </c>
      <c r="H3" s="1" t="s">
        <v>77</v>
      </c>
      <c r="I3" s="1">
        <v>0.19086520232016699</v>
      </c>
      <c r="J3" s="1">
        <v>1.2093002950459399</v>
      </c>
      <c r="K3" s="1">
        <v>0.22654811575737499</v>
      </c>
      <c r="L3" s="1">
        <v>462474</v>
      </c>
      <c r="M3" s="1">
        <v>1.6448569217793301</v>
      </c>
      <c r="N3" s="1">
        <v>0.31394594916313801</v>
      </c>
      <c r="O3" s="1">
        <v>12.391836641918101</v>
      </c>
      <c r="P3" s="1">
        <v>127</v>
      </c>
      <c r="S3" s="1" t="str">
        <f t="shared" ref="S3:S13" si="0">$B3&amp;"_"&amp;$D3</f>
        <v>Parts_CPP_CPP/RT_Conts_RCT_Off-Peak</v>
      </c>
    </row>
    <row r="4" spans="1:19" x14ac:dyDescent="0.2">
      <c r="A4" s="1" t="s">
        <v>13</v>
      </c>
      <c r="B4" s="1" t="s">
        <v>14</v>
      </c>
      <c r="C4" s="1">
        <v>1</v>
      </c>
      <c r="D4" s="1" t="s">
        <v>17</v>
      </c>
      <c r="E4" s="1">
        <v>-0.32531565668203399</v>
      </c>
      <c r="F4" s="1">
        <v>29.559368233224099</v>
      </c>
      <c r="G4" s="1">
        <v>21.4432113114242</v>
      </c>
      <c r="H4" s="1" t="s">
        <v>78</v>
      </c>
      <c r="I4" s="1">
        <v>0.108576873029227</v>
      </c>
      <c r="J4" s="1">
        <v>-2.9961781694934699</v>
      </c>
      <c r="K4" s="1">
        <v>2.7340113554794598E-3</v>
      </c>
      <c r="L4" s="1">
        <v>462474</v>
      </c>
      <c r="M4" s="1">
        <v>1.6448569217793301</v>
      </c>
      <c r="N4" s="1">
        <v>0.17859342114728</v>
      </c>
      <c r="O4" s="1">
        <v>6.1150485071876197</v>
      </c>
      <c r="P4" s="1">
        <v>127</v>
      </c>
      <c r="S4" s="1" t="str">
        <f t="shared" si="0"/>
        <v>Parts_CPP_CPP/RT_Conts_RCT_On-Peak</v>
      </c>
    </row>
    <row r="5" spans="1:19" x14ac:dyDescent="0.2">
      <c r="A5" s="1" t="s">
        <v>13</v>
      </c>
      <c r="B5" s="1" t="s">
        <v>14</v>
      </c>
      <c r="C5" s="1">
        <v>1</v>
      </c>
      <c r="D5" s="1" t="s">
        <v>18</v>
      </c>
      <c r="E5" s="1">
        <v>-8.4098700044539301E-2</v>
      </c>
      <c r="F5" s="1">
        <v>63.278382631928402</v>
      </c>
      <c r="G5" s="1">
        <v>17.559675310388801</v>
      </c>
      <c r="H5" s="1" t="s">
        <v>79</v>
      </c>
      <c r="I5" s="1">
        <v>0.38394398778524103</v>
      </c>
      <c r="J5" s="1">
        <v>-0.21903898151826201</v>
      </c>
      <c r="K5" s="1">
        <v>0.82661977879237503</v>
      </c>
      <c r="L5" s="1">
        <v>462474</v>
      </c>
      <c r="M5" s="1">
        <v>1.6448569217793301</v>
      </c>
      <c r="N5" s="1">
        <v>0.63153292588411203</v>
      </c>
      <c r="O5" s="1">
        <v>27.832094398510598</v>
      </c>
      <c r="P5" s="1">
        <v>57</v>
      </c>
      <c r="S5" s="1" t="str">
        <f t="shared" si="0"/>
        <v>Parts_CPP_CPP/RT_Conts_RCT_Weekend Off-Peak</v>
      </c>
    </row>
    <row r="6" spans="1:19" x14ac:dyDescent="0.2">
      <c r="A6" s="1" t="s">
        <v>13</v>
      </c>
      <c r="B6" s="1" t="s">
        <v>19</v>
      </c>
      <c r="C6" s="1">
        <v>2</v>
      </c>
      <c r="D6" s="1" t="s">
        <v>15</v>
      </c>
      <c r="E6" s="1">
        <v>-2.6921505531284199E-2</v>
      </c>
      <c r="F6" s="1">
        <v>18.050270291525599</v>
      </c>
      <c r="G6" s="1">
        <v>18.747591936311</v>
      </c>
      <c r="H6" s="1" t="s">
        <v>86</v>
      </c>
      <c r="I6" s="1">
        <v>8.6432112577307804E-2</v>
      </c>
      <c r="J6" s="1">
        <v>-0.31147573197640699</v>
      </c>
      <c r="K6" s="1">
        <v>0.75543908431814999</v>
      </c>
      <c r="L6" s="1">
        <v>681486</v>
      </c>
      <c r="M6" s="1">
        <v>1.6448558629053001</v>
      </c>
      <c r="N6" s="1">
        <v>0.142168367116076</v>
      </c>
      <c r="O6" s="1">
        <v>6.3714346276000597</v>
      </c>
      <c r="P6" s="1">
        <v>127</v>
      </c>
      <c r="S6" s="1" t="str">
        <f t="shared" si="0"/>
        <v>Parts_RT_Conts_RCT_Mid-Peak</v>
      </c>
    </row>
    <row r="7" spans="1:19" x14ac:dyDescent="0.2">
      <c r="A7" s="1" t="s">
        <v>13</v>
      </c>
      <c r="B7" s="1" t="s">
        <v>19</v>
      </c>
      <c r="C7" s="1">
        <v>2</v>
      </c>
      <c r="D7" s="1" t="s">
        <v>16</v>
      </c>
      <c r="E7" s="1">
        <v>0.19640747231310099</v>
      </c>
      <c r="F7" s="1">
        <v>14.094038961485801</v>
      </c>
      <c r="G7" s="1">
        <v>15.486112112856199</v>
      </c>
      <c r="H7" s="1" t="s">
        <v>87</v>
      </c>
      <c r="I7" s="1">
        <v>0.160852193568117</v>
      </c>
      <c r="J7" s="1">
        <v>1.2210431698584601</v>
      </c>
      <c r="K7" s="1">
        <v>0.22207009751931001</v>
      </c>
      <c r="L7" s="1">
        <v>681486</v>
      </c>
      <c r="M7" s="1">
        <v>1.6448558629053001</v>
      </c>
      <c r="N7" s="1">
        <v>0.26457867365169702</v>
      </c>
      <c r="O7" s="1">
        <v>12.3112693636155</v>
      </c>
      <c r="P7" s="1">
        <v>127</v>
      </c>
      <c r="S7" s="1" t="str">
        <f t="shared" si="0"/>
        <v>Parts_RT_Conts_RCT_Off-Peak</v>
      </c>
    </row>
    <row r="8" spans="1:19" x14ac:dyDescent="0.2">
      <c r="A8" s="1" t="s">
        <v>13</v>
      </c>
      <c r="B8" s="1" t="s">
        <v>19</v>
      </c>
      <c r="C8" s="1">
        <v>2</v>
      </c>
      <c r="D8" s="1" t="s">
        <v>17</v>
      </c>
      <c r="E8" s="1">
        <v>-0.15584676767022401</v>
      </c>
      <c r="F8" s="1">
        <v>29.481345755897099</v>
      </c>
      <c r="G8" s="1">
        <v>21.411948414083302</v>
      </c>
      <c r="H8" s="1" t="s">
        <v>88</v>
      </c>
      <c r="I8" s="1">
        <v>9.6020404987417596E-2</v>
      </c>
      <c r="J8" s="1">
        <v>-1.6230588455718999</v>
      </c>
      <c r="K8" s="1">
        <v>0.104577288601773</v>
      </c>
      <c r="L8" s="1">
        <v>681486</v>
      </c>
      <c r="M8" s="1">
        <v>1.6448558629053001</v>
      </c>
      <c r="N8" s="1">
        <v>0.157939726102095</v>
      </c>
      <c r="O8" s="1">
        <v>6.4399497953311897</v>
      </c>
      <c r="P8" s="1">
        <v>127</v>
      </c>
      <c r="S8" s="1" t="str">
        <f t="shared" si="0"/>
        <v>Parts_RT_Conts_RCT_On-Peak</v>
      </c>
    </row>
    <row r="9" spans="1:19" x14ac:dyDescent="0.2">
      <c r="A9" s="1" t="s">
        <v>13</v>
      </c>
      <c r="B9" s="1" t="s">
        <v>19</v>
      </c>
      <c r="C9" s="1">
        <v>2</v>
      </c>
      <c r="D9" s="1" t="s">
        <v>18</v>
      </c>
      <c r="E9" s="1">
        <v>0.14871141576452601</v>
      </c>
      <c r="F9" s="1">
        <v>63.184133546528798</v>
      </c>
      <c r="G9" s="1">
        <v>17.533435436265901</v>
      </c>
      <c r="H9" s="1" t="s">
        <v>89</v>
      </c>
      <c r="I9" s="1">
        <v>0.33695086449203399</v>
      </c>
      <c r="J9" s="1">
        <v>0.44134451469271002</v>
      </c>
      <c r="K9" s="1">
        <v>0.658963744279356</v>
      </c>
      <c r="L9" s="1">
        <v>681486</v>
      </c>
      <c r="M9" s="1">
        <v>1.6448558629053001</v>
      </c>
      <c r="N9" s="1">
        <v>0.55423560497073199</v>
      </c>
      <c r="O9" s="1">
        <v>28.155934253108502</v>
      </c>
      <c r="P9" s="1">
        <v>57</v>
      </c>
      <c r="S9" s="1" t="str">
        <f t="shared" si="0"/>
        <v>Parts_RT_Conts_RCT_Weekend Off-Peak</v>
      </c>
    </row>
    <row r="10" spans="1:19" x14ac:dyDescent="0.2">
      <c r="A10" s="1" t="s">
        <v>13</v>
      </c>
      <c r="B10" s="1" t="s">
        <v>20</v>
      </c>
      <c r="C10" s="1">
        <v>3</v>
      </c>
      <c r="D10" s="1" t="s">
        <v>15</v>
      </c>
      <c r="E10" s="1">
        <v>-0.17432961113724299</v>
      </c>
      <c r="F10" s="1">
        <v>16.3305773956723</v>
      </c>
      <c r="G10" s="1">
        <v>18.283253625708401</v>
      </c>
      <c r="H10" s="1" t="s">
        <v>80</v>
      </c>
      <c r="I10" s="1">
        <v>9.4995263471269506E-2</v>
      </c>
      <c r="J10" s="1">
        <v>-1.8351400350604601</v>
      </c>
      <c r="K10" s="1">
        <v>6.6485633432052396E-2</v>
      </c>
      <c r="L10" s="1">
        <v>430116</v>
      </c>
      <c r="M10" s="1">
        <v>1.64485716965263</v>
      </c>
      <c r="N10" s="1">
        <v>0.15625364020375801</v>
      </c>
      <c r="O10" s="1">
        <v>5.8026662275929199</v>
      </c>
      <c r="P10" s="1">
        <v>127</v>
      </c>
      <c r="S10" s="1" t="str">
        <f t="shared" si="0"/>
        <v>NO_CPP_EVENTS_Parts_CPP_CPP/RT_Conts_RCT_Mid-Peak</v>
      </c>
    </row>
    <row r="11" spans="1:19" x14ac:dyDescent="0.2">
      <c r="A11" s="1" t="s">
        <v>13</v>
      </c>
      <c r="B11" s="1" t="s">
        <v>20</v>
      </c>
      <c r="C11" s="1">
        <v>3</v>
      </c>
      <c r="D11" s="1" t="s">
        <v>16</v>
      </c>
      <c r="E11" s="1">
        <v>0.22434636918053</v>
      </c>
      <c r="F11" s="1">
        <v>12.006076388739</v>
      </c>
      <c r="G11" s="1">
        <v>15.0221978642116</v>
      </c>
      <c r="H11" s="1" t="s">
        <v>81</v>
      </c>
      <c r="I11" s="1">
        <v>0.18616324233086801</v>
      </c>
      <c r="J11" s="1">
        <v>1.20510561790603</v>
      </c>
      <c r="K11" s="1">
        <v>0.22816319435524901</v>
      </c>
      <c r="L11" s="1">
        <v>430116</v>
      </c>
      <c r="M11" s="1">
        <v>1.64485716965263</v>
      </c>
      <c r="N11" s="1">
        <v>0.30621194387370798</v>
      </c>
      <c r="O11" s="1">
        <v>11.699293916237799</v>
      </c>
      <c r="P11" s="1">
        <v>127</v>
      </c>
      <c r="S11" s="1" t="str">
        <f t="shared" si="0"/>
        <v>NO_CPP_EVENTS_Parts_CPP_CPP/RT_Conts_RCT_Off-Peak</v>
      </c>
    </row>
    <row r="12" spans="1:19" x14ac:dyDescent="0.2">
      <c r="A12" s="1" t="s">
        <v>13</v>
      </c>
      <c r="B12" s="1" t="s">
        <v>20</v>
      </c>
      <c r="C12" s="1">
        <v>3</v>
      </c>
      <c r="D12" s="1" t="s">
        <v>17</v>
      </c>
      <c r="E12" s="1">
        <v>-0.296530124110292</v>
      </c>
      <c r="F12" s="1">
        <v>27.605929598145298</v>
      </c>
      <c r="G12" s="1">
        <v>20.9852830293663</v>
      </c>
      <c r="H12" s="1" t="s">
        <v>82</v>
      </c>
      <c r="I12" s="1">
        <v>0.104141967288055</v>
      </c>
      <c r="J12" s="1">
        <v>-2.8473643415060099</v>
      </c>
      <c r="K12" s="1">
        <v>4.4084965568462501E-3</v>
      </c>
      <c r="L12" s="1">
        <v>430116</v>
      </c>
      <c r="M12" s="1">
        <v>1.64485716965263</v>
      </c>
      <c r="N12" s="1">
        <v>0.17129866155548601</v>
      </c>
      <c r="O12" s="1">
        <v>5.67088494358857</v>
      </c>
      <c r="P12" s="1">
        <v>127</v>
      </c>
      <c r="S12" s="1" t="str">
        <f t="shared" si="0"/>
        <v>NO_CPP_EVENTS_Parts_CPP_CPP/RT_Conts_RCT_On-Peak</v>
      </c>
    </row>
    <row r="13" spans="1:19" x14ac:dyDescent="0.2">
      <c r="A13" s="1" t="s">
        <v>13</v>
      </c>
      <c r="B13" s="1" t="s">
        <v>20</v>
      </c>
      <c r="C13" s="1">
        <v>3</v>
      </c>
      <c r="D13" s="1" t="s">
        <v>18</v>
      </c>
      <c r="E13" s="1">
        <v>-8.4098700044538496E-2</v>
      </c>
      <c r="F13" s="1">
        <v>63.278382631928402</v>
      </c>
      <c r="G13" s="1">
        <v>17.559675310388801</v>
      </c>
      <c r="H13" s="1" t="s">
        <v>79</v>
      </c>
      <c r="I13" s="1">
        <v>0.38394714112945799</v>
      </c>
      <c r="J13" s="1">
        <v>-0.21903718255889401</v>
      </c>
      <c r="K13" s="1">
        <v>0.82662118740227097</v>
      </c>
      <c r="L13" s="1">
        <v>430116</v>
      </c>
      <c r="M13" s="1">
        <v>1.64485716965263</v>
      </c>
      <c r="N13" s="1">
        <v>0.63153820785441805</v>
      </c>
      <c r="O13" s="1">
        <v>27.832094398510598</v>
      </c>
      <c r="P13" s="1">
        <v>57</v>
      </c>
      <c r="S13" s="1" t="str">
        <f t="shared" si="0"/>
        <v>NO_CPP_EVENTS_Parts_CPP_CPP/RT_Conts_RCT_Weekend Off-Peak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Cover</vt:lpstr>
      <vt:lpstr>01 Impacts</vt:lpstr>
      <vt:lpstr>02 Parms of Interest</vt:lpstr>
      <vt:lpstr>03 Seasonal Impacts</vt:lpstr>
      <vt:lpstr>04 Summary of Impacts</vt:lpstr>
      <vt:lpstr>r_in_409a Winter TOU Impacts</vt:lpstr>
      <vt:lpstr>r_in_409a Wint Seasonal Impacts</vt:lpstr>
      <vt:lpstr>r_in_211a Sum Seasonal Energy</vt:lpstr>
      <vt:lpstr>in_211a Sum TOU impacts</vt:lpstr>
      <vt:lpstr>in_211a Parameters</vt:lpstr>
      <vt:lpstr>Hours Per Day TOU</vt:lpstr>
      <vt:lpstr>lookups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Steele-Mosey</dc:creator>
  <cp:lastModifiedBy>Peter Steele-Mosey</cp:lastModifiedBy>
  <dcterms:created xsi:type="dcterms:W3CDTF">2017-12-03T15:20:45Z</dcterms:created>
  <dcterms:modified xsi:type="dcterms:W3CDTF">2020-04-21T12:18:17Z</dcterms:modified>
</cp:coreProperties>
</file>