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60" windowWidth="27500" windowHeight="11450"/>
  </bookViews>
  <sheets>
    <sheet name="Assumptions" sheetId="1" r:id="rId1"/>
    <sheet name="Transformer Sizing" sheetId="2" r:id="rId2"/>
    <sheet name="Peak Load Assumption" sheetId="3" r:id="rId3"/>
    <sheet name="Service and Conductor Size" sheetId="4" r:id="rId4"/>
  </sheets>
  <calcPr calcId="145621"/>
  <extLst>
    <ext uri="GoogleSheetsCustomDataVersion1">
      <go:sheetsCustomData xmlns:go="http://customooxmlschemas.google.com/" r:id="rId8" roundtripDataSignature="AMtx7miC/GU0CL0XNWrLwHX9UEcpatsN3A=="/>
    </ext>
  </extLst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D32" i="4"/>
  <c r="D31" i="4"/>
  <c r="D30" i="4"/>
  <c r="D29" i="4"/>
  <c r="C29" i="4"/>
  <c r="E29" i="4" s="1"/>
  <c r="D28" i="4"/>
  <c r="D27" i="4"/>
  <c r="C24" i="4"/>
  <c r="C38" i="4" s="1"/>
  <c r="E38" i="4" s="1"/>
  <c r="D20" i="4"/>
  <c r="D19" i="4"/>
  <c r="D18" i="4"/>
  <c r="D17" i="4"/>
  <c r="D16" i="4"/>
  <c r="D15" i="4"/>
  <c r="D14" i="4"/>
  <c r="D13" i="4"/>
  <c r="D12" i="4"/>
  <c r="D11" i="4"/>
  <c r="D10" i="4"/>
  <c r="D9" i="4"/>
  <c r="C6" i="4"/>
  <c r="C20" i="4" s="1"/>
  <c r="E20" i="4" s="1"/>
  <c r="D36" i="3"/>
  <c r="C36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E5" i="3" s="1"/>
  <c r="E17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C7" i="2"/>
  <c r="C6" i="2"/>
  <c r="E36" i="2" s="1"/>
  <c r="E11" i="3" l="1"/>
  <c r="G11" i="3" s="1"/>
  <c r="D20" i="2" s="1"/>
  <c r="F20" i="2" s="1"/>
  <c r="G5" i="3"/>
  <c r="D14" i="2" s="1"/>
  <c r="E34" i="3"/>
  <c r="G34" i="3" s="1"/>
  <c r="D43" i="2" s="1"/>
  <c r="E32" i="3"/>
  <c r="G32" i="3" s="1"/>
  <c r="D41" i="2" s="1"/>
  <c r="E30" i="3"/>
  <c r="G30" i="3" s="1"/>
  <c r="D39" i="2" s="1"/>
  <c r="E28" i="3"/>
  <c r="G28" i="3" s="1"/>
  <c r="D37" i="2" s="1"/>
  <c r="F37" i="2" s="1"/>
  <c r="E26" i="3"/>
  <c r="G26" i="3" s="1"/>
  <c r="D35" i="2" s="1"/>
  <c r="E24" i="3"/>
  <c r="G24" i="3" s="1"/>
  <c r="D33" i="2" s="1"/>
  <c r="F33" i="2" s="1"/>
  <c r="E22" i="3"/>
  <c r="G22" i="3" s="1"/>
  <c r="D31" i="2" s="1"/>
  <c r="F31" i="2" s="1"/>
  <c r="E20" i="3"/>
  <c r="G20" i="3" s="1"/>
  <c r="D29" i="2" s="1"/>
  <c r="E18" i="3"/>
  <c r="G18" i="3" s="1"/>
  <c r="D27" i="2" s="1"/>
  <c r="E13" i="3"/>
  <c r="G13" i="3" s="1"/>
  <c r="D22" i="2" s="1"/>
  <c r="E12" i="3"/>
  <c r="G12" i="3" s="1"/>
  <c r="D21" i="2" s="1"/>
  <c r="E10" i="3"/>
  <c r="G10" i="3" s="1"/>
  <c r="D19" i="2" s="1"/>
  <c r="F19" i="2" s="1"/>
  <c r="E15" i="3"/>
  <c r="G15" i="3" s="1"/>
  <c r="D24" i="2" s="1"/>
  <c r="E7" i="3"/>
  <c r="G7" i="3" s="1"/>
  <c r="D16" i="2" s="1"/>
  <c r="F16" i="2" s="1"/>
  <c r="E33" i="3"/>
  <c r="G33" i="3" s="1"/>
  <c r="D42" i="2" s="1"/>
  <c r="F42" i="2" s="1"/>
  <c r="E31" i="3"/>
  <c r="G31" i="3" s="1"/>
  <c r="D40" i="2" s="1"/>
  <c r="E29" i="3"/>
  <c r="G29" i="3" s="1"/>
  <c r="D38" i="2" s="1"/>
  <c r="E27" i="3"/>
  <c r="G27" i="3" s="1"/>
  <c r="D36" i="2" s="1"/>
  <c r="F36" i="2" s="1"/>
  <c r="E25" i="3"/>
  <c r="G25" i="3" s="1"/>
  <c r="D34" i="2" s="1"/>
  <c r="E23" i="3"/>
  <c r="G23" i="3" s="1"/>
  <c r="D32" i="2" s="1"/>
  <c r="F32" i="2" s="1"/>
  <c r="E21" i="3"/>
  <c r="G21" i="3" s="1"/>
  <c r="D30" i="2" s="1"/>
  <c r="E19" i="3"/>
  <c r="G19" i="3" s="1"/>
  <c r="D28" i="2" s="1"/>
  <c r="F28" i="2" s="1"/>
  <c r="E17" i="3"/>
  <c r="G17" i="3" s="1"/>
  <c r="D26" i="2" s="1"/>
  <c r="F26" i="2" s="1"/>
  <c r="E9" i="3"/>
  <c r="G9" i="3" s="1"/>
  <c r="D18" i="2" s="1"/>
  <c r="E16" i="3"/>
  <c r="G16" i="3" s="1"/>
  <c r="D25" i="2" s="1"/>
  <c r="E8" i="3"/>
  <c r="G8" i="3" s="1"/>
  <c r="D17" i="2" s="1"/>
  <c r="F17" i="2" s="1"/>
  <c r="E14" i="3"/>
  <c r="G14" i="3" s="1"/>
  <c r="D23" i="2" s="1"/>
  <c r="F23" i="2" s="1"/>
  <c r="E6" i="3"/>
  <c r="G6" i="3" s="1"/>
  <c r="D15" i="2" s="1"/>
  <c r="F15" i="2" s="1"/>
  <c r="E29" i="2"/>
  <c r="E19" i="2"/>
  <c r="E27" i="2"/>
  <c r="E35" i="2"/>
  <c r="E43" i="2"/>
  <c r="C10" i="4"/>
  <c r="E10" i="4" s="1"/>
  <c r="F10" i="4" s="1"/>
  <c r="H10" i="4" s="1"/>
  <c r="C31" i="4"/>
  <c r="E31" i="4" s="1"/>
  <c r="C33" i="4"/>
  <c r="E33" i="4" s="1"/>
  <c r="C35" i="4"/>
  <c r="E35" i="4" s="1"/>
  <c r="C37" i="4"/>
  <c r="E37" i="4" s="1"/>
  <c r="E37" i="2"/>
  <c r="E18" i="2"/>
  <c r="E26" i="2"/>
  <c r="E34" i="2"/>
  <c r="E42" i="2"/>
  <c r="C15" i="4"/>
  <c r="E15" i="4" s="1"/>
  <c r="C28" i="4"/>
  <c r="E28" i="4" s="1"/>
  <c r="F28" i="4" s="1"/>
  <c r="H28" i="4" s="1"/>
  <c r="E16" i="2"/>
  <c r="E24" i="2"/>
  <c r="E32" i="2"/>
  <c r="E40" i="2"/>
  <c r="C9" i="4"/>
  <c r="E9" i="4" s="1"/>
  <c r="F9" i="4" s="1"/>
  <c r="H9" i="4" s="1"/>
  <c r="C17" i="4"/>
  <c r="E17" i="4" s="1"/>
  <c r="C19" i="4"/>
  <c r="E19" i="4" s="1"/>
  <c r="C30" i="4"/>
  <c r="E30" i="4" s="1"/>
  <c r="E25" i="2"/>
  <c r="E15" i="2"/>
  <c r="E23" i="2"/>
  <c r="E31" i="2"/>
  <c r="E39" i="2"/>
  <c r="C14" i="4"/>
  <c r="E14" i="4" s="1"/>
  <c r="C27" i="4"/>
  <c r="E27" i="4" s="1"/>
  <c r="F27" i="4" s="1"/>
  <c r="H27" i="4" s="1"/>
  <c r="C32" i="4"/>
  <c r="E32" i="4" s="1"/>
  <c r="C34" i="4"/>
  <c r="E34" i="4" s="1"/>
  <c r="C36" i="4"/>
  <c r="E36" i="4" s="1"/>
  <c r="E33" i="2"/>
  <c r="E41" i="2"/>
  <c r="C12" i="4"/>
  <c r="E12" i="4" s="1"/>
  <c r="E14" i="2"/>
  <c r="E22" i="2"/>
  <c r="E30" i="2"/>
  <c r="E38" i="2"/>
  <c r="C11" i="4"/>
  <c r="E11" i="4" s="1"/>
  <c r="C16" i="4"/>
  <c r="E16" i="4" s="1"/>
  <c r="E21" i="2"/>
  <c r="E20" i="2"/>
  <c r="E28" i="2"/>
  <c r="C13" i="4"/>
  <c r="E13" i="4" s="1"/>
  <c r="C18" i="4"/>
  <c r="E18" i="4" s="1"/>
  <c r="F29" i="4" l="1"/>
  <c r="H29" i="4" s="1"/>
  <c r="F30" i="2"/>
  <c r="F24" i="2"/>
  <c r="F35" i="2"/>
  <c r="F34" i="2"/>
  <c r="F22" i="2"/>
  <c r="F41" i="2"/>
  <c r="F21" i="2"/>
  <c r="F11" i="4"/>
  <c r="H11" i="4" s="1"/>
  <c r="F25" i="2"/>
  <c r="F38" i="2"/>
  <c r="F27" i="2"/>
  <c r="F43" i="2"/>
  <c r="F12" i="4"/>
  <c r="H12" i="4" s="1"/>
  <c r="F39" i="2"/>
  <c r="F18" i="2"/>
  <c r="F40" i="2"/>
  <c r="F29" i="2"/>
  <c r="F14" i="2"/>
  <c r="G14" i="2" s="1"/>
  <c r="H14" i="2" s="1"/>
  <c r="J14" i="2" s="1"/>
  <c r="G15" i="2" l="1"/>
  <c r="F13" i="4"/>
  <c r="F30" i="4"/>
  <c r="H30" i="4" l="1"/>
  <c r="F31" i="4"/>
  <c r="F32" i="4" s="1"/>
  <c r="F33" i="4" s="1"/>
  <c r="F34" i="4" s="1"/>
  <c r="F35" i="4" s="1"/>
  <c r="F36" i="4" s="1"/>
  <c r="F37" i="4" s="1"/>
  <c r="F38" i="4" s="1"/>
  <c r="H13" i="4"/>
  <c r="F14" i="4"/>
  <c r="H15" i="2"/>
  <c r="J15" i="2" s="1"/>
  <c r="G16" i="2"/>
  <c r="H16" i="2" l="1"/>
  <c r="J16" i="2" s="1"/>
  <c r="G17" i="2"/>
  <c r="H14" i="4"/>
  <c r="F15" i="4"/>
  <c r="H15" i="4" l="1"/>
  <c r="F16" i="4"/>
  <c r="H17" i="2"/>
  <c r="J17" i="2" s="1"/>
  <c r="G18" i="2"/>
  <c r="H18" i="2" l="1"/>
  <c r="J18" i="2" s="1"/>
  <c r="G19" i="2"/>
  <c r="H16" i="4"/>
  <c r="F17" i="4"/>
  <c r="F18" i="4" s="1"/>
  <c r="F19" i="4" s="1"/>
  <c r="F20" i="4" s="1"/>
  <c r="H19" i="2" l="1"/>
  <c r="J19" i="2" s="1"/>
  <c r="G20" i="2"/>
  <c r="H20" i="2" l="1"/>
  <c r="J20" i="2" s="1"/>
  <c r="G21" i="2"/>
  <c r="H21" i="2" l="1"/>
  <c r="J21" i="2" s="1"/>
  <c r="G22" i="2"/>
  <c r="H22" i="2" l="1"/>
  <c r="J22" i="2" s="1"/>
  <c r="G23" i="2"/>
  <c r="H23" i="2" l="1"/>
  <c r="J23" i="2" s="1"/>
  <c r="G24" i="2"/>
  <c r="H24" i="2" l="1"/>
  <c r="J24" i="2" s="1"/>
  <c r="G25" i="2"/>
  <c r="H25" i="2" l="1"/>
  <c r="J25" i="2" s="1"/>
  <c r="G26" i="2"/>
  <c r="H26" i="2" l="1"/>
  <c r="J26" i="2" s="1"/>
  <c r="G27" i="2"/>
  <c r="H27" i="2" l="1"/>
  <c r="J27" i="2" s="1"/>
  <c r="G28" i="2"/>
  <c r="H28" i="2" l="1"/>
  <c r="J28" i="2" s="1"/>
  <c r="G29" i="2"/>
  <c r="H29" i="2" l="1"/>
  <c r="J29" i="2" s="1"/>
  <c r="G30" i="2"/>
  <c r="H30" i="2" l="1"/>
  <c r="J30" i="2" s="1"/>
  <c r="G31" i="2"/>
  <c r="H31" i="2" l="1"/>
  <c r="J31" i="2" s="1"/>
  <c r="G32" i="2"/>
  <c r="H32" i="2" l="1"/>
  <c r="J32" i="2" s="1"/>
  <c r="G33" i="2"/>
  <c r="H33" i="2" l="1"/>
  <c r="J33" i="2" s="1"/>
  <c r="G34" i="2"/>
  <c r="H34" i="2" l="1"/>
  <c r="J34" i="2" s="1"/>
  <c r="G35" i="2"/>
  <c r="H35" i="2" l="1"/>
  <c r="J35" i="2" s="1"/>
  <c r="G36" i="2"/>
  <c r="H36" i="2" l="1"/>
  <c r="J36" i="2" s="1"/>
  <c r="G37" i="2"/>
  <c r="H37" i="2" l="1"/>
  <c r="J37" i="2" s="1"/>
  <c r="G38" i="2"/>
  <c r="H38" i="2" l="1"/>
  <c r="J38" i="2" s="1"/>
  <c r="G39" i="2"/>
  <c r="H39" i="2" l="1"/>
  <c r="J39" i="2" s="1"/>
  <c r="G40" i="2"/>
  <c r="H40" i="2" l="1"/>
  <c r="J40" i="2" s="1"/>
  <c r="G41" i="2"/>
  <c r="H41" i="2" l="1"/>
  <c r="J41" i="2" s="1"/>
  <c r="G42" i="2"/>
  <c r="H42" i="2" l="1"/>
  <c r="J42" i="2" s="1"/>
  <c r="G43" i="2"/>
  <c r="H43" i="2" s="1"/>
  <c r="J43" i="2" s="1"/>
</calcChain>
</file>

<file path=xl/sharedStrings.xml><?xml version="1.0" encoding="utf-8"?>
<sst xmlns="http://schemas.openxmlformats.org/spreadsheetml/2006/main" count="101" uniqueCount="72">
  <si>
    <t>Underground Residential Transformer Service Wire Sizes Guideline - Peak Load Assumption</t>
  </si>
  <si>
    <t>Underground Residential Transformer Service Wire Sizes Guideline - Assumptions and Calculations</t>
  </si>
  <si>
    <t>Underground Residential Transformer Service Wire Sizes Guideline - Transformer Sizing</t>
  </si>
  <si>
    <t>Assumptions and Calculations:</t>
  </si>
  <si>
    <t xml:space="preserve">-Each single unit  ≤ 2000 sq.ft, natural gas heat, 100A/200A @ 120V/240V service. </t>
  </si>
  <si>
    <t>#</t>
  </si>
  <si>
    <t>-AC load within each unit is undiversified and assumes to draw no more than 10.5A @ 240V and 95% power factor</t>
  </si>
  <si>
    <t>Calculations</t>
  </si>
  <si>
    <t xml:space="preserve">-Transformers utilize ≥ 95% power factor and low harmonics (see ECG0008). </t>
  </si>
  <si>
    <t>-Residential units (100A/200A) are made according to  a historical peak demand of ~4.5kW based on an average of 12 homes and a diversity according to the OBC</t>
  </si>
  <si>
    <t>-Peak unit load assumed to be coincident with peak historical load</t>
  </si>
  <si>
    <t>-Any transformer is subject to all units having stage-II EV chargers installed and in use (100% EV penetration)</t>
  </si>
  <si>
    <t>-By the time a 100% EV penetration is in place, it is assumed that the demand response options are available that will limit the coincident peak load of EV charging to 50% of their maximum load</t>
  </si>
  <si>
    <t>-Peak EV and AC consumption assumed to be coincident with peak unit load.</t>
  </si>
  <si>
    <t>-Impact of DER and HOL DR projects is excluded</t>
  </si>
  <si>
    <t>-Peak unit load is assumed to be coincident with AC and 50% of EV load, at an extended temperature of 30 degrees Celsius over ~8-hour timeframe</t>
  </si>
  <si>
    <t xml:space="preserve">-All stage II EV chargers are assumed to draw no more than 32A (80% rated on 40A breaker) @ 240V and 95% power factor with no diversification </t>
  </si>
  <si>
    <t>-Transformer lifetime is considered 30 years, where EV penetration will increase signatficantly in future, hence such load increase shall be considered earlier in the design stage.</t>
  </si>
  <si>
    <t>-Transformer is assumed 90% pre-load at 30 degrees C</t>
  </si>
  <si>
    <t>-Transformer overloading hours are as per ABB Loading Rules of Thumb as shown in below figure</t>
  </si>
  <si>
    <t>-Calculations to determine the condcutor size for 100 A unit assumes that it has 80%protection (37A normal load and 43A for AC and EV Load, hence total = 80A)</t>
  </si>
  <si>
    <t>DF (code)</t>
  </si>
  <si>
    <t>Average Tx load (kW)</t>
  </si>
  <si>
    <t>-Calculations to determine the condcutor size for 200 A unit assumes that it has 80%protection (117A normal load and 43A for AC and EV Load, hence total = 160A)</t>
  </si>
  <si>
    <t>Profiled (kW)</t>
  </si>
  <si>
    <t>AC load (kW)</t>
  </si>
  <si>
    <t>Total (kW)</t>
  </si>
  <si>
    <t>EV Penetration</t>
  </si>
  <si>
    <t xml:space="preserve"> - Number of customers per Tx based on selected penetration rate</t>
  </si>
  <si>
    <t>% stage 1 chargers</t>
  </si>
  <si>
    <t xml:space="preserve"> - Number of customers per Tx based on selected stage 1 and stage 2 breakdown</t>
  </si>
  <si>
    <t>EV stage 1 load</t>
  </si>
  <si>
    <t xml:space="preserve"> - kW, assumed 12A @ 120V during peak</t>
  </si>
  <si>
    <t>EV stage 2 load</t>
  </si>
  <si>
    <t xml:space="preserve"> - kW, assumed 32A @240V during peak</t>
  </si>
  <si>
    <t>Stage 1 @Peak</t>
  </si>
  <si>
    <t xml:space="preserve"> - of charger load is coincident with unit peak</t>
  </si>
  <si>
    <t>Stage 2 @ Peak</t>
  </si>
  <si>
    <t>Town house Loading</t>
  </si>
  <si>
    <t>Underground Residential Transformer Service Wire Sizes Guideline - Service and Conductor Size</t>
  </si>
  <si>
    <t>100A Units</t>
  </si>
  <si>
    <t>Tx Loading</t>
  </si>
  <si>
    <t>Number of Units</t>
  </si>
  <si>
    <t>Total Load (A)</t>
  </si>
  <si>
    <t>Diversity Factor 
(OESC)</t>
  </si>
  <si>
    <t>Diverstified Load (A)
Excluding AC and EV</t>
  </si>
  <si>
    <t>AC + EV
(A)</t>
  </si>
  <si>
    <t>Total Load for 
Each Unit (A)</t>
  </si>
  <si>
    <t>Non-EV Load
(kW)</t>
  </si>
  <si>
    <t>EV Peak Load
(kW)</t>
  </si>
  <si>
    <t>Total Unit Load (kW)</t>
  </si>
  <si>
    <t>Accum Load
(kW)</t>
  </si>
  <si>
    <t>Accum Load (kVA)
PF = 0.95</t>
  </si>
  <si>
    <t>Running Total (A)</t>
  </si>
  <si>
    <t>Tx Size (kVA)</t>
  </si>
  <si>
    <t>Tx Load % @  30 C</t>
  </si>
  <si>
    <t>Conductor Size</t>
  </si>
  <si>
    <t>Cable Loading (%)</t>
  </si>
  <si>
    <t>Service Size</t>
  </si>
  <si>
    <t>Diversity Factor
(OESC)</t>
  </si>
  <si>
    <t>3/0 Al</t>
  </si>
  <si>
    <t>500 Al</t>
  </si>
  <si>
    <t>Sum</t>
  </si>
  <si>
    <t>400A
(400x0.8=320A)</t>
  </si>
  <si>
    <t>750 Cu</t>
  </si>
  <si>
    <t>600A
(600x0.8=480A)</t>
  </si>
  <si>
    <t>200A Units</t>
  </si>
  <si>
    <t>Ampacity of three service conductors in a raceway or cable with 90 degree temp rise as per OESC (Table 2 for Cu and Table 4 for Al)</t>
  </si>
  <si>
    <t>250 Al</t>
  </si>
  <si>
    <t>350 Cu</t>
  </si>
  <si>
    <t>500 Cu</t>
  </si>
  <si>
    <t>Hydro Ottawa Limited
EB-2019-0261
Interrogatory Response
IRR DRC-8
Attachment C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</si>
</sst>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1"/>
      <color theme="1"/>
      <name val="Arial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E8E8E8"/>
        <bgColor rgb="FFE8E8E8"/>
      </patternFill>
    </fill>
    <fill>
      <patternFill patternType="solid">
        <fgColor rgb="FFD8D8D8"/>
        <bgColor rgb="FFD8D8D8"/>
      </patternFill>
    </fill>
    <fill>
      <patternFill patternType="solid">
        <fgColor rgb="FFD7D7D7"/>
        <bgColor rgb="FFD7D7D7"/>
      </patternFill>
    </fill>
    <fill>
      <patternFill patternType="solid">
        <fgColor rgb="FFC5C5C5"/>
        <bgColor rgb="FFC5C5C5"/>
      </patternFill>
    </fill>
    <fill>
      <patternFill patternType="solid">
        <fgColor rgb="FFB6B6B6"/>
        <bgColor rgb="FFB6B6B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/>
    <xf numFmtId="9" fontId="2" fillId="0" borderId="1" xfId="0" applyNumberFormat="1" applyFont="1" applyBorder="1" applyAlignment="1">
      <alignment horizontal="center" vertical="center"/>
    </xf>
    <xf numFmtId="9" fontId="2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9" fontId="11" fillId="0" borderId="0" xfId="0" applyNumberFormat="1" applyFont="1"/>
    <xf numFmtId="9" fontId="13" fillId="4" borderId="1" xfId="0" applyNumberFormat="1" applyFont="1" applyFill="1" applyBorder="1" applyAlignment="1">
      <alignment horizontal="center" vertical="center"/>
    </xf>
    <xf numFmtId="2" fontId="11" fillId="0" borderId="0" xfId="0" applyNumberFormat="1" applyFont="1"/>
    <xf numFmtId="164" fontId="13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9" fontId="13" fillId="6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9" fontId="13" fillId="7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9" fontId="13" fillId="8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7" xfId="0" applyFont="1" applyBorder="1"/>
    <xf numFmtId="0" fontId="11" fillId="0" borderId="5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18</xdr:row>
      <xdr:rowOff>152400</xdr:rowOff>
    </xdr:from>
    <xdr:ext cx="4371975" cy="3600450"/>
    <xdr:pic>
      <xdr:nvPicPr>
        <xdr:cNvPr id="2" name="image1.png" descr="image005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topLeftCell="B1" workbookViewId="0">
      <selection activeCell="V1" sqref="V1"/>
    </sheetView>
  </sheetViews>
  <sheetFormatPr defaultColWidth="12.58203125" defaultRowHeight="15" customHeight="1" x14ac:dyDescent="0.3"/>
  <cols>
    <col min="1" max="26" width="7.58203125" customWidth="1"/>
  </cols>
  <sheetData>
    <row r="1" spans="1:21" ht="89.25" customHeight="1" x14ac:dyDescent="0.3">
      <c r="A1" s="61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15.5" x14ac:dyDescent="0.35">
      <c r="A2" s="63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4" spans="1:21" ht="15.5" x14ac:dyDescent="0.3">
      <c r="B4" s="2" t="s">
        <v>3</v>
      </c>
    </row>
    <row r="5" spans="1:21" ht="15.5" x14ac:dyDescent="0.3">
      <c r="B5" s="3" t="s">
        <v>4</v>
      </c>
    </row>
    <row r="6" spans="1:21" ht="15.5" x14ac:dyDescent="0.3">
      <c r="B6" s="3" t="s">
        <v>6</v>
      </c>
    </row>
    <row r="7" spans="1:21" ht="15.5" x14ac:dyDescent="0.3">
      <c r="B7" s="3" t="s">
        <v>8</v>
      </c>
    </row>
    <row r="8" spans="1:21" ht="15.5" x14ac:dyDescent="0.3">
      <c r="B8" s="3" t="s">
        <v>9</v>
      </c>
    </row>
    <row r="9" spans="1:21" ht="15.5" x14ac:dyDescent="0.3">
      <c r="B9" s="3" t="s">
        <v>10</v>
      </c>
    </row>
    <row r="10" spans="1:21" ht="15.5" x14ac:dyDescent="0.3">
      <c r="B10" s="3" t="s">
        <v>11</v>
      </c>
    </row>
    <row r="11" spans="1:21" ht="15.5" x14ac:dyDescent="0.3">
      <c r="B11" s="3" t="s">
        <v>12</v>
      </c>
    </row>
    <row r="12" spans="1:21" ht="15.5" x14ac:dyDescent="0.3">
      <c r="B12" s="3" t="s">
        <v>13</v>
      </c>
    </row>
    <row r="13" spans="1:21" ht="15.5" x14ac:dyDescent="0.3">
      <c r="B13" s="3" t="s">
        <v>14</v>
      </c>
    </row>
    <row r="14" spans="1:21" ht="15.5" x14ac:dyDescent="0.3">
      <c r="B14" s="3" t="s">
        <v>15</v>
      </c>
    </row>
    <row r="15" spans="1:21" ht="15.5" x14ac:dyDescent="0.3">
      <c r="B15" s="3" t="s">
        <v>16</v>
      </c>
    </row>
    <row r="16" spans="1:21" ht="15.5" x14ac:dyDescent="0.3">
      <c r="B16" s="3" t="s">
        <v>17</v>
      </c>
    </row>
    <row r="17" spans="2:2" ht="15.5" x14ac:dyDescent="0.3">
      <c r="B17" s="3" t="s">
        <v>18</v>
      </c>
    </row>
    <row r="18" spans="2:2" ht="15.5" x14ac:dyDescent="0.3">
      <c r="B18" s="3" t="s">
        <v>19</v>
      </c>
    </row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2:2" ht="15.75" customHeight="1" x14ac:dyDescent="0.3"/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5">
      <c r="B39" s="5" t="s">
        <v>20</v>
      </c>
    </row>
    <row r="40" spans="2:2" ht="15.75" customHeight="1" x14ac:dyDescent="0.35">
      <c r="B40" s="5" t="s">
        <v>23</v>
      </c>
    </row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U1"/>
    <mergeCell ref="A2:U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2" sqref="A2:O2"/>
    </sheetView>
  </sheetViews>
  <sheetFormatPr defaultColWidth="12.58203125" defaultRowHeight="15" customHeight="1" x14ac:dyDescent="0.3"/>
  <cols>
    <col min="1" max="1" width="8" customWidth="1"/>
    <col min="2" max="2" width="14" customWidth="1"/>
    <col min="3" max="3" width="12.33203125" customWidth="1"/>
    <col min="4" max="4" width="14.75" customWidth="1"/>
    <col min="5" max="5" width="10.75" customWidth="1"/>
    <col min="6" max="6" width="12.33203125" customWidth="1"/>
    <col min="7" max="7" width="9.75" customWidth="1"/>
    <col min="8" max="8" width="10.5" customWidth="1"/>
    <col min="9" max="15" width="8" customWidth="1"/>
    <col min="16" max="26" width="7.58203125" customWidth="1"/>
  </cols>
  <sheetData>
    <row r="1" spans="1:26" ht="90.75" customHeight="1" x14ac:dyDescent="0.3">
      <c r="A1" s="61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63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6" t="s">
        <v>7</v>
      </c>
      <c r="C3" s="1"/>
      <c r="D3" s="1"/>
      <c r="E3" s="1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 t="s">
        <v>27</v>
      </c>
      <c r="C4" s="10">
        <v>1</v>
      </c>
      <c r="D4" s="1" t="s">
        <v>28</v>
      </c>
      <c r="E4" s="1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1" t="s">
        <v>29</v>
      </c>
      <c r="C5" s="10">
        <v>0</v>
      </c>
      <c r="D5" s="1" t="s">
        <v>30</v>
      </c>
      <c r="E5" s="1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/>
      <c r="B6" s="1" t="s">
        <v>31</v>
      </c>
      <c r="C6" s="12">
        <f>(12*120)/1000</f>
        <v>1.44</v>
      </c>
      <c r="D6" s="1" t="s">
        <v>32</v>
      </c>
      <c r="E6" s="1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"/>
      <c r="B7" s="1" t="s">
        <v>33</v>
      </c>
      <c r="C7" s="12">
        <f>(32*240*0.95)/1000</f>
        <v>7.2960000000000003</v>
      </c>
      <c r="D7" s="1" t="s">
        <v>34</v>
      </c>
      <c r="E7" s="1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"/>
      <c r="B8" s="1" t="s">
        <v>35</v>
      </c>
      <c r="C8" s="13">
        <v>1</v>
      </c>
      <c r="D8" s="1" t="s">
        <v>36</v>
      </c>
      <c r="E8" s="1"/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1" t="s">
        <v>37</v>
      </c>
      <c r="C9" s="13">
        <v>0.5</v>
      </c>
      <c r="D9" s="1" t="s">
        <v>36</v>
      </c>
      <c r="E9" s="1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64" t="s">
        <v>38</v>
      </c>
      <c r="C12" s="65"/>
      <c r="D12" s="65"/>
      <c r="E12" s="65"/>
      <c r="F12" s="66"/>
      <c r="G12" s="64" t="s">
        <v>41</v>
      </c>
      <c r="H12" s="65"/>
      <c r="I12" s="65"/>
      <c r="J12" s="6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7" t="s">
        <v>42</v>
      </c>
      <c r="C13" s="17" t="s">
        <v>44</v>
      </c>
      <c r="D13" s="17" t="s">
        <v>48</v>
      </c>
      <c r="E13" s="17" t="s">
        <v>49</v>
      </c>
      <c r="F13" s="17" t="s">
        <v>50</v>
      </c>
      <c r="G13" s="17" t="s">
        <v>51</v>
      </c>
      <c r="H13" s="17" t="s">
        <v>52</v>
      </c>
      <c r="I13" s="17" t="s">
        <v>54</v>
      </c>
      <c r="J13" s="17" t="s">
        <v>55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1"/>
      <c r="B14" s="18">
        <v>1</v>
      </c>
      <c r="C14" s="19">
        <v>1</v>
      </c>
      <c r="D14" s="20">
        <f>'Peak Load Assumption'!G5</f>
        <v>11.25</v>
      </c>
      <c r="E14" s="20">
        <f t="shared" ref="E14:E43" si="0">$C$4*(($C$5*$C$6*$C$8)+((1-$C$5)*$C$7*$C$9))</f>
        <v>3.6480000000000001</v>
      </c>
      <c r="F14" s="20">
        <f t="shared" ref="F14:F43" si="1">D14+E14</f>
        <v>14.898</v>
      </c>
      <c r="G14" s="20">
        <f>F14</f>
        <v>14.898</v>
      </c>
      <c r="H14" s="20">
        <f t="shared" ref="H14:H43" si="2">G14/0.95</f>
        <v>15.682105263157895</v>
      </c>
      <c r="I14" s="18">
        <v>50</v>
      </c>
      <c r="J14" s="22">
        <f t="shared" ref="J14:J43" si="3">H14/I14*100</f>
        <v>31.364210526315787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"/>
      <c r="B15" s="18">
        <f t="shared" ref="B15:B43" si="4">B14+1</f>
        <v>2</v>
      </c>
      <c r="C15" s="19">
        <v>0.65</v>
      </c>
      <c r="D15" s="20">
        <f>'Peak Load Assumption'!G6</f>
        <v>8.1524999999999999</v>
      </c>
      <c r="E15" s="20">
        <f t="shared" si="0"/>
        <v>3.6480000000000001</v>
      </c>
      <c r="F15" s="20">
        <f t="shared" si="1"/>
        <v>11.8005</v>
      </c>
      <c r="G15" s="20">
        <f t="shared" ref="G15:G43" si="5">F15+G14</f>
        <v>26.698499999999999</v>
      </c>
      <c r="H15" s="20">
        <f t="shared" si="2"/>
        <v>28.103684210526318</v>
      </c>
      <c r="I15" s="18">
        <v>50</v>
      </c>
      <c r="J15" s="22">
        <f t="shared" si="3"/>
        <v>56.207368421052642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18">
        <f t="shared" si="4"/>
        <v>3</v>
      </c>
      <c r="C16" s="19">
        <v>0.65</v>
      </c>
      <c r="D16" s="20">
        <f>'Peak Load Assumption'!G7</f>
        <v>8.1524999999999999</v>
      </c>
      <c r="E16" s="20">
        <f t="shared" si="0"/>
        <v>3.6480000000000001</v>
      </c>
      <c r="F16" s="20">
        <f t="shared" si="1"/>
        <v>11.8005</v>
      </c>
      <c r="G16" s="20">
        <f t="shared" si="5"/>
        <v>38.498999999999995</v>
      </c>
      <c r="H16" s="20">
        <f t="shared" si="2"/>
        <v>40.525263157894734</v>
      </c>
      <c r="I16" s="18">
        <v>50</v>
      </c>
      <c r="J16" s="22">
        <f t="shared" si="3"/>
        <v>81.050526315789469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18">
        <f t="shared" si="4"/>
        <v>4</v>
      </c>
      <c r="C17" s="19">
        <v>0.4</v>
      </c>
      <c r="D17" s="20">
        <f>'Peak Load Assumption'!G8</f>
        <v>5.9399999999999995</v>
      </c>
      <c r="E17" s="20">
        <f t="shared" si="0"/>
        <v>3.6480000000000001</v>
      </c>
      <c r="F17" s="20">
        <f t="shared" si="1"/>
        <v>9.5879999999999992</v>
      </c>
      <c r="G17" s="20">
        <f t="shared" si="5"/>
        <v>48.086999999999996</v>
      </c>
      <c r="H17" s="20">
        <f t="shared" si="2"/>
        <v>50.617894736842103</v>
      </c>
      <c r="I17" s="18">
        <v>50</v>
      </c>
      <c r="J17" s="22">
        <f t="shared" si="3"/>
        <v>101.23578947368421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1"/>
      <c r="B18" s="27">
        <f t="shared" si="4"/>
        <v>5</v>
      </c>
      <c r="C18" s="29">
        <v>0.4</v>
      </c>
      <c r="D18" s="31">
        <f>'Peak Load Assumption'!G9</f>
        <v>5.9399999999999995</v>
      </c>
      <c r="E18" s="31">
        <f t="shared" si="0"/>
        <v>3.6480000000000001</v>
      </c>
      <c r="F18" s="31">
        <f t="shared" si="1"/>
        <v>9.5879999999999992</v>
      </c>
      <c r="G18" s="31">
        <f t="shared" si="5"/>
        <v>57.674999999999997</v>
      </c>
      <c r="H18" s="31">
        <f t="shared" si="2"/>
        <v>60.710526315789473</v>
      </c>
      <c r="I18" s="27">
        <v>50</v>
      </c>
      <c r="J18" s="32">
        <f t="shared" si="3"/>
        <v>121.42105263157895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"/>
      <c r="B19" s="33">
        <f t="shared" si="4"/>
        <v>6</v>
      </c>
      <c r="C19" s="34">
        <v>0.25</v>
      </c>
      <c r="D19" s="35">
        <f>'Peak Load Assumption'!G10</f>
        <v>4.6124999999999998</v>
      </c>
      <c r="E19" s="35">
        <f t="shared" si="0"/>
        <v>3.6480000000000001</v>
      </c>
      <c r="F19" s="35">
        <f t="shared" si="1"/>
        <v>8.2605000000000004</v>
      </c>
      <c r="G19" s="35">
        <f t="shared" si="5"/>
        <v>65.93549999999999</v>
      </c>
      <c r="H19" s="35">
        <f t="shared" si="2"/>
        <v>69.405789473684209</v>
      </c>
      <c r="I19" s="33">
        <v>75</v>
      </c>
      <c r="J19" s="36">
        <f t="shared" si="3"/>
        <v>92.54105263157895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33">
        <f t="shared" si="4"/>
        <v>7</v>
      </c>
      <c r="C20" s="34">
        <v>0.25</v>
      </c>
      <c r="D20" s="35">
        <f>'Peak Load Assumption'!G11</f>
        <v>4.6124999999999998</v>
      </c>
      <c r="E20" s="35">
        <f t="shared" si="0"/>
        <v>3.6480000000000001</v>
      </c>
      <c r="F20" s="35">
        <f t="shared" si="1"/>
        <v>8.2605000000000004</v>
      </c>
      <c r="G20" s="35">
        <f t="shared" si="5"/>
        <v>74.195999999999998</v>
      </c>
      <c r="H20" s="35">
        <f t="shared" si="2"/>
        <v>78.101052631578952</v>
      </c>
      <c r="I20" s="33">
        <v>75</v>
      </c>
      <c r="J20" s="36">
        <f t="shared" si="3"/>
        <v>104.13473684210528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"/>
      <c r="B21" s="37">
        <f t="shared" si="4"/>
        <v>8</v>
      </c>
      <c r="C21" s="38">
        <v>0.25</v>
      </c>
      <c r="D21" s="39">
        <f>'Peak Load Assumption'!G12</f>
        <v>4.6124999999999998</v>
      </c>
      <c r="E21" s="39">
        <f t="shared" si="0"/>
        <v>3.6480000000000001</v>
      </c>
      <c r="F21" s="39">
        <f t="shared" si="1"/>
        <v>8.2605000000000004</v>
      </c>
      <c r="G21" s="39">
        <f t="shared" si="5"/>
        <v>82.456500000000005</v>
      </c>
      <c r="H21" s="39">
        <f t="shared" si="2"/>
        <v>86.796315789473695</v>
      </c>
      <c r="I21" s="37">
        <v>75</v>
      </c>
      <c r="J21" s="40">
        <f t="shared" si="3"/>
        <v>115.72842105263159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41">
        <f t="shared" si="4"/>
        <v>9</v>
      </c>
      <c r="C22" s="43">
        <v>0.25</v>
      </c>
      <c r="D22" s="44">
        <f>'Peak Load Assumption'!G13</f>
        <v>4.6124999999999998</v>
      </c>
      <c r="E22" s="44">
        <f t="shared" si="0"/>
        <v>3.6480000000000001</v>
      </c>
      <c r="F22" s="44">
        <f t="shared" si="1"/>
        <v>8.2605000000000004</v>
      </c>
      <c r="G22" s="44">
        <f t="shared" si="5"/>
        <v>90.717000000000013</v>
      </c>
      <c r="H22" s="44">
        <f t="shared" si="2"/>
        <v>95.491578947368438</v>
      </c>
      <c r="I22" s="41">
        <v>100</v>
      </c>
      <c r="J22" s="46">
        <f t="shared" si="3"/>
        <v>95.491578947368438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41">
        <f t="shared" si="4"/>
        <v>10</v>
      </c>
      <c r="C23" s="43">
        <v>0.25</v>
      </c>
      <c r="D23" s="44">
        <f>'Peak Load Assumption'!G14</f>
        <v>4.6124999999999998</v>
      </c>
      <c r="E23" s="44">
        <f t="shared" si="0"/>
        <v>3.6480000000000001</v>
      </c>
      <c r="F23" s="44">
        <f t="shared" si="1"/>
        <v>8.2605000000000004</v>
      </c>
      <c r="G23" s="44">
        <f t="shared" si="5"/>
        <v>98.97750000000002</v>
      </c>
      <c r="H23" s="44">
        <f t="shared" si="2"/>
        <v>104.18684210526318</v>
      </c>
      <c r="I23" s="41">
        <v>100</v>
      </c>
      <c r="J23" s="46">
        <f t="shared" si="3"/>
        <v>104.1868421052632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"/>
      <c r="B24" s="41">
        <f t="shared" si="4"/>
        <v>11</v>
      </c>
      <c r="C24" s="43">
        <v>0.25</v>
      </c>
      <c r="D24" s="44">
        <f>'Peak Load Assumption'!G15</f>
        <v>4.6124999999999998</v>
      </c>
      <c r="E24" s="44">
        <f t="shared" si="0"/>
        <v>3.6480000000000001</v>
      </c>
      <c r="F24" s="44">
        <f t="shared" si="1"/>
        <v>8.2605000000000004</v>
      </c>
      <c r="G24" s="44">
        <f t="shared" si="5"/>
        <v>107.23800000000003</v>
      </c>
      <c r="H24" s="44">
        <f t="shared" si="2"/>
        <v>112.88210526315792</v>
      </c>
      <c r="I24" s="41">
        <v>100</v>
      </c>
      <c r="J24" s="46">
        <f t="shared" si="3"/>
        <v>112.88210526315791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  <c r="B25" s="47">
        <f t="shared" si="4"/>
        <v>12</v>
      </c>
      <c r="C25" s="48">
        <v>0.25</v>
      </c>
      <c r="D25" s="49">
        <f>'Peak Load Assumption'!G16</f>
        <v>4.6124999999999998</v>
      </c>
      <c r="E25" s="49">
        <f t="shared" si="0"/>
        <v>3.6480000000000001</v>
      </c>
      <c r="F25" s="49">
        <f t="shared" si="1"/>
        <v>8.2605000000000004</v>
      </c>
      <c r="G25" s="49">
        <f t="shared" si="5"/>
        <v>115.49850000000004</v>
      </c>
      <c r="H25" s="49">
        <f t="shared" si="2"/>
        <v>121.57736842105267</v>
      </c>
      <c r="I25" s="47">
        <v>100</v>
      </c>
      <c r="J25" s="50">
        <f t="shared" si="3"/>
        <v>121.57736842105267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51">
        <f t="shared" si="4"/>
        <v>13</v>
      </c>
      <c r="C26" s="52">
        <v>0.25</v>
      </c>
      <c r="D26" s="53">
        <f>'Peak Load Assumption'!G17</f>
        <v>4.6124999999999998</v>
      </c>
      <c r="E26" s="53">
        <f t="shared" si="0"/>
        <v>3.6480000000000001</v>
      </c>
      <c r="F26" s="53">
        <f t="shared" si="1"/>
        <v>8.2605000000000004</v>
      </c>
      <c r="G26" s="53">
        <f t="shared" si="5"/>
        <v>123.75900000000004</v>
      </c>
      <c r="H26" s="53">
        <f t="shared" si="2"/>
        <v>130.27263157894743</v>
      </c>
      <c r="I26" s="51">
        <v>167</v>
      </c>
      <c r="J26" s="54">
        <f t="shared" si="3"/>
        <v>78.007563819729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51">
        <f t="shared" si="4"/>
        <v>14</v>
      </c>
      <c r="C27" s="52">
        <v>0.25</v>
      </c>
      <c r="D27" s="53">
        <f>'Peak Load Assumption'!G18</f>
        <v>4.6124999999999998</v>
      </c>
      <c r="E27" s="53">
        <f t="shared" si="0"/>
        <v>3.6480000000000001</v>
      </c>
      <c r="F27" s="53">
        <f t="shared" si="1"/>
        <v>8.2605000000000004</v>
      </c>
      <c r="G27" s="53">
        <f t="shared" si="5"/>
        <v>132.01950000000005</v>
      </c>
      <c r="H27" s="53">
        <f t="shared" si="2"/>
        <v>138.96789473684217</v>
      </c>
      <c r="I27" s="51">
        <v>167</v>
      </c>
      <c r="J27" s="54">
        <f t="shared" si="3"/>
        <v>83.214308225653994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51">
        <f t="shared" si="4"/>
        <v>15</v>
      </c>
      <c r="C28" s="52">
        <v>0.25</v>
      </c>
      <c r="D28" s="53">
        <f>'Peak Load Assumption'!G19</f>
        <v>4.6124999999999998</v>
      </c>
      <c r="E28" s="53">
        <f t="shared" si="0"/>
        <v>3.6480000000000001</v>
      </c>
      <c r="F28" s="53">
        <f t="shared" si="1"/>
        <v>8.2605000000000004</v>
      </c>
      <c r="G28" s="53">
        <f t="shared" si="5"/>
        <v>140.28000000000006</v>
      </c>
      <c r="H28" s="53">
        <f t="shared" si="2"/>
        <v>147.66315789473691</v>
      </c>
      <c r="I28" s="51">
        <v>167</v>
      </c>
      <c r="J28" s="54">
        <f t="shared" si="3"/>
        <v>88.421052631578988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51">
        <f t="shared" si="4"/>
        <v>16</v>
      </c>
      <c r="C29" s="52">
        <v>0.25</v>
      </c>
      <c r="D29" s="53">
        <f>'Peak Load Assumption'!G20</f>
        <v>4.6124999999999998</v>
      </c>
      <c r="E29" s="53">
        <f t="shared" si="0"/>
        <v>3.6480000000000001</v>
      </c>
      <c r="F29" s="53">
        <f t="shared" si="1"/>
        <v>8.2605000000000004</v>
      </c>
      <c r="G29" s="53">
        <f t="shared" si="5"/>
        <v>148.54050000000007</v>
      </c>
      <c r="H29" s="53">
        <f t="shared" si="2"/>
        <v>156.35842105263166</v>
      </c>
      <c r="I29" s="51">
        <v>167</v>
      </c>
      <c r="J29" s="54">
        <f t="shared" si="3"/>
        <v>93.627797037503996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51">
        <f t="shared" si="4"/>
        <v>17</v>
      </c>
      <c r="C30" s="52">
        <v>0.25</v>
      </c>
      <c r="D30" s="53">
        <f>'Peak Load Assumption'!G21</f>
        <v>4.6124999999999998</v>
      </c>
      <c r="E30" s="53">
        <f t="shared" si="0"/>
        <v>3.6480000000000001</v>
      </c>
      <c r="F30" s="53">
        <f t="shared" si="1"/>
        <v>8.2605000000000004</v>
      </c>
      <c r="G30" s="53">
        <f t="shared" si="5"/>
        <v>156.80100000000007</v>
      </c>
      <c r="H30" s="53">
        <f t="shared" si="2"/>
        <v>165.0536842105264</v>
      </c>
      <c r="I30" s="51">
        <v>167</v>
      </c>
      <c r="J30" s="54">
        <f t="shared" si="3"/>
        <v>98.834541443428975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51">
        <f t="shared" si="4"/>
        <v>18</v>
      </c>
      <c r="C31" s="52">
        <v>0.25</v>
      </c>
      <c r="D31" s="53">
        <f>'Peak Load Assumption'!G22</f>
        <v>4.6124999999999998</v>
      </c>
      <c r="E31" s="53">
        <f t="shared" si="0"/>
        <v>3.6480000000000001</v>
      </c>
      <c r="F31" s="53">
        <f t="shared" si="1"/>
        <v>8.2605000000000004</v>
      </c>
      <c r="G31" s="53">
        <f t="shared" si="5"/>
        <v>165.06150000000008</v>
      </c>
      <c r="H31" s="53">
        <f t="shared" si="2"/>
        <v>173.74894736842114</v>
      </c>
      <c r="I31" s="51">
        <v>167</v>
      </c>
      <c r="J31" s="54">
        <f t="shared" si="3"/>
        <v>104.04128584935397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51">
        <f t="shared" si="4"/>
        <v>19</v>
      </c>
      <c r="C32" s="52">
        <v>0.25</v>
      </c>
      <c r="D32" s="53">
        <f>'Peak Load Assumption'!G23</f>
        <v>4.6124999999999998</v>
      </c>
      <c r="E32" s="53">
        <f t="shared" si="0"/>
        <v>3.6480000000000001</v>
      </c>
      <c r="F32" s="53">
        <f t="shared" si="1"/>
        <v>8.2605000000000004</v>
      </c>
      <c r="G32" s="53">
        <f t="shared" si="5"/>
        <v>173.32200000000009</v>
      </c>
      <c r="H32" s="53">
        <f t="shared" si="2"/>
        <v>182.44421052631589</v>
      </c>
      <c r="I32" s="51">
        <v>167</v>
      </c>
      <c r="J32" s="54">
        <f t="shared" si="3"/>
        <v>109.24803025527898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55">
        <f t="shared" si="4"/>
        <v>20</v>
      </c>
      <c r="C33" s="56">
        <v>0.25</v>
      </c>
      <c r="D33" s="57">
        <f>'Peak Load Assumption'!G24</f>
        <v>4.6124999999999998</v>
      </c>
      <c r="E33" s="57">
        <f t="shared" si="0"/>
        <v>3.6480000000000001</v>
      </c>
      <c r="F33" s="57">
        <f t="shared" si="1"/>
        <v>8.2605000000000004</v>
      </c>
      <c r="G33" s="57">
        <f t="shared" si="5"/>
        <v>181.5825000000001</v>
      </c>
      <c r="H33" s="57">
        <f t="shared" si="2"/>
        <v>191.13947368421063</v>
      </c>
      <c r="I33" s="55">
        <v>167</v>
      </c>
      <c r="J33" s="58">
        <f t="shared" si="3"/>
        <v>114.45477466120397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7">
        <f t="shared" si="4"/>
        <v>21</v>
      </c>
      <c r="C34" s="9">
        <v>0.1</v>
      </c>
      <c r="D34" s="59">
        <f>'Peak Load Assumption'!G25</f>
        <v>3.2850000000000001</v>
      </c>
      <c r="E34" s="59">
        <f t="shared" si="0"/>
        <v>3.6480000000000001</v>
      </c>
      <c r="F34" s="59">
        <f t="shared" si="1"/>
        <v>6.9329999999999998</v>
      </c>
      <c r="G34" s="59">
        <f t="shared" si="5"/>
        <v>188.51550000000009</v>
      </c>
      <c r="H34" s="59">
        <f t="shared" si="2"/>
        <v>198.43736842105272</v>
      </c>
      <c r="I34" s="7"/>
      <c r="J34" s="60" t="e">
        <f t="shared" si="3"/>
        <v>#DIV/0!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7">
        <f t="shared" si="4"/>
        <v>22</v>
      </c>
      <c r="C35" s="9">
        <v>0.1</v>
      </c>
      <c r="D35" s="59">
        <f>'Peak Load Assumption'!G26</f>
        <v>3.2850000000000001</v>
      </c>
      <c r="E35" s="59">
        <f t="shared" si="0"/>
        <v>3.6480000000000001</v>
      </c>
      <c r="F35" s="59">
        <f t="shared" si="1"/>
        <v>6.9329999999999998</v>
      </c>
      <c r="G35" s="59">
        <f t="shared" si="5"/>
        <v>195.44850000000008</v>
      </c>
      <c r="H35" s="59">
        <f t="shared" si="2"/>
        <v>205.73526315789482</v>
      </c>
      <c r="I35" s="7"/>
      <c r="J35" s="60" t="e">
        <f t="shared" si="3"/>
        <v>#DIV/0!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7">
        <f t="shared" si="4"/>
        <v>23</v>
      </c>
      <c r="C36" s="9">
        <v>0.1</v>
      </c>
      <c r="D36" s="59">
        <f>'Peak Load Assumption'!G27</f>
        <v>3.2850000000000001</v>
      </c>
      <c r="E36" s="59">
        <f t="shared" si="0"/>
        <v>3.6480000000000001</v>
      </c>
      <c r="F36" s="59">
        <f t="shared" si="1"/>
        <v>6.9329999999999998</v>
      </c>
      <c r="G36" s="59">
        <f t="shared" si="5"/>
        <v>202.38150000000007</v>
      </c>
      <c r="H36" s="59">
        <f t="shared" si="2"/>
        <v>213.03315789473692</v>
      </c>
      <c r="I36" s="7"/>
      <c r="J36" s="60" t="e">
        <f t="shared" si="3"/>
        <v>#DIV/0!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7">
        <f t="shared" si="4"/>
        <v>24</v>
      </c>
      <c r="C37" s="9">
        <v>0.1</v>
      </c>
      <c r="D37" s="59">
        <f>'Peak Load Assumption'!G28</f>
        <v>3.2850000000000001</v>
      </c>
      <c r="E37" s="59">
        <f t="shared" si="0"/>
        <v>3.6480000000000001</v>
      </c>
      <c r="F37" s="59">
        <f t="shared" si="1"/>
        <v>6.9329999999999998</v>
      </c>
      <c r="G37" s="59">
        <f t="shared" si="5"/>
        <v>209.31450000000007</v>
      </c>
      <c r="H37" s="59">
        <f t="shared" si="2"/>
        <v>220.33105263157904</v>
      </c>
      <c r="I37" s="7"/>
      <c r="J37" s="60" t="e">
        <f t="shared" si="3"/>
        <v>#DIV/0!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7">
        <f t="shared" si="4"/>
        <v>25</v>
      </c>
      <c r="C38" s="9">
        <v>0.1</v>
      </c>
      <c r="D38" s="59">
        <f>'Peak Load Assumption'!G29</f>
        <v>3.2850000000000001</v>
      </c>
      <c r="E38" s="59">
        <f t="shared" si="0"/>
        <v>3.6480000000000001</v>
      </c>
      <c r="F38" s="59">
        <f t="shared" si="1"/>
        <v>6.9329999999999998</v>
      </c>
      <c r="G38" s="59">
        <f t="shared" si="5"/>
        <v>216.24750000000006</v>
      </c>
      <c r="H38" s="59">
        <f t="shared" si="2"/>
        <v>227.62894736842114</v>
      </c>
      <c r="I38" s="7"/>
      <c r="J38" s="60" t="e">
        <f t="shared" si="3"/>
        <v>#DIV/0!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7">
        <f t="shared" si="4"/>
        <v>26</v>
      </c>
      <c r="C39" s="9">
        <v>0.1</v>
      </c>
      <c r="D39" s="59">
        <f>'Peak Load Assumption'!G30</f>
        <v>3.2850000000000001</v>
      </c>
      <c r="E39" s="59">
        <f t="shared" si="0"/>
        <v>3.6480000000000001</v>
      </c>
      <c r="F39" s="59">
        <f t="shared" si="1"/>
        <v>6.9329999999999998</v>
      </c>
      <c r="G39" s="59">
        <f t="shared" si="5"/>
        <v>223.18050000000005</v>
      </c>
      <c r="H39" s="59">
        <f t="shared" si="2"/>
        <v>234.92684210526323</v>
      </c>
      <c r="I39" s="7"/>
      <c r="J39" s="60" t="e">
        <f t="shared" si="3"/>
        <v>#DIV/0!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7">
        <f t="shared" si="4"/>
        <v>27</v>
      </c>
      <c r="C40" s="9">
        <v>0.1</v>
      </c>
      <c r="D40" s="59">
        <f>'Peak Load Assumption'!G31</f>
        <v>3.2850000000000001</v>
      </c>
      <c r="E40" s="59">
        <f t="shared" si="0"/>
        <v>3.6480000000000001</v>
      </c>
      <c r="F40" s="59">
        <f t="shared" si="1"/>
        <v>6.9329999999999998</v>
      </c>
      <c r="G40" s="59">
        <f t="shared" si="5"/>
        <v>230.11350000000004</v>
      </c>
      <c r="H40" s="59">
        <f t="shared" si="2"/>
        <v>242.22473684210533</v>
      </c>
      <c r="I40" s="7"/>
      <c r="J40" s="60" t="e">
        <f t="shared" si="3"/>
        <v>#DIV/0!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7">
        <f t="shared" si="4"/>
        <v>28</v>
      </c>
      <c r="C41" s="9">
        <v>0.1</v>
      </c>
      <c r="D41" s="59">
        <f>'Peak Load Assumption'!G32</f>
        <v>3.2850000000000001</v>
      </c>
      <c r="E41" s="59">
        <f t="shared" si="0"/>
        <v>3.6480000000000001</v>
      </c>
      <c r="F41" s="59">
        <f t="shared" si="1"/>
        <v>6.9329999999999998</v>
      </c>
      <c r="G41" s="59">
        <f t="shared" si="5"/>
        <v>237.04650000000004</v>
      </c>
      <c r="H41" s="59">
        <f t="shared" si="2"/>
        <v>249.52263157894743</v>
      </c>
      <c r="I41" s="7"/>
      <c r="J41" s="60" t="e">
        <f t="shared" si="3"/>
        <v>#DIV/0!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7">
        <f t="shared" si="4"/>
        <v>29</v>
      </c>
      <c r="C42" s="9">
        <v>0.1</v>
      </c>
      <c r="D42" s="59">
        <f>'Peak Load Assumption'!G33</f>
        <v>3.2850000000000001</v>
      </c>
      <c r="E42" s="59">
        <f t="shared" si="0"/>
        <v>3.6480000000000001</v>
      </c>
      <c r="F42" s="59">
        <f t="shared" si="1"/>
        <v>6.9329999999999998</v>
      </c>
      <c r="G42" s="59">
        <f t="shared" si="5"/>
        <v>243.97950000000003</v>
      </c>
      <c r="H42" s="59">
        <f t="shared" si="2"/>
        <v>256.82052631578949</v>
      </c>
      <c r="I42" s="7"/>
      <c r="J42" s="60" t="e">
        <f t="shared" si="3"/>
        <v>#DIV/0!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7">
        <f t="shared" si="4"/>
        <v>30</v>
      </c>
      <c r="C43" s="9">
        <v>0.1</v>
      </c>
      <c r="D43" s="59">
        <f>'Peak Load Assumption'!G34</f>
        <v>3.2850000000000001</v>
      </c>
      <c r="E43" s="59">
        <f t="shared" si="0"/>
        <v>3.6480000000000001</v>
      </c>
      <c r="F43" s="59">
        <f t="shared" si="1"/>
        <v>6.9329999999999998</v>
      </c>
      <c r="G43" s="59">
        <f t="shared" si="5"/>
        <v>250.91250000000002</v>
      </c>
      <c r="H43" s="59">
        <f t="shared" si="2"/>
        <v>264.11842105263162</v>
      </c>
      <c r="I43" s="7"/>
      <c r="J43" s="60" t="e">
        <f t="shared" si="3"/>
        <v>#DIV/0!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O1"/>
    <mergeCell ref="B12:F12"/>
    <mergeCell ref="G12:J12"/>
    <mergeCell ref="A2:O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selection activeCell="R4" sqref="R4"/>
    </sheetView>
  </sheetViews>
  <sheetFormatPr defaultColWidth="12.58203125" defaultRowHeight="15" customHeight="1" x14ac:dyDescent="0.3"/>
  <cols>
    <col min="1" max="26" width="7.58203125" customWidth="1"/>
  </cols>
  <sheetData>
    <row r="1" spans="1:21" ht="94.5" customHeight="1" x14ac:dyDescent="0.3">
      <c r="A1" s="61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15.5" x14ac:dyDescent="0.35">
      <c r="A2" s="63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6.25" customHeight="1" x14ac:dyDescent="0.3"/>
    <row r="4" spans="1:21" ht="39" x14ac:dyDescent="0.3">
      <c r="B4" s="4" t="s">
        <v>5</v>
      </c>
      <c r="C4" s="4" t="s">
        <v>21</v>
      </c>
      <c r="D4" s="4" t="s">
        <v>22</v>
      </c>
      <c r="E4" s="4" t="s">
        <v>24</v>
      </c>
      <c r="F4" s="4" t="s">
        <v>25</v>
      </c>
      <c r="G4" s="4" t="s">
        <v>26</v>
      </c>
    </row>
    <row r="5" spans="1:21" ht="14" x14ac:dyDescent="0.3">
      <c r="B5" s="7">
        <v>1</v>
      </c>
      <c r="C5" s="9">
        <v>1</v>
      </c>
      <c r="D5" s="11">
        <v>4.5</v>
      </c>
      <c r="E5" s="11">
        <f>(4.5/0.4*C5)-F5</f>
        <v>8.85</v>
      </c>
      <c r="F5" s="11">
        <f t="shared" ref="F5:F34" si="0">(10*240)/1000</f>
        <v>2.4</v>
      </c>
      <c r="G5" s="11">
        <f t="shared" ref="G5:G34" si="1">SUM(E5:F5)</f>
        <v>11.25</v>
      </c>
    </row>
    <row r="6" spans="1:21" ht="14" x14ac:dyDescent="0.3">
      <c r="B6" s="7">
        <v>2</v>
      </c>
      <c r="C6" s="9">
        <v>0.65</v>
      </c>
      <c r="D6" s="11">
        <v>4.5</v>
      </c>
      <c r="E6" s="11">
        <f t="shared" ref="E6:E34" si="2">$E$5*C6</f>
        <v>5.7525000000000004</v>
      </c>
      <c r="F6" s="11">
        <f t="shared" si="0"/>
        <v>2.4</v>
      </c>
      <c r="G6" s="11">
        <f t="shared" si="1"/>
        <v>8.1524999999999999</v>
      </c>
    </row>
    <row r="7" spans="1:21" ht="14" x14ac:dyDescent="0.3">
      <c r="B7" s="7">
        <v>3</v>
      </c>
      <c r="C7" s="9">
        <v>0.65</v>
      </c>
      <c r="D7" s="11">
        <v>4.5</v>
      </c>
      <c r="E7" s="11">
        <f t="shared" si="2"/>
        <v>5.7525000000000004</v>
      </c>
      <c r="F7" s="11">
        <f t="shared" si="0"/>
        <v>2.4</v>
      </c>
      <c r="G7" s="11">
        <f t="shared" si="1"/>
        <v>8.1524999999999999</v>
      </c>
    </row>
    <row r="8" spans="1:21" ht="14" x14ac:dyDescent="0.3">
      <c r="B8" s="7">
        <v>4</v>
      </c>
      <c r="C8" s="9">
        <v>0.4</v>
      </c>
      <c r="D8" s="11">
        <v>4.5</v>
      </c>
      <c r="E8" s="11">
        <f t="shared" si="2"/>
        <v>3.54</v>
      </c>
      <c r="F8" s="11">
        <f t="shared" si="0"/>
        <v>2.4</v>
      </c>
      <c r="G8" s="11">
        <f t="shared" si="1"/>
        <v>5.9399999999999995</v>
      </c>
    </row>
    <row r="9" spans="1:21" ht="14" x14ac:dyDescent="0.3">
      <c r="B9" s="7">
        <v>5</v>
      </c>
      <c r="C9" s="9">
        <v>0.4</v>
      </c>
      <c r="D9" s="11">
        <v>4.5</v>
      </c>
      <c r="E9" s="11">
        <f t="shared" si="2"/>
        <v>3.54</v>
      </c>
      <c r="F9" s="11">
        <f t="shared" si="0"/>
        <v>2.4</v>
      </c>
      <c r="G9" s="11">
        <f t="shared" si="1"/>
        <v>5.9399999999999995</v>
      </c>
    </row>
    <row r="10" spans="1:21" ht="14" x14ac:dyDescent="0.3">
      <c r="B10" s="7">
        <v>6</v>
      </c>
      <c r="C10" s="9">
        <v>0.25</v>
      </c>
      <c r="D10" s="11">
        <v>4.5</v>
      </c>
      <c r="E10" s="11">
        <f t="shared" si="2"/>
        <v>2.2124999999999999</v>
      </c>
      <c r="F10" s="11">
        <f t="shared" si="0"/>
        <v>2.4</v>
      </c>
      <c r="G10" s="11">
        <f t="shared" si="1"/>
        <v>4.6124999999999998</v>
      </c>
    </row>
    <row r="11" spans="1:21" ht="14" x14ac:dyDescent="0.3">
      <c r="B11" s="7">
        <v>7</v>
      </c>
      <c r="C11" s="9">
        <v>0.25</v>
      </c>
      <c r="D11" s="11">
        <v>4.5</v>
      </c>
      <c r="E11" s="11">
        <f t="shared" si="2"/>
        <v>2.2124999999999999</v>
      </c>
      <c r="F11" s="11">
        <f t="shared" si="0"/>
        <v>2.4</v>
      </c>
      <c r="G11" s="11">
        <f t="shared" si="1"/>
        <v>4.6124999999999998</v>
      </c>
    </row>
    <row r="12" spans="1:21" ht="14" x14ac:dyDescent="0.3">
      <c r="B12" s="7">
        <v>8</v>
      </c>
      <c r="C12" s="9">
        <v>0.25</v>
      </c>
      <c r="D12" s="11">
        <v>4.5</v>
      </c>
      <c r="E12" s="11">
        <f t="shared" si="2"/>
        <v>2.2124999999999999</v>
      </c>
      <c r="F12" s="11">
        <f t="shared" si="0"/>
        <v>2.4</v>
      </c>
      <c r="G12" s="11">
        <f t="shared" si="1"/>
        <v>4.6124999999999998</v>
      </c>
    </row>
    <row r="13" spans="1:21" ht="14" x14ac:dyDescent="0.3">
      <c r="B13" s="7">
        <v>9</v>
      </c>
      <c r="C13" s="9">
        <v>0.25</v>
      </c>
      <c r="D13" s="11">
        <v>4.5</v>
      </c>
      <c r="E13" s="11">
        <f t="shared" si="2"/>
        <v>2.2124999999999999</v>
      </c>
      <c r="F13" s="11">
        <f t="shared" si="0"/>
        <v>2.4</v>
      </c>
      <c r="G13" s="11">
        <f t="shared" si="1"/>
        <v>4.6124999999999998</v>
      </c>
    </row>
    <row r="14" spans="1:21" ht="14" x14ac:dyDescent="0.3">
      <c r="B14" s="7">
        <v>10</v>
      </c>
      <c r="C14" s="9">
        <v>0.25</v>
      </c>
      <c r="D14" s="11">
        <v>4.5</v>
      </c>
      <c r="E14" s="11">
        <f t="shared" si="2"/>
        <v>2.2124999999999999</v>
      </c>
      <c r="F14" s="11">
        <f t="shared" si="0"/>
        <v>2.4</v>
      </c>
      <c r="G14" s="11">
        <f t="shared" si="1"/>
        <v>4.6124999999999998</v>
      </c>
    </row>
    <row r="15" spans="1:21" ht="14" x14ac:dyDescent="0.3">
      <c r="B15" s="7">
        <v>11</v>
      </c>
      <c r="C15" s="9">
        <v>0.25</v>
      </c>
      <c r="D15" s="11">
        <v>4.5</v>
      </c>
      <c r="E15" s="11">
        <f t="shared" si="2"/>
        <v>2.2124999999999999</v>
      </c>
      <c r="F15" s="11">
        <f t="shared" si="0"/>
        <v>2.4</v>
      </c>
      <c r="G15" s="11">
        <f t="shared" si="1"/>
        <v>4.6124999999999998</v>
      </c>
    </row>
    <row r="16" spans="1:21" ht="14" x14ac:dyDescent="0.3">
      <c r="B16" s="7">
        <v>12</v>
      </c>
      <c r="C16" s="9">
        <v>0.25</v>
      </c>
      <c r="D16" s="11">
        <v>4.5</v>
      </c>
      <c r="E16" s="11">
        <f t="shared" si="2"/>
        <v>2.2124999999999999</v>
      </c>
      <c r="F16" s="11">
        <f t="shared" si="0"/>
        <v>2.4</v>
      </c>
      <c r="G16" s="11">
        <f t="shared" si="1"/>
        <v>4.6124999999999998</v>
      </c>
    </row>
    <row r="17" spans="2:9" ht="14" x14ac:dyDescent="0.3">
      <c r="B17" s="7">
        <v>13</v>
      </c>
      <c r="C17" s="9">
        <v>0.25</v>
      </c>
      <c r="D17" s="11">
        <v>4.5</v>
      </c>
      <c r="E17" s="11">
        <f t="shared" si="2"/>
        <v>2.2124999999999999</v>
      </c>
      <c r="F17" s="11">
        <f t="shared" si="0"/>
        <v>2.4</v>
      </c>
      <c r="G17" s="11">
        <f t="shared" si="1"/>
        <v>4.6124999999999998</v>
      </c>
    </row>
    <row r="18" spans="2:9" ht="14" x14ac:dyDescent="0.3">
      <c r="B18" s="7">
        <f t="shared" ref="B18:B34" si="3">B17+1</f>
        <v>14</v>
      </c>
      <c r="C18" s="9">
        <v>0.25</v>
      </c>
      <c r="D18" s="11">
        <v>4.5</v>
      </c>
      <c r="E18" s="11">
        <f t="shared" si="2"/>
        <v>2.2124999999999999</v>
      </c>
      <c r="F18" s="11">
        <f t="shared" si="0"/>
        <v>2.4</v>
      </c>
      <c r="G18" s="11">
        <f t="shared" si="1"/>
        <v>4.6124999999999998</v>
      </c>
    </row>
    <row r="19" spans="2:9" ht="14" x14ac:dyDescent="0.3">
      <c r="B19" s="7">
        <f t="shared" si="3"/>
        <v>15</v>
      </c>
      <c r="C19" s="9">
        <v>0.25</v>
      </c>
      <c r="D19" s="11">
        <v>4.5</v>
      </c>
      <c r="E19" s="11">
        <f t="shared" si="2"/>
        <v>2.2124999999999999</v>
      </c>
      <c r="F19" s="11">
        <f t="shared" si="0"/>
        <v>2.4</v>
      </c>
      <c r="G19" s="11">
        <f t="shared" si="1"/>
        <v>4.6124999999999998</v>
      </c>
    </row>
    <row r="20" spans="2:9" ht="14" x14ac:dyDescent="0.3">
      <c r="B20" s="7">
        <f t="shared" si="3"/>
        <v>16</v>
      </c>
      <c r="C20" s="9">
        <v>0.25</v>
      </c>
      <c r="D20" s="11">
        <v>4.5</v>
      </c>
      <c r="E20" s="11">
        <f t="shared" si="2"/>
        <v>2.2124999999999999</v>
      </c>
      <c r="F20" s="11">
        <f t="shared" si="0"/>
        <v>2.4</v>
      </c>
      <c r="G20" s="11">
        <f t="shared" si="1"/>
        <v>4.6124999999999998</v>
      </c>
    </row>
    <row r="21" spans="2:9" ht="15.75" customHeight="1" x14ac:dyDescent="0.3">
      <c r="B21" s="7">
        <f t="shared" si="3"/>
        <v>17</v>
      </c>
      <c r="C21" s="9">
        <v>0.25</v>
      </c>
      <c r="D21" s="11">
        <v>4.5</v>
      </c>
      <c r="E21" s="11">
        <f t="shared" si="2"/>
        <v>2.2124999999999999</v>
      </c>
      <c r="F21" s="11">
        <f t="shared" si="0"/>
        <v>2.4</v>
      </c>
      <c r="G21" s="11">
        <f t="shared" si="1"/>
        <v>4.6124999999999998</v>
      </c>
      <c r="I21" s="1"/>
    </row>
    <row r="22" spans="2:9" ht="15.75" customHeight="1" x14ac:dyDescent="0.3">
      <c r="B22" s="7">
        <f t="shared" si="3"/>
        <v>18</v>
      </c>
      <c r="C22" s="9">
        <v>0.25</v>
      </c>
      <c r="D22" s="11">
        <v>4.5</v>
      </c>
      <c r="E22" s="11">
        <f t="shared" si="2"/>
        <v>2.2124999999999999</v>
      </c>
      <c r="F22" s="11">
        <f t="shared" si="0"/>
        <v>2.4</v>
      </c>
      <c r="G22" s="11">
        <f t="shared" si="1"/>
        <v>4.6124999999999998</v>
      </c>
    </row>
    <row r="23" spans="2:9" ht="15.75" customHeight="1" x14ac:dyDescent="0.3">
      <c r="B23" s="7">
        <f t="shared" si="3"/>
        <v>19</v>
      </c>
      <c r="C23" s="9">
        <v>0.25</v>
      </c>
      <c r="D23" s="11">
        <v>4.5</v>
      </c>
      <c r="E23" s="11">
        <f t="shared" si="2"/>
        <v>2.2124999999999999</v>
      </c>
      <c r="F23" s="11">
        <f t="shared" si="0"/>
        <v>2.4</v>
      </c>
      <c r="G23" s="11">
        <f t="shared" si="1"/>
        <v>4.6124999999999998</v>
      </c>
      <c r="I23" s="1"/>
    </row>
    <row r="24" spans="2:9" ht="15.75" customHeight="1" x14ac:dyDescent="0.3">
      <c r="B24" s="7">
        <f t="shared" si="3"/>
        <v>20</v>
      </c>
      <c r="C24" s="9">
        <v>0.25</v>
      </c>
      <c r="D24" s="11">
        <v>4.5</v>
      </c>
      <c r="E24" s="11">
        <f t="shared" si="2"/>
        <v>2.2124999999999999</v>
      </c>
      <c r="F24" s="11">
        <f t="shared" si="0"/>
        <v>2.4</v>
      </c>
      <c r="G24" s="11">
        <f t="shared" si="1"/>
        <v>4.6124999999999998</v>
      </c>
      <c r="I24" s="1"/>
    </row>
    <row r="25" spans="2:9" ht="15.75" customHeight="1" x14ac:dyDescent="0.3">
      <c r="B25" s="7">
        <f t="shared" si="3"/>
        <v>21</v>
      </c>
      <c r="C25" s="9">
        <v>0.1</v>
      </c>
      <c r="D25" s="11">
        <v>4.5</v>
      </c>
      <c r="E25" s="11">
        <f t="shared" si="2"/>
        <v>0.88500000000000001</v>
      </c>
      <c r="F25" s="11">
        <f t="shared" si="0"/>
        <v>2.4</v>
      </c>
      <c r="G25" s="11">
        <f t="shared" si="1"/>
        <v>3.2850000000000001</v>
      </c>
    </row>
    <row r="26" spans="2:9" ht="15.75" customHeight="1" x14ac:dyDescent="0.3">
      <c r="B26" s="7">
        <f t="shared" si="3"/>
        <v>22</v>
      </c>
      <c r="C26" s="9">
        <v>0.1</v>
      </c>
      <c r="D26" s="11">
        <v>4.5</v>
      </c>
      <c r="E26" s="11">
        <f t="shared" si="2"/>
        <v>0.88500000000000001</v>
      </c>
      <c r="F26" s="11">
        <f t="shared" si="0"/>
        <v>2.4</v>
      </c>
      <c r="G26" s="11">
        <f t="shared" si="1"/>
        <v>3.2850000000000001</v>
      </c>
    </row>
    <row r="27" spans="2:9" ht="15.75" customHeight="1" x14ac:dyDescent="0.3">
      <c r="B27" s="7">
        <f t="shared" si="3"/>
        <v>23</v>
      </c>
      <c r="C27" s="9">
        <v>0.1</v>
      </c>
      <c r="D27" s="11">
        <v>4.5</v>
      </c>
      <c r="E27" s="11">
        <f t="shared" si="2"/>
        <v>0.88500000000000001</v>
      </c>
      <c r="F27" s="11">
        <f t="shared" si="0"/>
        <v>2.4</v>
      </c>
      <c r="G27" s="11">
        <f t="shared" si="1"/>
        <v>3.2850000000000001</v>
      </c>
    </row>
    <row r="28" spans="2:9" ht="15.75" customHeight="1" x14ac:dyDescent="0.3">
      <c r="B28" s="7">
        <f t="shared" si="3"/>
        <v>24</v>
      </c>
      <c r="C28" s="9">
        <v>0.1</v>
      </c>
      <c r="D28" s="11">
        <v>4.5</v>
      </c>
      <c r="E28" s="11">
        <f t="shared" si="2"/>
        <v>0.88500000000000001</v>
      </c>
      <c r="F28" s="11">
        <f t="shared" si="0"/>
        <v>2.4</v>
      </c>
      <c r="G28" s="11">
        <f t="shared" si="1"/>
        <v>3.2850000000000001</v>
      </c>
    </row>
    <row r="29" spans="2:9" ht="15.75" customHeight="1" x14ac:dyDescent="0.3">
      <c r="B29" s="7">
        <f t="shared" si="3"/>
        <v>25</v>
      </c>
      <c r="C29" s="9">
        <v>0.1</v>
      </c>
      <c r="D29" s="11">
        <v>4.5</v>
      </c>
      <c r="E29" s="11">
        <f t="shared" si="2"/>
        <v>0.88500000000000001</v>
      </c>
      <c r="F29" s="11">
        <f t="shared" si="0"/>
        <v>2.4</v>
      </c>
      <c r="G29" s="11">
        <f t="shared" si="1"/>
        <v>3.2850000000000001</v>
      </c>
    </row>
    <row r="30" spans="2:9" ht="15.75" customHeight="1" x14ac:dyDescent="0.3">
      <c r="B30" s="7">
        <f t="shared" si="3"/>
        <v>26</v>
      </c>
      <c r="C30" s="9">
        <v>0.1</v>
      </c>
      <c r="D30" s="11">
        <v>4.5</v>
      </c>
      <c r="E30" s="11">
        <f t="shared" si="2"/>
        <v>0.88500000000000001</v>
      </c>
      <c r="F30" s="11">
        <f t="shared" si="0"/>
        <v>2.4</v>
      </c>
      <c r="G30" s="11">
        <f t="shared" si="1"/>
        <v>3.2850000000000001</v>
      </c>
    </row>
    <row r="31" spans="2:9" ht="15.75" customHeight="1" x14ac:dyDescent="0.3">
      <c r="B31" s="7">
        <f t="shared" si="3"/>
        <v>27</v>
      </c>
      <c r="C31" s="9">
        <v>0.1</v>
      </c>
      <c r="D31" s="11">
        <v>4.5</v>
      </c>
      <c r="E31" s="11">
        <f t="shared" si="2"/>
        <v>0.88500000000000001</v>
      </c>
      <c r="F31" s="11">
        <f t="shared" si="0"/>
        <v>2.4</v>
      </c>
      <c r="G31" s="11">
        <f t="shared" si="1"/>
        <v>3.2850000000000001</v>
      </c>
    </row>
    <row r="32" spans="2:9" ht="15.75" customHeight="1" x14ac:dyDescent="0.3">
      <c r="B32" s="7">
        <f t="shared" si="3"/>
        <v>28</v>
      </c>
      <c r="C32" s="9">
        <v>0.1</v>
      </c>
      <c r="D32" s="11">
        <v>4.5</v>
      </c>
      <c r="E32" s="11">
        <f t="shared" si="2"/>
        <v>0.88500000000000001</v>
      </c>
      <c r="F32" s="11">
        <f t="shared" si="0"/>
        <v>2.4</v>
      </c>
      <c r="G32" s="11">
        <f t="shared" si="1"/>
        <v>3.2850000000000001</v>
      </c>
    </row>
    <row r="33" spans="2:9" ht="15.75" customHeight="1" x14ac:dyDescent="0.3">
      <c r="B33" s="7">
        <f t="shared" si="3"/>
        <v>29</v>
      </c>
      <c r="C33" s="9">
        <v>0.1</v>
      </c>
      <c r="D33" s="11">
        <v>4.5</v>
      </c>
      <c r="E33" s="11">
        <f t="shared" si="2"/>
        <v>0.88500000000000001</v>
      </c>
      <c r="F33" s="11">
        <f t="shared" si="0"/>
        <v>2.4</v>
      </c>
      <c r="G33" s="11">
        <f t="shared" si="1"/>
        <v>3.2850000000000001</v>
      </c>
      <c r="I33" s="1"/>
    </row>
    <row r="34" spans="2:9" ht="15.75" customHeight="1" x14ac:dyDescent="0.3">
      <c r="B34" s="7">
        <f t="shared" si="3"/>
        <v>30</v>
      </c>
      <c r="C34" s="9">
        <v>0.1</v>
      </c>
      <c r="D34" s="11">
        <v>4.5</v>
      </c>
      <c r="E34" s="11">
        <f t="shared" si="2"/>
        <v>0.88500000000000001</v>
      </c>
      <c r="F34" s="11">
        <f t="shared" si="0"/>
        <v>2.4</v>
      </c>
      <c r="G34" s="11">
        <f t="shared" si="1"/>
        <v>3.2850000000000001</v>
      </c>
    </row>
    <row r="35" spans="2:9" ht="15.75" customHeight="1" x14ac:dyDescent="0.3"/>
    <row r="36" spans="2:9" ht="15.75" customHeight="1" x14ac:dyDescent="0.35">
      <c r="B36" s="5" t="s">
        <v>62</v>
      </c>
      <c r="C36" s="28">
        <f t="shared" ref="C36:D36" si="4">SUM(C5:C16)</f>
        <v>4.8499999999999996</v>
      </c>
      <c r="D36" s="30">
        <f t="shared" si="4"/>
        <v>54</v>
      </c>
    </row>
    <row r="37" spans="2:9" ht="15.75" customHeight="1" x14ac:dyDescent="0.3"/>
    <row r="38" spans="2:9" ht="15.75" customHeight="1" x14ac:dyDescent="0.3"/>
    <row r="39" spans="2:9" ht="15.75" customHeight="1" x14ac:dyDescent="0.3"/>
    <row r="40" spans="2:9" ht="15.75" customHeight="1" x14ac:dyDescent="0.3"/>
    <row r="41" spans="2:9" ht="15.75" customHeight="1" x14ac:dyDescent="0.3"/>
    <row r="42" spans="2:9" ht="15.75" customHeight="1" x14ac:dyDescent="0.3"/>
    <row r="43" spans="2:9" ht="15.75" customHeight="1" x14ac:dyDescent="0.3"/>
    <row r="44" spans="2:9" ht="15.75" customHeight="1" x14ac:dyDescent="0.3"/>
    <row r="45" spans="2:9" ht="15.75" customHeight="1" x14ac:dyDescent="0.3"/>
    <row r="46" spans="2:9" ht="15.75" customHeight="1" x14ac:dyDescent="0.3"/>
    <row r="47" spans="2:9" ht="15.75" customHeight="1" x14ac:dyDescent="0.3"/>
    <row r="48" spans="2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U1"/>
    <mergeCell ref="A2:U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workbookViewId="0">
      <selection activeCell="L8" sqref="L8"/>
    </sheetView>
  </sheetViews>
  <sheetFormatPr defaultColWidth="12.58203125" defaultRowHeight="15" customHeight="1" x14ac:dyDescent="0.3"/>
  <cols>
    <col min="1" max="1" width="13.75" customWidth="1"/>
    <col min="2" max="2" width="14" customWidth="1"/>
    <col min="3" max="3" width="19.33203125" customWidth="1"/>
    <col min="4" max="4" width="9.83203125" customWidth="1"/>
    <col min="5" max="5" width="12.5" customWidth="1"/>
    <col min="6" max="6" width="15.83203125" customWidth="1"/>
    <col min="7" max="7" width="14.25" customWidth="1"/>
    <col min="8" max="8" width="16.5" customWidth="1"/>
    <col min="9" max="9" width="15.08203125" customWidth="1"/>
    <col min="10" max="10" width="7.33203125" customWidth="1"/>
    <col min="11" max="11" width="1" customWidth="1"/>
    <col min="12" max="12" width="4.25" customWidth="1"/>
    <col min="13" max="13" width="6.25" customWidth="1"/>
    <col min="14" max="14" width="5.08203125" customWidth="1"/>
    <col min="15" max="15" width="4.5" customWidth="1"/>
    <col min="16" max="16" width="10" customWidth="1"/>
    <col min="17" max="17" width="14.25" customWidth="1"/>
    <col min="18" max="26" width="7.58203125" customWidth="1"/>
  </cols>
  <sheetData>
    <row r="1" spans="1:15" ht="94.5" customHeight="1" x14ac:dyDescent="0.3">
      <c r="A1" s="61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.5" x14ac:dyDescent="0.35">
      <c r="B2" s="63" t="s">
        <v>39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15" ht="14.5" x14ac:dyDescent="0.3">
      <c r="A4" s="67" t="s">
        <v>40</v>
      </c>
      <c r="B4" s="65"/>
      <c r="C4" s="65"/>
      <c r="D4" s="65"/>
      <c r="E4" s="65"/>
      <c r="F4" s="65"/>
      <c r="G4" s="65"/>
      <c r="H4" s="65"/>
      <c r="I4" s="66"/>
      <c r="J4" s="14"/>
    </row>
    <row r="5" spans="1:15" ht="33.75" customHeight="1" x14ac:dyDescent="0.3">
      <c r="A5" s="71" t="s">
        <v>42</v>
      </c>
      <c r="B5" s="15" t="s">
        <v>43</v>
      </c>
      <c r="C5" s="16" t="s">
        <v>45</v>
      </c>
      <c r="D5" s="16" t="s">
        <v>46</v>
      </c>
      <c r="E5" s="68" t="s">
        <v>47</v>
      </c>
      <c r="F5" s="71" t="s">
        <v>53</v>
      </c>
      <c r="G5" s="71" t="s">
        <v>56</v>
      </c>
      <c r="H5" s="71" t="s">
        <v>57</v>
      </c>
      <c r="I5" s="71" t="s">
        <v>58</v>
      </c>
      <c r="J5" s="14"/>
    </row>
    <row r="6" spans="1:15" ht="14.5" x14ac:dyDescent="0.3">
      <c r="A6" s="69"/>
      <c r="B6" s="15">
        <v>80</v>
      </c>
      <c r="C6" s="71">
        <f>B6-D6</f>
        <v>37</v>
      </c>
      <c r="D6" s="71">
        <v>43</v>
      </c>
      <c r="E6" s="69"/>
      <c r="F6" s="69"/>
      <c r="G6" s="69"/>
      <c r="H6" s="69"/>
      <c r="I6" s="69"/>
      <c r="J6" s="14"/>
    </row>
    <row r="7" spans="1:15" ht="14.5" x14ac:dyDescent="0.3">
      <c r="A7" s="69"/>
      <c r="B7" s="68" t="s">
        <v>59</v>
      </c>
      <c r="C7" s="69"/>
      <c r="D7" s="69"/>
      <c r="E7" s="69"/>
      <c r="F7" s="69"/>
      <c r="G7" s="69"/>
      <c r="H7" s="69"/>
      <c r="I7" s="69"/>
      <c r="J7" s="14"/>
    </row>
    <row r="8" spans="1:15" ht="14.5" x14ac:dyDescent="0.3">
      <c r="A8" s="70"/>
      <c r="B8" s="70"/>
      <c r="C8" s="70"/>
      <c r="D8" s="70"/>
      <c r="E8" s="70"/>
      <c r="F8" s="70"/>
      <c r="G8" s="70"/>
      <c r="H8" s="70"/>
      <c r="I8" s="70"/>
      <c r="J8" s="14"/>
    </row>
    <row r="9" spans="1:15" ht="14.5" x14ac:dyDescent="0.3">
      <c r="A9" s="15">
        <v>1</v>
      </c>
      <c r="B9" s="21">
        <v>1</v>
      </c>
      <c r="C9" s="15">
        <f t="shared" ref="C9:C20" si="0">$C$6*B9</f>
        <v>37</v>
      </c>
      <c r="D9" s="15">
        <f t="shared" ref="D9:D20" si="1">$D$6</f>
        <v>43</v>
      </c>
      <c r="E9" s="15">
        <f t="shared" ref="E9:E20" si="2">SUM(C9:D9)</f>
        <v>80</v>
      </c>
      <c r="F9" s="15">
        <f>E9</f>
        <v>80</v>
      </c>
      <c r="G9" s="15" t="s">
        <v>60</v>
      </c>
      <c r="H9" s="21">
        <f>F9/B41</f>
        <v>0.45714285714285713</v>
      </c>
      <c r="I9" s="15"/>
      <c r="J9" s="14"/>
    </row>
    <row r="10" spans="1:15" ht="14.5" x14ac:dyDescent="0.3">
      <c r="A10" s="15">
        <v>2</v>
      </c>
      <c r="B10" s="21">
        <v>0.65</v>
      </c>
      <c r="C10" s="15">
        <f t="shared" si="0"/>
        <v>24.05</v>
      </c>
      <c r="D10" s="15">
        <f t="shared" si="1"/>
        <v>43</v>
      </c>
      <c r="E10" s="15">
        <f t="shared" si="2"/>
        <v>67.05</v>
      </c>
      <c r="F10" s="15">
        <f t="shared" ref="F10:F20" si="3">E10+F9</f>
        <v>147.05000000000001</v>
      </c>
      <c r="G10" s="15" t="s">
        <v>60</v>
      </c>
      <c r="H10" s="21">
        <f>F10/B41</f>
        <v>0.8402857142857143</v>
      </c>
      <c r="I10" s="15"/>
      <c r="J10" s="14"/>
    </row>
    <row r="11" spans="1:15" ht="14.5" x14ac:dyDescent="0.3">
      <c r="A11" s="15">
        <v>3</v>
      </c>
      <c r="B11" s="21">
        <v>0.65</v>
      </c>
      <c r="C11" s="15">
        <f t="shared" si="0"/>
        <v>24.05</v>
      </c>
      <c r="D11" s="15">
        <f t="shared" si="1"/>
        <v>43</v>
      </c>
      <c r="E11" s="15">
        <f t="shared" si="2"/>
        <v>67.05</v>
      </c>
      <c r="F11" s="15">
        <f t="shared" si="3"/>
        <v>214.10000000000002</v>
      </c>
      <c r="G11" s="15" t="s">
        <v>61</v>
      </c>
      <c r="H11" s="21">
        <f>F11/B43</f>
        <v>0.61171428571428577</v>
      </c>
      <c r="I11" s="15"/>
      <c r="J11" s="14"/>
    </row>
    <row r="12" spans="1:15" ht="14.5" x14ac:dyDescent="0.3">
      <c r="A12" s="15">
        <v>4</v>
      </c>
      <c r="B12" s="21">
        <v>0.4</v>
      </c>
      <c r="C12" s="15">
        <f t="shared" si="0"/>
        <v>14.8</v>
      </c>
      <c r="D12" s="15">
        <f t="shared" si="1"/>
        <v>43</v>
      </c>
      <c r="E12" s="15">
        <f t="shared" si="2"/>
        <v>57.8</v>
      </c>
      <c r="F12" s="15">
        <f t="shared" si="3"/>
        <v>271.90000000000003</v>
      </c>
      <c r="G12" s="15" t="s">
        <v>61</v>
      </c>
      <c r="H12" s="21">
        <f>F12/B43</f>
        <v>0.77685714285714291</v>
      </c>
      <c r="I12" s="15"/>
    </row>
    <row r="13" spans="1:15" ht="29" x14ac:dyDescent="0.3">
      <c r="A13" s="23">
        <v>5</v>
      </c>
      <c r="B13" s="24">
        <v>0.4</v>
      </c>
      <c r="C13" s="25">
        <f t="shared" si="0"/>
        <v>14.8</v>
      </c>
      <c r="D13" s="25">
        <f t="shared" si="1"/>
        <v>43</v>
      </c>
      <c r="E13" s="25">
        <f t="shared" si="2"/>
        <v>57.8</v>
      </c>
      <c r="F13" s="25">
        <f t="shared" si="3"/>
        <v>329.70000000000005</v>
      </c>
      <c r="G13" s="23" t="s">
        <v>61</v>
      </c>
      <c r="H13" s="24">
        <f>F13/B43</f>
        <v>0.94200000000000017</v>
      </c>
      <c r="I13" s="26" t="s">
        <v>63</v>
      </c>
    </row>
    <row r="14" spans="1:15" ht="14.5" x14ac:dyDescent="0.3">
      <c r="A14" s="15">
        <v>6</v>
      </c>
      <c r="B14" s="21">
        <v>0.25</v>
      </c>
      <c r="C14" s="15">
        <f t="shared" si="0"/>
        <v>9.25</v>
      </c>
      <c r="D14" s="15">
        <f t="shared" si="1"/>
        <v>43</v>
      </c>
      <c r="E14" s="15">
        <f t="shared" si="2"/>
        <v>52.25</v>
      </c>
      <c r="F14" s="15">
        <f t="shared" si="3"/>
        <v>381.95000000000005</v>
      </c>
      <c r="G14" s="15" t="s">
        <v>64</v>
      </c>
      <c r="H14" s="21">
        <f>F14/B46</f>
        <v>0.71392523364485994</v>
      </c>
      <c r="I14" s="15"/>
    </row>
    <row r="15" spans="1:15" ht="14.5" x14ac:dyDescent="0.3">
      <c r="A15" s="15">
        <v>7</v>
      </c>
      <c r="B15" s="21">
        <v>0.25</v>
      </c>
      <c r="C15" s="15">
        <f t="shared" si="0"/>
        <v>9.25</v>
      </c>
      <c r="D15" s="15">
        <f t="shared" si="1"/>
        <v>43</v>
      </c>
      <c r="E15" s="15">
        <f t="shared" si="2"/>
        <v>52.25</v>
      </c>
      <c r="F15" s="15">
        <f t="shared" si="3"/>
        <v>434.20000000000005</v>
      </c>
      <c r="G15" s="15" t="s">
        <v>64</v>
      </c>
      <c r="H15" s="21">
        <f>F15/B46</f>
        <v>0.81158878504672904</v>
      </c>
      <c r="I15" s="15"/>
    </row>
    <row r="16" spans="1:15" ht="29" x14ac:dyDescent="0.3">
      <c r="A16" s="23">
        <v>8</v>
      </c>
      <c r="B16" s="24">
        <v>0.25</v>
      </c>
      <c r="C16" s="25">
        <f t="shared" si="0"/>
        <v>9.25</v>
      </c>
      <c r="D16" s="25">
        <f t="shared" si="1"/>
        <v>43</v>
      </c>
      <c r="E16" s="25">
        <f t="shared" si="2"/>
        <v>52.25</v>
      </c>
      <c r="F16" s="25">
        <f t="shared" si="3"/>
        <v>486.45000000000005</v>
      </c>
      <c r="G16" s="23" t="s">
        <v>64</v>
      </c>
      <c r="H16" s="24">
        <f>F16/B46</f>
        <v>0.90925233644859826</v>
      </c>
      <c r="I16" s="26" t="s">
        <v>65</v>
      </c>
    </row>
    <row r="17" spans="1:9" ht="14.5" x14ac:dyDescent="0.3">
      <c r="A17" s="15">
        <v>9</v>
      </c>
      <c r="B17" s="21">
        <v>0.25</v>
      </c>
      <c r="C17" s="15">
        <f t="shared" si="0"/>
        <v>9.25</v>
      </c>
      <c r="D17" s="15">
        <f t="shared" si="1"/>
        <v>43</v>
      </c>
      <c r="E17" s="15">
        <f t="shared" si="2"/>
        <v>52.25</v>
      </c>
      <c r="F17" s="15">
        <f t="shared" si="3"/>
        <v>538.70000000000005</v>
      </c>
      <c r="G17" s="15"/>
      <c r="H17" s="21"/>
      <c r="I17" s="15"/>
    </row>
    <row r="18" spans="1:9" ht="14.5" x14ac:dyDescent="0.3">
      <c r="A18" s="15">
        <v>10</v>
      </c>
      <c r="B18" s="21">
        <v>0.25</v>
      </c>
      <c r="C18" s="15">
        <f t="shared" si="0"/>
        <v>9.25</v>
      </c>
      <c r="D18" s="15">
        <f t="shared" si="1"/>
        <v>43</v>
      </c>
      <c r="E18" s="15">
        <f t="shared" si="2"/>
        <v>52.25</v>
      </c>
      <c r="F18" s="15">
        <f t="shared" si="3"/>
        <v>590.95000000000005</v>
      </c>
      <c r="G18" s="15"/>
      <c r="H18" s="21"/>
      <c r="I18" s="15"/>
    </row>
    <row r="19" spans="1:9" ht="14.5" x14ac:dyDescent="0.3">
      <c r="A19" s="15">
        <v>11</v>
      </c>
      <c r="B19" s="21">
        <v>0.25</v>
      </c>
      <c r="C19" s="15">
        <f t="shared" si="0"/>
        <v>9.25</v>
      </c>
      <c r="D19" s="15">
        <f t="shared" si="1"/>
        <v>43</v>
      </c>
      <c r="E19" s="15">
        <f t="shared" si="2"/>
        <v>52.25</v>
      </c>
      <c r="F19" s="15">
        <f t="shared" si="3"/>
        <v>643.20000000000005</v>
      </c>
      <c r="G19" s="15"/>
      <c r="H19" s="15"/>
      <c r="I19" s="15"/>
    </row>
    <row r="20" spans="1:9" ht="14.5" x14ac:dyDescent="0.3">
      <c r="A20" s="15">
        <v>12</v>
      </c>
      <c r="B20" s="21">
        <v>0.25</v>
      </c>
      <c r="C20" s="15">
        <f t="shared" si="0"/>
        <v>9.25</v>
      </c>
      <c r="D20" s="15">
        <f t="shared" si="1"/>
        <v>43</v>
      </c>
      <c r="E20" s="15">
        <f t="shared" si="2"/>
        <v>52.25</v>
      </c>
      <c r="F20" s="15">
        <f t="shared" si="3"/>
        <v>695.45</v>
      </c>
      <c r="G20" s="15"/>
      <c r="H20" s="15"/>
      <c r="I20" s="15"/>
    </row>
    <row r="21" spans="1:9" ht="15.75" customHeight="1" x14ac:dyDescent="0.3">
      <c r="A21" s="14"/>
      <c r="B21" s="14"/>
      <c r="C21" s="14"/>
      <c r="D21" s="14"/>
      <c r="E21" s="14"/>
      <c r="F21" s="14"/>
      <c r="G21" s="14"/>
      <c r="H21" s="14"/>
      <c r="I21" s="14"/>
    </row>
    <row r="22" spans="1:9" ht="15" customHeight="1" x14ac:dyDescent="0.3">
      <c r="A22" s="67" t="s">
        <v>66</v>
      </c>
      <c r="B22" s="65"/>
      <c r="C22" s="65"/>
      <c r="D22" s="65"/>
      <c r="E22" s="65"/>
      <c r="F22" s="65"/>
      <c r="G22" s="65"/>
      <c r="H22" s="65"/>
      <c r="I22" s="66"/>
    </row>
    <row r="23" spans="1:9" ht="15.75" customHeight="1" x14ac:dyDescent="0.3">
      <c r="A23" s="71" t="s">
        <v>42</v>
      </c>
      <c r="B23" s="15" t="s">
        <v>43</v>
      </c>
      <c r="C23" s="16" t="s">
        <v>45</v>
      </c>
      <c r="D23" s="16" t="s">
        <v>46</v>
      </c>
      <c r="E23" s="68" t="s">
        <v>47</v>
      </c>
      <c r="F23" s="71" t="s">
        <v>53</v>
      </c>
      <c r="G23" s="71" t="s">
        <v>56</v>
      </c>
      <c r="H23" s="72" t="s">
        <v>57</v>
      </c>
      <c r="I23" s="71" t="s">
        <v>58</v>
      </c>
    </row>
    <row r="24" spans="1:9" ht="15.75" customHeight="1" x14ac:dyDescent="0.3">
      <c r="A24" s="69"/>
      <c r="B24" s="15">
        <v>160</v>
      </c>
      <c r="C24" s="71">
        <f>B24-D24</f>
        <v>117</v>
      </c>
      <c r="D24" s="71">
        <v>43</v>
      </c>
      <c r="E24" s="69"/>
      <c r="F24" s="69"/>
      <c r="G24" s="69"/>
      <c r="H24" s="69"/>
      <c r="I24" s="69"/>
    </row>
    <row r="25" spans="1:9" ht="15.75" customHeight="1" x14ac:dyDescent="0.3">
      <c r="A25" s="69"/>
      <c r="B25" s="68" t="s">
        <v>59</v>
      </c>
      <c r="C25" s="69"/>
      <c r="D25" s="69"/>
      <c r="E25" s="69"/>
      <c r="F25" s="69"/>
      <c r="G25" s="69"/>
      <c r="H25" s="69"/>
      <c r="I25" s="69"/>
    </row>
    <row r="26" spans="1:9" ht="15.75" customHeight="1" x14ac:dyDescent="0.3">
      <c r="A26" s="70"/>
      <c r="B26" s="70"/>
      <c r="C26" s="70"/>
      <c r="D26" s="70"/>
      <c r="E26" s="70"/>
      <c r="F26" s="70"/>
      <c r="G26" s="70"/>
      <c r="H26" s="70"/>
      <c r="I26" s="70"/>
    </row>
    <row r="27" spans="1:9" ht="15.75" customHeight="1" x14ac:dyDescent="0.3">
      <c r="A27" s="15">
        <v>1</v>
      </c>
      <c r="B27" s="21">
        <v>1</v>
      </c>
      <c r="C27" s="15">
        <f t="shared" ref="C27:C38" si="4">$C$24*B27</f>
        <v>117</v>
      </c>
      <c r="D27" s="15">
        <f t="shared" ref="D27:D38" si="5">$D$24</f>
        <v>43</v>
      </c>
      <c r="E27" s="15">
        <f t="shared" ref="E27:E38" si="6">SUM(C27:D27)</f>
        <v>160</v>
      </c>
      <c r="F27" s="15">
        <f>E27</f>
        <v>160</v>
      </c>
      <c r="G27" s="15" t="s">
        <v>60</v>
      </c>
      <c r="H27" s="21">
        <f>F27/B41</f>
        <v>0.91428571428571426</v>
      </c>
      <c r="I27" s="42"/>
    </row>
    <row r="28" spans="1:9" ht="15.75" customHeight="1" x14ac:dyDescent="0.3">
      <c r="A28" s="23">
        <v>2</v>
      </c>
      <c r="B28" s="24">
        <v>0.65</v>
      </c>
      <c r="C28" s="25">
        <f t="shared" si="4"/>
        <v>76.05</v>
      </c>
      <c r="D28" s="25">
        <f t="shared" si="5"/>
        <v>43</v>
      </c>
      <c r="E28" s="25">
        <f t="shared" si="6"/>
        <v>119.05</v>
      </c>
      <c r="F28" s="25">
        <f t="shared" ref="F28:F38" si="7">E28+F27</f>
        <v>279.05</v>
      </c>
      <c r="G28" s="23" t="s">
        <v>61</v>
      </c>
      <c r="H28" s="24">
        <f>F28/B43</f>
        <v>0.79728571428571426</v>
      </c>
      <c r="I28" s="45" t="s">
        <v>63</v>
      </c>
    </row>
    <row r="29" spans="1:9" ht="15.75" customHeight="1" x14ac:dyDescent="0.3">
      <c r="A29" s="15">
        <v>3</v>
      </c>
      <c r="B29" s="21">
        <v>0.65</v>
      </c>
      <c r="C29" s="15">
        <f t="shared" si="4"/>
        <v>76.05</v>
      </c>
      <c r="D29" s="15">
        <f t="shared" si="5"/>
        <v>43</v>
      </c>
      <c r="E29" s="15">
        <f t="shared" si="6"/>
        <v>119.05</v>
      </c>
      <c r="F29" s="15">
        <f t="shared" si="7"/>
        <v>398.1</v>
      </c>
      <c r="G29" s="15" t="s">
        <v>64</v>
      </c>
      <c r="H29" s="21">
        <f>F29/B46</f>
        <v>0.74411214953271032</v>
      </c>
      <c r="I29" s="42"/>
    </row>
    <row r="30" spans="1:9" ht="15.75" customHeight="1" x14ac:dyDescent="0.3">
      <c r="A30" s="23">
        <v>4</v>
      </c>
      <c r="B30" s="24">
        <v>0.4</v>
      </c>
      <c r="C30" s="25">
        <f t="shared" si="4"/>
        <v>46.800000000000004</v>
      </c>
      <c r="D30" s="25">
        <f t="shared" si="5"/>
        <v>43</v>
      </c>
      <c r="E30" s="25">
        <f t="shared" si="6"/>
        <v>89.800000000000011</v>
      </c>
      <c r="F30" s="25">
        <f t="shared" si="7"/>
        <v>487.90000000000003</v>
      </c>
      <c r="G30" s="23" t="s">
        <v>64</v>
      </c>
      <c r="H30" s="24">
        <f>F30/B46</f>
        <v>0.91196261682242996</v>
      </c>
      <c r="I30" s="45" t="s">
        <v>65</v>
      </c>
    </row>
    <row r="31" spans="1:9" ht="15.75" customHeight="1" x14ac:dyDescent="0.3">
      <c r="A31" s="15">
        <v>5</v>
      </c>
      <c r="B31" s="21">
        <v>0.4</v>
      </c>
      <c r="C31" s="15">
        <f t="shared" si="4"/>
        <v>46.800000000000004</v>
      </c>
      <c r="D31" s="15">
        <f t="shared" si="5"/>
        <v>43</v>
      </c>
      <c r="E31" s="15">
        <f t="shared" si="6"/>
        <v>89.800000000000011</v>
      </c>
      <c r="F31" s="15">
        <f t="shared" si="7"/>
        <v>577.70000000000005</v>
      </c>
      <c r="G31" s="15"/>
      <c r="H31" s="21"/>
      <c r="I31" s="42"/>
    </row>
    <row r="32" spans="1:9" ht="15.75" customHeight="1" x14ac:dyDescent="0.3">
      <c r="A32" s="15">
        <v>6</v>
      </c>
      <c r="B32" s="21">
        <v>0.25</v>
      </c>
      <c r="C32" s="15">
        <f t="shared" si="4"/>
        <v>29.25</v>
      </c>
      <c r="D32" s="15">
        <f t="shared" si="5"/>
        <v>43</v>
      </c>
      <c r="E32" s="15">
        <f t="shared" si="6"/>
        <v>72.25</v>
      </c>
      <c r="F32" s="15">
        <f t="shared" si="7"/>
        <v>649.95000000000005</v>
      </c>
      <c r="G32" s="15"/>
      <c r="H32" s="21"/>
      <c r="I32" s="42"/>
    </row>
    <row r="33" spans="1:17" ht="15.75" customHeight="1" x14ac:dyDescent="0.3">
      <c r="A33" s="15">
        <v>7</v>
      </c>
      <c r="B33" s="21">
        <v>0.25</v>
      </c>
      <c r="C33" s="15">
        <f t="shared" si="4"/>
        <v>29.25</v>
      </c>
      <c r="D33" s="15">
        <f t="shared" si="5"/>
        <v>43</v>
      </c>
      <c r="E33" s="15">
        <f t="shared" si="6"/>
        <v>72.25</v>
      </c>
      <c r="F33" s="15">
        <f t="shared" si="7"/>
        <v>722.2</v>
      </c>
      <c r="G33" s="15"/>
      <c r="H33" s="21"/>
      <c r="I33" s="42"/>
      <c r="J33" s="14"/>
    </row>
    <row r="34" spans="1:17" ht="15.75" customHeight="1" x14ac:dyDescent="0.3">
      <c r="A34" s="15">
        <v>8</v>
      </c>
      <c r="B34" s="21">
        <v>0.25</v>
      </c>
      <c r="C34" s="15">
        <f t="shared" si="4"/>
        <v>29.25</v>
      </c>
      <c r="D34" s="15">
        <f t="shared" si="5"/>
        <v>43</v>
      </c>
      <c r="E34" s="15">
        <f t="shared" si="6"/>
        <v>72.25</v>
      </c>
      <c r="F34" s="15">
        <f t="shared" si="7"/>
        <v>794.45</v>
      </c>
      <c r="G34" s="15"/>
      <c r="H34" s="21"/>
      <c r="I34" s="42"/>
      <c r="J34" s="14"/>
    </row>
    <row r="35" spans="1:17" ht="15.75" customHeight="1" x14ac:dyDescent="0.3">
      <c r="A35" s="15">
        <v>9</v>
      </c>
      <c r="B35" s="21">
        <v>0.25</v>
      </c>
      <c r="C35" s="15">
        <f t="shared" si="4"/>
        <v>29.25</v>
      </c>
      <c r="D35" s="15">
        <f t="shared" si="5"/>
        <v>43</v>
      </c>
      <c r="E35" s="15">
        <f t="shared" si="6"/>
        <v>72.25</v>
      </c>
      <c r="F35" s="15">
        <f t="shared" si="7"/>
        <v>866.7</v>
      </c>
      <c r="G35" s="15"/>
      <c r="H35" s="21"/>
      <c r="I35" s="15"/>
      <c r="J35" s="14"/>
    </row>
    <row r="36" spans="1:17" ht="15.75" customHeight="1" x14ac:dyDescent="0.3">
      <c r="A36" s="15">
        <v>10</v>
      </c>
      <c r="B36" s="21">
        <v>0.25</v>
      </c>
      <c r="C36" s="15">
        <f t="shared" si="4"/>
        <v>29.25</v>
      </c>
      <c r="D36" s="15">
        <f t="shared" si="5"/>
        <v>43</v>
      </c>
      <c r="E36" s="15">
        <f t="shared" si="6"/>
        <v>72.25</v>
      </c>
      <c r="F36" s="15">
        <f t="shared" si="7"/>
        <v>938.95</v>
      </c>
      <c r="G36" s="15"/>
      <c r="H36" s="15"/>
      <c r="I36" s="15"/>
      <c r="J36" s="14"/>
    </row>
    <row r="37" spans="1:17" ht="15.75" customHeight="1" x14ac:dyDescent="0.3">
      <c r="A37" s="15">
        <v>11</v>
      </c>
      <c r="B37" s="21">
        <v>0.25</v>
      </c>
      <c r="C37" s="15">
        <f t="shared" si="4"/>
        <v>29.25</v>
      </c>
      <c r="D37" s="15">
        <f t="shared" si="5"/>
        <v>43</v>
      </c>
      <c r="E37" s="15">
        <f t="shared" si="6"/>
        <v>72.25</v>
      </c>
      <c r="F37" s="15">
        <f t="shared" si="7"/>
        <v>1011.2</v>
      </c>
      <c r="G37" s="15"/>
      <c r="H37" s="15"/>
      <c r="I37" s="15"/>
      <c r="J37" s="14"/>
    </row>
    <row r="38" spans="1:17" ht="15.75" customHeight="1" x14ac:dyDescent="0.3">
      <c r="A38" s="15">
        <v>12</v>
      </c>
      <c r="B38" s="21">
        <v>0.25</v>
      </c>
      <c r="C38" s="15">
        <f t="shared" si="4"/>
        <v>29.25</v>
      </c>
      <c r="D38" s="15">
        <f t="shared" si="5"/>
        <v>43</v>
      </c>
      <c r="E38" s="15">
        <f t="shared" si="6"/>
        <v>72.25</v>
      </c>
      <c r="F38" s="15">
        <f t="shared" si="7"/>
        <v>1083.45</v>
      </c>
      <c r="G38" s="15"/>
      <c r="H38" s="15"/>
      <c r="I38" s="15"/>
      <c r="J38" s="14"/>
    </row>
    <row r="39" spans="1:17" ht="15.75" customHeigh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O39" s="14"/>
      <c r="P39" s="14"/>
      <c r="Q39" s="14"/>
    </row>
    <row r="40" spans="1:17" ht="79.5" customHeight="1" x14ac:dyDescent="0.3">
      <c r="A40" s="67" t="s">
        <v>67</v>
      </c>
      <c r="B40" s="66"/>
      <c r="C40" s="14"/>
      <c r="D40" s="14"/>
      <c r="E40" s="14"/>
      <c r="F40" s="14"/>
      <c r="G40" s="14"/>
      <c r="H40" s="14"/>
      <c r="I40" s="14"/>
      <c r="J40" s="14"/>
      <c r="O40" s="14"/>
      <c r="P40" s="14"/>
      <c r="Q40" s="14"/>
    </row>
    <row r="41" spans="1:17" ht="15.75" customHeight="1" x14ac:dyDescent="0.3">
      <c r="A41" s="23" t="s">
        <v>60</v>
      </c>
      <c r="B41" s="23">
        <v>175</v>
      </c>
      <c r="C41" s="14"/>
      <c r="D41" s="14"/>
      <c r="E41" s="14"/>
      <c r="F41" s="14"/>
      <c r="G41" s="14"/>
      <c r="H41" s="14"/>
      <c r="I41" s="14"/>
      <c r="J41" s="14"/>
      <c r="O41" s="14"/>
      <c r="P41" s="14"/>
      <c r="Q41" s="14"/>
    </row>
    <row r="42" spans="1:17" ht="15.75" customHeight="1" x14ac:dyDescent="0.3">
      <c r="A42" s="15" t="s">
        <v>68</v>
      </c>
      <c r="B42" s="15">
        <v>230</v>
      </c>
      <c r="C42" s="14"/>
      <c r="D42" s="14"/>
      <c r="E42" s="14"/>
      <c r="F42" s="14"/>
      <c r="G42" s="14"/>
      <c r="H42" s="14"/>
      <c r="I42" s="14"/>
      <c r="J42" s="14"/>
      <c r="O42" s="14"/>
      <c r="P42" s="14"/>
      <c r="Q42" s="14"/>
    </row>
    <row r="43" spans="1:17" ht="15.75" customHeight="1" x14ac:dyDescent="0.3">
      <c r="A43" s="23" t="s">
        <v>61</v>
      </c>
      <c r="B43" s="23">
        <v>350</v>
      </c>
      <c r="C43" s="14"/>
      <c r="D43" s="14"/>
      <c r="E43" s="14"/>
      <c r="F43" s="14"/>
      <c r="G43" s="14"/>
      <c r="H43" s="14"/>
      <c r="I43" s="14"/>
      <c r="J43" s="14"/>
      <c r="O43" s="14"/>
      <c r="P43" s="14"/>
      <c r="Q43" s="14"/>
    </row>
    <row r="44" spans="1:17" ht="15.75" customHeight="1" x14ac:dyDescent="0.3">
      <c r="A44" s="15" t="s">
        <v>69</v>
      </c>
      <c r="B44" s="15">
        <v>350</v>
      </c>
      <c r="C44" s="14"/>
      <c r="D44" s="14"/>
      <c r="E44" s="14"/>
      <c r="F44" s="14"/>
      <c r="G44" s="14"/>
      <c r="H44" s="14"/>
      <c r="I44" s="14"/>
      <c r="J44" s="14"/>
      <c r="O44" s="14"/>
      <c r="P44" s="14"/>
      <c r="Q44" s="14"/>
    </row>
    <row r="45" spans="1:17" ht="15.75" customHeight="1" x14ac:dyDescent="0.3">
      <c r="A45" s="15" t="s">
        <v>70</v>
      </c>
      <c r="B45" s="15">
        <v>430</v>
      </c>
      <c r="C45" s="14"/>
      <c r="D45" s="14"/>
      <c r="E45" s="14"/>
      <c r="F45" s="14"/>
      <c r="G45" s="14"/>
      <c r="H45" s="14"/>
      <c r="I45" s="14"/>
      <c r="J45" s="14"/>
      <c r="M45" s="14"/>
      <c r="N45" s="14"/>
      <c r="O45" s="14"/>
      <c r="P45" s="14"/>
      <c r="Q45" s="14"/>
    </row>
    <row r="46" spans="1:17" ht="15.75" customHeight="1" x14ac:dyDescent="0.3">
      <c r="A46" s="23" t="s">
        <v>64</v>
      </c>
      <c r="B46" s="23">
        <v>535</v>
      </c>
      <c r="C46" s="14"/>
      <c r="D46" s="14"/>
      <c r="E46" s="14"/>
      <c r="F46" s="14"/>
      <c r="G46" s="14"/>
      <c r="H46" s="14"/>
      <c r="I46" s="14"/>
      <c r="J46" s="14"/>
      <c r="M46" s="14"/>
      <c r="N46" s="14"/>
      <c r="O46" s="14"/>
      <c r="P46" s="14"/>
      <c r="Q46" s="14"/>
    </row>
    <row r="47" spans="1:17" ht="15.7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M47" s="14"/>
      <c r="N47" s="14"/>
      <c r="O47" s="14"/>
      <c r="P47" s="14"/>
      <c r="Q47" s="14"/>
    </row>
    <row r="48" spans="1:17" ht="15.7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M48" s="14"/>
      <c r="N48" s="14"/>
      <c r="O48" s="14"/>
      <c r="P48" s="14"/>
      <c r="Q48" s="14"/>
    </row>
    <row r="49" spans="1:17" ht="15.7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M49" s="14"/>
      <c r="N49" s="14"/>
      <c r="O49" s="14"/>
      <c r="P49" s="14"/>
      <c r="Q49" s="14"/>
    </row>
    <row r="50" spans="1:17" ht="15.7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M50" s="14"/>
      <c r="N50" s="14"/>
      <c r="O50" s="14"/>
      <c r="P50" s="14"/>
      <c r="Q50" s="14"/>
    </row>
    <row r="51" spans="1:17" ht="15.7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M51" s="14"/>
      <c r="N51" s="14"/>
      <c r="O51" s="14"/>
      <c r="P51" s="14"/>
      <c r="Q51" s="14"/>
    </row>
    <row r="52" spans="1:17" ht="15.7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15.7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ht="15.7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5.7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ht="15.7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5.7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ht="15.7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ht="15.7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ht="15.75" customHeight="1" x14ac:dyDescent="0.3">
      <c r="A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ht="15.75" customHeight="1" x14ac:dyDescent="0.3"/>
    <row r="62" spans="1:17" ht="15.75" customHeight="1" x14ac:dyDescent="0.3"/>
    <row r="63" spans="1:17" ht="15.75" customHeight="1" x14ac:dyDescent="0.3"/>
    <row r="64" spans="1:1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A1:O1"/>
    <mergeCell ref="B2:O2"/>
    <mergeCell ref="A4:I4"/>
    <mergeCell ref="A5:A8"/>
    <mergeCell ref="F5:F8"/>
    <mergeCell ref="G5:G8"/>
    <mergeCell ref="H5:H8"/>
    <mergeCell ref="I5:I8"/>
    <mergeCell ref="B7:B8"/>
    <mergeCell ref="A40:B40"/>
    <mergeCell ref="E5:E8"/>
    <mergeCell ref="C6:C8"/>
    <mergeCell ref="D6:D8"/>
    <mergeCell ref="A22:I22"/>
    <mergeCell ref="A23:A26"/>
    <mergeCell ref="F23:F26"/>
    <mergeCell ref="I23:I26"/>
    <mergeCell ref="B25:B26"/>
    <mergeCell ref="G23:G26"/>
    <mergeCell ref="H23:H26"/>
    <mergeCell ref="E23:E26"/>
    <mergeCell ref="C24:C26"/>
    <mergeCell ref="D24:D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</vt:lpstr>
      <vt:lpstr>Transformer Sizing</vt:lpstr>
      <vt:lpstr>Peak Load Assumption</vt:lpstr>
      <vt:lpstr>Service and Conductor Size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ShayneT</cp:lastModifiedBy>
  <dcterms:created xsi:type="dcterms:W3CDTF">2006-09-16T00:00:00Z</dcterms:created>
  <dcterms:modified xsi:type="dcterms:W3CDTF">2020-06-05T14:48:47Z</dcterms:modified>
</cp:coreProperties>
</file>