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0" windowWidth="22980" windowHeight="9470"/>
  </bookViews>
  <sheets>
    <sheet name="App.2-OB_Debt Instruments" sheetId="1" r:id="rId1"/>
  </sheets>
  <externalReferences>
    <externalReference r:id="rId2"/>
  </externalReferences>
  <definedNames>
    <definedName name="_Parse_Out">#REF!</definedName>
    <definedName name="BridgeYear">'[1]LDC Info'!$E$26</definedName>
    <definedName name="contactf">#REF!</definedName>
    <definedName name="EBNUMBER">'[1]LDC Info'!$E$16</definedName>
    <definedName name="Incr2000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ebaseYear">'[1]LDC Info'!$E$28</definedName>
    <definedName name="SALBENF">#REF!</definedName>
    <definedName name="salreg">#REF!</definedName>
    <definedName name="SALREGF">#REF!</definedName>
    <definedName name="TEMPA">#REF!</definedName>
    <definedName name="TestYear">'[1]LDC Info'!$E$24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45621"/>
</workbook>
</file>

<file path=xl/calcChain.xml><?xml version="1.0" encoding="utf-8"?>
<calcChain xmlns="http://schemas.openxmlformats.org/spreadsheetml/2006/main">
  <c r="K184" i="1" l="1"/>
  <c r="K183" i="1"/>
  <c r="K165" i="1"/>
  <c r="K164" i="1"/>
  <c r="K146" i="1"/>
  <c r="K145" i="1"/>
  <c r="K129" i="1"/>
  <c r="K128" i="1"/>
  <c r="K112" i="1"/>
  <c r="K111" i="1"/>
  <c r="K97" i="1"/>
  <c r="K96" i="1"/>
  <c r="K78" i="1"/>
  <c r="K77" i="1"/>
  <c r="K76" i="1"/>
  <c r="K75" i="1"/>
  <c r="K74" i="1"/>
  <c r="K73" i="1"/>
  <c r="K59" i="1"/>
  <c r="K58" i="1"/>
  <c r="K57" i="1"/>
  <c r="K42" i="1"/>
  <c r="K41" i="1"/>
  <c r="K182" i="1" l="1"/>
  <c r="K181" i="1"/>
  <c r="K163" i="1"/>
  <c r="K162" i="1"/>
  <c r="K144" i="1"/>
  <c r="K143" i="1"/>
  <c r="K127" i="1"/>
  <c r="K126" i="1"/>
  <c r="K110" i="1"/>
  <c r="K109" i="1"/>
  <c r="K94" i="1"/>
  <c r="K92" i="1"/>
  <c r="K72" i="1"/>
  <c r="K71" i="1"/>
  <c r="K56" i="1"/>
  <c r="K55" i="1"/>
  <c r="K40" i="1"/>
  <c r="K39" i="1"/>
  <c r="K180" i="1"/>
  <c r="K179" i="1"/>
  <c r="K161" i="1"/>
  <c r="K160" i="1"/>
  <c r="K142" i="1"/>
  <c r="K141" i="1"/>
  <c r="K125" i="1"/>
  <c r="K124" i="1"/>
  <c r="K108" i="1"/>
  <c r="K107" i="1"/>
  <c r="K90" i="1"/>
  <c r="K88" i="1"/>
  <c r="K69" i="1"/>
  <c r="K70" i="1"/>
  <c r="K54" i="1"/>
  <c r="K53" i="1"/>
  <c r="K38" i="1"/>
  <c r="K37" i="1"/>
  <c r="K178" i="1"/>
  <c r="K159" i="1"/>
  <c r="K140" i="1"/>
  <c r="K123" i="1"/>
  <c r="K106" i="1"/>
  <c r="K87" i="1"/>
  <c r="K68" i="1"/>
  <c r="K51" i="1"/>
  <c r="K36" i="1"/>
  <c r="K177" i="1"/>
  <c r="K158" i="1"/>
  <c r="K139" i="1"/>
  <c r="K122" i="1"/>
  <c r="K105" i="1"/>
  <c r="K86" i="1"/>
  <c r="K67" i="1"/>
  <c r="K50" i="1"/>
  <c r="K35" i="1"/>
  <c r="K176" i="1"/>
  <c r="K157" i="1"/>
  <c r="K138" i="1"/>
  <c r="K121" i="1"/>
  <c r="K104" i="1"/>
  <c r="K85" i="1"/>
  <c r="K66" i="1"/>
  <c r="K49" i="1"/>
  <c r="K34" i="1"/>
  <c r="H190" i="1"/>
  <c r="J190" i="1" s="1"/>
  <c r="H189" i="1"/>
  <c r="J189" i="1" s="1"/>
  <c r="I188" i="1"/>
  <c r="H188" i="1"/>
  <c r="J188" i="1" s="1"/>
  <c r="L187" i="1"/>
  <c r="I187" i="1"/>
  <c r="H187" i="1"/>
  <c r="J187" i="1" s="1"/>
  <c r="I184" i="1"/>
  <c r="I183" i="1"/>
  <c r="I182" i="1"/>
  <c r="J182" i="1" s="1"/>
  <c r="I181" i="1"/>
  <c r="H181" i="1"/>
  <c r="J181" i="1" s="1"/>
  <c r="J180" i="1"/>
  <c r="I180" i="1"/>
  <c r="I179" i="1"/>
  <c r="H179" i="1"/>
  <c r="I178" i="1"/>
  <c r="J178" i="1" s="1"/>
  <c r="I177" i="1"/>
  <c r="J177" i="1" s="1"/>
  <c r="J169" i="1"/>
  <c r="I169" i="1"/>
  <c r="J168" i="1"/>
  <c r="I168" i="1"/>
  <c r="I166" i="1"/>
  <c r="I185" i="1" s="1"/>
  <c r="I165" i="1"/>
  <c r="I164" i="1"/>
  <c r="I163" i="1"/>
  <c r="J163" i="1" s="1"/>
  <c r="I162" i="1"/>
  <c r="J162" i="1" s="1"/>
  <c r="I161" i="1"/>
  <c r="J161" i="1" s="1"/>
  <c r="I160" i="1"/>
  <c r="J160" i="1" s="1"/>
  <c r="I159" i="1"/>
  <c r="J159" i="1" s="1"/>
  <c r="I158" i="1"/>
  <c r="J158" i="1" s="1"/>
  <c r="J150" i="1"/>
  <c r="H150" i="1"/>
  <c r="J149" i="1"/>
  <c r="H149" i="1"/>
  <c r="H148" i="1"/>
  <c r="H167" i="1" s="1"/>
  <c r="I147" i="1"/>
  <c r="J147" i="1" s="1"/>
  <c r="H147" i="1"/>
  <c r="H166" i="1" s="1"/>
  <c r="I146" i="1"/>
  <c r="I145" i="1"/>
  <c r="I144" i="1"/>
  <c r="J144" i="1" s="1"/>
  <c r="I143" i="1"/>
  <c r="J143" i="1" s="1"/>
  <c r="I142" i="1"/>
  <c r="J142" i="1" s="1"/>
  <c r="I141" i="1"/>
  <c r="J141" i="1" s="1"/>
  <c r="I140" i="1"/>
  <c r="J140" i="1" s="1"/>
  <c r="I139" i="1"/>
  <c r="J139" i="1" s="1"/>
  <c r="J131" i="1"/>
  <c r="I131" i="1"/>
  <c r="I148" i="1" s="1"/>
  <c r="I167" i="1" s="1"/>
  <c r="I186" i="1" s="1"/>
  <c r="J130" i="1"/>
  <c r="I130" i="1"/>
  <c r="I129" i="1"/>
  <c r="I128" i="1"/>
  <c r="I127" i="1"/>
  <c r="J127" i="1" s="1"/>
  <c r="I126" i="1"/>
  <c r="J126" i="1" s="1"/>
  <c r="I125" i="1"/>
  <c r="J125" i="1" s="1"/>
  <c r="I124" i="1"/>
  <c r="J124" i="1" s="1"/>
  <c r="I123" i="1"/>
  <c r="J123" i="1" s="1"/>
  <c r="I122" i="1"/>
  <c r="J122" i="1" s="1"/>
  <c r="J114" i="1"/>
  <c r="H114" i="1"/>
  <c r="J113" i="1"/>
  <c r="H113" i="1"/>
  <c r="I112" i="1"/>
  <c r="F112" i="1"/>
  <c r="F129" i="1" s="1"/>
  <c r="F146" i="1" s="1"/>
  <c r="F165" i="1" s="1"/>
  <c r="F184" i="1" s="1"/>
  <c r="L111" i="1"/>
  <c r="L128" i="1" s="1"/>
  <c r="L145" i="1" s="1"/>
  <c r="L164" i="1" s="1"/>
  <c r="L183" i="1" s="1"/>
  <c r="I111" i="1"/>
  <c r="F111" i="1"/>
  <c r="F128" i="1" s="1"/>
  <c r="F145" i="1" s="1"/>
  <c r="F164" i="1" s="1"/>
  <c r="F183" i="1" s="1"/>
  <c r="I110" i="1"/>
  <c r="J110" i="1" s="1"/>
  <c r="I108" i="1"/>
  <c r="J108" i="1" s="1"/>
  <c r="I107" i="1"/>
  <c r="J107" i="1" s="1"/>
  <c r="I106" i="1"/>
  <c r="J106" i="1" s="1"/>
  <c r="I105" i="1"/>
  <c r="J105" i="1" s="1"/>
  <c r="J97" i="1"/>
  <c r="I97" i="1"/>
  <c r="H97" i="1"/>
  <c r="H112" i="1" s="1"/>
  <c r="I96" i="1"/>
  <c r="H96" i="1"/>
  <c r="H111" i="1" s="1"/>
  <c r="I95" i="1"/>
  <c r="H95" i="1"/>
  <c r="J95" i="1" s="1"/>
  <c r="H94" i="1"/>
  <c r="J94" i="1" s="1"/>
  <c r="I93" i="1"/>
  <c r="J93" i="1" s="1"/>
  <c r="H93" i="1"/>
  <c r="I92" i="1"/>
  <c r="H92" i="1"/>
  <c r="J92" i="1" s="1"/>
  <c r="H91" i="1"/>
  <c r="J91" i="1" s="1"/>
  <c r="I90" i="1"/>
  <c r="J90" i="1" s="1"/>
  <c r="H90" i="1"/>
  <c r="J89" i="1"/>
  <c r="H89" i="1"/>
  <c r="J88" i="1"/>
  <c r="I88" i="1"/>
  <c r="H88" i="1"/>
  <c r="H99" i="1" s="1"/>
  <c r="I87" i="1"/>
  <c r="J87" i="1" s="1"/>
  <c r="I86" i="1"/>
  <c r="J86" i="1" s="1"/>
  <c r="J78" i="1"/>
  <c r="H78" i="1"/>
  <c r="J77" i="1"/>
  <c r="H77" i="1"/>
  <c r="I76" i="1"/>
  <c r="H76" i="1"/>
  <c r="J76" i="1" s="1"/>
  <c r="I75" i="1"/>
  <c r="H75" i="1"/>
  <c r="J75" i="1" s="1"/>
  <c r="J74" i="1"/>
  <c r="H74" i="1"/>
  <c r="J73" i="1"/>
  <c r="H73" i="1"/>
  <c r="H80" i="1" s="1"/>
  <c r="J72" i="1"/>
  <c r="I72" i="1"/>
  <c r="L71" i="1"/>
  <c r="I71" i="1"/>
  <c r="J71" i="1" s="1"/>
  <c r="I70" i="1"/>
  <c r="J70" i="1" s="1"/>
  <c r="I69" i="1"/>
  <c r="J69" i="1" s="1"/>
  <c r="I68" i="1"/>
  <c r="J68" i="1" s="1"/>
  <c r="I67" i="1"/>
  <c r="J67" i="1" s="1"/>
  <c r="J59" i="1"/>
  <c r="H59" i="1"/>
  <c r="J58" i="1"/>
  <c r="J57" i="1"/>
  <c r="J56" i="1"/>
  <c r="J55" i="1"/>
  <c r="J54" i="1"/>
  <c r="J53" i="1"/>
  <c r="J52" i="1"/>
  <c r="H52" i="1"/>
  <c r="J51" i="1"/>
  <c r="H51" i="1"/>
  <c r="H61" i="1" s="1"/>
  <c r="J50" i="1"/>
  <c r="J61" i="1" s="1"/>
  <c r="J42" i="1"/>
  <c r="H42" i="1"/>
  <c r="J41" i="1"/>
  <c r="J40" i="1"/>
  <c r="J39" i="1"/>
  <c r="J38" i="1"/>
  <c r="J37" i="1"/>
  <c r="H36" i="1"/>
  <c r="H44" i="1" s="1"/>
  <c r="J35" i="1"/>
  <c r="H22" i="1"/>
  <c r="J22" i="1" s="1"/>
  <c r="J21" i="1"/>
  <c r="J20" i="1"/>
  <c r="J19" i="1"/>
  <c r="J18" i="1"/>
  <c r="H17" i="1"/>
  <c r="J17" i="1" s="1"/>
  <c r="J16" i="1"/>
  <c r="H128" i="1" l="1"/>
  <c r="H116" i="1"/>
  <c r="J111" i="1"/>
  <c r="J167" i="1"/>
  <c r="H186" i="1"/>
  <c r="J186" i="1" s="1"/>
  <c r="J112" i="1"/>
  <c r="H129" i="1"/>
  <c r="J24" i="1"/>
  <c r="I61" i="1"/>
  <c r="J80" i="1"/>
  <c r="I80" i="1" s="1"/>
  <c r="J166" i="1"/>
  <c r="H185" i="1"/>
  <c r="J185" i="1" s="1"/>
  <c r="J148" i="1"/>
  <c r="J179" i="1"/>
  <c r="H24" i="1"/>
  <c r="I24" i="1" s="1"/>
  <c r="I109" i="1"/>
  <c r="J109" i="1" s="1"/>
  <c r="J116" i="1" s="1"/>
  <c r="J36" i="1"/>
  <c r="J44" i="1" s="1"/>
  <c r="I44" i="1" s="1"/>
  <c r="J96" i="1"/>
  <c r="J99" i="1" s="1"/>
  <c r="I99" i="1" s="1"/>
  <c r="I116" i="1" l="1"/>
  <c r="J129" i="1"/>
  <c r="H146" i="1"/>
  <c r="H145" i="1"/>
  <c r="H133" i="1"/>
  <c r="I133" i="1" s="1"/>
  <c r="J128" i="1"/>
  <c r="J133" i="1" s="1"/>
  <c r="H164" i="1" l="1"/>
  <c r="H152" i="1"/>
  <c r="J145" i="1"/>
  <c r="H165" i="1"/>
  <c r="J146" i="1"/>
  <c r="H171" i="1" l="1"/>
  <c r="J164" i="1"/>
  <c r="H183" i="1"/>
  <c r="H184" i="1"/>
  <c r="J184" i="1" s="1"/>
  <c r="J165" i="1"/>
  <c r="J152" i="1"/>
  <c r="I152" i="1"/>
  <c r="I171" i="1" l="1"/>
  <c r="J183" i="1"/>
  <c r="J192" i="1" s="1"/>
  <c r="H192" i="1"/>
  <c r="I192" i="1" s="1"/>
  <c r="J171" i="1"/>
</calcChain>
</file>

<file path=xl/sharedStrings.xml><?xml version="1.0" encoding="utf-8"?>
<sst xmlns="http://schemas.openxmlformats.org/spreadsheetml/2006/main" count="771" uniqueCount="68">
  <si>
    <t>Appendix 2-OB</t>
  </si>
  <si>
    <t>Debt Instruments</t>
  </si>
  <si>
    <t>This table must be completed for all required historical years, the bridge year and the test year.</t>
  </si>
  <si>
    <t>Year</t>
  </si>
  <si>
    <t>Historical Actual</t>
  </si>
  <si>
    <t>Row</t>
  </si>
  <si>
    <t>Description</t>
  </si>
  <si>
    <t>Lender</t>
  </si>
  <si>
    <t>Affiliated or Third-Party Debt?</t>
  </si>
  <si>
    <t>Fixed or Variable-Rate?</t>
  </si>
  <si>
    <t>Start Date</t>
  </si>
  <si>
    <t>Term              (years)</t>
  </si>
  <si>
    <t>Principal                         ($)</t>
  </si>
  <si>
    <r>
      <t xml:space="preserve">Rate (%) </t>
    </r>
    <r>
      <rPr>
        <vertAlign val="superscript"/>
        <sz val="10"/>
        <rFont val="Arial"/>
        <family val="2"/>
      </rPr>
      <t>2</t>
    </r>
  </si>
  <si>
    <r>
      <t xml:space="preserve">Interest ($) </t>
    </r>
    <r>
      <rPr>
        <vertAlign val="superscript"/>
        <sz val="10"/>
        <rFont val="Arial"/>
        <family val="2"/>
      </rPr>
      <t>1</t>
    </r>
  </si>
  <si>
    <t>Additional Comments, if any</t>
  </si>
  <si>
    <t>Promissory Note</t>
  </si>
  <si>
    <t>Hydo Ottawa Holding Inc.</t>
  </si>
  <si>
    <t>Affiliated</t>
  </si>
  <si>
    <t>Fixed Rate</t>
  </si>
  <si>
    <t>30 years</t>
  </si>
  <si>
    <t>$50.0M Promissory Note</t>
  </si>
  <si>
    <t>$107.185M Promissory Note</t>
  </si>
  <si>
    <t>10 years</t>
  </si>
  <si>
    <t>$260.0M, in aggregate, Promissory Notes</t>
  </si>
  <si>
    <t>$30.0M, in aggregate, Promissory Notes</t>
  </si>
  <si>
    <t>Grid Promissory Note</t>
  </si>
  <si>
    <t>on demand</t>
  </si>
  <si>
    <t>$60.0M deemed rate per cost of capital report calculation (effective 31 days)</t>
  </si>
  <si>
    <t>Total</t>
  </si>
  <si>
    <t>Notes</t>
  </si>
  <si>
    <t>If financing is in place only part of the year, separately calculate the pro-rated interest in the year and input in the cell.</t>
  </si>
  <si>
    <r>
      <t xml:space="preserve">Input actual or deemed long-term debt rate in accordance with the guidelines in </t>
    </r>
    <r>
      <rPr>
        <i/>
        <sz val="10"/>
        <rFont val="Arial"/>
        <family val="2"/>
      </rPr>
      <t>The Report of the Board on the Cost of Capital for Ontario's Regulated Utilities</t>
    </r>
    <r>
      <rPr>
        <sz val="10"/>
        <rFont val="Arial"/>
        <family val="2"/>
      </rPr>
      <t>, issued December 11, 2009, or with any subsequent update issued by the OEB.</t>
    </r>
  </si>
  <si>
    <t>Add more lines above row 12 if necessary.</t>
  </si>
  <si>
    <t xml:space="preserve">$107.185M Promissory Note </t>
  </si>
  <si>
    <t>$60.0M deemed rate per cost of capital report calculation</t>
  </si>
  <si>
    <t>$60.0M deemed rate per cost of capital report calculation (effective 61 days)</t>
  </si>
  <si>
    <t>$107.185M Promissory Note (rate change on May 14, 2018)</t>
  </si>
  <si>
    <t>$30.0M, in aggregate, Promissory Notes (rate changes on June 26, 2020)</t>
  </si>
  <si>
    <t>$30.0M deemed rate per cost of capital report calculation - effective 27 days</t>
  </si>
  <si>
    <t>Bridge Year</t>
  </si>
  <si>
    <t>$107.185M Promissory Note (rate changed on May 14, 2018)</t>
  </si>
  <si>
    <t>$60.0M deemed rate per cost of capital report calculation - effective 288 days</t>
  </si>
  <si>
    <t>$30.0M deemed rate per cost of capital report calculation - effective 288 days</t>
  </si>
  <si>
    <t>$30.0M deemed rate per cost of capital report calculation - effective 106 days</t>
  </si>
  <si>
    <t>$250.0M, in aggregate, Promissory Notes (effective 77 days)</t>
  </si>
  <si>
    <t>$260.0M, in aggregate, Promissory Notes (rate change on February 4, 2020 due to issuance costs fully amortized)</t>
  </si>
  <si>
    <t>$30.0M, in aggregate, Promissory Notes,(rate change on June 26, 2020 as issuance costs fully amortized</t>
  </si>
  <si>
    <t>$250.0M, in aggregate, Promissory Notes</t>
  </si>
  <si>
    <t>Test Year</t>
  </si>
  <si>
    <t xml:space="preserve">$30.0M, in aggregate, Promissory Notes </t>
  </si>
  <si>
    <t>$80.0M. in aggregate, Promissory Note - effective 184 days</t>
  </si>
  <si>
    <t>$80.0M, in aggregate, Promissory Notes</t>
  </si>
  <si>
    <t>$60.0M, in aggregate, Promissory Note - effective 184 days</t>
  </si>
  <si>
    <t>$60.0M, in aggregate,  Promissory Notes</t>
  </si>
  <si>
    <t>$50M Promissory Note</t>
  </si>
  <si>
    <t>$260M, in aggregate, Promissory Notes.  $138.667M 10YR tranche matures - effective for 39 days.</t>
  </si>
  <si>
    <t>$30M, in aggregate, Promissory Notes. 10YR tranche effective for 175 days.</t>
  </si>
  <si>
    <t>$80M, in aggregate, Promissory Notes</t>
  </si>
  <si>
    <t>$138.667M (maturity rollover),  in aggregate, Promissory Notes - eff 326 days</t>
  </si>
  <si>
    <t>$16.0M (maturity rollover), in aggregate,  Promissory Note - effective 190 days</t>
  </si>
  <si>
    <t>Callable Provision (Yes / No)</t>
  </si>
  <si>
    <t>INTERROGATORY RESPONSE - VECC-97</t>
  </si>
  <si>
    <t>VECC - 97(A) - APPENDIX 2-OB (ANNOTATED)</t>
  </si>
  <si>
    <t xml:space="preserve">Callable subject to call provisions at redemption price  </t>
  </si>
  <si>
    <t>Not applicable.  Promissory Note has not been issued.</t>
  </si>
  <si>
    <t>Callable subject to call provisions</t>
  </si>
  <si>
    <t>Hydro Ottawa Limited
EB-2019-0261
Interrogatory Response
IRR VECC-97
Attachmnet A
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</si>
</sst>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1009]d\-mmm\-yy"/>
    <numFmt numFmtId="165" formatCode="_-&quot;$&quot;* #,##0_-;\-&quot;$&quot;* #,##0_-;_-&quot;$&quot;* &quot;-&quot;??_-;_-@"/>
    <numFmt numFmtId="166" formatCode="_-&quot;$&quot;* #,##0.00_-;\-&quot;$&quot;* #,##0.00_-;_-&quot;$&quot;* &quot;-&quot;??_-;_-@"/>
    <numFmt numFmtId="167" formatCode="d\-mmm\-yy"/>
    <numFmt numFmtId="168" formatCode="_(&quot;$&quot;* #,##0_);_(&quot;$&quot;* \(#,##0\);_(&quot;$&quot;* &quot;-&quot;??_);_(@_)"/>
    <numFmt numFmtId="169" formatCode="0.0000"/>
  </numFmts>
  <fonts count="8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 applyAlignme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/>
    <xf numFmtId="0" fontId="1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1" fillId="3" borderId="1" xfId="0" applyFont="1" applyFill="1" applyBorder="1" applyAlignment="1"/>
    <xf numFmtId="164" fontId="1" fillId="3" borderId="1" xfId="0" applyNumberFormat="1" applyFont="1" applyFill="1" applyBorder="1" applyAlignment="1">
      <alignment horizontal="right"/>
    </xf>
    <xf numFmtId="165" fontId="1" fillId="3" borderId="1" xfId="0" applyNumberFormat="1" applyFont="1" applyFill="1" applyBorder="1" applyAlignment="1"/>
    <xf numFmtId="10" fontId="1" fillId="3" borderId="1" xfId="0" applyNumberFormat="1" applyFont="1" applyFill="1" applyBorder="1" applyAlignment="1">
      <alignment horizontal="right"/>
    </xf>
    <xf numFmtId="166" fontId="1" fillId="3" borderId="1" xfId="0" applyNumberFormat="1" applyFont="1" applyFill="1" applyBorder="1"/>
    <xf numFmtId="0" fontId="1" fillId="3" borderId="6" xfId="0" applyFont="1" applyFill="1" applyBorder="1" applyAlignment="1">
      <alignment horizontal="left"/>
    </xf>
    <xf numFmtId="0" fontId="1" fillId="0" borderId="1" xfId="0" applyFont="1" applyBorder="1" applyAlignment="1"/>
    <xf numFmtId="0" fontId="1" fillId="4" borderId="1" xfId="0" applyFont="1" applyFill="1" applyBorder="1" applyAlignment="1"/>
    <xf numFmtId="164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/>
    <xf numFmtId="10" fontId="1" fillId="0" borderId="1" xfId="0" applyNumberFormat="1" applyFont="1" applyBorder="1" applyAlignment="1">
      <alignment horizontal="right"/>
    </xf>
    <xf numFmtId="166" fontId="1" fillId="0" borderId="1" xfId="0" applyNumberFormat="1" applyFont="1" applyBorder="1"/>
    <xf numFmtId="0" fontId="1" fillId="0" borderId="7" xfId="0" applyFont="1" applyBorder="1" applyAlignment="1">
      <alignment horizontal="left"/>
    </xf>
    <xf numFmtId="164" fontId="1" fillId="4" borderId="1" xfId="0" applyNumberFormat="1" applyFont="1" applyFill="1" applyBorder="1" applyAlignment="1">
      <alignment horizontal="right"/>
    </xf>
    <xf numFmtId="165" fontId="1" fillId="4" borderId="1" xfId="0" applyNumberFormat="1" applyFont="1" applyFill="1" applyBorder="1" applyAlignment="1"/>
    <xf numFmtId="0" fontId="1" fillId="3" borderId="7" xfId="0" applyFont="1" applyFill="1" applyBorder="1" applyAlignment="1">
      <alignment horizontal="left" vertical="top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6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165" fontId="1" fillId="0" borderId="15" xfId="0" applyNumberFormat="1" applyFont="1" applyBorder="1"/>
    <xf numFmtId="10" fontId="1" fillId="0" borderId="15" xfId="0" applyNumberFormat="1" applyFont="1" applyBorder="1"/>
    <xf numFmtId="166" fontId="1" fillId="0" borderId="14" xfId="0" applyNumberFormat="1" applyFont="1" applyBorder="1"/>
    <xf numFmtId="0" fontId="1" fillId="0" borderId="16" xfId="0" applyFont="1" applyBorder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17" xfId="0" applyFont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165" fontId="1" fillId="3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5" fontId="1" fillId="4" borderId="1" xfId="0" applyNumberFormat="1" applyFont="1" applyFill="1" applyBorder="1" applyAlignment="1">
      <alignment horizontal="right" vertical="center"/>
    </xf>
    <xf numFmtId="10" fontId="1" fillId="4" borderId="1" xfId="0" applyNumberFormat="1" applyFont="1" applyFill="1" applyBorder="1" applyAlignment="1">
      <alignment horizontal="right"/>
    </xf>
    <xf numFmtId="166" fontId="1" fillId="4" borderId="1" xfId="0" applyNumberFormat="1" applyFont="1" applyFill="1" applyBorder="1"/>
    <xf numFmtId="0" fontId="1" fillId="4" borderId="7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165" fontId="1" fillId="4" borderId="1" xfId="0" applyNumberFormat="1" applyFont="1" applyFill="1" applyBorder="1" applyAlignment="1">
      <alignment horizontal="right"/>
    </xf>
    <xf numFmtId="167" fontId="1" fillId="3" borderId="1" xfId="0" applyNumberFormat="1" applyFont="1" applyFill="1" applyBorder="1" applyAlignment="1">
      <alignment horizontal="right"/>
    </xf>
    <xf numFmtId="10" fontId="1" fillId="0" borderId="0" xfId="0" applyNumberFormat="1" applyFont="1" applyAlignment="1">
      <alignment horizontal="right"/>
    </xf>
    <xf numFmtId="168" fontId="1" fillId="3" borderId="1" xfId="0" applyNumberFormat="1" applyFont="1" applyFill="1" applyBorder="1" applyAlignment="1">
      <alignment horizontal="right" vertical="center"/>
    </xf>
    <xf numFmtId="168" fontId="1" fillId="0" borderId="1" xfId="0" applyNumberFormat="1" applyFont="1" applyBorder="1" applyAlignment="1">
      <alignment horizontal="right" vertical="center"/>
    </xf>
    <xf numFmtId="168" fontId="1" fillId="4" borderId="1" xfId="0" applyNumberFormat="1" applyFont="1" applyFill="1" applyBorder="1" applyAlignment="1">
      <alignment horizontal="right" vertical="center"/>
    </xf>
    <xf numFmtId="0" fontId="1" fillId="0" borderId="12" xfId="0" applyFont="1" applyBorder="1" applyAlignment="1"/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67" fontId="1" fillId="4" borderId="12" xfId="0" applyNumberFormat="1" applyFont="1" applyFill="1" applyBorder="1" applyAlignment="1"/>
    <xf numFmtId="168" fontId="1" fillId="4" borderId="12" xfId="0" applyNumberFormat="1" applyFont="1" applyFill="1" applyBorder="1"/>
    <xf numFmtId="0" fontId="1" fillId="4" borderId="6" xfId="0" applyFont="1" applyFill="1" applyBorder="1" applyAlignment="1">
      <alignment vertical="center"/>
    </xf>
    <xf numFmtId="168" fontId="1" fillId="3" borderId="12" xfId="0" applyNumberFormat="1" applyFont="1" applyFill="1" applyBorder="1"/>
    <xf numFmtId="0" fontId="1" fillId="3" borderId="6" xfId="0" applyFont="1" applyFill="1" applyBorder="1" applyAlignment="1">
      <alignment vertical="center"/>
    </xf>
    <xf numFmtId="0" fontId="1" fillId="0" borderId="20" xfId="0" applyFont="1" applyBorder="1"/>
    <xf numFmtId="169" fontId="1" fillId="0" borderId="0" xfId="0" applyNumberFormat="1" applyFont="1"/>
    <xf numFmtId="0" fontId="3" fillId="5" borderId="0" xfId="0" applyFont="1" applyFill="1"/>
    <xf numFmtId="0" fontId="3" fillId="0" borderId="0" xfId="0" applyFont="1" applyFill="1"/>
    <xf numFmtId="0" fontId="1" fillId="0" borderId="0" xfId="0" applyFont="1" applyFill="1"/>
    <xf numFmtId="0" fontId="3" fillId="5" borderId="0" xfId="0" applyFont="1" applyFill="1" applyAlignment="1"/>
    <xf numFmtId="166" fontId="1" fillId="3" borderId="22" xfId="0" applyNumberFormat="1" applyFont="1" applyFill="1" applyBorder="1"/>
    <xf numFmtId="0" fontId="1" fillId="0" borderId="23" xfId="0" applyFont="1" applyBorder="1"/>
    <xf numFmtId="166" fontId="1" fillId="0" borderId="24" xfId="0" applyNumberFormat="1" applyFont="1" applyBorder="1"/>
    <xf numFmtId="0" fontId="1" fillId="0" borderId="0" xfId="0" applyFont="1" applyBorder="1"/>
    <xf numFmtId="0" fontId="7" fillId="5" borderId="21" xfId="0" applyFont="1" applyFill="1" applyBorder="1" applyAlignment="1">
      <alignment horizontal="center" vertical="center" wrapText="1"/>
    </xf>
    <xf numFmtId="166" fontId="7" fillId="0" borderId="19" xfId="0" applyNumberFormat="1" applyFont="1" applyBorder="1"/>
    <xf numFmtId="166" fontId="7" fillId="3" borderId="19" xfId="0" applyNumberFormat="1" applyFont="1" applyFill="1" applyBorder="1"/>
    <xf numFmtId="0" fontId="7" fillId="0" borderId="23" xfId="0" applyFont="1" applyBorder="1"/>
    <xf numFmtId="166" fontId="7" fillId="0" borderId="24" xfId="0" applyNumberFormat="1" applyFont="1" applyBorder="1"/>
    <xf numFmtId="0" fontId="7" fillId="6" borderId="21" xfId="0" applyFont="1" applyFill="1" applyBorder="1" applyAlignment="1">
      <alignment horizontal="center" vertical="center" wrapText="1"/>
    </xf>
    <xf numFmtId="0" fontId="7" fillId="0" borderId="0" xfId="0" applyFont="1"/>
    <xf numFmtId="166" fontId="7" fillId="3" borderId="22" xfId="0" applyNumberFormat="1" applyFont="1" applyFill="1" applyBorder="1" applyAlignment="1">
      <alignment wrapText="1"/>
    </xf>
    <xf numFmtId="166" fontId="7" fillId="3" borderId="1" xfId="0" applyNumberFormat="1" applyFont="1" applyFill="1" applyBorder="1" applyAlignment="1">
      <alignment wrapText="1"/>
    </xf>
    <xf numFmtId="166" fontId="7" fillId="0" borderId="22" xfId="0" applyNumberFormat="1" applyFont="1" applyFill="1" applyBorder="1" applyAlignment="1">
      <alignment wrapText="1"/>
    </xf>
    <xf numFmtId="166" fontId="7" fillId="0" borderId="19" xfId="0" applyNumberFormat="1" applyFont="1" applyBorder="1" applyAlignment="1">
      <alignment wrapText="1"/>
    </xf>
    <xf numFmtId="166" fontId="7" fillId="3" borderId="18" xfId="0" applyNumberFormat="1" applyFont="1" applyFill="1" applyBorder="1" applyAlignment="1">
      <alignment wrapText="1"/>
    </xf>
    <xf numFmtId="166" fontId="7" fillId="3" borderId="19" xfId="0" applyNumberFormat="1" applyFont="1" applyFill="1" applyBorder="1" applyAlignment="1">
      <alignment wrapText="1"/>
    </xf>
    <xf numFmtId="166" fontId="7" fillId="0" borderId="18" xfId="0" applyNumberFormat="1" applyFont="1" applyBorder="1" applyAlignment="1">
      <alignment wrapText="1"/>
    </xf>
    <xf numFmtId="166" fontId="7" fillId="3" borderId="25" xfId="0" applyNumberFormat="1" applyFont="1" applyFill="1" applyBorder="1" applyAlignment="1">
      <alignment wrapText="1"/>
    </xf>
    <xf numFmtId="166" fontId="7" fillId="4" borderId="22" xfId="0" applyNumberFormat="1" applyFont="1" applyFill="1" applyBorder="1" applyAlignment="1">
      <alignment wrapText="1"/>
    </xf>
    <xf numFmtId="166" fontId="7" fillId="0" borderId="23" xfId="0" applyNumberFormat="1" applyFont="1" applyBorder="1" applyAlignment="1">
      <alignment wrapText="1"/>
    </xf>
    <xf numFmtId="166" fontId="1" fillId="0" borderId="22" xfId="0" applyNumberFormat="1" applyFont="1" applyBorder="1"/>
    <xf numFmtId="166" fontId="7" fillId="0" borderId="25" xfId="0" applyNumberFormat="1" applyFont="1" applyBorder="1" applyAlignment="1">
      <alignment wrapText="1"/>
    </xf>
    <xf numFmtId="166" fontId="7" fillId="3" borderId="17" xfId="0" applyNumberFormat="1" applyFont="1" applyFill="1" applyBorder="1"/>
    <xf numFmtId="166" fontId="7" fillId="0" borderId="17" xfId="0" applyNumberFormat="1" applyFont="1" applyBorder="1"/>
    <xf numFmtId="166" fontId="7" fillId="4" borderId="19" xfId="0" applyNumberFormat="1" applyFont="1" applyFill="1" applyBorder="1"/>
    <xf numFmtId="166" fontId="1" fillId="4" borderId="22" xfId="0" applyNumberFormat="1" applyFont="1" applyFill="1" applyBorder="1"/>
    <xf numFmtId="0" fontId="1" fillId="0" borderId="18" xfId="0" applyFont="1" applyBorder="1"/>
    <xf numFmtId="166" fontId="7" fillId="4" borderId="25" xfId="0" applyNumberFormat="1" applyFont="1" applyFill="1" applyBorder="1" applyAlignment="1">
      <alignment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3" borderId="9" xfId="0" applyFont="1" applyFill="1" applyBorder="1" applyAlignment="1">
      <alignment vertical="center"/>
    </xf>
    <xf numFmtId="0" fontId="1" fillId="0" borderId="7" xfId="0" applyFont="1" applyBorder="1"/>
    <xf numFmtId="0" fontId="3" fillId="5" borderId="0" xfId="0" applyFont="1" applyFill="1" applyAlignment="1">
      <alignment horizontal="center"/>
    </xf>
    <xf numFmtId="166" fontId="7" fillId="0" borderId="12" xfId="0" applyNumberFormat="1" applyFont="1" applyBorder="1" applyAlignment="1">
      <alignment horizontal="left" wrapText="1"/>
    </xf>
    <xf numFmtId="166" fontId="7" fillId="0" borderId="17" xfId="0" applyNumberFormat="1" applyFont="1" applyBorder="1" applyAlignment="1">
      <alignment horizontal="left" wrapText="1"/>
    </xf>
    <xf numFmtId="166" fontId="7" fillId="3" borderId="25" xfId="0" applyNumberFormat="1" applyFont="1" applyFill="1" applyBorder="1" applyAlignment="1">
      <alignment horizontal="left" wrapText="1"/>
    </xf>
    <xf numFmtId="166" fontId="7" fillId="3" borderId="26" xfId="0" applyNumberFormat="1" applyFont="1" applyFill="1" applyBorder="1" applyAlignment="1">
      <alignment horizontal="left" vertical="top" wrapText="1"/>
    </xf>
    <xf numFmtId="166" fontId="7" fillId="0" borderId="25" xfId="0" applyNumberFormat="1" applyFont="1" applyBorder="1" applyAlignment="1">
      <alignment horizontal="left" wrapText="1"/>
    </xf>
    <xf numFmtId="166" fontId="7" fillId="0" borderId="26" xfId="0" applyNumberFormat="1" applyFont="1" applyBorder="1" applyAlignment="1">
      <alignment horizontal="left" wrapText="1"/>
    </xf>
    <xf numFmtId="0" fontId="1" fillId="4" borderId="20" xfId="0" applyFont="1" applyFill="1" applyBorder="1" applyAlignment="1">
      <alignment horizontal="left" vertical="center"/>
    </xf>
    <xf numFmtId="0" fontId="1" fillId="0" borderId="28" xfId="0" applyFont="1" applyBorder="1"/>
    <xf numFmtId="0" fontId="1" fillId="3" borderId="2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0" borderId="19" xfId="0" applyFont="1" applyBorder="1"/>
    <xf numFmtId="0" fontId="1" fillId="4" borderId="18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vertical="center"/>
    </xf>
    <xf numFmtId="0" fontId="1" fillId="3" borderId="27" xfId="0" applyFont="1" applyFill="1" applyBorder="1" applyAlignment="1">
      <alignment horizontal="left" vertical="center" wrapText="1"/>
    </xf>
    <xf numFmtId="0" fontId="1" fillId="0" borderId="20" xfId="0" applyFont="1" applyBorder="1"/>
    <xf numFmtId="0" fontId="1" fillId="0" borderId="8" xfId="0" applyFont="1" applyBorder="1"/>
    <xf numFmtId="0" fontId="1" fillId="4" borderId="27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3" borderId="20" xfId="0" applyFont="1" applyFill="1" applyBorder="1" applyAlignment="1">
      <alignment horizontal="left" vertical="center"/>
    </xf>
    <xf numFmtId="0" fontId="1" fillId="4" borderId="2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alT/Downloads/2020_Filing_Requirements_Chapter2_Appendices.xlsm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grams"/>
      <sheetName val="App.2-AB_Capital Expenditures"/>
      <sheetName val="Hidden_CAPEX"/>
      <sheetName val="App.2-AC_Customer Engagement"/>
      <sheetName val="App.2-B_Acctg Instructions"/>
      <sheetName val="2016 App.2-BA_Fixed Asset Cont"/>
      <sheetName val="2017 App.2-BA_Fixed Asset Cont"/>
      <sheetName val="2018 App.2-BA_Fixed Asset Cont"/>
      <sheetName val="2019 App.2-BA_Fixed Asset Cont"/>
      <sheetName val="2020 App.2-BA_Fixed Asset Cont"/>
      <sheetName val="2021 App.2-BA_Fixed Asset Cont"/>
      <sheetName val="2022 App.2-BA_Fixed Asset Cont"/>
      <sheetName val="2023 App.2-BA_Fixed Asset Cont"/>
      <sheetName val="2024 App.2-BA_Fixed Asset Cont"/>
      <sheetName val="2025 App.2-BA_Fixed Asset Cont"/>
      <sheetName val="Appendix 2-BB Service Life  "/>
      <sheetName val="2016 App.2-C_DepExp"/>
      <sheetName val="2017 App.2-C_DepExp"/>
      <sheetName val="2018 App.2-C_DepExp"/>
      <sheetName val="2019 App.2-C_DepExp"/>
      <sheetName val="2020 App.2-C_DepExp"/>
      <sheetName val="2021 App.2-C_DepExp"/>
      <sheetName val="2022 App.2-C_DepExp"/>
      <sheetName val="2023 App.2-C_DepExp"/>
      <sheetName val="2024 App.2-C_DepExp"/>
      <sheetName val="2025 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Hidden_REG Invest.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lists"/>
      <sheetName val="App.2-IA_Load_Forecast_Instrct"/>
      <sheetName val="App.2-IB_Load_Forecast_Analysis"/>
      <sheetName val="App.2-JA_OM&amp;A_Summary_Analys"/>
      <sheetName val="App.2-JB_OM&amp;A_Cost _Drivers"/>
      <sheetName val="Hidden_OM&amp;A Summary"/>
      <sheetName val="App.2-JC_OMA Programs"/>
      <sheetName val="Hidden_Employee Costs"/>
      <sheetName val="App.2-K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2016 - App.2-N_Corp_Cost_Alloca"/>
      <sheetName val="2017 - App.2-N_Corp_Cost_Alloca"/>
      <sheetName val="2018 - App.2-N_Corp_Cost_Alloca"/>
      <sheetName val="2019 - App.2-N_Corp_Cost_Alloca"/>
      <sheetName val="2020 - App.2-N_Corp_Cost_Alloca"/>
      <sheetName val="2021 - App.2-N_Corp_Cost_Alloca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2021 Commodity Expense"/>
      <sheetName val="App.2-Z_2022 Commodity Expense"/>
      <sheetName val="App.2-Z_2023 Commodity Expense"/>
      <sheetName val="App.2-Z_2024 Commodity Expense"/>
      <sheetName val="App.2-Z_2025 Commodity Expense"/>
      <sheetName val="Sheet1"/>
    </sheetNames>
    <sheetDataSet>
      <sheetData sheetId="0">
        <row r="16">
          <cell r="E16" t="str">
            <v>EB-2019-0261</v>
          </cell>
        </row>
        <row r="24">
          <cell r="E24">
            <v>2021</v>
          </cell>
        </row>
        <row r="26">
          <cell r="E26">
            <v>2020</v>
          </cell>
        </row>
        <row r="28">
          <cell r="E28">
            <v>2016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9594"/>
    <pageSetUpPr fitToPage="1"/>
  </sheetPr>
  <dimension ref="A1:AA1023"/>
  <sheetViews>
    <sheetView showGridLines="0" tabSelected="1" workbookViewId="0">
      <selection activeCell="L8" sqref="L8"/>
    </sheetView>
  </sheetViews>
  <sheetFormatPr defaultColWidth="14.453125" defaultRowHeight="15" customHeight="1" x14ac:dyDescent="0.25"/>
  <cols>
    <col min="1" max="1" width="5.54296875" style="3" customWidth="1"/>
    <col min="2" max="2" width="35.453125" style="3" customWidth="1"/>
    <col min="3" max="3" width="23.7265625" style="3" customWidth="1"/>
    <col min="4" max="4" width="15.453125" style="3" customWidth="1"/>
    <col min="5" max="5" width="14" style="3" customWidth="1"/>
    <col min="6" max="6" width="12.453125" style="3" customWidth="1"/>
    <col min="7" max="7" width="11" style="3" customWidth="1"/>
    <col min="8" max="8" width="13.453125" style="3" customWidth="1"/>
    <col min="9" max="9" width="9.54296875" style="3" customWidth="1"/>
    <col min="10" max="10" width="15.26953125" style="3" customWidth="1"/>
    <col min="11" max="11" width="32.7265625" style="3" bestFit="1" customWidth="1"/>
    <col min="12" max="12" width="66.26953125" style="3" customWidth="1"/>
    <col min="13" max="13" width="1.453125" style="3" customWidth="1"/>
    <col min="14" max="14" width="3.54296875" style="3" customWidth="1"/>
    <col min="15" max="15" width="1.54296875" style="3" customWidth="1"/>
    <col min="16" max="16" width="14" style="3" customWidth="1"/>
    <col min="17" max="17" width="2.453125" style="3" customWidth="1"/>
    <col min="18" max="27" width="9.453125" style="3" customWidth="1"/>
    <col min="28" max="16384" width="14.453125" style="3"/>
  </cols>
  <sheetData>
    <row r="1" spans="1:27" ht="12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07" t="s">
        <v>67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8" x14ac:dyDescent="0.4">
      <c r="A2" s="1"/>
      <c r="B2" s="111" t="s">
        <v>62</v>
      </c>
      <c r="C2" s="111"/>
      <c r="D2" s="1"/>
      <c r="E2" s="1"/>
      <c r="F2" s="1"/>
      <c r="G2" s="1"/>
      <c r="H2" s="1"/>
      <c r="I2" s="1"/>
      <c r="J2" s="2"/>
      <c r="K2" s="2"/>
      <c r="L2" s="10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2"/>
      <c r="K3" s="2"/>
      <c r="L3" s="10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" x14ac:dyDescent="0.4">
      <c r="A4" s="1"/>
      <c r="B4" s="77" t="s">
        <v>63</v>
      </c>
      <c r="C4" s="74"/>
      <c r="D4" s="75"/>
      <c r="E4" s="75"/>
      <c r="F4" s="1"/>
      <c r="G4" s="1"/>
      <c r="H4" s="1"/>
      <c r="I4" s="1"/>
      <c r="J4" s="2"/>
      <c r="K4" s="2"/>
      <c r="L4" s="10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2.75" customHeight="1" x14ac:dyDescent="0.3">
      <c r="A5" s="1"/>
      <c r="B5" s="76"/>
      <c r="C5" s="76"/>
      <c r="D5" s="76"/>
      <c r="E5" s="76"/>
      <c r="F5" s="1"/>
      <c r="G5" s="1"/>
      <c r="H5" s="1"/>
      <c r="I5" s="1"/>
      <c r="J5" s="5"/>
      <c r="K5" s="5"/>
      <c r="L5" s="10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2.75" customHeight="1" x14ac:dyDescent="0.3">
      <c r="A6" s="1"/>
      <c r="B6" s="76"/>
      <c r="C6" s="76"/>
      <c r="D6" s="76"/>
      <c r="E6" s="76"/>
      <c r="F6" s="1"/>
      <c r="G6" s="1"/>
      <c r="H6" s="1"/>
      <c r="I6" s="1"/>
      <c r="J6" s="2"/>
      <c r="K6" s="2"/>
      <c r="L6" s="10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2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4">
      <c r="A9" s="134" t="s">
        <v>0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4"/>
      <c r="N9" s="4"/>
      <c r="O9" s="4"/>
      <c r="P9" s="4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2.75" customHeight="1" x14ac:dyDescent="0.4">
      <c r="A10" s="134" t="s">
        <v>1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4"/>
      <c r="N10" s="135"/>
      <c r="O10" s="135"/>
      <c r="P10" s="13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9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6"/>
      <c r="N11" s="6"/>
      <c r="O11" s="6"/>
      <c r="P11" s="6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8.5" customHeight="1" x14ac:dyDescent="0.4">
      <c r="A12" s="136" t="s">
        <v>2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6"/>
      <c r="N12" s="6"/>
      <c r="O12" s="6"/>
      <c r="P12" s="6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2.75" customHeight="1" x14ac:dyDescent="0.25">
      <c r="A13" s="1"/>
      <c r="B13" s="1"/>
      <c r="C13" s="1"/>
      <c r="D13" s="7" t="s">
        <v>3</v>
      </c>
      <c r="E13" s="8">
        <v>2016</v>
      </c>
      <c r="F13" s="9" t="s">
        <v>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2.75" customHeight="1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2.75" customHeight="1" x14ac:dyDescent="0.25">
      <c r="A15" s="10" t="s">
        <v>5</v>
      </c>
      <c r="B15" s="11" t="s">
        <v>6</v>
      </c>
      <c r="C15" s="11" t="s">
        <v>7</v>
      </c>
      <c r="D15" s="12" t="s">
        <v>8</v>
      </c>
      <c r="E15" s="12" t="s">
        <v>9</v>
      </c>
      <c r="F15" s="11" t="s">
        <v>10</v>
      </c>
      <c r="G15" s="12" t="s">
        <v>11</v>
      </c>
      <c r="H15" s="12" t="s">
        <v>12</v>
      </c>
      <c r="I15" s="12" t="s">
        <v>13</v>
      </c>
      <c r="J15" s="12" t="s">
        <v>14</v>
      </c>
      <c r="K15" s="82" t="s">
        <v>61</v>
      </c>
      <c r="L15" s="13" t="s">
        <v>15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6" x14ac:dyDescent="0.3">
      <c r="A16" s="14">
        <v>1</v>
      </c>
      <c r="B16" s="15" t="s">
        <v>16</v>
      </c>
      <c r="C16" s="15" t="s">
        <v>17</v>
      </c>
      <c r="D16" s="15" t="s">
        <v>18</v>
      </c>
      <c r="E16" s="15" t="s">
        <v>19</v>
      </c>
      <c r="F16" s="16">
        <v>39071</v>
      </c>
      <c r="G16" s="15" t="s">
        <v>20</v>
      </c>
      <c r="H16" s="17">
        <v>50000000</v>
      </c>
      <c r="I16" s="18">
        <v>4.9680000000000002E-2</v>
      </c>
      <c r="J16" s="19">
        <f t="shared" ref="J16:J22" si="0">H16*I16</f>
        <v>2484000</v>
      </c>
      <c r="K16" s="90" t="s">
        <v>64</v>
      </c>
      <c r="L16" s="20" t="s">
        <v>21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6" x14ac:dyDescent="0.3">
      <c r="A17" s="14">
        <v>2</v>
      </c>
      <c r="B17" s="21" t="s">
        <v>16</v>
      </c>
      <c r="C17" s="21" t="s">
        <v>17</v>
      </c>
      <c r="D17" s="22" t="s">
        <v>18</v>
      </c>
      <c r="E17" s="22" t="s">
        <v>19</v>
      </c>
      <c r="F17" s="23">
        <v>41408</v>
      </c>
      <c r="G17" s="21" t="s">
        <v>20</v>
      </c>
      <c r="H17" s="24">
        <f>107185000</f>
        <v>107185000</v>
      </c>
      <c r="I17" s="25">
        <v>4.1439999999999998E-2</v>
      </c>
      <c r="J17" s="26">
        <f t="shared" si="0"/>
        <v>4441746.3999999994</v>
      </c>
      <c r="K17" s="91" t="s">
        <v>64</v>
      </c>
      <c r="L17" s="27" t="s">
        <v>22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6" x14ac:dyDescent="0.3">
      <c r="A18" s="14">
        <v>3</v>
      </c>
      <c r="B18" s="15" t="s">
        <v>16</v>
      </c>
      <c r="C18" s="15" t="s">
        <v>17</v>
      </c>
      <c r="D18" s="15" t="s">
        <v>18</v>
      </c>
      <c r="E18" s="15" t="s">
        <v>19</v>
      </c>
      <c r="F18" s="16">
        <v>42044</v>
      </c>
      <c r="G18" s="15" t="s">
        <v>23</v>
      </c>
      <c r="H18" s="17">
        <v>138667000</v>
      </c>
      <c r="I18" s="18">
        <v>2.724E-2</v>
      </c>
      <c r="J18" s="19">
        <f t="shared" si="0"/>
        <v>3777289.08</v>
      </c>
      <c r="K18" s="90" t="s">
        <v>64</v>
      </c>
      <c r="L18" s="123" t="s">
        <v>24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6" x14ac:dyDescent="0.3">
      <c r="A19" s="14">
        <v>4</v>
      </c>
      <c r="B19" s="15" t="s">
        <v>16</v>
      </c>
      <c r="C19" s="15" t="s">
        <v>17</v>
      </c>
      <c r="D19" s="15" t="s">
        <v>18</v>
      </c>
      <c r="E19" s="15" t="s">
        <v>19</v>
      </c>
      <c r="F19" s="16">
        <v>42044</v>
      </c>
      <c r="G19" s="15" t="s">
        <v>20</v>
      </c>
      <c r="H19" s="17">
        <v>121333000</v>
      </c>
      <c r="I19" s="18">
        <v>3.7690000000000001E-2</v>
      </c>
      <c r="J19" s="19">
        <f t="shared" si="0"/>
        <v>4573040.7700000005</v>
      </c>
      <c r="K19" s="90" t="s">
        <v>64</v>
      </c>
      <c r="L19" s="11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6" x14ac:dyDescent="0.3">
      <c r="A20" s="14">
        <v>5</v>
      </c>
      <c r="B20" s="21" t="s">
        <v>16</v>
      </c>
      <c r="C20" s="21" t="s">
        <v>17</v>
      </c>
      <c r="D20" s="22" t="s">
        <v>18</v>
      </c>
      <c r="E20" s="22" t="s">
        <v>19</v>
      </c>
      <c r="F20" s="28">
        <v>42180</v>
      </c>
      <c r="G20" s="21" t="s">
        <v>23</v>
      </c>
      <c r="H20" s="29">
        <v>15999000</v>
      </c>
      <c r="I20" s="25">
        <v>2.724E-2</v>
      </c>
      <c r="J20" s="26">
        <f t="shared" si="0"/>
        <v>435812.76</v>
      </c>
      <c r="K20" s="98" t="s">
        <v>64</v>
      </c>
      <c r="L20" s="122" t="s">
        <v>25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6" x14ac:dyDescent="0.3">
      <c r="A21" s="14">
        <v>6</v>
      </c>
      <c r="B21" s="21" t="s">
        <v>16</v>
      </c>
      <c r="C21" s="21" t="s">
        <v>17</v>
      </c>
      <c r="D21" s="22" t="s">
        <v>18</v>
      </c>
      <c r="E21" s="22" t="s">
        <v>19</v>
      </c>
      <c r="F21" s="28">
        <v>42180</v>
      </c>
      <c r="G21" s="21" t="s">
        <v>20</v>
      </c>
      <c r="H21" s="29">
        <v>14001000</v>
      </c>
      <c r="I21" s="25">
        <v>3.7690000000000001E-2</v>
      </c>
      <c r="J21" s="26">
        <f t="shared" si="0"/>
        <v>527697.69000000006</v>
      </c>
      <c r="K21" s="98" t="s">
        <v>64</v>
      </c>
      <c r="L21" s="110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2.75" customHeight="1" x14ac:dyDescent="0.3">
      <c r="A22" s="14">
        <v>7</v>
      </c>
      <c r="B22" s="15" t="s">
        <v>26</v>
      </c>
      <c r="C22" s="15" t="s">
        <v>17</v>
      </c>
      <c r="D22" s="15" t="s">
        <v>18</v>
      </c>
      <c r="E22" s="15" t="s">
        <v>19</v>
      </c>
      <c r="F22" s="16">
        <v>42705</v>
      </c>
      <c r="G22" s="15" t="s">
        <v>27</v>
      </c>
      <c r="H22" s="17">
        <f>60000000*(31/366)</f>
        <v>5081967.2131147543</v>
      </c>
      <c r="I22" s="18">
        <v>3.7199999999999997E-2</v>
      </c>
      <c r="J22" s="19">
        <f t="shared" si="0"/>
        <v>189049.18032786885</v>
      </c>
      <c r="K22" s="84" t="s">
        <v>66</v>
      </c>
      <c r="L22" s="30" t="s">
        <v>28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2.75" customHeight="1" thickBot="1" x14ac:dyDescent="0.35">
      <c r="A23" s="31"/>
      <c r="B23" s="32"/>
      <c r="C23" s="33"/>
      <c r="D23" s="33"/>
      <c r="E23" s="33"/>
      <c r="F23" s="32"/>
      <c r="G23" s="33"/>
      <c r="H23" s="33"/>
      <c r="I23" s="33"/>
      <c r="J23" s="32"/>
      <c r="K23" s="85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2.75" customHeight="1" thickTop="1" thickBot="1" x14ac:dyDescent="0.35">
      <c r="A24" s="35" t="s">
        <v>29</v>
      </c>
      <c r="B24" s="36"/>
      <c r="C24" s="37"/>
      <c r="D24" s="37"/>
      <c r="E24" s="37"/>
      <c r="F24" s="36"/>
      <c r="G24" s="37"/>
      <c r="H24" s="38">
        <f>SUM(H16:H22)</f>
        <v>452266967.21311474</v>
      </c>
      <c r="I24" s="39">
        <f>IF(H24=0,"",J24/H24)</f>
        <v>3.6325084676339971E-2</v>
      </c>
      <c r="J24" s="40">
        <f>SUM(J16:J22)</f>
        <v>16428635.880327867</v>
      </c>
      <c r="K24" s="86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2.75" customHeight="1" x14ac:dyDescent="0.25">
      <c r="A25" s="1"/>
      <c r="B25" s="1"/>
      <c r="C25" s="1"/>
      <c r="D25" s="7"/>
      <c r="E25" s="7"/>
      <c r="F25" s="9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2.75" customHeight="1" x14ac:dyDescent="0.3">
      <c r="A26" s="2" t="s">
        <v>30</v>
      </c>
      <c r="B26" s="1"/>
      <c r="C26" s="1"/>
      <c r="D26" s="1"/>
      <c r="E26" s="1"/>
      <c r="F26" s="1"/>
      <c r="G26" s="1"/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2.75" customHeight="1" x14ac:dyDescent="0.25">
      <c r="A28" s="42">
        <v>1</v>
      </c>
      <c r="B28" s="137" t="s">
        <v>31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2.5" x14ac:dyDescent="0.25">
      <c r="A29" s="42">
        <v>2</v>
      </c>
      <c r="B29" s="138" t="s">
        <v>32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2.75" customHeight="1" x14ac:dyDescent="0.25">
      <c r="A30" s="43">
        <v>3</v>
      </c>
      <c r="B30" s="137" t="s">
        <v>33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2.75" customHeight="1" x14ac:dyDescent="0.25">
      <c r="A31" s="1"/>
      <c r="B31" s="1"/>
      <c r="C31" s="1"/>
      <c r="D31" s="7"/>
      <c r="E31" s="7"/>
      <c r="F31" s="9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2.75" customHeight="1" x14ac:dyDescent="0.25">
      <c r="A32" s="1"/>
      <c r="B32" s="1"/>
      <c r="C32" s="1"/>
      <c r="D32" s="7" t="s">
        <v>3</v>
      </c>
      <c r="E32" s="8">
        <v>2017</v>
      </c>
      <c r="F32" s="9" t="s">
        <v>4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2.75" customHeight="1" thickBo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2.75" customHeight="1" x14ac:dyDescent="0.25">
      <c r="A34" s="10" t="s">
        <v>5</v>
      </c>
      <c r="B34" s="11" t="s">
        <v>6</v>
      </c>
      <c r="C34" s="11" t="s">
        <v>7</v>
      </c>
      <c r="D34" s="12" t="s">
        <v>8</v>
      </c>
      <c r="E34" s="12" t="s">
        <v>9</v>
      </c>
      <c r="F34" s="11" t="s">
        <v>10</v>
      </c>
      <c r="G34" s="12" t="s">
        <v>11</v>
      </c>
      <c r="H34" s="12" t="s">
        <v>12</v>
      </c>
      <c r="I34" s="12" t="s">
        <v>13</v>
      </c>
      <c r="J34" s="12" t="s">
        <v>14</v>
      </c>
      <c r="K34" s="82" t="str">
        <f>K15</f>
        <v>Callable Provision (Yes / No)</v>
      </c>
      <c r="L34" s="13" t="s">
        <v>15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6" x14ac:dyDescent="0.3">
      <c r="A35" s="14">
        <v>1</v>
      </c>
      <c r="B35" s="15" t="s">
        <v>16</v>
      </c>
      <c r="C35" s="15" t="s">
        <v>17</v>
      </c>
      <c r="D35" s="15" t="s">
        <v>18</v>
      </c>
      <c r="E35" s="15" t="s">
        <v>19</v>
      </c>
      <c r="F35" s="16">
        <v>39071</v>
      </c>
      <c r="G35" s="15" t="s">
        <v>20</v>
      </c>
      <c r="H35" s="17">
        <v>50000000</v>
      </c>
      <c r="I35" s="18">
        <v>4.9680000000000002E-2</v>
      </c>
      <c r="J35" s="19">
        <f t="shared" ref="J35:J42" si="1">H35*I35</f>
        <v>2484000</v>
      </c>
      <c r="K35" s="89" t="str">
        <f>K16</f>
        <v xml:space="preserve">Callable subject to call provisions at redemption price  </v>
      </c>
      <c r="L35" s="20" t="s">
        <v>21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6" x14ac:dyDescent="0.3">
      <c r="A36" s="14">
        <v>2</v>
      </c>
      <c r="B36" s="21" t="s">
        <v>16</v>
      </c>
      <c r="C36" s="21" t="s">
        <v>17</v>
      </c>
      <c r="D36" s="22" t="s">
        <v>18</v>
      </c>
      <c r="E36" s="22" t="s">
        <v>19</v>
      </c>
      <c r="F36" s="23">
        <v>41408</v>
      </c>
      <c r="G36" s="21" t="s">
        <v>20</v>
      </c>
      <c r="H36" s="24">
        <f>107185000</f>
        <v>107185000</v>
      </c>
      <c r="I36" s="25">
        <v>4.1439999999999998E-2</v>
      </c>
      <c r="J36" s="26">
        <f t="shared" si="1"/>
        <v>4441746.3999999994</v>
      </c>
      <c r="K36" s="95" t="str">
        <f>K17</f>
        <v xml:space="preserve">Callable subject to call provisions at redemption price  </v>
      </c>
      <c r="L36" s="27" t="s">
        <v>34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6" x14ac:dyDescent="0.3">
      <c r="A37" s="14">
        <v>3</v>
      </c>
      <c r="B37" s="15" t="s">
        <v>16</v>
      </c>
      <c r="C37" s="15" t="s">
        <v>17</v>
      </c>
      <c r="D37" s="15" t="s">
        <v>18</v>
      </c>
      <c r="E37" s="15" t="s">
        <v>19</v>
      </c>
      <c r="F37" s="16">
        <v>42044</v>
      </c>
      <c r="G37" s="15" t="s">
        <v>23</v>
      </c>
      <c r="H37" s="17">
        <v>138667000</v>
      </c>
      <c r="I37" s="18">
        <v>2.724E-2</v>
      </c>
      <c r="J37" s="78">
        <f t="shared" si="1"/>
        <v>3777289.08</v>
      </c>
      <c r="K37" s="96" t="str">
        <f>$K$18</f>
        <v xml:space="preserve">Callable subject to call provisions at redemption price  </v>
      </c>
      <c r="L37" s="139" t="s">
        <v>24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6" x14ac:dyDescent="0.3">
      <c r="A38" s="14">
        <v>4</v>
      </c>
      <c r="B38" s="15" t="s">
        <v>16</v>
      </c>
      <c r="C38" s="15" t="s">
        <v>17</v>
      </c>
      <c r="D38" s="15" t="s">
        <v>18</v>
      </c>
      <c r="E38" s="15" t="s">
        <v>19</v>
      </c>
      <c r="F38" s="16">
        <v>42044</v>
      </c>
      <c r="G38" s="15" t="s">
        <v>20</v>
      </c>
      <c r="H38" s="17">
        <v>121333000</v>
      </c>
      <c r="I38" s="18">
        <v>3.7690000000000001E-2</v>
      </c>
      <c r="J38" s="19">
        <f t="shared" si="1"/>
        <v>4573040.7700000005</v>
      </c>
      <c r="K38" s="93" t="str">
        <f>$K$19</f>
        <v xml:space="preserve">Callable subject to call provisions at redemption price  </v>
      </c>
      <c r="L38" s="11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6" x14ac:dyDescent="0.3">
      <c r="A39" s="14">
        <v>5</v>
      </c>
      <c r="B39" s="21" t="s">
        <v>16</v>
      </c>
      <c r="C39" s="21" t="s">
        <v>17</v>
      </c>
      <c r="D39" s="22" t="s">
        <v>18</v>
      </c>
      <c r="E39" s="22" t="s">
        <v>19</v>
      </c>
      <c r="F39" s="28">
        <v>42180</v>
      </c>
      <c r="G39" s="21" t="s">
        <v>23</v>
      </c>
      <c r="H39" s="29">
        <v>15999000</v>
      </c>
      <c r="I39" s="25">
        <v>2.724E-2</v>
      </c>
      <c r="J39" s="99">
        <f t="shared" si="1"/>
        <v>435812.76</v>
      </c>
      <c r="K39" s="100" t="str">
        <f>$K$20</f>
        <v xml:space="preserve">Callable subject to call provisions at redemption price  </v>
      </c>
      <c r="L39" s="140" t="s">
        <v>25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6" x14ac:dyDescent="0.3">
      <c r="A40" s="14">
        <v>6</v>
      </c>
      <c r="B40" s="21" t="s">
        <v>16</v>
      </c>
      <c r="C40" s="21" t="s">
        <v>17</v>
      </c>
      <c r="D40" s="22" t="s">
        <v>18</v>
      </c>
      <c r="E40" s="22" t="s">
        <v>19</v>
      </c>
      <c r="F40" s="28">
        <v>42180</v>
      </c>
      <c r="G40" s="21" t="s">
        <v>20</v>
      </c>
      <c r="H40" s="29">
        <v>14001000</v>
      </c>
      <c r="I40" s="25">
        <v>3.7690000000000001E-2</v>
      </c>
      <c r="J40" s="26">
        <f t="shared" si="1"/>
        <v>527697.69000000006</v>
      </c>
      <c r="K40" s="92" t="str">
        <f>$K$21</f>
        <v xml:space="preserve">Callable subject to call provisions at redemption price  </v>
      </c>
      <c r="L40" s="11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2.75" customHeight="1" x14ac:dyDescent="0.3">
      <c r="A41" s="14">
        <v>7</v>
      </c>
      <c r="B41" s="15" t="s">
        <v>26</v>
      </c>
      <c r="C41" s="15" t="s">
        <v>17</v>
      </c>
      <c r="D41" s="15" t="s">
        <v>18</v>
      </c>
      <c r="E41" s="15" t="s">
        <v>19</v>
      </c>
      <c r="F41" s="16">
        <v>42705</v>
      </c>
      <c r="G41" s="15" t="s">
        <v>27</v>
      </c>
      <c r="H41" s="17">
        <v>60000000</v>
      </c>
      <c r="I41" s="18">
        <v>3.7199999999999997E-2</v>
      </c>
      <c r="J41" s="19">
        <f t="shared" si="1"/>
        <v>2232000</v>
      </c>
      <c r="K41" s="84" t="str">
        <f>K22</f>
        <v>Callable subject to call provisions</v>
      </c>
      <c r="L41" s="30" t="s">
        <v>35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2.75" customHeight="1" x14ac:dyDescent="0.3">
      <c r="A42" s="14">
        <v>8</v>
      </c>
      <c r="B42" s="21" t="s">
        <v>26</v>
      </c>
      <c r="C42" s="21" t="s">
        <v>17</v>
      </c>
      <c r="D42" s="22" t="s">
        <v>18</v>
      </c>
      <c r="E42" s="22" t="s">
        <v>19</v>
      </c>
      <c r="F42" s="23">
        <v>43040</v>
      </c>
      <c r="G42" s="21" t="s">
        <v>27</v>
      </c>
      <c r="H42" s="24">
        <f>60000000*(61/365)</f>
        <v>10027397.260273973</v>
      </c>
      <c r="I42" s="25">
        <v>4.1200000000000001E-2</v>
      </c>
      <c r="J42" s="26">
        <f t="shared" si="1"/>
        <v>413128.76712328766</v>
      </c>
      <c r="K42" s="83" t="str">
        <f>K22</f>
        <v>Callable subject to call provisions</v>
      </c>
      <c r="L42" s="44" t="s">
        <v>36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2.75" customHeight="1" thickBot="1" x14ac:dyDescent="0.35">
      <c r="A43" s="31"/>
      <c r="B43" s="32"/>
      <c r="C43" s="33"/>
      <c r="D43" s="33"/>
      <c r="E43" s="33"/>
      <c r="F43" s="32"/>
      <c r="G43" s="33"/>
      <c r="H43" s="33"/>
      <c r="I43" s="33"/>
      <c r="J43" s="32"/>
      <c r="K43" s="85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2.75" customHeight="1" thickTop="1" thickBot="1" x14ac:dyDescent="0.3">
      <c r="A44" s="35" t="s">
        <v>29</v>
      </c>
      <c r="B44" s="36"/>
      <c r="C44" s="37"/>
      <c r="D44" s="37"/>
      <c r="E44" s="37"/>
      <c r="F44" s="36"/>
      <c r="G44" s="37"/>
      <c r="H44" s="38">
        <f>SUM(H35:H42)</f>
        <v>517212397.26027399</v>
      </c>
      <c r="I44" s="39">
        <f>IF(H44=0,"",J44/H44)</f>
        <v>3.6512495769934213E-2</v>
      </c>
      <c r="J44" s="40">
        <f>SUM(J35:J42)</f>
        <v>18884715.467123289</v>
      </c>
      <c r="K44" s="80"/>
      <c r="L44" s="4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2.75" customHeight="1" x14ac:dyDescent="0.25">
      <c r="A45" s="1"/>
      <c r="B45" s="1"/>
      <c r="C45" s="1"/>
      <c r="D45" s="7"/>
      <c r="E45" s="7"/>
      <c r="F45" s="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2.75" customHeight="1" x14ac:dyDescent="0.25">
      <c r="A46" s="1"/>
      <c r="B46" s="1"/>
      <c r="C46" s="1"/>
      <c r="D46" s="7"/>
      <c r="E46" s="7"/>
      <c r="F46" s="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2.75" customHeight="1" x14ac:dyDescent="0.25">
      <c r="A47" s="1"/>
      <c r="B47" s="1"/>
      <c r="C47" s="1"/>
      <c r="D47" s="7" t="s">
        <v>3</v>
      </c>
      <c r="E47" s="8">
        <v>2018</v>
      </c>
      <c r="F47" s="9" t="s">
        <v>4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6.5" customHeight="1" thickBo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2.75" customHeight="1" x14ac:dyDescent="0.25">
      <c r="A49" s="10" t="s">
        <v>5</v>
      </c>
      <c r="B49" s="11" t="s">
        <v>6</v>
      </c>
      <c r="C49" s="11" t="s">
        <v>7</v>
      </c>
      <c r="D49" s="12" t="s">
        <v>8</v>
      </c>
      <c r="E49" s="12" t="s">
        <v>9</v>
      </c>
      <c r="F49" s="11" t="s">
        <v>10</v>
      </c>
      <c r="G49" s="12" t="s">
        <v>11</v>
      </c>
      <c r="H49" s="12" t="s">
        <v>12</v>
      </c>
      <c r="I49" s="12" t="s">
        <v>13</v>
      </c>
      <c r="J49" s="12" t="s">
        <v>14</v>
      </c>
      <c r="K49" s="82" t="str">
        <f>K15</f>
        <v>Callable Provision (Yes / No)</v>
      </c>
      <c r="L49" s="13" t="s">
        <v>15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6" x14ac:dyDescent="0.3">
      <c r="A50" s="14">
        <v>1</v>
      </c>
      <c r="B50" s="15" t="s">
        <v>16</v>
      </c>
      <c r="C50" s="15" t="s">
        <v>17</v>
      </c>
      <c r="D50" s="15" t="s">
        <v>18</v>
      </c>
      <c r="E50" s="15" t="s">
        <v>19</v>
      </c>
      <c r="F50" s="16">
        <v>39071</v>
      </c>
      <c r="G50" s="15" t="s">
        <v>20</v>
      </c>
      <c r="H50" s="17">
        <v>50000000</v>
      </c>
      <c r="I50" s="18">
        <v>4.9680000000000002E-2</v>
      </c>
      <c r="J50" s="19">
        <f t="shared" ref="J50:J59" si="2">H50*I50</f>
        <v>2484000</v>
      </c>
      <c r="K50" s="90" t="str">
        <f>K16</f>
        <v xml:space="preserve">Callable subject to call provisions at redemption price  </v>
      </c>
      <c r="L50" s="45" t="s">
        <v>21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2.75" customHeight="1" x14ac:dyDescent="0.25">
      <c r="A51" s="14">
        <v>2</v>
      </c>
      <c r="B51" s="21" t="s">
        <v>16</v>
      </c>
      <c r="C51" s="21" t="s">
        <v>17</v>
      </c>
      <c r="D51" s="22" t="s">
        <v>18</v>
      </c>
      <c r="E51" s="22" t="s">
        <v>19</v>
      </c>
      <c r="F51" s="23">
        <v>41408</v>
      </c>
      <c r="G51" s="21" t="s">
        <v>20</v>
      </c>
      <c r="H51" s="24">
        <f>107185000*(133/365)</f>
        <v>39056452.05479452</v>
      </c>
      <c r="I51" s="25">
        <v>4.1439999999999998E-2</v>
      </c>
      <c r="J51" s="26">
        <f t="shared" si="2"/>
        <v>1618499.3731506849</v>
      </c>
      <c r="K51" s="112" t="str">
        <f>K17</f>
        <v xml:space="preserve">Callable subject to call provisions at redemption price  </v>
      </c>
      <c r="L51" s="133" t="s">
        <v>37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2.75" customHeight="1" x14ac:dyDescent="0.25">
      <c r="A52" s="14">
        <v>3</v>
      </c>
      <c r="B52" s="21" t="s">
        <v>16</v>
      </c>
      <c r="C52" s="21" t="s">
        <v>17</v>
      </c>
      <c r="D52" s="22" t="s">
        <v>18</v>
      </c>
      <c r="E52" s="22" t="s">
        <v>19</v>
      </c>
      <c r="F52" s="23">
        <v>41408</v>
      </c>
      <c r="G52" s="21" t="s">
        <v>20</v>
      </c>
      <c r="H52" s="24">
        <f>107185000*(232/365)</f>
        <v>68128547.94520548</v>
      </c>
      <c r="I52" s="25">
        <v>3.9910000000000001E-2</v>
      </c>
      <c r="J52" s="26">
        <f t="shared" si="2"/>
        <v>2719010.3484931509</v>
      </c>
      <c r="K52" s="113"/>
      <c r="L52" s="110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6" x14ac:dyDescent="0.3">
      <c r="A53" s="14">
        <v>4</v>
      </c>
      <c r="B53" s="15" t="s">
        <v>16</v>
      </c>
      <c r="C53" s="15" t="s">
        <v>17</v>
      </c>
      <c r="D53" s="15" t="s">
        <v>18</v>
      </c>
      <c r="E53" s="15" t="s">
        <v>19</v>
      </c>
      <c r="F53" s="16">
        <v>42044</v>
      </c>
      <c r="G53" s="15" t="s">
        <v>23</v>
      </c>
      <c r="H53" s="17">
        <v>138667000</v>
      </c>
      <c r="I53" s="18">
        <v>2.724E-2</v>
      </c>
      <c r="J53" s="19">
        <f t="shared" si="2"/>
        <v>3777289.08</v>
      </c>
      <c r="K53" s="96" t="str">
        <f>$K$18</f>
        <v xml:space="preserve">Callable subject to call provisions at redemption price  </v>
      </c>
      <c r="L53" s="123" t="s">
        <v>24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6" x14ac:dyDescent="0.3">
      <c r="A54" s="14">
        <v>5</v>
      </c>
      <c r="B54" s="15" t="s">
        <v>16</v>
      </c>
      <c r="C54" s="15" t="s">
        <v>17</v>
      </c>
      <c r="D54" s="15" t="s">
        <v>18</v>
      </c>
      <c r="E54" s="15" t="s">
        <v>19</v>
      </c>
      <c r="F54" s="16">
        <v>42044</v>
      </c>
      <c r="G54" s="15" t="s">
        <v>20</v>
      </c>
      <c r="H54" s="17">
        <v>121333000</v>
      </c>
      <c r="I54" s="18">
        <v>3.7690000000000001E-2</v>
      </c>
      <c r="J54" s="19">
        <f t="shared" si="2"/>
        <v>4573040.7700000005</v>
      </c>
      <c r="K54" s="94" t="str">
        <f>$K$19</f>
        <v xml:space="preserve">Callable subject to call provisions at redemption price  </v>
      </c>
      <c r="L54" s="110"/>
      <c r="M54" s="1"/>
      <c r="N54" s="1"/>
      <c r="O54" s="1"/>
      <c r="P54" s="1"/>
      <c r="Q54" s="1"/>
      <c r="R54" s="2"/>
      <c r="S54" s="2"/>
      <c r="T54" s="2"/>
      <c r="U54" s="1"/>
      <c r="V54" s="1"/>
      <c r="W54" s="1"/>
      <c r="X54" s="1"/>
      <c r="Y54" s="1"/>
      <c r="Z54" s="1"/>
      <c r="AA54" s="1"/>
    </row>
    <row r="55" spans="1:27" ht="26" x14ac:dyDescent="0.3">
      <c r="A55" s="14">
        <v>6</v>
      </c>
      <c r="B55" s="21" t="s">
        <v>16</v>
      </c>
      <c r="C55" s="21" t="s">
        <v>17</v>
      </c>
      <c r="D55" s="22" t="s">
        <v>18</v>
      </c>
      <c r="E55" s="22" t="s">
        <v>19</v>
      </c>
      <c r="F55" s="28">
        <v>42180</v>
      </c>
      <c r="G55" s="21" t="s">
        <v>23</v>
      </c>
      <c r="H55" s="29">
        <v>15999000</v>
      </c>
      <c r="I55" s="25">
        <v>2.724E-2</v>
      </c>
      <c r="J55" s="26">
        <f t="shared" si="2"/>
        <v>435812.76</v>
      </c>
      <c r="K55" s="100" t="str">
        <f>$K$20</f>
        <v xml:space="preserve">Callable subject to call provisions at redemption price  </v>
      </c>
      <c r="L55" s="122" t="s">
        <v>38</v>
      </c>
      <c r="M55" s="1"/>
      <c r="N55" s="1"/>
      <c r="O55" s="1"/>
      <c r="P55" s="1"/>
      <c r="Q55" s="1"/>
      <c r="R55" s="2"/>
      <c r="S55" s="2"/>
      <c r="T55" s="2"/>
      <c r="U55" s="1"/>
      <c r="V55" s="1"/>
      <c r="W55" s="1"/>
      <c r="X55" s="1"/>
      <c r="Y55" s="1"/>
      <c r="Z55" s="1"/>
      <c r="AA55" s="1"/>
    </row>
    <row r="56" spans="1:27" ht="26" x14ac:dyDescent="0.3">
      <c r="A56" s="14">
        <v>7</v>
      </c>
      <c r="B56" s="21" t="s">
        <v>16</v>
      </c>
      <c r="C56" s="21" t="s">
        <v>17</v>
      </c>
      <c r="D56" s="22" t="s">
        <v>18</v>
      </c>
      <c r="E56" s="22" t="s">
        <v>19</v>
      </c>
      <c r="F56" s="28">
        <v>42180</v>
      </c>
      <c r="G56" s="21" t="s">
        <v>20</v>
      </c>
      <c r="H56" s="29">
        <v>14001000</v>
      </c>
      <c r="I56" s="25">
        <v>3.7690000000000001E-2</v>
      </c>
      <c r="J56" s="26">
        <f t="shared" si="2"/>
        <v>527697.69000000006</v>
      </c>
      <c r="K56" s="92" t="str">
        <f>$K$21</f>
        <v xml:space="preserve">Callable subject to call provisions at redemption price  </v>
      </c>
      <c r="L56" s="110"/>
      <c r="M56" s="1"/>
      <c r="N56" s="1"/>
      <c r="O56" s="1"/>
      <c r="P56" s="1"/>
      <c r="Q56" s="1"/>
      <c r="R56" s="2"/>
      <c r="S56" s="2"/>
      <c r="T56" s="2"/>
      <c r="U56" s="1"/>
      <c r="V56" s="1"/>
      <c r="W56" s="1"/>
      <c r="X56" s="1"/>
      <c r="Y56" s="1"/>
      <c r="Z56" s="1"/>
      <c r="AA56" s="1"/>
    </row>
    <row r="57" spans="1:27" ht="12.75" customHeight="1" x14ac:dyDescent="0.3">
      <c r="A57" s="14">
        <v>8</v>
      </c>
      <c r="B57" s="15" t="s">
        <v>26</v>
      </c>
      <c r="C57" s="15" t="s">
        <v>17</v>
      </c>
      <c r="D57" s="15" t="s">
        <v>18</v>
      </c>
      <c r="E57" s="15" t="s">
        <v>19</v>
      </c>
      <c r="F57" s="16">
        <v>42705</v>
      </c>
      <c r="G57" s="15" t="s">
        <v>27</v>
      </c>
      <c r="H57" s="17">
        <v>60000000</v>
      </c>
      <c r="I57" s="18">
        <v>3.7199999999999997E-2</v>
      </c>
      <c r="J57" s="19">
        <f t="shared" si="2"/>
        <v>2232000</v>
      </c>
      <c r="K57" s="101" t="str">
        <f>K22</f>
        <v>Callable subject to call provisions</v>
      </c>
      <c r="L57" s="46" t="s">
        <v>35</v>
      </c>
      <c r="M57" s="1"/>
      <c r="N57" s="1"/>
      <c r="O57" s="1"/>
      <c r="P57" s="1"/>
      <c r="Q57" s="1"/>
      <c r="R57" s="47"/>
      <c r="S57" s="47"/>
      <c r="T57" s="47"/>
      <c r="U57" s="1"/>
      <c r="V57" s="1"/>
      <c r="W57" s="1"/>
      <c r="X57" s="1"/>
      <c r="Y57" s="1"/>
      <c r="Z57" s="1"/>
      <c r="AA57" s="1"/>
    </row>
    <row r="58" spans="1:27" ht="12.75" customHeight="1" x14ac:dyDescent="0.3">
      <c r="A58" s="14">
        <v>9</v>
      </c>
      <c r="B58" s="21" t="s">
        <v>26</v>
      </c>
      <c r="C58" s="21" t="s">
        <v>17</v>
      </c>
      <c r="D58" s="22" t="s">
        <v>18</v>
      </c>
      <c r="E58" s="22" t="s">
        <v>19</v>
      </c>
      <c r="F58" s="23">
        <v>43040</v>
      </c>
      <c r="G58" s="21" t="s">
        <v>27</v>
      </c>
      <c r="H58" s="24">
        <v>60000000</v>
      </c>
      <c r="I58" s="25">
        <v>4.1200000000000001E-2</v>
      </c>
      <c r="J58" s="26">
        <f t="shared" si="2"/>
        <v>2472000</v>
      </c>
      <c r="K58" s="102" t="str">
        <f>K22</f>
        <v>Callable subject to call provisions</v>
      </c>
      <c r="L58" s="48" t="s">
        <v>35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2.75" customHeight="1" x14ac:dyDescent="0.3">
      <c r="A59" s="14">
        <v>10</v>
      </c>
      <c r="B59" s="15" t="s">
        <v>26</v>
      </c>
      <c r="C59" s="15" t="s">
        <v>17</v>
      </c>
      <c r="D59" s="15" t="s">
        <v>18</v>
      </c>
      <c r="E59" s="15" t="s">
        <v>19</v>
      </c>
      <c r="F59" s="16">
        <v>43439</v>
      </c>
      <c r="G59" s="15" t="s">
        <v>27</v>
      </c>
      <c r="H59" s="17">
        <f>30000000*(27/365)</f>
        <v>2219178.0821917807</v>
      </c>
      <c r="I59" s="18">
        <v>4.41E-2</v>
      </c>
      <c r="J59" s="19">
        <f t="shared" si="2"/>
        <v>97865.753424657523</v>
      </c>
      <c r="K59" s="101" t="str">
        <f>K22</f>
        <v>Callable subject to call provisions</v>
      </c>
      <c r="L59" s="49" t="s">
        <v>39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2.75" customHeight="1" thickBot="1" x14ac:dyDescent="0.3">
      <c r="A60" s="31"/>
      <c r="B60" s="32"/>
      <c r="C60" s="33"/>
      <c r="D60" s="33"/>
      <c r="E60" s="33"/>
      <c r="F60" s="32"/>
      <c r="G60" s="33"/>
      <c r="H60" s="33"/>
      <c r="I60" s="33"/>
      <c r="J60" s="32"/>
      <c r="K60" s="79"/>
      <c r="L60" s="3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2.75" customHeight="1" thickTop="1" thickBot="1" x14ac:dyDescent="0.3">
      <c r="A61" s="35" t="s">
        <v>29</v>
      </c>
      <c r="B61" s="36"/>
      <c r="C61" s="37"/>
      <c r="D61" s="37"/>
      <c r="E61" s="37"/>
      <c r="F61" s="36"/>
      <c r="G61" s="37"/>
      <c r="H61" s="38">
        <f>SUM(H50:H59)</f>
        <v>569404178.08219182</v>
      </c>
      <c r="I61" s="39">
        <f>IF(H61=0,"",J61/H61)</f>
        <v>3.6770393651811721E-2</v>
      </c>
      <c r="J61" s="40">
        <f>SUM(J50:J59)</f>
        <v>20937215.775068495</v>
      </c>
      <c r="K61" s="80"/>
      <c r="L61" s="4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2.75" customHeight="1" x14ac:dyDescent="0.25">
      <c r="A64" s="1"/>
      <c r="B64" s="1"/>
      <c r="C64" s="1"/>
      <c r="D64" s="7" t="s">
        <v>3</v>
      </c>
      <c r="E64" s="8">
        <v>2019</v>
      </c>
      <c r="F64" s="9" t="s">
        <v>40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2.75" customHeight="1" thickBo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2.75" customHeight="1" x14ac:dyDescent="0.25">
      <c r="A66" s="10" t="s">
        <v>5</v>
      </c>
      <c r="B66" s="11" t="s">
        <v>6</v>
      </c>
      <c r="C66" s="11" t="s">
        <v>7</v>
      </c>
      <c r="D66" s="12" t="s">
        <v>8</v>
      </c>
      <c r="E66" s="12" t="s">
        <v>9</v>
      </c>
      <c r="F66" s="11" t="s">
        <v>10</v>
      </c>
      <c r="G66" s="12" t="s">
        <v>11</v>
      </c>
      <c r="H66" s="12" t="s">
        <v>12</v>
      </c>
      <c r="I66" s="12" t="s">
        <v>13</v>
      </c>
      <c r="J66" s="12" t="s">
        <v>14</v>
      </c>
      <c r="K66" s="82" t="str">
        <f>K15</f>
        <v>Callable Provision (Yes / No)</v>
      </c>
      <c r="L66" s="13" t="s">
        <v>15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26" x14ac:dyDescent="0.3">
      <c r="A67" s="14">
        <v>1</v>
      </c>
      <c r="B67" s="15" t="s">
        <v>16</v>
      </c>
      <c r="C67" s="15" t="s">
        <v>17</v>
      </c>
      <c r="D67" s="15" t="s">
        <v>18</v>
      </c>
      <c r="E67" s="15" t="s">
        <v>19</v>
      </c>
      <c r="F67" s="16">
        <v>39071</v>
      </c>
      <c r="G67" s="15" t="s">
        <v>20</v>
      </c>
      <c r="H67" s="50">
        <v>50000000</v>
      </c>
      <c r="I67" s="18">
        <f>I50</f>
        <v>4.9680000000000002E-2</v>
      </c>
      <c r="J67" s="19">
        <f t="shared" ref="J67:J78" si="3">H67*I67</f>
        <v>2484000</v>
      </c>
      <c r="K67" s="89" t="str">
        <f>K16</f>
        <v xml:space="preserve">Callable subject to call provisions at redemption price  </v>
      </c>
      <c r="L67" s="20" t="s">
        <v>21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6" x14ac:dyDescent="0.3">
      <c r="A68" s="14">
        <v>2</v>
      </c>
      <c r="B68" s="21" t="s">
        <v>16</v>
      </c>
      <c r="C68" s="21" t="s">
        <v>17</v>
      </c>
      <c r="D68" s="22" t="s">
        <v>18</v>
      </c>
      <c r="E68" s="22" t="s">
        <v>19</v>
      </c>
      <c r="F68" s="23">
        <v>41408</v>
      </c>
      <c r="G68" s="21" t="s">
        <v>20</v>
      </c>
      <c r="H68" s="51">
        <v>107185000</v>
      </c>
      <c r="I68" s="25">
        <f t="shared" ref="I68:I72" si="4">I52</f>
        <v>3.9910000000000001E-2</v>
      </c>
      <c r="J68" s="26">
        <f t="shared" si="3"/>
        <v>4277753.3500000006</v>
      </c>
      <c r="K68" s="92" t="str">
        <f>K17</f>
        <v xml:space="preserve">Callable subject to call provisions at redemption price  </v>
      </c>
      <c r="L68" s="27" t="s">
        <v>41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26" x14ac:dyDescent="0.3">
      <c r="A69" s="14">
        <v>3</v>
      </c>
      <c r="B69" s="15" t="s">
        <v>16</v>
      </c>
      <c r="C69" s="15" t="s">
        <v>17</v>
      </c>
      <c r="D69" s="15" t="s">
        <v>18</v>
      </c>
      <c r="E69" s="15" t="s">
        <v>19</v>
      </c>
      <c r="F69" s="16">
        <v>42044</v>
      </c>
      <c r="G69" s="15" t="s">
        <v>23</v>
      </c>
      <c r="H69" s="50">
        <v>138667000</v>
      </c>
      <c r="I69" s="18">
        <f t="shared" si="4"/>
        <v>2.724E-2</v>
      </c>
      <c r="J69" s="19">
        <f t="shared" si="3"/>
        <v>3777289.08</v>
      </c>
      <c r="K69" s="96" t="str">
        <f>$K$18</f>
        <v xml:space="preserve">Callable subject to call provisions at redemption price  </v>
      </c>
      <c r="L69" s="123" t="s">
        <v>24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6" x14ac:dyDescent="0.3">
      <c r="A70" s="14">
        <v>4</v>
      </c>
      <c r="B70" s="15" t="s">
        <v>16</v>
      </c>
      <c r="C70" s="15" t="s">
        <v>17</v>
      </c>
      <c r="D70" s="15" t="s">
        <v>18</v>
      </c>
      <c r="E70" s="15" t="s">
        <v>19</v>
      </c>
      <c r="F70" s="16">
        <v>42044</v>
      </c>
      <c r="G70" s="15" t="s">
        <v>20</v>
      </c>
      <c r="H70" s="50">
        <v>121333000</v>
      </c>
      <c r="I70" s="18">
        <f t="shared" si="4"/>
        <v>3.7690000000000001E-2</v>
      </c>
      <c r="J70" s="19">
        <f t="shared" si="3"/>
        <v>4573040.7700000005</v>
      </c>
      <c r="K70" s="94" t="str">
        <f>$K$19</f>
        <v xml:space="preserve">Callable subject to call provisions at redemption price  </v>
      </c>
      <c r="L70" s="110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6" x14ac:dyDescent="0.3">
      <c r="A71" s="14">
        <v>5</v>
      </c>
      <c r="B71" s="21" t="s">
        <v>16</v>
      </c>
      <c r="C71" s="21" t="s">
        <v>17</v>
      </c>
      <c r="D71" s="22" t="s">
        <v>18</v>
      </c>
      <c r="E71" s="22" t="s">
        <v>19</v>
      </c>
      <c r="F71" s="28">
        <v>42180</v>
      </c>
      <c r="G71" s="21" t="s">
        <v>23</v>
      </c>
      <c r="H71" s="52">
        <v>15999000</v>
      </c>
      <c r="I71" s="25">
        <f t="shared" si="4"/>
        <v>2.724E-2</v>
      </c>
      <c r="J71" s="26">
        <f t="shared" si="3"/>
        <v>435812.76</v>
      </c>
      <c r="K71" s="100" t="str">
        <f>$K$20</f>
        <v xml:space="preserve">Callable subject to call provisions at redemption price  </v>
      </c>
      <c r="L71" s="122" t="str">
        <f>L55</f>
        <v>$30.0M, in aggregate, Promissory Notes (rate changes on June 26, 2020)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6" x14ac:dyDescent="0.3">
      <c r="A72" s="14">
        <v>6</v>
      </c>
      <c r="B72" s="21" t="s">
        <v>16</v>
      </c>
      <c r="C72" s="21" t="s">
        <v>17</v>
      </c>
      <c r="D72" s="22" t="s">
        <v>18</v>
      </c>
      <c r="E72" s="22" t="s">
        <v>19</v>
      </c>
      <c r="F72" s="28">
        <v>42180</v>
      </c>
      <c r="G72" s="21" t="s">
        <v>20</v>
      </c>
      <c r="H72" s="52">
        <v>14001000</v>
      </c>
      <c r="I72" s="25">
        <f t="shared" si="4"/>
        <v>3.7690000000000001E-2</v>
      </c>
      <c r="J72" s="26">
        <f t="shared" si="3"/>
        <v>527697.69000000006</v>
      </c>
      <c r="K72" s="92" t="str">
        <f>$K$21</f>
        <v xml:space="preserve">Callable subject to call provisions at redemption price  </v>
      </c>
      <c r="L72" s="110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 customHeight="1" x14ac:dyDescent="0.3">
      <c r="A73" s="14">
        <v>7</v>
      </c>
      <c r="B73" s="15" t="s">
        <v>26</v>
      </c>
      <c r="C73" s="15" t="s">
        <v>17</v>
      </c>
      <c r="D73" s="15" t="s">
        <v>18</v>
      </c>
      <c r="E73" s="15" t="s">
        <v>19</v>
      </c>
      <c r="F73" s="16">
        <v>42705</v>
      </c>
      <c r="G73" s="15" t="s">
        <v>27</v>
      </c>
      <c r="H73" s="50">
        <f t="shared" ref="H73:H74" si="5">60000000*(288/365)</f>
        <v>47342465.753424659</v>
      </c>
      <c r="I73" s="18">
        <v>3.7199999999999997E-2</v>
      </c>
      <c r="J73" s="19">
        <f t="shared" si="3"/>
        <v>1761139.7260273972</v>
      </c>
      <c r="K73" s="84" t="str">
        <f>K22</f>
        <v>Callable subject to call provisions</v>
      </c>
      <c r="L73" s="30" t="s">
        <v>42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 customHeight="1" x14ac:dyDescent="0.3">
      <c r="A74" s="14">
        <v>8</v>
      </c>
      <c r="B74" s="22" t="s">
        <v>26</v>
      </c>
      <c r="C74" s="22" t="s">
        <v>17</v>
      </c>
      <c r="D74" s="22" t="s">
        <v>18</v>
      </c>
      <c r="E74" s="22" t="s">
        <v>19</v>
      </c>
      <c r="F74" s="28">
        <v>43040</v>
      </c>
      <c r="G74" s="22" t="s">
        <v>27</v>
      </c>
      <c r="H74" s="52">
        <f t="shared" si="5"/>
        <v>47342465.753424659</v>
      </c>
      <c r="I74" s="53">
        <v>4.1200000000000001E-2</v>
      </c>
      <c r="J74" s="54">
        <f t="shared" si="3"/>
        <v>1950509.5890410959</v>
      </c>
      <c r="K74" s="103" t="str">
        <f>K22</f>
        <v>Callable subject to call provisions</v>
      </c>
      <c r="L74" s="55" t="s">
        <v>42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 customHeight="1" x14ac:dyDescent="0.3">
      <c r="A75" s="14">
        <v>9</v>
      </c>
      <c r="B75" s="15" t="s">
        <v>26</v>
      </c>
      <c r="C75" s="15" t="s">
        <v>17</v>
      </c>
      <c r="D75" s="15" t="s">
        <v>18</v>
      </c>
      <c r="E75" s="15" t="s">
        <v>19</v>
      </c>
      <c r="F75" s="16">
        <v>43439</v>
      </c>
      <c r="G75" s="15" t="s">
        <v>27</v>
      </c>
      <c r="H75" s="50">
        <f>30000000*(288/365)</f>
        <v>23671232.87671233</v>
      </c>
      <c r="I75" s="18">
        <f>4.41%</f>
        <v>4.41E-2</v>
      </c>
      <c r="J75" s="19">
        <f t="shared" si="3"/>
        <v>1043901.3698630137</v>
      </c>
      <c r="K75" s="84" t="str">
        <f>K22</f>
        <v>Callable subject to call provisions</v>
      </c>
      <c r="L75" s="56" t="s">
        <v>43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2.75" customHeight="1" x14ac:dyDescent="0.3">
      <c r="A76" s="14">
        <v>10</v>
      </c>
      <c r="B76" s="22" t="s">
        <v>26</v>
      </c>
      <c r="C76" s="22" t="s">
        <v>17</v>
      </c>
      <c r="D76" s="22" t="s">
        <v>18</v>
      </c>
      <c r="E76" s="22" t="s">
        <v>19</v>
      </c>
      <c r="F76" s="28">
        <v>43648</v>
      </c>
      <c r="G76" s="22" t="s">
        <v>27</v>
      </c>
      <c r="H76" s="57">
        <f>30000000*(106/365)</f>
        <v>8712328.7671232875</v>
      </c>
      <c r="I76" s="53">
        <f>3.55%</f>
        <v>3.5499999999999997E-2</v>
      </c>
      <c r="J76" s="54">
        <f t="shared" si="3"/>
        <v>309287.67123287666</v>
      </c>
      <c r="K76" s="103" t="str">
        <f>K22</f>
        <v>Callable subject to call provisions</v>
      </c>
      <c r="L76" s="55" t="s">
        <v>44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6" x14ac:dyDescent="0.3">
      <c r="A77" s="14">
        <v>11</v>
      </c>
      <c r="B77" s="15" t="s">
        <v>16</v>
      </c>
      <c r="C77" s="15" t="s">
        <v>17</v>
      </c>
      <c r="D77" s="15" t="s">
        <v>18</v>
      </c>
      <c r="E77" s="15" t="s">
        <v>19</v>
      </c>
      <c r="F77" s="58">
        <v>43754</v>
      </c>
      <c r="G77" s="15" t="s">
        <v>23</v>
      </c>
      <c r="H77" s="50">
        <f>250000000*0.35*(77/365)</f>
        <v>18458904.10958904</v>
      </c>
      <c r="I77" s="18">
        <v>2.6599999999999999E-2</v>
      </c>
      <c r="J77" s="19">
        <f t="shared" si="3"/>
        <v>491006.84931506845</v>
      </c>
      <c r="K77" s="94" t="str">
        <f>$K$19</f>
        <v xml:space="preserve">Callable subject to call provisions at redemption price  </v>
      </c>
      <c r="L77" s="123" t="s">
        <v>45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6" x14ac:dyDescent="0.3">
      <c r="A78" s="14">
        <v>12</v>
      </c>
      <c r="B78" s="15" t="s">
        <v>16</v>
      </c>
      <c r="C78" s="15" t="s">
        <v>17</v>
      </c>
      <c r="D78" s="15" t="s">
        <v>18</v>
      </c>
      <c r="E78" s="15" t="s">
        <v>19</v>
      </c>
      <c r="F78" s="58">
        <v>43754</v>
      </c>
      <c r="G78" s="15" t="s">
        <v>20</v>
      </c>
      <c r="H78" s="50">
        <f>250000000*0.65*(77/365)</f>
        <v>34280821.91780822</v>
      </c>
      <c r="I78" s="18">
        <v>3.2099999999999997E-2</v>
      </c>
      <c r="J78" s="19">
        <f t="shared" si="3"/>
        <v>1100414.3835616438</v>
      </c>
      <c r="K78" s="94" t="str">
        <f>$K$19</f>
        <v xml:space="preserve">Callable subject to call provisions at redemption price  </v>
      </c>
      <c r="L78" s="110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 customHeight="1" thickBot="1" x14ac:dyDescent="0.3">
      <c r="A79" s="31"/>
      <c r="B79" s="32"/>
      <c r="C79" s="33"/>
      <c r="D79" s="33"/>
      <c r="E79" s="33"/>
      <c r="F79" s="32"/>
      <c r="G79" s="33"/>
      <c r="H79" s="33"/>
      <c r="I79" s="33"/>
      <c r="J79" s="32"/>
      <c r="K79" s="79"/>
      <c r="L79" s="3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 customHeight="1" thickTop="1" thickBot="1" x14ac:dyDescent="0.3">
      <c r="A80" s="35" t="s">
        <v>29</v>
      </c>
      <c r="B80" s="36"/>
      <c r="C80" s="37"/>
      <c r="D80" s="37"/>
      <c r="E80" s="37"/>
      <c r="F80" s="36"/>
      <c r="G80" s="37"/>
      <c r="H80" s="38">
        <f>SUM(H67:H78)</f>
        <v>626993219.17808211</v>
      </c>
      <c r="I80" s="39">
        <f>IF(H80=0,"",J80/H80)</f>
        <v>3.6255341435494325E-2</v>
      </c>
      <c r="J80" s="40">
        <f>SUM(J67:J78)</f>
        <v>22731853.239041094</v>
      </c>
      <c r="K80" s="80"/>
      <c r="L80" s="4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 customHeight="1" x14ac:dyDescent="0.25">
      <c r="A82" s="1"/>
      <c r="B82" s="1"/>
      <c r="C82" s="1"/>
      <c r="D82" s="1"/>
      <c r="E82" s="1"/>
      <c r="F82" s="1"/>
      <c r="G82" s="9"/>
      <c r="H82" s="1"/>
      <c r="I82" s="59"/>
      <c r="J82" s="1"/>
      <c r="K82" s="1"/>
      <c r="L82" s="9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 customHeight="1" x14ac:dyDescent="0.25">
      <c r="A83" s="1"/>
      <c r="B83" s="1"/>
      <c r="C83" s="1"/>
      <c r="D83" s="7" t="s">
        <v>3</v>
      </c>
      <c r="E83" s="8">
        <v>2020</v>
      </c>
      <c r="F83" s="9" t="s">
        <v>40</v>
      </c>
      <c r="G83" s="1"/>
      <c r="H83" s="1"/>
      <c r="I83" s="59"/>
      <c r="J83" s="1"/>
      <c r="K83" s="1"/>
      <c r="L83" s="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 customHeight="1" thickBo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 customHeight="1" x14ac:dyDescent="0.25">
      <c r="A85" s="10" t="s">
        <v>5</v>
      </c>
      <c r="B85" s="11" t="s">
        <v>6</v>
      </c>
      <c r="C85" s="11" t="s">
        <v>7</v>
      </c>
      <c r="D85" s="12" t="s">
        <v>8</v>
      </c>
      <c r="E85" s="12" t="s">
        <v>9</v>
      </c>
      <c r="F85" s="11" t="s">
        <v>10</v>
      </c>
      <c r="G85" s="12" t="s">
        <v>11</v>
      </c>
      <c r="H85" s="12" t="s">
        <v>12</v>
      </c>
      <c r="I85" s="12" t="s">
        <v>13</v>
      </c>
      <c r="J85" s="12" t="s">
        <v>14</v>
      </c>
      <c r="K85" s="82" t="str">
        <f>K15</f>
        <v>Callable Provision (Yes / No)</v>
      </c>
      <c r="L85" s="13" t="s">
        <v>15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26" x14ac:dyDescent="0.3">
      <c r="A86" s="14">
        <v>1</v>
      </c>
      <c r="B86" s="15" t="s">
        <v>16</v>
      </c>
      <c r="C86" s="15" t="s">
        <v>17</v>
      </c>
      <c r="D86" s="15" t="s">
        <v>18</v>
      </c>
      <c r="E86" s="15" t="s">
        <v>19</v>
      </c>
      <c r="F86" s="16">
        <v>39071</v>
      </c>
      <c r="G86" s="15" t="s">
        <v>20</v>
      </c>
      <c r="H86" s="60">
        <v>50000000</v>
      </c>
      <c r="I86" s="18">
        <f>I50</f>
        <v>4.9680000000000002E-2</v>
      </c>
      <c r="J86" s="19">
        <f t="shared" ref="J86:J97" si="6">H86*I86</f>
        <v>2484000</v>
      </c>
      <c r="K86" s="89" t="str">
        <f>K16</f>
        <v xml:space="preserve">Callable subject to call provisions at redemption price  </v>
      </c>
      <c r="L86" s="20" t="s">
        <v>21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6" x14ac:dyDescent="0.3">
      <c r="A87" s="14">
        <v>2</v>
      </c>
      <c r="B87" s="21" t="s">
        <v>16</v>
      </c>
      <c r="C87" s="21" t="s">
        <v>17</v>
      </c>
      <c r="D87" s="22" t="s">
        <v>18</v>
      </c>
      <c r="E87" s="22" t="s">
        <v>19</v>
      </c>
      <c r="F87" s="23">
        <v>41408</v>
      </c>
      <c r="G87" s="21" t="s">
        <v>20</v>
      </c>
      <c r="H87" s="61">
        <v>107185000</v>
      </c>
      <c r="I87" s="25">
        <f>I52</f>
        <v>3.9910000000000001E-2</v>
      </c>
      <c r="J87" s="26">
        <f t="shared" si="6"/>
        <v>4277753.3500000006</v>
      </c>
      <c r="K87" s="95" t="str">
        <f>K17</f>
        <v xml:space="preserve">Callable subject to call provisions at redemption price  </v>
      </c>
      <c r="L87" s="27" t="s">
        <v>22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customHeight="1" x14ac:dyDescent="0.25">
      <c r="A88" s="14">
        <v>3</v>
      </c>
      <c r="B88" s="15" t="s">
        <v>16</v>
      </c>
      <c r="C88" s="15" t="s">
        <v>17</v>
      </c>
      <c r="D88" s="15" t="s">
        <v>18</v>
      </c>
      <c r="E88" s="15" t="s">
        <v>19</v>
      </c>
      <c r="F88" s="16">
        <v>42044</v>
      </c>
      <c r="G88" s="15" t="s">
        <v>23</v>
      </c>
      <c r="H88" s="60">
        <f>138667000*(34/366)</f>
        <v>12881633.879781421</v>
      </c>
      <c r="I88" s="18">
        <f>I55</f>
        <v>2.724E-2</v>
      </c>
      <c r="J88" s="78">
        <f t="shared" si="6"/>
        <v>350895.70688524592</v>
      </c>
      <c r="K88" s="114" t="str">
        <f>$K$18</f>
        <v xml:space="preserve">Callable subject to call provisions at redemption price  </v>
      </c>
      <c r="L88" s="129" t="s">
        <v>46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customHeight="1" x14ac:dyDescent="0.25">
      <c r="A89" s="14">
        <v>4</v>
      </c>
      <c r="B89" s="15" t="s">
        <v>16</v>
      </c>
      <c r="C89" s="15" t="s">
        <v>17</v>
      </c>
      <c r="D89" s="15" t="s">
        <v>18</v>
      </c>
      <c r="E89" s="15" t="s">
        <v>19</v>
      </c>
      <c r="F89" s="16">
        <v>42044</v>
      </c>
      <c r="G89" s="15" t="s">
        <v>23</v>
      </c>
      <c r="H89" s="60">
        <f>138667000*(331/366)</f>
        <v>125406494.53551912</v>
      </c>
      <c r="I89" s="18">
        <v>2.614E-2</v>
      </c>
      <c r="J89" s="78">
        <f t="shared" si="6"/>
        <v>3278125.7671584697</v>
      </c>
      <c r="K89" s="114"/>
      <c r="L89" s="130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customHeight="1" x14ac:dyDescent="0.25">
      <c r="A90" s="14">
        <v>5</v>
      </c>
      <c r="B90" s="15" t="s">
        <v>16</v>
      </c>
      <c r="C90" s="15" t="s">
        <v>17</v>
      </c>
      <c r="D90" s="15" t="s">
        <v>18</v>
      </c>
      <c r="E90" s="15" t="s">
        <v>19</v>
      </c>
      <c r="F90" s="16">
        <v>42044</v>
      </c>
      <c r="G90" s="15" t="s">
        <v>20</v>
      </c>
      <c r="H90" s="60">
        <f>121333000*(33/366)</f>
        <v>10939860.655737706</v>
      </c>
      <c r="I90" s="18">
        <f>I56</f>
        <v>3.7690000000000001E-2</v>
      </c>
      <c r="J90" s="19">
        <f t="shared" si="6"/>
        <v>412323.34811475413</v>
      </c>
      <c r="K90" s="115" t="str">
        <f>$K$19</f>
        <v xml:space="preserve">Callable subject to call provisions at redemption price  </v>
      </c>
      <c r="L90" s="13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customHeight="1" x14ac:dyDescent="0.25">
      <c r="A91" s="14">
        <v>6</v>
      </c>
      <c r="B91" s="15" t="s">
        <v>16</v>
      </c>
      <c r="C91" s="15" t="s">
        <v>17</v>
      </c>
      <c r="D91" s="15" t="s">
        <v>18</v>
      </c>
      <c r="E91" s="15" t="s">
        <v>19</v>
      </c>
      <c r="F91" s="16">
        <v>42044</v>
      </c>
      <c r="G91" s="15" t="s">
        <v>20</v>
      </c>
      <c r="H91" s="60">
        <f>121333000*(332/366)</f>
        <v>110061628.41530055</v>
      </c>
      <c r="I91" s="18">
        <v>3.6389999999999999E-2</v>
      </c>
      <c r="J91" s="19">
        <f t="shared" si="6"/>
        <v>4005142.658032787</v>
      </c>
      <c r="K91" s="115"/>
      <c r="L91" s="110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customHeight="1" x14ac:dyDescent="0.25">
      <c r="A92" s="14">
        <v>7</v>
      </c>
      <c r="B92" s="21" t="s">
        <v>16</v>
      </c>
      <c r="C92" s="21" t="s">
        <v>17</v>
      </c>
      <c r="D92" s="22" t="s">
        <v>18</v>
      </c>
      <c r="E92" s="22" t="s">
        <v>19</v>
      </c>
      <c r="F92" s="28">
        <v>42180</v>
      </c>
      <c r="G92" s="21" t="s">
        <v>23</v>
      </c>
      <c r="H92" s="62">
        <f>15999000*(176/366)</f>
        <v>7693508.1967213107</v>
      </c>
      <c r="I92" s="25">
        <f>2.724%</f>
        <v>2.724E-2</v>
      </c>
      <c r="J92" s="99">
        <f t="shared" si="6"/>
        <v>209571.1632786885</v>
      </c>
      <c r="K92" s="116" t="str">
        <f>$K$20</f>
        <v xml:space="preserve">Callable subject to call provisions at redemption price  </v>
      </c>
      <c r="L92" s="132" t="s">
        <v>47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customHeight="1" x14ac:dyDescent="0.25">
      <c r="A93" s="14">
        <v>8</v>
      </c>
      <c r="B93" s="21" t="s">
        <v>16</v>
      </c>
      <c r="C93" s="21" t="s">
        <v>17</v>
      </c>
      <c r="D93" s="22" t="s">
        <v>18</v>
      </c>
      <c r="E93" s="22" t="s">
        <v>19</v>
      </c>
      <c r="F93" s="28">
        <v>42180</v>
      </c>
      <c r="G93" s="21" t="s">
        <v>23</v>
      </c>
      <c r="H93" s="62">
        <f>15999000*(189/366)</f>
        <v>8261778.6885245908</v>
      </c>
      <c r="I93" s="25">
        <f>2.614%</f>
        <v>2.614E-2</v>
      </c>
      <c r="J93" s="99">
        <f t="shared" si="6"/>
        <v>215962.89491803281</v>
      </c>
      <c r="K93" s="116"/>
      <c r="L93" s="130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customHeight="1" x14ac:dyDescent="0.25">
      <c r="A94" s="14">
        <v>9</v>
      </c>
      <c r="B94" s="21" t="s">
        <v>16</v>
      </c>
      <c r="C94" s="21" t="s">
        <v>17</v>
      </c>
      <c r="D94" s="22" t="s">
        <v>18</v>
      </c>
      <c r="E94" s="22" t="s">
        <v>19</v>
      </c>
      <c r="F94" s="28">
        <v>42180</v>
      </c>
      <c r="G94" s="21" t="s">
        <v>20</v>
      </c>
      <c r="H94" s="62">
        <f>14001000*(176/366)</f>
        <v>6732721.3114754092</v>
      </c>
      <c r="I94" s="25">
        <v>3.7690000000000001E-2</v>
      </c>
      <c r="J94" s="26">
        <f t="shared" si="6"/>
        <v>253756.26622950818</v>
      </c>
      <c r="K94" s="117" t="str">
        <f>$K$21</f>
        <v xml:space="preserve">Callable subject to call provisions at redemption price  </v>
      </c>
      <c r="L94" s="13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customHeight="1" x14ac:dyDescent="0.25">
      <c r="A95" s="14">
        <v>10</v>
      </c>
      <c r="B95" s="21" t="s">
        <v>16</v>
      </c>
      <c r="C95" s="21" t="s">
        <v>17</v>
      </c>
      <c r="D95" s="22" t="s">
        <v>18</v>
      </c>
      <c r="E95" s="22" t="s">
        <v>19</v>
      </c>
      <c r="F95" s="28">
        <v>42180</v>
      </c>
      <c r="G95" s="21" t="s">
        <v>20</v>
      </c>
      <c r="H95" s="62">
        <f>14001000*(189/366)</f>
        <v>7230024.590163935</v>
      </c>
      <c r="I95" s="25">
        <f>3.639%</f>
        <v>3.6389999999999999E-2</v>
      </c>
      <c r="J95" s="26">
        <f t="shared" si="6"/>
        <v>263100.5948360656</v>
      </c>
      <c r="K95" s="113"/>
      <c r="L95" s="110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6" x14ac:dyDescent="0.3">
      <c r="A96" s="14">
        <v>11</v>
      </c>
      <c r="B96" s="15" t="s">
        <v>16</v>
      </c>
      <c r="C96" s="15" t="s">
        <v>17</v>
      </c>
      <c r="D96" s="15" t="s">
        <v>18</v>
      </c>
      <c r="E96" s="15" t="s">
        <v>19</v>
      </c>
      <c r="F96" s="58">
        <v>43754</v>
      </c>
      <c r="G96" s="15" t="s">
        <v>23</v>
      </c>
      <c r="H96" s="60">
        <f>250000000*0.35</f>
        <v>87500000</v>
      </c>
      <c r="I96" s="18">
        <f t="shared" ref="I96:I97" si="7">I77</f>
        <v>2.6599999999999999E-2</v>
      </c>
      <c r="J96" s="19">
        <f t="shared" si="6"/>
        <v>2327500</v>
      </c>
      <c r="K96" s="94" t="str">
        <f>$K$19</f>
        <v xml:space="preserve">Callable subject to call provisions at redemption price  </v>
      </c>
      <c r="L96" s="123" t="s">
        <v>48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26" x14ac:dyDescent="0.3">
      <c r="A97" s="14">
        <v>12</v>
      </c>
      <c r="B97" s="15" t="s">
        <v>16</v>
      </c>
      <c r="C97" s="15" t="s">
        <v>17</v>
      </c>
      <c r="D97" s="15" t="s">
        <v>18</v>
      </c>
      <c r="E97" s="15" t="s">
        <v>19</v>
      </c>
      <c r="F97" s="58">
        <v>43754</v>
      </c>
      <c r="G97" s="15" t="s">
        <v>20</v>
      </c>
      <c r="H97" s="60">
        <f>250000000*0.65</f>
        <v>162500000</v>
      </c>
      <c r="I97" s="18">
        <f t="shared" si="7"/>
        <v>3.2099999999999997E-2</v>
      </c>
      <c r="J97" s="19">
        <f t="shared" si="6"/>
        <v>5216249.9999999991</v>
      </c>
      <c r="K97" s="94" t="str">
        <f>$K$19</f>
        <v xml:space="preserve">Callable subject to call provisions at redemption price  </v>
      </c>
      <c r="L97" s="110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customHeight="1" thickBot="1" x14ac:dyDescent="0.3">
      <c r="A98" s="31"/>
      <c r="B98" s="32"/>
      <c r="C98" s="33"/>
      <c r="D98" s="33"/>
      <c r="E98" s="33"/>
      <c r="F98" s="32"/>
      <c r="G98" s="33"/>
      <c r="H98" s="33"/>
      <c r="I98" s="63"/>
      <c r="J98" s="32"/>
      <c r="K98" s="79"/>
      <c r="L98" s="3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customHeight="1" thickTop="1" thickBot="1" x14ac:dyDescent="0.3">
      <c r="A99" s="35" t="s">
        <v>29</v>
      </c>
      <c r="B99" s="36"/>
      <c r="C99" s="37"/>
      <c r="D99" s="37"/>
      <c r="E99" s="37"/>
      <c r="F99" s="36"/>
      <c r="G99" s="37"/>
      <c r="H99" s="38">
        <f>SUM(H86:H97)</f>
        <v>696392650.27322412</v>
      </c>
      <c r="I99" s="39">
        <f>IF(H99=0,"",J99/H99)</f>
        <v>3.3450068349104758E-2</v>
      </c>
      <c r="J99" s="40">
        <f>SUM(J86:J97)</f>
        <v>23294381.749453552</v>
      </c>
      <c r="K99" s="80"/>
      <c r="L99" s="4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 x14ac:dyDescent="0.25">
      <c r="A102" s="1"/>
      <c r="B102" s="1"/>
      <c r="C102" s="1"/>
      <c r="D102" s="7" t="s">
        <v>3</v>
      </c>
      <c r="E102" s="8">
        <v>2021</v>
      </c>
      <c r="F102" s="9" t="s">
        <v>49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 thickBo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 x14ac:dyDescent="0.25">
      <c r="A104" s="10" t="s">
        <v>5</v>
      </c>
      <c r="B104" s="11" t="s">
        <v>6</v>
      </c>
      <c r="C104" s="11" t="s">
        <v>7</v>
      </c>
      <c r="D104" s="12" t="s">
        <v>8</v>
      </c>
      <c r="E104" s="12" t="s">
        <v>9</v>
      </c>
      <c r="F104" s="11" t="s">
        <v>10</v>
      </c>
      <c r="G104" s="12" t="s">
        <v>11</v>
      </c>
      <c r="H104" s="12" t="s">
        <v>12</v>
      </c>
      <c r="I104" s="12" t="s">
        <v>13</v>
      </c>
      <c r="J104" s="12" t="s">
        <v>14</v>
      </c>
      <c r="K104" s="82" t="str">
        <f>K15</f>
        <v>Callable Provision (Yes / No)</v>
      </c>
      <c r="L104" s="13" t="s">
        <v>15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6" x14ac:dyDescent="0.3">
      <c r="A105" s="14">
        <v>1</v>
      </c>
      <c r="B105" s="15" t="s">
        <v>16</v>
      </c>
      <c r="C105" s="15" t="s">
        <v>17</v>
      </c>
      <c r="D105" s="15" t="s">
        <v>18</v>
      </c>
      <c r="E105" s="15" t="s">
        <v>19</v>
      </c>
      <c r="F105" s="16">
        <v>39071</v>
      </c>
      <c r="G105" s="15" t="s">
        <v>20</v>
      </c>
      <c r="H105" s="50">
        <v>50000000</v>
      </c>
      <c r="I105" s="18">
        <f>I50</f>
        <v>4.9680000000000002E-2</v>
      </c>
      <c r="J105" s="19">
        <f t="shared" ref="J105:J114" si="8">H105*I105</f>
        <v>2484000</v>
      </c>
      <c r="K105" s="90" t="str">
        <f>K16</f>
        <v xml:space="preserve">Callable subject to call provisions at redemption price  </v>
      </c>
      <c r="L105" s="45" t="s">
        <v>21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6" x14ac:dyDescent="0.3">
      <c r="A106" s="14">
        <v>2</v>
      </c>
      <c r="B106" s="21" t="s">
        <v>16</v>
      </c>
      <c r="C106" s="21" t="s">
        <v>17</v>
      </c>
      <c r="D106" s="22" t="s">
        <v>18</v>
      </c>
      <c r="E106" s="22" t="s">
        <v>19</v>
      </c>
      <c r="F106" s="23">
        <v>41408</v>
      </c>
      <c r="G106" s="21" t="s">
        <v>20</v>
      </c>
      <c r="H106" s="51">
        <v>107185000</v>
      </c>
      <c r="I106" s="25">
        <f>I52</f>
        <v>3.9910000000000001E-2</v>
      </c>
      <c r="J106" s="26">
        <f t="shared" si="8"/>
        <v>4277753.3500000006</v>
      </c>
      <c r="K106" s="92" t="str">
        <f>K17</f>
        <v xml:space="preserve">Callable subject to call provisions at redemption price  </v>
      </c>
      <c r="L106" s="27" t="s">
        <v>22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6" x14ac:dyDescent="0.3">
      <c r="A107" s="14">
        <v>3</v>
      </c>
      <c r="B107" s="15" t="s">
        <v>16</v>
      </c>
      <c r="C107" s="15" t="s">
        <v>17</v>
      </c>
      <c r="D107" s="15" t="s">
        <v>18</v>
      </c>
      <c r="E107" s="15" t="s">
        <v>19</v>
      </c>
      <c r="F107" s="16">
        <v>42044</v>
      </c>
      <c r="G107" s="15" t="s">
        <v>23</v>
      </c>
      <c r="H107" s="50">
        <v>138667000</v>
      </c>
      <c r="I107" s="18">
        <f>I89</f>
        <v>2.614E-2</v>
      </c>
      <c r="J107" s="19">
        <f t="shared" si="8"/>
        <v>3624755.38</v>
      </c>
      <c r="K107" s="96" t="str">
        <f>$K$18</f>
        <v xml:space="preserve">Callable subject to call provisions at redemption price  </v>
      </c>
      <c r="L107" s="123" t="s">
        <v>24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6" x14ac:dyDescent="0.3">
      <c r="A108" s="14">
        <v>4</v>
      </c>
      <c r="B108" s="15" t="s">
        <v>16</v>
      </c>
      <c r="C108" s="15" t="s">
        <v>17</v>
      </c>
      <c r="D108" s="15" t="s">
        <v>18</v>
      </c>
      <c r="E108" s="15" t="s">
        <v>19</v>
      </c>
      <c r="F108" s="16">
        <v>42044</v>
      </c>
      <c r="G108" s="15" t="s">
        <v>20</v>
      </c>
      <c r="H108" s="50">
        <v>121333000</v>
      </c>
      <c r="I108" s="18">
        <f>I91</f>
        <v>3.6389999999999999E-2</v>
      </c>
      <c r="J108" s="19">
        <f t="shared" si="8"/>
        <v>4415307.87</v>
      </c>
      <c r="K108" s="94" t="str">
        <f>$K$19</f>
        <v xml:space="preserve">Callable subject to call provisions at redemption price  </v>
      </c>
      <c r="L108" s="110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6" x14ac:dyDescent="0.3">
      <c r="A109" s="14">
        <v>5</v>
      </c>
      <c r="B109" s="21" t="s">
        <v>16</v>
      </c>
      <c r="C109" s="21" t="s">
        <v>17</v>
      </c>
      <c r="D109" s="22" t="s">
        <v>18</v>
      </c>
      <c r="E109" s="22" t="s">
        <v>19</v>
      </c>
      <c r="F109" s="28">
        <v>42180</v>
      </c>
      <c r="G109" s="21" t="s">
        <v>23</v>
      </c>
      <c r="H109" s="52">
        <v>15999000</v>
      </c>
      <c r="I109" s="25">
        <f>I93</f>
        <v>2.614E-2</v>
      </c>
      <c r="J109" s="26">
        <f t="shared" si="8"/>
        <v>418213.86</v>
      </c>
      <c r="K109" s="100" t="str">
        <f>$K$20</f>
        <v xml:space="preserve">Callable subject to call provisions at redemption price  </v>
      </c>
      <c r="L109" s="122" t="s">
        <v>50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6" x14ac:dyDescent="0.3">
      <c r="A110" s="14">
        <v>6</v>
      </c>
      <c r="B110" s="21" t="s">
        <v>16</v>
      </c>
      <c r="C110" s="21" t="s">
        <v>17</v>
      </c>
      <c r="D110" s="22" t="s">
        <v>18</v>
      </c>
      <c r="E110" s="22" t="s">
        <v>19</v>
      </c>
      <c r="F110" s="28">
        <v>42180</v>
      </c>
      <c r="G110" s="21" t="s">
        <v>20</v>
      </c>
      <c r="H110" s="52">
        <v>14001000</v>
      </c>
      <c r="I110" s="25">
        <f>I95</f>
        <v>3.6389999999999999E-2</v>
      </c>
      <c r="J110" s="26">
        <f t="shared" si="8"/>
        <v>509496.38999999996</v>
      </c>
      <c r="K110" s="92" t="str">
        <f>$K$21</f>
        <v xml:space="preserve">Callable subject to call provisions at redemption price  </v>
      </c>
      <c r="L110" s="110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6" x14ac:dyDescent="0.3">
      <c r="A111" s="14">
        <v>7</v>
      </c>
      <c r="B111" s="15" t="s">
        <v>16</v>
      </c>
      <c r="C111" s="15" t="s">
        <v>17</v>
      </c>
      <c r="D111" s="15" t="s">
        <v>18</v>
      </c>
      <c r="E111" s="15" t="s">
        <v>19</v>
      </c>
      <c r="F111" s="16">
        <f t="shared" ref="F111:F112" si="9">F96</f>
        <v>43754</v>
      </c>
      <c r="G111" s="15" t="s">
        <v>23</v>
      </c>
      <c r="H111" s="50">
        <f t="shared" ref="H111:H112" si="10">H96</f>
        <v>87500000</v>
      </c>
      <c r="I111" s="18">
        <f t="shared" ref="I111:I112" si="11">I77</f>
        <v>2.6599999999999999E-2</v>
      </c>
      <c r="J111" s="19">
        <f t="shared" si="8"/>
        <v>2327500</v>
      </c>
      <c r="K111" s="94" t="str">
        <f>$K$19</f>
        <v xml:space="preserve">Callable subject to call provisions at redemption price  </v>
      </c>
      <c r="L111" s="125" t="str">
        <f>L96</f>
        <v>$250.0M, in aggregate, Promissory Notes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26" x14ac:dyDescent="0.3">
      <c r="A112" s="14">
        <v>8</v>
      </c>
      <c r="B112" s="15" t="s">
        <v>16</v>
      </c>
      <c r="C112" s="15" t="s">
        <v>17</v>
      </c>
      <c r="D112" s="15" t="s">
        <v>18</v>
      </c>
      <c r="E112" s="15" t="s">
        <v>19</v>
      </c>
      <c r="F112" s="16">
        <f t="shared" si="9"/>
        <v>43754</v>
      </c>
      <c r="G112" s="15" t="s">
        <v>20</v>
      </c>
      <c r="H112" s="50">
        <f t="shared" si="10"/>
        <v>162500000</v>
      </c>
      <c r="I112" s="18">
        <f t="shared" si="11"/>
        <v>3.2099999999999997E-2</v>
      </c>
      <c r="J112" s="19">
        <f t="shared" si="8"/>
        <v>5216249.9999999991</v>
      </c>
      <c r="K112" s="94" t="str">
        <f>$K$19</f>
        <v xml:space="preserve">Callable subject to call provisions at redemption price  </v>
      </c>
      <c r="L112" s="126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26" x14ac:dyDescent="0.3">
      <c r="A113" s="14">
        <v>9</v>
      </c>
      <c r="B113" s="22" t="s">
        <v>16</v>
      </c>
      <c r="C113" s="22" t="s">
        <v>17</v>
      </c>
      <c r="D113" s="22" t="s">
        <v>18</v>
      </c>
      <c r="E113" s="22" t="s">
        <v>19</v>
      </c>
      <c r="F113" s="28">
        <v>44378</v>
      </c>
      <c r="G113" s="22" t="s">
        <v>23</v>
      </c>
      <c r="H113" s="52">
        <f>80000000*0.35*(184/365)</f>
        <v>14115068.493150687</v>
      </c>
      <c r="I113" s="53">
        <v>3.0700000000000002E-2</v>
      </c>
      <c r="J113" s="54">
        <f t="shared" si="8"/>
        <v>433332.60273972614</v>
      </c>
      <c r="K113" s="106" t="s">
        <v>65</v>
      </c>
      <c r="L113" s="128" t="s">
        <v>51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26" x14ac:dyDescent="0.3">
      <c r="A114" s="14">
        <v>10</v>
      </c>
      <c r="B114" s="22" t="s">
        <v>16</v>
      </c>
      <c r="C114" s="22" t="s">
        <v>17</v>
      </c>
      <c r="D114" s="22" t="s">
        <v>18</v>
      </c>
      <c r="E114" s="22" t="s">
        <v>19</v>
      </c>
      <c r="F114" s="28">
        <v>44378</v>
      </c>
      <c r="G114" s="22" t="s">
        <v>20</v>
      </c>
      <c r="H114" s="52">
        <f>80000000*0.65*(184/365)</f>
        <v>26213698.630136989</v>
      </c>
      <c r="I114" s="53">
        <v>3.8699999999999998E-2</v>
      </c>
      <c r="J114" s="54">
        <f t="shared" si="8"/>
        <v>1014470.1369863014</v>
      </c>
      <c r="K114" s="106" t="s">
        <v>65</v>
      </c>
      <c r="L114" s="110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thickBot="1" x14ac:dyDescent="0.3">
      <c r="A115" s="31"/>
      <c r="B115" s="32"/>
      <c r="C115" s="33"/>
      <c r="D115" s="33"/>
      <c r="E115" s="33"/>
      <c r="F115" s="32"/>
      <c r="G115" s="33"/>
      <c r="H115" s="33"/>
      <c r="I115" s="33"/>
      <c r="J115" s="32"/>
      <c r="K115" s="79"/>
      <c r="L115" s="3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thickTop="1" thickBot="1" x14ac:dyDescent="0.3">
      <c r="A116" s="35" t="s">
        <v>29</v>
      </c>
      <c r="B116" s="36"/>
      <c r="C116" s="37"/>
      <c r="D116" s="37"/>
      <c r="E116" s="37"/>
      <c r="F116" s="36"/>
      <c r="G116" s="37"/>
      <c r="H116" s="38">
        <f>SUM(H105:H114)</f>
        <v>737513767.12328768</v>
      </c>
      <c r="I116" s="39">
        <f>IF(H116=0,"",J116/H116)</f>
        <v>3.3519482200518008E-2</v>
      </c>
      <c r="J116" s="40">
        <f>SUM(J105:J114)</f>
        <v>24721079.589726027</v>
      </c>
      <c r="K116" s="80"/>
      <c r="L116" s="4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5">
      <c r="A119" s="1"/>
      <c r="B119" s="1"/>
      <c r="C119" s="1"/>
      <c r="D119" s="7" t="s">
        <v>3</v>
      </c>
      <c r="E119" s="8">
        <v>2022</v>
      </c>
      <c r="F119" s="9" t="s">
        <v>49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thickBo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5">
      <c r="A121" s="10" t="s">
        <v>5</v>
      </c>
      <c r="B121" s="11" t="s">
        <v>6</v>
      </c>
      <c r="C121" s="11" t="s">
        <v>7</v>
      </c>
      <c r="D121" s="12" t="s">
        <v>8</v>
      </c>
      <c r="E121" s="12" t="s">
        <v>9</v>
      </c>
      <c r="F121" s="11" t="s">
        <v>10</v>
      </c>
      <c r="G121" s="12" t="s">
        <v>11</v>
      </c>
      <c r="H121" s="12" t="s">
        <v>12</v>
      </c>
      <c r="I121" s="12" t="s">
        <v>13</v>
      </c>
      <c r="J121" s="12" t="s">
        <v>14</v>
      </c>
      <c r="K121" s="82" t="str">
        <f>K15</f>
        <v>Callable Provision (Yes / No)</v>
      </c>
      <c r="L121" s="13" t="s">
        <v>15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6" x14ac:dyDescent="0.3">
      <c r="A122" s="14">
        <v>1</v>
      </c>
      <c r="B122" s="15" t="s">
        <v>16</v>
      </c>
      <c r="C122" s="15" t="s">
        <v>17</v>
      </c>
      <c r="D122" s="15" t="s">
        <v>18</v>
      </c>
      <c r="E122" s="15" t="s">
        <v>19</v>
      </c>
      <c r="F122" s="16">
        <v>39071</v>
      </c>
      <c r="G122" s="15" t="s">
        <v>20</v>
      </c>
      <c r="H122" s="50">
        <v>50000000</v>
      </c>
      <c r="I122" s="18">
        <f>I50</f>
        <v>4.9680000000000002E-2</v>
      </c>
      <c r="J122" s="19">
        <f t="shared" ref="J122:J131" si="12">H122*I122</f>
        <v>2484000</v>
      </c>
      <c r="K122" s="90" t="str">
        <f>K16</f>
        <v xml:space="preserve">Callable subject to call provisions at redemption price  </v>
      </c>
      <c r="L122" s="45" t="s">
        <v>21</v>
      </c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26" x14ac:dyDescent="0.3">
      <c r="A123" s="14">
        <v>2</v>
      </c>
      <c r="B123" s="21" t="s">
        <v>16</v>
      </c>
      <c r="C123" s="21" t="s">
        <v>17</v>
      </c>
      <c r="D123" s="22" t="s">
        <v>18</v>
      </c>
      <c r="E123" s="22" t="s">
        <v>19</v>
      </c>
      <c r="F123" s="23">
        <v>41408</v>
      </c>
      <c r="G123" s="21" t="s">
        <v>20</v>
      </c>
      <c r="H123" s="51">
        <v>107185000</v>
      </c>
      <c r="I123" s="25">
        <f>I52</f>
        <v>3.9910000000000001E-2</v>
      </c>
      <c r="J123" s="26">
        <f t="shared" si="12"/>
        <v>4277753.3500000006</v>
      </c>
      <c r="K123" s="92" t="str">
        <f>K17</f>
        <v xml:space="preserve">Callable subject to call provisions at redemption price  </v>
      </c>
      <c r="L123" s="27" t="s">
        <v>22</v>
      </c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26" x14ac:dyDescent="0.3">
      <c r="A124" s="14">
        <v>3</v>
      </c>
      <c r="B124" s="15" t="s">
        <v>16</v>
      </c>
      <c r="C124" s="15" t="s">
        <v>17</v>
      </c>
      <c r="D124" s="15" t="s">
        <v>18</v>
      </c>
      <c r="E124" s="15" t="s">
        <v>19</v>
      </c>
      <c r="F124" s="16">
        <v>42044</v>
      </c>
      <c r="G124" s="15" t="s">
        <v>23</v>
      </c>
      <c r="H124" s="50">
        <v>138667000</v>
      </c>
      <c r="I124" s="18">
        <f>I89</f>
        <v>2.614E-2</v>
      </c>
      <c r="J124" s="19">
        <f t="shared" si="12"/>
        <v>3624755.38</v>
      </c>
      <c r="K124" s="96" t="str">
        <f>$K$18</f>
        <v xml:space="preserve">Callable subject to call provisions at redemption price  </v>
      </c>
      <c r="L124" s="123" t="s">
        <v>24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6" x14ac:dyDescent="0.3">
      <c r="A125" s="14">
        <v>4</v>
      </c>
      <c r="B125" s="15" t="s">
        <v>16</v>
      </c>
      <c r="C125" s="15" t="s">
        <v>17</v>
      </c>
      <c r="D125" s="15" t="s">
        <v>18</v>
      </c>
      <c r="E125" s="15" t="s">
        <v>19</v>
      </c>
      <c r="F125" s="16">
        <v>42044</v>
      </c>
      <c r="G125" s="15" t="s">
        <v>20</v>
      </c>
      <c r="H125" s="50">
        <v>121333000</v>
      </c>
      <c r="I125" s="18">
        <f>I91</f>
        <v>3.6389999999999999E-2</v>
      </c>
      <c r="J125" s="19">
        <f t="shared" si="12"/>
        <v>4415307.87</v>
      </c>
      <c r="K125" s="94" t="str">
        <f>$K$19</f>
        <v xml:space="preserve">Callable subject to call provisions at redemption price  </v>
      </c>
      <c r="L125" s="110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6" x14ac:dyDescent="0.3">
      <c r="A126" s="14">
        <v>5</v>
      </c>
      <c r="B126" s="21" t="s">
        <v>16</v>
      </c>
      <c r="C126" s="21" t="s">
        <v>17</v>
      </c>
      <c r="D126" s="22" t="s">
        <v>18</v>
      </c>
      <c r="E126" s="22" t="s">
        <v>19</v>
      </c>
      <c r="F126" s="28">
        <v>42180</v>
      </c>
      <c r="G126" s="21" t="s">
        <v>23</v>
      </c>
      <c r="H126" s="52">
        <v>15999000</v>
      </c>
      <c r="I126" s="25">
        <f>2.614%</f>
        <v>2.614E-2</v>
      </c>
      <c r="J126" s="26">
        <f t="shared" si="12"/>
        <v>418213.86</v>
      </c>
      <c r="K126" s="100" t="str">
        <f>$K$20</f>
        <v xml:space="preserve">Callable subject to call provisions at redemption price  </v>
      </c>
      <c r="L126" s="122" t="s">
        <v>50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26" x14ac:dyDescent="0.3">
      <c r="A127" s="14">
        <v>6</v>
      </c>
      <c r="B127" s="21" t="s">
        <v>16</v>
      </c>
      <c r="C127" s="21" t="s">
        <v>17</v>
      </c>
      <c r="D127" s="22" t="s">
        <v>18</v>
      </c>
      <c r="E127" s="22" t="s">
        <v>19</v>
      </c>
      <c r="F127" s="28">
        <v>42180</v>
      </c>
      <c r="G127" s="21" t="s">
        <v>20</v>
      </c>
      <c r="H127" s="52">
        <v>14001000</v>
      </c>
      <c r="I127" s="25">
        <f>3.639%</f>
        <v>3.6389999999999999E-2</v>
      </c>
      <c r="J127" s="26">
        <f t="shared" si="12"/>
        <v>509496.38999999996</v>
      </c>
      <c r="K127" s="92" t="str">
        <f>$K$21</f>
        <v xml:space="preserve">Callable subject to call provisions at redemption price  </v>
      </c>
      <c r="L127" s="110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26" x14ac:dyDescent="0.3">
      <c r="A128" s="14">
        <v>7</v>
      </c>
      <c r="B128" s="15" t="s">
        <v>16</v>
      </c>
      <c r="C128" s="15" t="s">
        <v>17</v>
      </c>
      <c r="D128" s="15" t="s">
        <v>18</v>
      </c>
      <c r="E128" s="15" t="s">
        <v>19</v>
      </c>
      <c r="F128" s="16">
        <f t="shared" ref="F128:F129" si="13">F111</f>
        <v>43754</v>
      </c>
      <c r="G128" s="15" t="s">
        <v>23</v>
      </c>
      <c r="H128" s="50">
        <f t="shared" ref="H128:H129" si="14">H111</f>
        <v>87500000</v>
      </c>
      <c r="I128" s="18">
        <f t="shared" ref="I128:I129" si="15">I77</f>
        <v>2.6599999999999999E-2</v>
      </c>
      <c r="J128" s="19">
        <f t="shared" si="12"/>
        <v>2327500</v>
      </c>
      <c r="K128" s="94" t="str">
        <f>$K$19</f>
        <v xml:space="preserve">Callable subject to call provisions at redemption price  </v>
      </c>
      <c r="L128" s="125" t="str">
        <f>L111</f>
        <v>$250.0M, in aggregate, Promissory Notes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26" x14ac:dyDescent="0.3">
      <c r="A129" s="14">
        <v>8</v>
      </c>
      <c r="B129" s="15" t="s">
        <v>16</v>
      </c>
      <c r="C129" s="15" t="s">
        <v>17</v>
      </c>
      <c r="D129" s="15" t="s">
        <v>18</v>
      </c>
      <c r="E129" s="15" t="s">
        <v>19</v>
      </c>
      <c r="F129" s="16">
        <f t="shared" si="13"/>
        <v>43754</v>
      </c>
      <c r="G129" s="15" t="s">
        <v>20</v>
      </c>
      <c r="H129" s="50">
        <f t="shared" si="14"/>
        <v>162500000</v>
      </c>
      <c r="I129" s="18">
        <f t="shared" si="15"/>
        <v>3.2099999999999997E-2</v>
      </c>
      <c r="J129" s="19">
        <f t="shared" si="12"/>
        <v>5216249.9999999991</v>
      </c>
      <c r="K129" s="94" t="str">
        <f>$K$19</f>
        <v xml:space="preserve">Callable subject to call provisions at redemption price  </v>
      </c>
      <c r="L129" s="126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26" x14ac:dyDescent="0.3">
      <c r="A130" s="14">
        <v>9</v>
      </c>
      <c r="B130" s="22" t="s">
        <v>16</v>
      </c>
      <c r="C130" s="22" t="s">
        <v>17</v>
      </c>
      <c r="D130" s="22" t="s">
        <v>18</v>
      </c>
      <c r="E130" s="22" t="s">
        <v>19</v>
      </c>
      <c r="F130" s="28">
        <v>44378</v>
      </c>
      <c r="G130" s="22" t="s">
        <v>23</v>
      </c>
      <c r="H130" s="52">
        <v>28000000</v>
      </c>
      <c r="I130" s="53">
        <f t="shared" ref="I130:I131" si="16">I113</f>
        <v>3.0700000000000002E-2</v>
      </c>
      <c r="J130" s="54">
        <f t="shared" si="12"/>
        <v>859600</v>
      </c>
      <c r="K130" s="106" t="s">
        <v>65</v>
      </c>
      <c r="L130" s="127" t="s">
        <v>52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26" x14ac:dyDescent="0.3">
      <c r="A131" s="14">
        <v>10</v>
      </c>
      <c r="B131" s="22" t="s">
        <v>16</v>
      </c>
      <c r="C131" s="22" t="s">
        <v>17</v>
      </c>
      <c r="D131" s="22" t="s">
        <v>18</v>
      </c>
      <c r="E131" s="22" t="s">
        <v>19</v>
      </c>
      <c r="F131" s="28">
        <v>44378</v>
      </c>
      <c r="G131" s="22" t="s">
        <v>20</v>
      </c>
      <c r="H131" s="52">
        <v>52000000</v>
      </c>
      <c r="I131" s="53">
        <f t="shared" si="16"/>
        <v>3.8699999999999998E-2</v>
      </c>
      <c r="J131" s="54">
        <f t="shared" si="12"/>
        <v>2012400</v>
      </c>
      <c r="K131" s="106" t="s">
        <v>65</v>
      </c>
      <c r="L131" s="126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thickBot="1" x14ac:dyDescent="0.3">
      <c r="A132" s="31"/>
      <c r="B132" s="32"/>
      <c r="C132" s="33"/>
      <c r="D132" s="33"/>
      <c r="E132" s="33"/>
      <c r="F132" s="32"/>
      <c r="G132" s="33"/>
      <c r="H132" s="33"/>
      <c r="I132" s="33"/>
      <c r="J132" s="32"/>
      <c r="K132" s="79"/>
      <c r="L132" s="3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thickTop="1" thickBot="1" x14ac:dyDescent="0.3">
      <c r="A133" s="35" t="s">
        <v>29</v>
      </c>
      <c r="B133" s="36"/>
      <c r="C133" s="37"/>
      <c r="D133" s="37"/>
      <c r="E133" s="37"/>
      <c r="F133" s="36"/>
      <c r="G133" s="37"/>
      <c r="H133" s="38">
        <f>SUM(H122:H131)</f>
        <v>777185000</v>
      </c>
      <c r="I133" s="39">
        <f>IF(H133=0,"",J133/H133)</f>
        <v>3.3640995194194431E-2</v>
      </c>
      <c r="J133" s="40">
        <f>SUM(J122:J131)</f>
        <v>26145276.850000001</v>
      </c>
      <c r="K133" s="80"/>
      <c r="L133" s="4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5">
      <c r="A136" s="1"/>
      <c r="B136" s="1"/>
      <c r="C136" s="1"/>
      <c r="D136" s="7" t="s">
        <v>3</v>
      </c>
      <c r="E136" s="8">
        <v>2023</v>
      </c>
      <c r="F136" s="9" t="s">
        <v>49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thickBo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8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5">
      <c r="A138" s="10" t="s">
        <v>5</v>
      </c>
      <c r="B138" s="11" t="s">
        <v>6</v>
      </c>
      <c r="C138" s="11" t="s">
        <v>7</v>
      </c>
      <c r="D138" s="12" t="s">
        <v>8</v>
      </c>
      <c r="E138" s="12" t="s">
        <v>9</v>
      </c>
      <c r="F138" s="11" t="s">
        <v>10</v>
      </c>
      <c r="G138" s="12" t="s">
        <v>11</v>
      </c>
      <c r="H138" s="12" t="s">
        <v>12</v>
      </c>
      <c r="I138" s="12" t="s">
        <v>13</v>
      </c>
      <c r="J138" s="12" t="s">
        <v>14</v>
      </c>
      <c r="K138" s="82" t="str">
        <f>K15</f>
        <v>Callable Provision (Yes / No)</v>
      </c>
      <c r="L138" s="13" t="s">
        <v>15</v>
      </c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6" x14ac:dyDescent="0.3">
      <c r="A139" s="14">
        <v>1</v>
      </c>
      <c r="B139" s="15" t="s">
        <v>16</v>
      </c>
      <c r="C139" s="15" t="s">
        <v>17</v>
      </c>
      <c r="D139" s="15" t="s">
        <v>18</v>
      </c>
      <c r="E139" s="15" t="s">
        <v>19</v>
      </c>
      <c r="F139" s="16">
        <v>39071</v>
      </c>
      <c r="G139" s="15" t="s">
        <v>20</v>
      </c>
      <c r="H139" s="50">
        <v>50000000</v>
      </c>
      <c r="I139" s="18">
        <f>I50</f>
        <v>4.9680000000000002E-2</v>
      </c>
      <c r="J139" s="19">
        <f t="shared" ref="J139:J150" si="17">H139*I139</f>
        <v>2484000</v>
      </c>
      <c r="K139" s="89" t="str">
        <f>K16</f>
        <v xml:space="preserve">Callable subject to call provisions at redemption price  </v>
      </c>
      <c r="L139" s="20" t="s">
        <v>21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6" x14ac:dyDescent="0.3">
      <c r="A140" s="14">
        <v>2</v>
      </c>
      <c r="B140" s="21" t="s">
        <v>16</v>
      </c>
      <c r="C140" s="21" t="s">
        <v>17</v>
      </c>
      <c r="D140" s="22" t="s">
        <v>18</v>
      </c>
      <c r="E140" s="22" t="s">
        <v>19</v>
      </c>
      <c r="F140" s="23">
        <v>41408</v>
      </c>
      <c r="G140" s="21" t="s">
        <v>20</v>
      </c>
      <c r="H140" s="51">
        <v>107185000</v>
      </c>
      <c r="I140" s="25">
        <f>I52</f>
        <v>3.9910000000000001E-2</v>
      </c>
      <c r="J140" s="26">
        <f t="shared" si="17"/>
        <v>4277753.3500000006</v>
      </c>
      <c r="K140" s="92" t="str">
        <f>K17</f>
        <v xml:space="preserve">Callable subject to call provisions at redemption price  </v>
      </c>
      <c r="L140" s="27" t="s">
        <v>22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6" x14ac:dyDescent="0.3">
      <c r="A141" s="14">
        <v>3</v>
      </c>
      <c r="B141" s="15" t="s">
        <v>16</v>
      </c>
      <c r="C141" s="15" t="s">
        <v>17</v>
      </c>
      <c r="D141" s="15" t="s">
        <v>18</v>
      </c>
      <c r="E141" s="15" t="s">
        <v>19</v>
      </c>
      <c r="F141" s="16">
        <v>42044</v>
      </c>
      <c r="G141" s="15" t="s">
        <v>23</v>
      </c>
      <c r="H141" s="50">
        <v>138667000</v>
      </c>
      <c r="I141" s="18">
        <f>I89</f>
        <v>2.614E-2</v>
      </c>
      <c r="J141" s="19">
        <f t="shared" si="17"/>
        <v>3624755.38</v>
      </c>
      <c r="K141" s="96" t="str">
        <f>$K$18</f>
        <v xml:space="preserve">Callable subject to call provisions at redemption price  </v>
      </c>
      <c r="L141" s="123" t="s">
        <v>24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6" x14ac:dyDescent="0.3">
      <c r="A142" s="14">
        <v>4</v>
      </c>
      <c r="B142" s="15" t="s">
        <v>16</v>
      </c>
      <c r="C142" s="15" t="s">
        <v>17</v>
      </c>
      <c r="D142" s="15" t="s">
        <v>18</v>
      </c>
      <c r="E142" s="15" t="s">
        <v>19</v>
      </c>
      <c r="F142" s="16">
        <v>42044</v>
      </c>
      <c r="G142" s="15" t="s">
        <v>20</v>
      </c>
      <c r="H142" s="50">
        <v>121333000</v>
      </c>
      <c r="I142" s="18">
        <f>I91</f>
        <v>3.6389999999999999E-2</v>
      </c>
      <c r="J142" s="19">
        <f t="shared" si="17"/>
        <v>4415307.87</v>
      </c>
      <c r="K142" s="94" t="str">
        <f>$K$19</f>
        <v xml:space="preserve">Callable subject to call provisions at redemption price  </v>
      </c>
      <c r="L142" s="110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6" x14ac:dyDescent="0.3">
      <c r="A143" s="14">
        <v>5</v>
      </c>
      <c r="B143" s="21" t="s">
        <v>16</v>
      </c>
      <c r="C143" s="21" t="s">
        <v>17</v>
      </c>
      <c r="D143" s="22" t="s">
        <v>18</v>
      </c>
      <c r="E143" s="22" t="s">
        <v>19</v>
      </c>
      <c r="F143" s="28">
        <v>42180</v>
      </c>
      <c r="G143" s="21" t="s">
        <v>23</v>
      </c>
      <c r="H143" s="52">
        <v>15999000</v>
      </c>
      <c r="I143" s="25">
        <f>2.614%</f>
        <v>2.614E-2</v>
      </c>
      <c r="J143" s="26">
        <f t="shared" si="17"/>
        <v>418213.86</v>
      </c>
      <c r="K143" s="100" t="str">
        <f>$K$20</f>
        <v xml:space="preserve">Callable subject to call provisions at redemption price  </v>
      </c>
      <c r="L143" s="122" t="s">
        <v>50</v>
      </c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26" x14ac:dyDescent="0.3">
      <c r="A144" s="14">
        <v>6</v>
      </c>
      <c r="B144" s="21" t="s">
        <v>16</v>
      </c>
      <c r="C144" s="21" t="s">
        <v>17</v>
      </c>
      <c r="D144" s="22" t="s">
        <v>18</v>
      </c>
      <c r="E144" s="22" t="s">
        <v>19</v>
      </c>
      <c r="F144" s="28">
        <v>42180</v>
      </c>
      <c r="G144" s="21" t="s">
        <v>20</v>
      </c>
      <c r="H144" s="52">
        <v>14001000</v>
      </c>
      <c r="I144" s="25">
        <f>3.639%</f>
        <v>3.6389999999999999E-2</v>
      </c>
      <c r="J144" s="26">
        <f t="shared" si="17"/>
        <v>509496.38999999996</v>
      </c>
      <c r="K144" s="92" t="str">
        <f>$K$21</f>
        <v xml:space="preserve">Callable subject to call provisions at redemption price  </v>
      </c>
      <c r="L144" s="110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26" x14ac:dyDescent="0.3">
      <c r="A145" s="14">
        <v>7</v>
      </c>
      <c r="B145" s="15" t="s">
        <v>16</v>
      </c>
      <c r="C145" s="15" t="s">
        <v>17</v>
      </c>
      <c r="D145" s="15" t="s">
        <v>18</v>
      </c>
      <c r="E145" s="15" t="s">
        <v>19</v>
      </c>
      <c r="F145" s="16">
        <f t="shared" ref="F145:F146" si="18">F128</f>
        <v>43754</v>
      </c>
      <c r="G145" s="15" t="s">
        <v>23</v>
      </c>
      <c r="H145" s="50">
        <f t="shared" ref="H145:I148" si="19">H128</f>
        <v>87500000</v>
      </c>
      <c r="I145" s="18">
        <f t="shared" ref="I145:I146" si="20">I77</f>
        <v>2.6599999999999999E-2</v>
      </c>
      <c r="J145" s="19">
        <f t="shared" si="17"/>
        <v>2327500</v>
      </c>
      <c r="K145" s="94" t="str">
        <f>$K$19</f>
        <v xml:space="preserve">Callable subject to call provisions at redemption price  </v>
      </c>
      <c r="L145" s="123" t="str">
        <f>L128</f>
        <v>$250.0M, in aggregate, Promissory Notes</v>
      </c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6" x14ac:dyDescent="0.3">
      <c r="A146" s="14">
        <v>8</v>
      </c>
      <c r="B146" s="15" t="s">
        <v>16</v>
      </c>
      <c r="C146" s="15" t="s">
        <v>17</v>
      </c>
      <c r="D146" s="15" t="s">
        <v>18</v>
      </c>
      <c r="E146" s="15" t="s">
        <v>19</v>
      </c>
      <c r="F146" s="16">
        <f t="shared" si="18"/>
        <v>43754</v>
      </c>
      <c r="G146" s="15" t="s">
        <v>20</v>
      </c>
      <c r="H146" s="50">
        <f t="shared" si="19"/>
        <v>162500000</v>
      </c>
      <c r="I146" s="18">
        <f t="shared" si="20"/>
        <v>3.2099999999999997E-2</v>
      </c>
      <c r="J146" s="19">
        <f t="shared" si="17"/>
        <v>5216249.9999999991</v>
      </c>
      <c r="K146" s="94" t="str">
        <f>$K$19</f>
        <v xml:space="preserve">Callable subject to call provisions at redemption price  </v>
      </c>
      <c r="L146" s="110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6" x14ac:dyDescent="0.3">
      <c r="A147" s="14">
        <v>9</v>
      </c>
      <c r="B147" s="22" t="s">
        <v>16</v>
      </c>
      <c r="C147" s="22" t="s">
        <v>17</v>
      </c>
      <c r="D147" s="22" t="s">
        <v>18</v>
      </c>
      <c r="E147" s="22" t="s">
        <v>19</v>
      </c>
      <c r="F147" s="28">
        <v>44378</v>
      </c>
      <c r="G147" s="22" t="s">
        <v>23</v>
      </c>
      <c r="H147" s="52">
        <f t="shared" si="19"/>
        <v>28000000</v>
      </c>
      <c r="I147" s="53">
        <f t="shared" si="19"/>
        <v>3.0700000000000002E-2</v>
      </c>
      <c r="J147" s="54">
        <f t="shared" si="17"/>
        <v>859600</v>
      </c>
      <c r="K147" s="106" t="s">
        <v>65</v>
      </c>
      <c r="L147" s="124" t="s">
        <v>52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26" x14ac:dyDescent="0.3">
      <c r="A148" s="14">
        <v>10</v>
      </c>
      <c r="B148" s="22" t="s">
        <v>16</v>
      </c>
      <c r="C148" s="22" t="s">
        <v>17</v>
      </c>
      <c r="D148" s="22" t="s">
        <v>18</v>
      </c>
      <c r="E148" s="22" t="s">
        <v>19</v>
      </c>
      <c r="F148" s="28">
        <v>44378</v>
      </c>
      <c r="G148" s="22" t="s">
        <v>20</v>
      </c>
      <c r="H148" s="52">
        <f t="shared" si="19"/>
        <v>52000000</v>
      </c>
      <c r="I148" s="53">
        <f t="shared" si="19"/>
        <v>3.8699999999999998E-2</v>
      </c>
      <c r="J148" s="54">
        <f t="shared" si="17"/>
        <v>2012400</v>
      </c>
      <c r="K148" s="106" t="s">
        <v>65</v>
      </c>
      <c r="L148" s="110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26" x14ac:dyDescent="0.3">
      <c r="A149" s="14">
        <v>11</v>
      </c>
      <c r="B149" s="15" t="s">
        <v>16</v>
      </c>
      <c r="C149" s="15" t="s">
        <v>17</v>
      </c>
      <c r="D149" s="15" t="s">
        <v>18</v>
      </c>
      <c r="E149" s="15" t="s">
        <v>19</v>
      </c>
      <c r="F149" s="16">
        <v>45108</v>
      </c>
      <c r="G149" s="15" t="s">
        <v>23</v>
      </c>
      <c r="H149" s="50">
        <f>60000000*0.35*(184/365)</f>
        <v>10586301.369863015</v>
      </c>
      <c r="I149" s="18">
        <v>3.9199999999999999E-2</v>
      </c>
      <c r="J149" s="19">
        <f t="shared" si="17"/>
        <v>414983.01369863015</v>
      </c>
      <c r="K149" s="96" t="s">
        <v>65</v>
      </c>
      <c r="L149" s="109" t="s">
        <v>53</v>
      </c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26" x14ac:dyDescent="0.3">
      <c r="A150" s="14">
        <v>12</v>
      </c>
      <c r="B150" s="15" t="s">
        <v>16</v>
      </c>
      <c r="C150" s="15" t="s">
        <v>17</v>
      </c>
      <c r="D150" s="15" t="s">
        <v>18</v>
      </c>
      <c r="E150" s="15" t="s">
        <v>19</v>
      </c>
      <c r="F150" s="16">
        <v>45108</v>
      </c>
      <c r="G150" s="15" t="s">
        <v>20</v>
      </c>
      <c r="H150" s="50">
        <f>60000000*0.65*(184/365)</f>
        <v>19660273.97260274</v>
      </c>
      <c r="I150" s="18">
        <v>4.7199999999999999E-2</v>
      </c>
      <c r="J150" s="19">
        <f t="shared" si="17"/>
        <v>927964.93150684936</v>
      </c>
      <c r="K150" s="96" t="s">
        <v>65</v>
      </c>
      <c r="L150" s="110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thickBot="1" x14ac:dyDescent="0.3">
      <c r="A151" s="31"/>
      <c r="B151" s="32"/>
      <c r="C151" s="33"/>
      <c r="D151" s="33"/>
      <c r="E151" s="33"/>
      <c r="F151" s="32"/>
      <c r="G151" s="33"/>
      <c r="H151" s="33"/>
      <c r="I151" s="33"/>
      <c r="J151" s="32"/>
      <c r="K151" s="79"/>
      <c r="L151" s="3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thickTop="1" thickBot="1" x14ac:dyDescent="0.3">
      <c r="A152" s="35" t="s">
        <v>29</v>
      </c>
      <c r="B152" s="36"/>
      <c r="C152" s="37"/>
      <c r="D152" s="37"/>
      <c r="E152" s="37"/>
      <c r="F152" s="36"/>
      <c r="G152" s="37"/>
      <c r="H152" s="38">
        <f>SUM(H139:H150)</f>
        <v>807431575.34246576</v>
      </c>
      <c r="I152" s="39">
        <f>IF(H152=0,"",J152/H152)</f>
        <v>3.4044030026379096E-2</v>
      </c>
      <c r="J152" s="40">
        <f>SUM(J139:J150)</f>
        <v>27488224.795205481</v>
      </c>
      <c r="K152" s="80"/>
      <c r="L152" s="4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5">
      <c r="A155" s="1"/>
      <c r="B155" s="1"/>
      <c r="C155" s="1"/>
      <c r="D155" s="7" t="s">
        <v>3</v>
      </c>
      <c r="E155" s="8">
        <v>2024</v>
      </c>
      <c r="F155" s="9" t="s">
        <v>49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thickBo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5">
      <c r="A157" s="10" t="s">
        <v>5</v>
      </c>
      <c r="B157" s="11" t="s">
        <v>6</v>
      </c>
      <c r="C157" s="64" t="s">
        <v>7</v>
      </c>
      <c r="D157" s="65" t="s">
        <v>8</v>
      </c>
      <c r="E157" s="65" t="s">
        <v>9</v>
      </c>
      <c r="F157" s="64" t="s">
        <v>10</v>
      </c>
      <c r="G157" s="65" t="s">
        <v>11</v>
      </c>
      <c r="H157" s="65" t="s">
        <v>12</v>
      </c>
      <c r="I157" s="65" t="s">
        <v>13</v>
      </c>
      <c r="J157" s="65" t="s">
        <v>14</v>
      </c>
      <c r="K157" s="87" t="str">
        <f>K15</f>
        <v>Callable Provision (Yes / No)</v>
      </c>
      <c r="L157" s="66" t="s">
        <v>15</v>
      </c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26" x14ac:dyDescent="0.3">
      <c r="A158" s="14">
        <v>1</v>
      </c>
      <c r="B158" s="15" t="s">
        <v>16</v>
      </c>
      <c r="C158" s="15" t="s">
        <v>17</v>
      </c>
      <c r="D158" s="15" t="s">
        <v>18</v>
      </c>
      <c r="E158" s="15" t="s">
        <v>19</v>
      </c>
      <c r="F158" s="16">
        <v>39071</v>
      </c>
      <c r="G158" s="15" t="s">
        <v>20</v>
      </c>
      <c r="H158" s="50">
        <v>50000000</v>
      </c>
      <c r="I158" s="18">
        <f>I50</f>
        <v>4.9680000000000002E-2</v>
      </c>
      <c r="J158" s="19">
        <f t="shared" ref="J158:J169" si="21">H158*I158</f>
        <v>2484000</v>
      </c>
      <c r="K158" s="89" t="str">
        <f>K16</f>
        <v xml:space="preserve">Callable subject to call provisions at redemption price  </v>
      </c>
      <c r="L158" s="20" t="s">
        <v>21</v>
      </c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26" x14ac:dyDescent="0.3">
      <c r="A159" s="14">
        <v>2</v>
      </c>
      <c r="B159" s="21" t="s">
        <v>16</v>
      </c>
      <c r="C159" s="21" t="s">
        <v>17</v>
      </c>
      <c r="D159" s="22" t="s">
        <v>18</v>
      </c>
      <c r="E159" s="22" t="s">
        <v>19</v>
      </c>
      <c r="F159" s="23">
        <v>41408</v>
      </c>
      <c r="G159" s="21" t="s">
        <v>20</v>
      </c>
      <c r="H159" s="51">
        <v>107185000</v>
      </c>
      <c r="I159" s="25">
        <f>I52</f>
        <v>3.9910000000000001E-2</v>
      </c>
      <c r="J159" s="26">
        <f t="shared" si="21"/>
        <v>4277753.3500000006</v>
      </c>
      <c r="K159" s="92" t="str">
        <f>K17</f>
        <v xml:space="preserve">Callable subject to call provisions at redemption price  </v>
      </c>
      <c r="L159" s="27" t="s">
        <v>22</v>
      </c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26" x14ac:dyDescent="0.3">
      <c r="A160" s="14">
        <v>3</v>
      </c>
      <c r="B160" s="15" t="s">
        <v>16</v>
      </c>
      <c r="C160" s="15" t="s">
        <v>17</v>
      </c>
      <c r="D160" s="15" t="s">
        <v>18</v>
      </c>
      <c r="E160" s="15" t="s">
        <v>19</v>
      </c>
      <c r="F160" s="16">
        <v>42044</v>
      </c>
      <c r="G160" s="15" t="s">
        <v>23</v>
      </c>
      <c r="H160" s="50">
        <v>138667000</v>
      </c>
      <c r="I160" s="18">
        <f>I89</f>
        <v>2.614E-2</v>
      </c>
      <c r="J160" s="19">
        <f t="shared" si="21"/>
        <v>3624755.38</v>
      </c>
      <c r="K160" s="96" t="str">
        <f>$K$18</f>
        <v xml:space="preserve">Callable subject to call provisions at redemption price  </v>
      </c>
      <c r="L160" s="123" t="s">
        <v>24</v>
      </c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26" x14ac:dyDescent="0.3">
      <c r="A161" s="14">
        <v>4</v>
      </c>
      <c r="B161" s="15" t="s">
        <v>16</v>
      </c>
      <c r="C161" s="15" t="s">
        <v>17</v>
      </c>
      <c r="D161" s="15" t="s">
        <v>18</v>
      </c>
      <c r="E161" s="15" t="s">
        <v>19</v>
      </c>
      <c r="F161" s="16">
        <v>42044</v>
      </c>
      <c r="G161" s="15" t="s">
        <v>20</v>
      </c>
      <c r="H161" s="50">
        <v>121333000</v>
      </c>
      <c r="I161" s="18">
        <f>I91</f>
        <v>3.6389999999999999E-2</v>
      </c>
      <c r="J161" s="19">
        <f t="shared" si="21"/>
        <v>4415307.87</v>
      </c>
      <c r="K161" s="94" t="str">
        <f>$K$19</f>
        <v xml:space="preserve">Callable subject to call provisions at redemption price  </v>
      </c>
      <c r="L161" s="110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26" x14ac:dyDescent="0.3">
      <c r="A162" s="14">
        <v>5</v>
      </c>
      <c r="B162" s="21" t="s">
        <v>16</v>
      </c>
      <c r="C162" s="21" t="s">
        <v>17</v>
      </c>
      <c r="D162" s="22" t="s">
        <v>18</v>
      </c>
      <c r="E162" s="22" t="s">
        <v>19</v>
      </c>
      <c r="F162" s="28">
        <v>42180</v>
      </c>
      <c r="G162" s="21" t="s">
        <v>23</v>
      </c>
      <c r="H162" s="52">
        <v>15999000</v>
      </c>
      <c r="I162" s="25">
        <f>2.614%</f>
        <v>2.614E-2</v>
      </c>
      <c r="J162" s="26">
        <f t="shared" si="21"/>
        <v>418213.86</v>
      </c>
      <c r="K162" s="100" t="str">
        <f>$K$20</f>
        <v xml:space="preserve">Callable subject to call provisions at redemption price  </v>
      </c>
      <c r="L162" s="122" t="s">
        <v>50</v>
      </c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26" x14ac:dyDescent="0.3">
      <c r="A163" s="14">
        <v>6</v>
      </c>
      <c r="B163" s="21" t="s">
        <v>16</v>
      </c>
      <c r="C163" s="21" t="s">
        <v>17</v>
      </c>
      <c r="D163" s="22" t="s">
        <v>18</v>
      </c>
      <c r="E163" s="22" t="s">
        <v>19</v>
      </c>
      <c r="F163" s="28">
        <v>42180</v>
      </c>
      <c r="G163" s="21" t="s">
        <v>20</v>
      </c>
      <c r="H163" s="52">
        <v>14001000</v>
      </c>
      <c r="I163" s="25">
        <f>3.639%</f>
        <v>3.6389999999999999E-2</v>
      </c>
      <c r="J163" s="26">
        <f t="shared" si="21"/>
        <v>509496.38999999996</v>
      </c>
      <c r="K163" s="92" t="str">
        <f>$K$21</f>
        <v xml:space="preserve">Callable subject to call provisions at redemption price  </v>
      </c>
      <c r="L163" s="110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26" x14ac:dyDescent="0.3">
      <c r="A164" s="14">
        <v>7</v>
      </c>
      <c r="B164" s="15" t="s">
        <v>16</v>
      </c>
      <c r="C164" s="15" t="s">
        <v>17</v>
      </c>
      <c r="D164" s="15" t="s">
        <v>18</v>
      </c>
      <c r="E164" s="15" t="s">
        <v>19</v>
      </c>
      <c r="F164" s="16">
        <f t="shared" ref="F164:F165" si="22">F145</f>
        <v>43754</v>
      </c>
      <c r="G164" s="15" t="s">
        <v>23</v>
      </c>
      <c r="H164" s="50">
        <f t="shared" ref="H164:I169" si="23">H145</f>
        <v>87500000</v>
      </c>
      <c r="I164" s="18">
        <f t="shared" ref="I164:I165" si="24">I77</f>
        <v>2.6599999999999999E-2</v>
      </c>
      <c r="J164" s="19">
        <f t="shared" si="21"/>
        <v>2327500</v>
      </c>
      <c r="K164" s="94" t="str">
        <f>$K$19</f>
        <v xml:space="preserve">Callable subject to call provisions at redemption price  </v>
      </c>
      <c r="L164" s="123" t="str">
        <f>L145</f>
        <v>$250.0M, in aggregate, Promissory Notes</v>
      </c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26" x14ac:dyDescent="0.3">
      <c r="A165" s="14">
        <v>8</v>
      </c>
      <c r="B165" s="15" t="s">
        <v>16</v>
      </c>
      <c r="C165" s="15" t="s">
        <v>17</v>
      </c>
      <c r="D165" s="15" t="s">
        <v>18</v>
      </c>
      <c r="E165" s="15" t="s">
        <v>19</v>
      </c>
      <c r="F165" s="16">
        <f t="shared" si="22"/>
        <v>43754</v>
      </c>
      <c r="G165" s="15" t="s">
        <v>20</v>
      </c>
      <c r="H165" s="50">
        <f t="shared" si="23"/>
        <v>162500000</v>
      </c>
      <c r="I165" s="18">
        <f t="shared" si="24"/>
        <v>3.2099999999999997E-2</v>
      </c>
      <c r="J165" s="19">
        <f t="shared" si="21"/>
        <v>5216249.9999999991</v>
      </c>
      <c r="K165" s="94" t="str">
        <f>$K$19</f>
        <v xml:space="preserve">Callable subject to call provisions at redemption price  </v>
      </c>
      <c r="L165" s="110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26" x14ac:dyDescent="0.3">
      <c r="A166" s="14">
        <v>9</v>
      </c>
      <c r="B166" s="22" t="s">
        <v>16</v>
      </c>
      <c r="C166" s="22" t="s">
        <v>17</v>
      </c>
      <c r="D166" s="22" t="s">
        <v>18</v>
      </c>
      <c r="E166" s="22" t="s">
        <v>19</v>
      </c>
      <c r="F166" s="28">
        <v>44378</v>
      </c>
      <c r="G166" s="22" t="s">
        <v>23</v>
      </c>
      <c r="H166" s="52">
        <f t="shared" si="23"/>
        <v>28000000</v>
      </c>
      <c r="I166" s="53">
        <f t="shared" si="23"/>
        <v>3.0700000000000002E-2</v>
      </c>
      <c r="J166" s="104">
        <f t="shared" si="21"/>
        <v>859600</v>
      </c>
      <c r="K166" s="106" t="s">
        <v>65</v>
      </c>
      <c r="L166" s="118" t="s">
        <v>52</v>
      </c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26" x14ac:dyDescent="0.3">
      <c r="A167" s="14">
        <v>10</v>
      </c>
      <c r="B167" s="22" t="s">
        <v>16</v>
      </c>
      <c r="C167" s="22" t="s">
        <v>17</v>
      </c>
      <c r="D167" s="22" t="s">
        <v>18</v>
      </c>
      <c r="E167" s="22" t="s">
        <v>19</v>
      </c>
      <c r="F167" s="28">
        <v>44378</v>
      </c>
      <c r="G167" s="22" t="s">
        <v>20</v>
      </c>
      <c r="H167" s="52">
        <f t="shared" si="23"/>
        <v>52000000</v>
      </c>
      <c r="I167" s="53">
        <f t="shared" si="23"/>
        <v>3.8699999999999998E-2</v>
      </c>
      <c r="J167" s="104">
        <f t="shared" si="21"/>
        <v>2012400</v>
      </c>
      <c r="K167" s="106" t="s">
        <v>65</v>
      </c>
      <c r="L167" s="119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26" x14ac:dyDescent="0.3">
      <c r="A168" s="14">
        <v>11</v>
      </c>
      <c r="B168" s="15" t="s">
        <v>16</v>
      </c>
      <c r="C168" s="15" t="s">
        <v>17</v>
      </c>
      <c r="D168" s="15" t="s">
        <v>18</v>
      </c>
      <c r="E168" s="15" t="s">
        <v>19</v>
      </c>
      <c r="F168" s="16">
        <v>45108</v>
      </c>
      <c r="G168" s="15" t="s">
        <v>23</v>
      </c>
      <c r="H168" s="50">
        <v>21000000</v>
      </c>
      <c r="I168" s="18">
        <f t="shared" si="23"/>
        <v>3.9199999999999999E-2</v>
      </c>
      <c r="J168" s="78">
        <f t="shared" si="21"/>
        <v>823200</v>
      </c>
      <c r="K168" s="96" t="s">
        <v>65</v>
      </c>
      <c r="L168" s="120" t="s">
        <v>54</v>
      </c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26" x14ac:dyDescent="0.3">
      <c r="A169" s="14">
        <v>12</v>
      </c>
      <c r="B169" s="15" t="s">
        <v>16</v>
      </c>
      <c r="C169" s="15" t="s">
        <v>17</v>
      </c>
      <c r="D169" s="15" t="s">
        <v>18</v>
      </c>
      <c r="E169" s="15" t="s">
        <v>19</v>
      </c>
      <c r="F169" s="16">
        <v>45108</v>
      </c>
      <c r="G169" s="15" t="s">
        <v>20</v>
      </c>
      <c r="H169" s="50">
        <v>39000000</v>
      </c>
      <c r="I169" s="18">
        <f t="shared" si="23"/>
        <v>4.7199999999999999E-2</v>
      </c>
      <c r="J169" s="78">
        <f t="shared" si="21"/>
        <v>1840800</v>
      </c>
      <c r="K169" s="96" t="s">
        <v>65</v>
      </c>
      <c r="L169" s="119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thickBot="1" x14ac:dyDescent="0.3">
      <c r="A170" s="31"/>
      <c r="B170" s="32"/>
      <c r="C170" s="33"/>
      <c r="D170" s="33"/>
      <c r="E170" s="33"/>
      <c r="F170" s="32"/>
      <c r="G170" s="33"/>
      <c r="H170" s="33"/>
      <c r="I170" s="33"/>
      <c r="J170" s="32"/>
      <c r="K170" s="105"/>
      <c r="L170" s="34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thickTop="1" thickBot="1" x14ac:dyDescent="0.3">
      <c r="A171" s="35" t="s">
        <v>29</v>
      </c>
      <c r="B171" s="36"/>
      <c r="C171" s="37"/>
      <c r="D171" s="37"/>
      <c r="E171" s="37"/>
      <c r="F171" s="36"/>
      <c r="G171" s="37"/>
      <c r="H171" s="38">
        <f>SUM(H158:H169)</f>
        <v>837185000</v>
      </c>
      <c r="I171" s="39">
        <f>IF(H171=0,"",J171/H171)</f>
        <v>3.4412079588143601E-2</v>
      </c>
      <c r="J171" s="40">
        <f>SUM(J158:J169)</f>
        <v>28809276.850000001</v>
      </c>
      <c r="K171" s="80"/>
      <c r="L171" s="4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5">
      <c r="A174" s="1"/>
      <c r="B174" s="1"/>
      <c r="C174" s="1"/>
      <c r="D174" s="7" t="s">
        <v>3</v>
      </c>
      <c r="E174" s="8">
        <v>2025</v>
      </c>
      <c r="F174" s="9" t="s">
        <v>49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thickBo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5">
      <c r="A176" s="10" t="s">
        <v>5</v>
      </c>
      <c r="B176" s="11" t="s">
        <v>6</v>
      </c>
      <c r="C176" s="11" t="s">
        <v>7</v>
      </c>
      <c r="D176" s="12" t="s">
        <v>8</v>
      </c>
      <c r="E176" s="12" t="s">
        <v>9</v>
      </c>
      <c r="F176" s="11" t="s">
        <v>10</v>
      </c>
      <c r="G176" s="12" t="s">
        <v>11</v>
      </c>
      <c r="H176" s="12" t="s">
        <v>12</v>
      </c>
      <c r="I176" s="12" t="s">
        <v>13</v>
      </c>
      <c r="J176" s="12" t="s">
        <v>14</v>
      </c>
      <c r="K176" s="82" t="str">
        <f>K15</f>
        <v>Callable Provision (Yes / No)</v>
      </c>
      <c r="L176" s="13" t="s">
        <v>15</v>
      </c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26" x14ac:dyDescent="0.3">
      <c r="A177" s="14">
        <v>1</v>
      </c>
      <c r="B177" s="15" t="s">
        <v>16</v>
      </c>
      <c r="C177" s="15" t="s">
        <v>17</v>
      </c>
      <c r="D177" s="15" t="s">
        <v>18</v>
      </c>
      <c r="E177" s="15" t="s">
        <v>19</v>
      </c>
      <c r="F177" s="16">
        <v>39071</v>
      </c>
      <c r="G177" s="15" t="s">
        <v>20</v>
      </c>
      <c r="H177" s="60">
        <v>50000000</v>
      </c>
      <c r="I177" s="18">
        <f>I50</f>
        <v>4.9680000000000002E-2</v>
      </c>
      <c r="J177" s="19">
        <f t="shared" ref="J177:J190" si="25">H177*I177</f>
        <v>2484000</v>
      </c>
      <c r="K177" s="89" t="str">
        <f>K16</f>
        <v xml:space="preserve">Callable subject to call provisions at redemption price  </v>
      </c>
      <c r="L177" s="20" t="s">
        <v>55</v>
      </c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26" x14ac:dyDescent="0.3">
      <c r="A178" s="14">
        <v>2</v>
      </c>
      <c r="B178" s="21" t="s">
        <v>16</v>
      </c>
      <c r="C178" s="21" t="s">
        <v>17</v>
      </c>
      <c r="D178" s="22" t="s">
        <v>18</v>
      </c>
      <c r="E178" s="22" t="s">
        <v>19</v>
      </c>
      <c r="F178" s="23">
        <v>41408</v>
      </c>
      <c r="G178" s="21" t="s">
        <v>20</v>
      </c>
      <c r="H178" s="61">
        <v>107185000</v>
      </c>
      <c r="I178" s="25">
        <f>I52</f>
        <v>3.9910000000000001E-2</v>
      </c>
      <c r="J178" s="26">
        <f t="shared" si="25"/>
        <v>4277753.3500000006</v>
      </c>
      <c r="K178" s="92" t="str">
        <f>K17</f>
        <v xml:space="preserve">Callable subject to call provisions at redemption price  </v>
      </c>
      <c r="L178" s="27" t="s">
        <v>22</v>
      </c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26" x14ac:dyDescent="0.3">
      <c r="A179" s="14">
        <v>3</v>
      </c>
      <c r="B179" s="15" t="s">
        <v>16</v>
      </c>
      <c r="C179" s="15" t="s">
        <v>17</v>
      </c>
      <c r="D179" s="15" t="s">
        <v>18</v>
      </c>
      <c r="E179" s="15" t="s">
        <v>19</v>
      </c>
      <c r="F179" s="16">
        <v>42044</v>
      </c>
      <c r="G179" s="15" t="s">
        <v>23</v>
      </c>
      <c r="H179" s="60">
        <f>138667000*(39/365)</f>
        <v>14816473.97260274</v>
      </c>
      <c r="I179" s="18">
        <f>I89</f>
        <v>2.614E-2</v>
      </c>
      <c r="J179" s="19">
        <f t="shared" si="25"/>
        <v>387302.62964383565</v>
      </c>
      <c r="K179" s="96" t="str">
        <f>$K$18</f>
        <v xml:space="preserve">Callable subject to call provisions at redemption price  </v>
      </c>
      <c r="L179" s="121" t="s">
        <v>56</v>
      </c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26" x14ac:dyDescent="0.3">
      <c r="A180" s="14">
        <v>4</v>
      </c>
      <c r="B180" s="15" t="s">
        <v>16</v>
      </c>
      <c r="C180" s="15" t="s">
        <v>17</v>
      </c>
      <c r="D180" s="15" t="s">
        <v>18</v>
      </c>
      <c r="E180" s="15" t="s">
        <v>19</v>
      </c>
      <c r="F180" s="16">
        <v>42044</v>
      </c>
      <c r="G180" s="15" t="s">
        <v>20</v>
      </c>
      <c r="H180" s="60">
        <v>121333000</v>
      </c>
      <c r="I180" s="18">
        <f>I91</f>
        <v>3.6389999999999999E-2</v>
      </c>
      <c r="J180" s="19">
        <f t="shared" si="25"/>
        <v>4415307.87</v>
      </c>
      <c r="K180" s="94" t="str">
        <f>$K$19</f>
        <v xml:space="preserve">Callable subject to call provisions at redemption price  </v>
      </c>
      <c r="L180" s="110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26" x14ac:dyDescent="0.3">
      <c r="A181" s="14">
        <v>5</v>
      </c>
      <c r="B181" s="21" t="s">
        <v>16</v>
      </c>
      <c r="C181" s="21" t="s">
        <v>17</v>
      </c>
      <c r="D181" s="22" t="s">
        <v>18</v>
      </c>
      <c r="E181" s="22" t="s">
        <v>19</v>
      </c>
      <c r="F181" s="28">
        <v>42180</v>
      </c>
      <c r="G181" s="21" t="s">
        <v>23</v>
      </c>
      <c r="H181" s="62">
        <f>15999000*(175/365)</f>
        <v>7670753.4246575339</v>
      </c>
      <c r="I181" s="25">
        <f>2.614%</f>
        <v>2.614E-2</v>
      </c>
      <c r="J181" s="26">
        <f t="shared" si="25"/>
        <v>200513.49452054795</v>
      </c>
      <c r="K181" s="100" t="str">
        <f>$K$20</f>
        <v xml:space="preserve">Callable subject to call provisions at redemption price  </v>
      </c>
      <c r="L181" s="122" t="s">
        <v>57</v>
      </c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26" x14ac:dyDescent="0.3">
      <c r="A182" s="14">
        <v>6</v>
      </c>
      <c r="B182" s="21" t="s">
        <v>16</v>
      </c>
      <c r="C182" s="21" t="s">
        <v>17</v>
      </c>
      <c r="D182" s="22" t="s">
        <v>18</v>
      </c>
      <c r="E182" s="22" t="s">
        <v>19</v>
      </c>
      <c r="F182" s="28">
        <v>42180</v>
      </c>
      <c r="G182" s="21" t="s">
        <v>20</v>
      </c>
      <c r="H182" s="62">
        <v>14001000</v>
      </c>
      <c r="I182" s="25">
        <f>3.639%</f>
        <v>3.6389999999999999E-2</v>
      </c>
      <c r="J182" s="26">
        <f t="shared" si="25"/>
        <v>509496.38999999996</v>
      </c>
      <c r="K182" s="92" t="str">
        <f>$K$21</f>
        <v xml:space="preserve">Callable subject to call provisions at redemption price  </v>
      </c>
      <c r="L182" s="110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26" x14ac:dyDescent="0.3">
      <c r="A183" s="14">
        <v>7</v>
      </c>
      <c r="B183" s="15" t="s">
        <v>16</v>
      </c>
      <c r="C183" s="15" t="s">
        <v>17</v>
      </c>
      <c r="D183" s="15" t="s">
        <v>18</v>
      </c>
      <c r="E183" s="15" t="s">
        <v>19</v>
      </c>
      <c r="F183" s="16">
        <f t="shared" ref="F183:F184" si="26">F164</f>
        <v>43754</v>
      </c>
      <c r="G183" s="15" t="s">
        <v>23</v>
      </c>
      <c r="H183" s="60">
        <f t="shared" ref="H183:I188" si="27">H164</f>
        <v>87500000</v>
      </c>
      <c r="I183" s="18">
        <f t="shared" ref="I183:I184" si="28">I77</f>
        <v>2.6599999999999999E-2</v>
      </c>
      <c r="J183" s="19">
        <f t="shared" si="25"/>
        <v>2327500</v>
      </c>
      <c r="K183" s="94" t="str">
        <f>$K$19</f>
        <v xml:space="preserve">Callable subject to call provisions at redemption price  </v>
      </c>
      <c r="L183" s="123" t="str">
        <f>L164</f>
        <v>$250.0M, in aggregate, Promissory Notes</v>
      </c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26" x14ac:dyDescent="0.3">
      <c r="A184" s="14">
        <v>8</v>
      </c>
      <c r="B184" s="15" t="s">
        <v>16</v>
      </c>
      <c r="C184" s="15" t="s">
        <v>17</v>
      </c>
      <c r="D184" s="15" t="s">
        <v>18</v>
      </c>
      <c r="E184" s="15" t="s">
        <v>19</v>
      </c>
      <c r="F184" s="16">
        <f t="shared" si="26"/>
        <v>43754</v>
      </c>
      <c r="G184" s="15" t="s">
        <v>20</v>
      </c>
      <c r="H184" s="60">
        <f t="shared" si="27"/>
        <v>162500000</v>
      </c>
      <c r="I184" s="18">
        <f t="shared" si="28"/>
        <v>3.2099999999999997E-2</v>
      </c>
      <c r="J184" s="19">
        <f t="shared" si="25"/>
        <v>5216249.9999999991</v>
      </c>
      <c r="K184" s="94" t="str">
        <f>$K$19</f>
        <v xml:space="preserve">Callable subject to call provisions at redemption price  </v>
      </c>
      <c r="L184" s="110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26" x14ac:dyDescent="0.3">
      <c r="A185" s="14">
        <v>9</v>
      </c>
      <c r="B185" s="22" t="s">
        <v>16</v>
      </c>
      <c r="C185" s="22" t="s">
        <v>17</v>
      </c>
      <c r="D185" s="22" t="s">
        <v>18</v>
      </c>
      <c r="E185" s="22" t="s">
        <v>19</v>
      </c>
      <c r="F185" s="28">
        <v>44378</v>
      </c>
      <c r="G185" s="22" t="s">
        <v>23</v>
      </c>
      <c r="H185" s="62">
        <f t="shared" si="27"/>
        <v>28000000</v>
      </c>
      <c r="I185" s="53">
        <f t="shared" si="27"/>
        <v>3.0700000000000002E-2</v>
      </c>
      <c r="J185" s="54">
        <f t="shared" si="25"/>
        <v>859600</v>
      </c>
      <c r="K185" s="106" t="s">
        <v>65</v>
      </c>
      <c r="L185" s="124" t="s">
        <v>58</v>
      </c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26" x14ac:dyDescent="0.3">
      <c r="A186" s="14">
        <v>10</v>
      </c>
      <c r="B186" s="22" t="s">
        <v>16</v>
      </c>
      <c r="C186" s="22" t="s">
        <v>17</v>
      </c>
      <c r="D186" s="22" t="s">
        <v>18</v>
      </c>
      <c r="E186" s="22" t="s">
        <v>19</v>
      </c>
      <c r="F186" s="28">
        <v>44378</v>
      </c>
      <c r="G186" s="22" t="s">
        <v>20</v>
      </c>
      <c r="H186" s="62">
        <f t="shared" si="27"/>
        <v>52000000</v>
      </c>
      <c r="I186" s="53">
        <f t="shared" si="27"/>
        <v>3.8699999999999998E-2</v>
      </c>
      <c r="J186" s="54">
        <f t="shared" si="25"/>
        <v>2012400</v>
      </c>
      <c r="K186" s="106" t="s">
        <v>65</v>
      </c>
      <c r="L186" s="110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26" x14ac:dyDescent="0.3">
      <c r="A187" s="14">
        <v>11</v>
      </c>
      <c r="B187" s="15" t="s">
        <v>16</v>
      </c>
      <c r="C187" s="15" t="s">
        <v>17</v>
      </c>
      <c r="D187" s="15" t="s">
        <v>18</v>
      </c>
      <c r="E187" s="15" t="s">
        <v>19</v>
      </c>
      <c r="F187" s="16">
        <v>45108</v>
      </c>
      <c r="G187" s="15" t="s">
        <v>23</v>
      </c>
      <c r="H187" s="60">
        <f t="shared" si="27"/>
        <v>21000000</v>
      </c>
      <c r="I187" s="18">
        <f t="shared" si="27"/>
        <v>3.9199999999999999E-2</v>
      </c>
      <c r="J187" s="19">
        <f t="shared" si="25"/>
        <v>823200</v>
      </c>
      <c r="K187" s="96" t="s">
        <v>65</v>
      </c>
      <c r="L187" s="109" t="str">
        <f>L168</f>
        <v>$60.0M, in aggregate,  Promissory Notes</v>
      </c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26" x14ac:dyDescent="0.3">
      <c r="A188" s="14">
        <v>12</v>
      </c>
      <c r="B188" s="15" t="s">
        <v>16</v>
      </c>
      <c r="C188" s="15" t="s">
        <v>17</v>
      </c>
      <c r="D188" s="15" t="s">
        <v>18</v>
      </c>
      <c r="E188" s="15" t="s">
        <v>19</v>
      </c>
      <c r="F188" s="16">
        <v>45108</v>
      </c>
      <c r="G188" s="15" t="s">
        <v>20</v>
      </c>
      <c r="H188" s="60">
        <f t="shared" si="27"/>
        <v>39000000</v>
      </c>
      <c r="I188" s="18">
        <f t="shared" si="27"/>
        <v>4.7199999999999999E-2</v>
      </c>
      <c r="J188" s="19">
        <f t="shared" si="25"/>
        <v>1840800</v>
      </c>
      <c r="K188" s="96" t="s">
        <v>65</v>
      </c>
      <c r="L188" s="110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26" x14ac:dyDescent="0.3">
      <c r="A189" s="14">
        <v>13</v>
      </c>
      <c r="B189" s="22" t="s">
        <v>16</v>
      </c>
      <c r="C189" s="22" t="s">
        <v>17</v>
      </c>
      <c r="D189" s="22" t="s">
        <v>18</v>
      </c>
      <c r="E189" s="22" t="s">
        <v>19</v>
      </c>
      <c r="F189" s="67">
        <v>45697</v>
      </c>
      <c r="G189" s="22" t="s">
        <v>23</v>
      </c>
      <c r="H189" s="68">
        <f>138667000*1*(326/365)</f>
        <v>123850526.02739726</v>
      </c>
      <c r="I189" s="53">
        <v>4.2200000000000001E-2</v>
      </c>
      <c r="J189" s="54">
        <f t="shared" si="25"/>
        <v>5226492.1983561646</v>
      </c>
      <c r="K189" s="97" t="s">
        <v>65</v>
      </c>
      <c r="L189" s="69" t="s">
        <v>59</v>
      </c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26" x14ac:dyDescent="0.3">
      <c r="A190" s="14">
        <v>15</v>
      </c>
      <c r="B190" s="15" t="s">
        <v>16</v>
      </c>
      <c r="C190" s="15" t="s">
        <v>17</v>
      </c>
      <c r="D190" s="15" t="s">
        <v>18</v>
      </c>
      <c r="E190" s="15" t="s">
        <v>19</v>
      </c>
      <c r="F190" s="16">
        <v>45833</v>
      </c>
      <c r="G190" s="15" t="s">
        <v>23</v>
      </c>
      <c r="H190" s="70">
        <f>15999000*1*(190/365)</f>
        <v>8328246.5753424652</v>
      </c>
      <c r="I190" s="18">
        <v>4.2200000000000001E-2</v>
      </c>
      <c r="J190" s="19">
        <f t="shared" si="25"/>
        <v>351452.00547945203</v>
      </c>
      <c r="K190" s="89" t="s">
        <v>65</v>
      </c>
      <c r="L190" s="71" t="s">
        <v>60</v>
      </c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thickBot="1" x14ac:dyDescent="0.3">
      <c r="A191" s="31"/>
      <c r="B191" s="32"/>
      <c r="C191" s="33"/>
      <c r="D191" s="33"/>
      <c r="E191" s="33"/>
      <c r="F191" s="32"/>
      <c r="G191" s="33"/>
      <c r="H191" s="33"/>
      <c r="I191" s="33"/>
      <c r="J191" s="32"/>
      <c r="K191" s="81"/>
      <c r="L191" s="72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thickTop="1" thickBot="1" x14ac:dyDescent="0.3">
      <c r="A192" s="35" t="s">
        <v>29</v>
      </c>
      <c r="B192" s="36"/>
      <c r="C192" s="37"/>
      <c r="D192" s="37"/>
      <c r="E192" s="37"/>
      <c r="F192" s="36"/>
      <c r="G192" s="37"/>
      <c r="H192" s="38">
        <f>SUM(H177:H190)</f>
        <v>837184999.99999988</v>
      </c>
      <c r="I192" s="39">
        <f>IF(H192=0,"",J192/H192)</f>
        <v>3.6947709213614684E-2</v>
      </c>
      <c r="J192" s="40">
        <f>SUM(J177:J190)</f>
        <v>30932067.938000005</v>
      </c>
      <c r="K192" s="80"/>
      <c r="L192" s="4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7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2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2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2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2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12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12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12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12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12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12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12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12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12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12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ht="12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 ht="12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 ht="12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1:27" ht="12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  <row r="1021" spans="1:27" ht="12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</row>
    <row r="1022" spans="1:27" ht="12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</row>
    <row r="1023" spans="1:27" ht="12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</row>
  </sheetData>
  <mergeCells count="50">
    <mergeCell ref="L51:L52"/>
    <mergeCell ref="A9:L9"/>
    <mergeCell ref="A10:L10"/>
    <mergeCell ref="M10:P10"/>
    <mergeCell ref="A12:L12"/>
    <mergeCell ref="L18:L19"/>
    <mergeCell ref="L20:L21"/>
    <mergeCell ref="B28:L28"/>
    <mergeCell ref="B29:L29"/>
    <mergeCell ref="B30:L30"/>
    <mergeCell ref="L37:L38"/>
    <mergeCell ref="L39:L40"/>
    <mergeCell ref="L113:L114"/>
    <mergeCell ref="L53:L54"/>
    <mergeCell ref="L55:L56"/>
    <mergeCell ref="L69:L70"/>
    <mergeCell ref="L71:L72"/>
    <mergeCell ref="L77:L78"/>
    <mergeCell ref="L88:L91"/>
    <mergeCell ref="L92:L95"/>
    <mergeCell ref="L96:L97"/>
    <mergeCell ref="L107:L108"/>
    <mergeCell ref="L109:L110"/>
    <mergeCell ref="L111:L112"/>
    <mergeCell ref="L149:L150"/>
    <mergeCell ref="L160:L161"/>
    <mergeCell ref="L162:L163"/>
    <mergeCell ref="L164:L165"/>
    <mergeCell ref="L124:L125"/>
    <mergeCell ref="L126:L127"/>
    <mergeCell ref="L128:L129"/>
    <mergeCell ref="L130:L131"/>
    <mergeCell ref="L141:L142"/>
    <mergeCell ref="L143:L144"/>
    <mergeCell ref="L1:L6"/>
    <mergeCell ref="L187:L188"/>
    <mergeCell ref="B2:C2"/>
    <mergeCell ref="K51:K52"/>
    <mergeCell ref="K88:K89"/>
    <mergeCell ref="K90:K91"/>
    <mergeCell ref="K92:K93"/>
    <mergeCell ref="K94:K95"/>
    <mergeCell ref="L166:L167"/>
    <mergeCell ref="L168:L169"/>
    <mergeCell ref="L179:L180"/>
    <mergeCell ref="L181:L182"/>
    <mergeCell ref="L183:L184"/>
    <mergeCell ref="L185:L186"/>
    <mergeCell ref="L145:L146"/>
    <mergeCell ref="L147:L148"/>
  </mergeCells>
  <dataValidations count="3">
    <dataValidation type="list" allowBlank="1" showErrorMessage="1" sqref="E16:E22 E35:E42 E50:E59 E67:E78 E86:E97 E105:E114 E122:E131 E139:E150 E158:E169 E177:E190">
      <formula1>"Fixed Rate,Variable Rate"</formula1>
    </dataValidation>
    <dataValidation type="list" allowBlank="1" showErrorMessage="1" sqref="D16:D22 D35:D42 D50:D59 D67:D78 D86:D97 D105:D114 D122:D131 D139:D150 D158:D169 D177:D190">
      <formula1>"Affiliated,Third-Party"</formula1>
    </dataValidation>
    <dataValidation type="list" allowBlank="1" showErrorMessage="1" sqref="E13 E32 E47 E64 E83 E102 E119 E136 E155 E174">
      <formula1>"2006,2007,2008,2009,2012,2013,2014,2015,2016,2017,2018,2019,2020,2021,2022,2023,2024,2025"</formula1>
    </dataValidation>
  </dataValidations>
  <pageMargins left="0.47205588822355293" right="0.50499001996007986" top="1.0209580838323353" bottom="0.62574850299401197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App.2-OB_Debt Instruments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NealT</dc:creator>
  <cp:lastModifiedBy>KATHRYNW</cp:lastModifiedBy>
  <dcterms:created xsi:type="dcterms:W3CDTF">2020-05-21T01:28:31Z</dcterms:created>
  <dcterms:modified xsi:type="dcterms:W3CDTF">2020-06-05T19:20:21Z</dcterms:modified>
</cp:coreProperties>
</file>